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72" windowWidth="15252" windowHeight="7932" tabRatio="905" firstSheet="9" activeTab="21"/>
  </bookViews>
  <sheets>
    <sheet name="Mau 37 ND 31" sheetId="45" state="hidden" r:id="rId1"/>
    <sheet name="07" sheetId="67" state="hidden" r:id="rId2"/>
    <sheet name="08 " sheetId="68" state="hidden" r:id="rId3"/>
    <sheet name="09 " sheetId="69" state="hidden" r:id="rId4"/>
    <sheet name="10" sheetId="70" state="hidden" r:id="rId5"/>
    <sheet name="11" sheetId="71" state="hidden" r:id="rId6"/>
    <sheet name="TH-CTMT2019" sheetId="73" state="hidden" r:id="rId7"/>
    <sheet name="UTH-THU2018" sheetId="66" state="hidden" r:id="rId8"/>
    <sheet name="UTH-chi2018" sheetId="65" state="hidden" r:id="rId9"/>
    <sheet name="33" sheetId="52" r:id="rId10"/>
    <sheet name="34" sheetId="53" r:id="rId11"/>
    <sheet name="35" sheetId="54" r:id="rId12"/>
    <sheet name="36" sheetId="55" r:id="rId13"/>
    <sheet name="37" sheetId="56" r:id="rId14"/>
    <sheet name="38" sheetId="57" r:id="rId15"/>
    <sheet name="39" sheetId="74" r:id="rId16"/>
    <sheet name="40" sheetId="59" r:id="rId17"/>
    <sheet name="41" sheetId="60" r:id="rId18"/>
    <sheet name="42" sheetId="61" r:id="rId19"/>
    <sheet name="43" sheetId="62" r:id="rId20"/>
    <sheet name="44" sheetId="63" r:id="rId21"/>
    <sheet name="45" sheetId="76" r:id="rId22"/>
    <sheet name="Bieu 33-CHI TOAN TINH" sheetId="43" state="hidden" r:id="rId23"/>
    <sheet name="2019 (co TK)" sheetId="46" state="hidden" r:id="rId24"/>
    <sheet name="THUE 2019" sheetId="41" state="hidden" r:id="rId25"/>
    <sheet name="Bieu so 01" sheetId="40" state="hidden" r:id="rId26"/>
    <sheet name="Bieu so 02" sheetId="42" state="hidden" r:id="rId27"/>
    <sheet name="Bieu so 03" sheetId="36" state="hidden" r:id="rId28"/>
    <sheet name="Bieu so 04" sheetId="50" state="hidden" r:id="rId29"/>
    <sheet name="Bieu so 05" sheetId="23" state="hidden" r:id="rId30"/>
    <sheet name="ATGT-2017-04" sheetId="37" state="hidden" r:id="rId31"/>
    <sheet name="BSCD CDCS 2019 (hoan chinh)-05 " sheetId="35" state="hidden" r:id="rId32"/>
    <sheet name="tang dau tu" sheetId="47" state="hidden" r:id="rId33"/>
    <sheet name="so thu huyen-R-03" sheetId="49" state="hidden" r:id="rId34"/>
    <sheet name="TPTV" sheetId="9" state="hidden" r:id="rId35"/>
    <sheet name="Tra Cu" sheetId="14" state="hidden" r:id="rId36"/>
    <sheet name="Cau Ngang" sheetId="15" state="hidden" r:id="rId37"/>
    <sheet name="Chau Thanh" sheetId="16" state="hidden" r:id="rId38"/>
    <sheet name="Duyen Hai" sheetId="17" state="hidden" r:id="rId39"/>
    <sheet name="Tieu Can" sheetId="19" state="hidden" r:id="rId40"/>
    <sheet name="Cang Long" sheetId="21" state="hidden" r:id="rId41"/>
    <sheet name="Cau Ke" sheetId="20" state="hidden" r:id="rId42"/>
    <sheet name="TX Duyen Hai" sheetId="22" state="hidden" r:id="rId43"/>
    <sheet name="Sheet1" sheetId="51" state="hidden" r:id="rId44"/>
  </sheets>
  <externalReferences>
    <externalReference r:id="rId45"/>
    <externalReference r:id="rId46"/>
    <externalReference r:id="rId47"/>
    <externalReference r:id="rId48"/>
    <externalReference r:id="rId49"/>
  </externalReferences>
  <definedNames>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23" hidden="1">#REF!</definedName>
    <definedName name="_Fill" localSheetId="9" hidden="1">#REF!</definedName>
    <definedName name="_Fill" localSheetId="21" hidden="1">#REF!</definedName>
    <definedName name="_Fill" localSheetId="25" hidden="1">#REF!</definedName>
    <definedName name="_Fill" localSheetId="26" hidden="1">#REF!</definedName>
    <definedName name="_Fill" localSheetId="28" hidden="1">#REF!</definedName>
    <definedName name="_Fill" localSheetId="0" hidden="1">#REF!</definedName>
    <definedName name="_Fill" localSheetId="33" hidden="1">#REF!</definedName>
    <definedName name="_Fill" localSheetId="32" hidden="1">#REF!</definedName>
    <definedName name="_Fill" localSheetId="8" hidden="1">#REF!</definedName>
    <definedName name="_Fill" localSheetId="7" hidden="1">#REF!</definedName>
    <definedName name="_Fill" hidden="1">#REF!</definedName>
    <definedName name="ADP" localSheetId="1">#REF!</definedName>
    <definedName name="ADP" localSheetId="2">#REF!</definedName>
    <definedName name="ADP" localSheetId="3">#REF!</definedName>
    <definedName name="ADP" localSheetId="4">#REF!</definedName>
    <definedName name="ADP" localSheetId="5">#REF!</definedName>
    <definedName name="ADP" localSheetId="23">#REF!</definedName>
    <definedName name="ADP" localSheetId="9">#REF!</definedName>
    <definedName name="ADP" localSheetId="21">#REF!</definedName>
    <definedName name="ADP" localSheetId="22">#REF!</definedName>
    <definedName name="ADP" localSheetId="25">#REF!</definedName>
    <definedName name="ADP" localSheetId="26">#REF!</definedName>
    <definedName name="ADP" localSheetId="28">#REF!</definedName>
    <definedName name="ADP" localSheetId="0">#REF!</definedName>
    <definedName name="ADP" localSheetId="33">#REF!</definedName>
    <definedName name="ADP" localSheetId="32">#REF!</definedName>
    <definedName name="ADP" localSheetId="8">#REF!</definedName>
    <definedName name="ADP" localSheetId="7">#REF!</definedName>
    <definedName name="ADP">#REF!</definedName>
    <definedName name="AKHAC" localSheetId="1">#REF!</definedName>
    <definedName name="AKHAC" localSheetId="2">#REF!</definedName>
    <definedName name="AKHAC" localSheetId="3">#REF!</definedName>
    <definedName name="AKHAC" localSheetId="4">#REF!</definedName>
    <definedName name="AKHAC" localSheetId="5">#REF!</definedName>
    <definedName name="AKHAC" localSheetId="23">#REF!</definedName>
    <definedName name="AKHAC" localSheetId="21">#REF!</definedName>
    <definedName name="AKHAC" localSheetId="22">#REF!</definedName>
    <definedName name="AKHAC" localSheetId="25">#REF!</definedName>
    <definedName name="AKHAC" localSheetId="26">#REF!</definedName>
    <definedName name="AKHAC" localSheetId="28">#REF!</definedName>
    <definedName name="AKHAC" localSheetId="0">#REF!</definedName>
    <definedName name="AKHAC" localSheetId="33">#REF!</definedName>
    <definedName name="AKHAC" localSheetId="32">#REF!</definedName>
    <definedName name="AKHAC" localSheetId="8">#REF!</definedName>
    <definedName name="AKHAC" localSheetId="7">#REF!</definedName>
    <definedName name="AKHAC">#REF!</definedName>
    <definedName name="ALTINH" localSheetId="1">#REF!</definedName>
    <definedName name="ALTINH" localSheetId="2">#REF!</definedName>
    <definedName name="ALTINH" localSheetId="3">#REF!</definedName>
    <definedName name="ALTINH" localSheetId="4">#REF!</definedName>
    <definedName name="ALTINH" localSheetId="5">#REF!</definedName>
    <definedName name="ALTINH" localSheetId="23">#REF!</definedName>
    <definedName name="ALTINH" localSheetId="22">#REF!</definedName>
    <definedName name="ALTINH" localSheetId="25">#REF!</definedName>
    <definedName name="ALTINH" localSheetId="26">#REF!</definedName>
    <definedName name="ALTINH" localSheetId="28">#REF!</definedName>
    <definedName name="ALTINH" localSheetId="0">#REF!</definedName>
    <definedName name="ALTINH" localSheetId="33">#REF!</definedName>
    <definedName name="ALTINH" localSheetId="32">#REF!</definedName>
    <definedName name="ALTINH" localSheetId="8">#REF!</definedName>
    <definedName name="ALTINH" localSheetId="7">#REF!</definedName>
    <definedName name="ALTINH">#REF!</definedName>
    <definedName name="Anguon" localSheetId="1">'[1]Dt 2001'!#REF!</definedName>
    <definedName name="Anguon" localSheetId="2">'[1]Dt 2001'!#REF!</definedName>
    <definedName name="Anguon" localSheetId="3">'[1]Dt 2001'!#REF!</definedName>
    <definedName name="Anguon" localSheetId="4">'[1]Dt 2001'!#REF!</definedName>
    <definedName name="Anguon" localSheetId="5">'[1]Dt 2001'!#REF!</definedName>
    <definedName name="Anguon" localSheetId="23">'[1]Dt 2001'!#REF!</definedName>
    <definedName name="Anguon" localSheetId="15">'[1]Dt 2001'!#REF!</definedName>
    <definedName name="Anguon" localSheetId="21">'[1]Dt 2001'!#REF!</definedName>
    <definedName name="Anguon" localSheetId="22">'[1]Dt 2001'!#REF!</definedName>
    <definedName name="Anguon" localSheetId="25">'[1]Dt 2001'!#REF!</definedName>
    <definedName name="Anguon" localSheetId="26">'[1]Dt 2001'!#REF!</definedName>
    <definedName name="Anguon" localSheetId="28">'[1]Dt 2001'!#REF!</definedName>
    <definedName name="Anguon" localSheetId="0">'[1]Dt 2001'!#REF!</definedName>
    <definedName name="Anguon" localSheetId="33">'[1]Dt 2001'!#REF!</definedName>
    <definedName name="Anguon" localSheetId="32">'[1]Dt 2001'!#REF!</definedName>
    <definedName name="Anguon" localSheetId="6">'[1]Dt 2001'!#REF!</definedName>
    <definedName name="Anguon" localSheetId="8">'[1]Dt 2001'!#REF!</definedName>
    <definedName name="Anguon" localSheetId="7">'[1]Dt 2001'!#REF!</definedName>
    <definedName name="Anguon">'[1]Dt 2001'!#REF!</definedName>
    <definedName name="ANN" localSheetId="1">#REF!</definedName>
    <definedName name="ANN" localSheetId="2">#REF!</definedName>
    <definedName name="ANN" localSheetId="3">#REF!</definedName>
    <definedName name="ANN" localSheetId="4">#REF!</definedName>
    <definedName name="ANN" localSheetId="5">#REF!</definedName>
    <definedName name="ANN" localSheetId="23">#REF!</definedName>
    <definedName name="ANN" localSheetId="9">#REF!</definedName>
    <definedName name="ANN" localSheetId="15">#REF!</definedName>
    <definedName name="ANN" localSheetId="21">#REF!</definedName>
    <definedName name="ANN" localSheetId="22">#REF!</definedName>
    <definedName name="ANN" localSheetId="25">#REF!</definedName>
    <definedName name="ANN" localSheetId="26">#REF!</definedName>
    <definedName name="ANN" localSheetId="28">#REF!</definedName>
    <definedName name="ANN" localSheetId="0">#REF!</definedName>
    <definedName name="ANN" localSheetId="33">#REF!</definedName>
    <definedName name="ANN" localSheetId="32">#REF!</definedName>
    <definedName name="ANN" localSheetId="8">#REF!</definedName>
    <definedName name="ANN" localSheetId="7">#REF!</definedName>
    <definedName name="ANN">#REF!</definedName>
    <definedName name="ANQD" localSheetId="1">#REF!</definedName>
    <definedName name="ANQD" localSheetId="2">#REF!</definedName>
    <definedName name="ANQD" localSheetId="3">#REF!</definedName>
    <definedName name="ANQD" localSheetId="4">#REF!</definedName>
    <definedName name="ANQD" localSheetId="5">#REF!</definedName>
    <definedName name="ANQD" localSheetId="23">#REF!</definedName>
    <definedName name="ANQD" localSheetId="9">#REF!</definedName>
    <definedName name="ANQD" localSheetId="15">#REF!</definedName>
    <definedName name="ANQD" localSheetId="21">#REF!</definedName>
    <definedName name="ANQD" localSheetId="22">#REF!</definedName>
    <definedName name="ANQD" localSheetId="25">#REF!</definedName>
    <definedName name="ANQD" localSheetId="26">#REF!</definedName>
    <definedName name="ANQD" localSheetId="28">#REF!</definedName>
    <definedName name="ANQD" localSheetId="0">#REF!</definedName>
    <definedName name="ANQD" localSheetId="33">#REF!</definedName>
    <definedName name="ANQD" localSheetId="32">#REF!</definedName>
    <definedName name="ANQD" localSheetId="8">#REF!</definedName>
    <definedName name="ANQD" localSheetId="7">#REF!</definedName>
    <definedName name="ANQD">#REF!</definedName>
    <definedName name="ANQQH" localSheetId="1">'[1]Dt 2001'!#REF!</definedName>
    <definedName name="ANQQH" localSheetId="2">'[1]Dt 2001'!#REF!</definedName>
    <definedName name="ANQQH" localSheetId="3">'[1]Dt 2001'!#REF!</definedName>
    <definedName name="ANQQH" localSheetId="4">'[1]Dt 2001'!#REF!</definedName>
    <definedName name="ANQQH" localSheetId="5">'[1]Dt 2001'!#REF!</definedName>
    <definedName name="ANQQH" localSheetId="23">'[1]Dt 2001'!#REF!</definedName>
    <definedName name="ANQQH" localSheetId="9">'[1]Dt 2001'!#REF!</definedName>
    <definedName name="ANQQH" localSheetId="15">'[1]Dt 2001'!#REF!</definedName>
    <definedName name="ANQQH" localSheetId="21">'[1]Dt 2001'!#REF!</definedName>
    <definedName name="ANQQH" localSheetId="22">'[1]Dt 2001'!#REF!</definedName>
    <definedName name="ANQQH" localSheetId="25">'[1]Dt 2001'!#REF!</definedName>
    <definedName name="ANQQH" localSheetId="26">'[1]Dt 2001'!#REF!</definedName>
    <definedName name="ANQQH" localSheetId="28">'[1]Dt 2001'!#REF!</definedName>
    <definedName name="ANQQH" localSheetId="0">'[1]Dt 2001'!#REF!</definedName>
    <definedName name="ANQQH" localSheetId="33">'[1]Dt 2001'!#REF!</definedName>
    <definedName name="ANQQH" localSheetId="32">'[1]Dt 2001'!#REF!</definedName>
    <definedName name="ANQQH" localSheetId="6">'[1]Dt 2001'!#REF!</definedName>
    <definedName name="ANQQH" localSheetId="8">'[1]Dt 2001'!#REF!</definedName>
    <definedName name="ANQQH" localSheetId="7">'[1]Dt 2001'!#REF!</definedName>
    <definedName name="ANQQH">'[1]Dt 2001'!#REF!</definedName>
    <definedName name="ANSNN" localSheetId="1">'[1]Dt 2001'!#REF!</definedName>
    <definedName name="ANSNN" localSheetId="2">'[1]Dt 2001'!#REF!</definedName>
    <definedName name="ANSNN" localSheetId="3">'[1]Dt 2001'!#REF!</definedName>
    <definedName name="ANSNN" localSheetId="4">'[1]Dt 2001'!#REF!</definedName>
    <definedName name="ANSNN" localSheetId="5">'[1]Dt 2001'!#REF!</definedName>
    <definedName name="ANSNN" localSheetId="23">'[1]Dt 2001'!#REF!</definedName>
    <definedName name="ANSNN" localSheetId="15">'[1]Dt 2001'!#REF!</definedName>
    <definedName name="ANSNN" localSheetId="21">'[1]Dt 2001'!#REF!</definedName>
    <definedName name="ANSNN" localSheetId="22">'[1]Dt 2001'!#REF!</definedName>
    <definedName name="ANSNN" localSheetId="25">'[1]Dt 2001'!#REF!</definedName>
    <definedName name="ANSNN" localSheetId="26">'[1]Dt 2001'!#REF!</definedName>
    <definedName name="ANSNN" localSheetId="28">'[1]Dt 2001'!#REF!</definedName>
    <definedName name="ANSNN" localSheetId="0">'[1]Dt 2001'!#REF!</definedName>
    <definedName name="ANSNN" localSheetId="33">'[1]Dt 2001'!#REF!</definedName>
    <definedName name="ANSNN" localSheetId="32">'[1]Dt 2001'!#REF!</definedName>
    <definedName name="ANSNN" localSheetId="6">'[1]Dt 2001'!#REF!</definedName>
    <definedName name="ANSNN" localSheetId="8">'[1]Dt 2001'!#REF!</definedName>
    <definedName name="ANSNN" localSheetId="7">'[1]Dt 2001'!#REF!</definedName>
    <definedName name="ANSNN">'[1]Dt 2001'!#REF!</definedName>
    <definedName name="ANSNNxnk" localSheetId="1">'[1]Dt 2001'!#REF!</definedName>
    <definedName name="ANSNNxnk" localSheetId="2">'[1]Dt 2001'!#REF!</definedName>
    <definedName name="ANSNNxnk" localSheetId="3">'[1]Dt 2001'!#REF!</definedName>
    <definedName name="ANSNNxnk" localSheetId="4">'[1]Dt 2001'!#REF!</definedName>
    <definedName name="ANSNNxnk" localSheetId="5">'[1]Dt 2001'!#REF!</definedName>
    <definedName name="ANSNNxnk" localSheetId="23">'[1]Dt 2001'!#REF!</definedName>
    <definedName name="ANSNNxnk" localSheetId="15">'[1]Dt 2001'!#REF!</definedName>
    <definedName name="ANSNNxnk" localSheetId="21">'[1]Dt 2001'!#REF!</definedName>
    <definedName name="ANSNNxnk" localSheetId="22">'[1]Dt 2001'!#REF!</definedName>
    <definedName name="ANSNNxnk" localSheetId="25">'[1]Dt 2001'!#REF!</definedName>
    <definedName name="ANSNNxnk" localSheetId="26">'[1]Dt 2001'!#REF!</definedName>
    <definedName name="ANSNNxnk" localSheetId="28">'[1]Dt 2001'!#REF!</definedName>
    <definedName name="ANSNNxnk" localSheetId="0">'[1]Dt 2001'!#REF!</definedName>
    <definedName name="ANSNNxnk" localSheetId="33">'[1]Dt 2001'!#REF!</definedName>
    <definedName name="ANSNNxnk" localSheetId="32">'[1]Dt 2001'!#REF!</definedName>
    <definedName name="ANSNNxnk" localSheetId="6">'[1]Dt 2001'!#REF!</definedName>
    <definedName name="ANSNNxnk" localSheetId="8">'[1]Dt 2001'!#REF!</definedName>
    <definedName name="ANSNNxnk" localSheetId="7">'[1]Dt 2001'!#REF!</definedName>
    <definedName name="ANSNNxnk">'[1]Dt 2001'!#REF!</definedName>
    <definedName name="APC" localSheetId="1">'[1]Dt 2001'!#REF!</definedName>
    <definedName name="APC" localSheetId="2">'[1]Dt 2001'!#REF!</definedName>
    <definedName name="APC" localSheetId="3">'[1]Dt 2001'!#REF!</definedName>
    <definedName name="APC" localSheetId="4">'[1]Dt 2001'!#REF!</definedName>
    <definedName name="APC" localSheetId="5">'[1]Dt 2001'!#REF!</definedName>
    <definedName name="APC" localSheetId="23">'[1]Dt 2001'!#REF!</definedName>
    <definedName name="APC" localSheetId="15">'[1]Dt 2001'!#REF!</definedName>
    <definedName name="APC" localSheetId="21">'[1]Dt 2001'!#REF!</definedName>
    <definedName name="APC" localSheetId="22">'[1]Dt 2001'!#REF!</definedName>
    <definedName name="APC" localSheetId="25">'[1]Dt 2001'!#REF!</definedName>
    <definedName name="APC" localSheetId="26">'[1]Dt 2001'!#REF!</definedName>
    <definedName name="APC" localSheetId="28">'[1]Dt 2001'!#REF!</definedName>
    <definedName name="APC" localSheetId="0">'[1]Dt 2001'!#REF!</definedName>
    <definedName name="APC" localSheetId="33">'[1]Dt 2001'!#REF!</definedName>
    <definedName name="APC" localSheetId="32">'[1]Dt 2001'!#REF!</definedName>
    <definedName name="APC" localSheetId="6">'[1]Dt 2001'!#REF!</definedName>
    <definedName name="APC" localSheetId="8">'[1]Dt 2001'!#REF!</definedName>
    <definedName name="APC" localSheetId="7">'[1]Dt 2001'!#REF!</definedName>
    <definedName name="APC">'[1]Dt 2001'!#REF!</definedName>
    <definedName name="ATW" localSheetId="1">#REF!</definedName>
    <definedName name="ATW" localSheetId="2">#REF!</definedName>
    <definedName name="ATW" localSheetId="3">#REF!</definedName>
    <definedName name="ATW" localSheetId="4">#REF!</definedName>
    <definedName name="ATW" localSheetId="5">#REF!</definedName>
    <definedName name="ATW" localSheetId="23">#REF!</definedName>
    <definedName name="ATW" localSheetId="9">#REF!</definedName>
    <definedName name="ATW" localSheetId="15">#REF!</definedName>
    <definedName name="ATW" localSheetId="21">#REF!</definedName>
    <definedName name="ATW" localSheetId="22">#REF!</definedName>
    <definedName name="ATW" localSheetId="25">#REF!</definedName>
    <definedName name="ATW" localSheetId="26">#REF!</definedName>
    <definedName name="ATW" localSheetId="28">#REF!</definedName>
    <definedName name="ATW" localSheetId="0">#REF!</definedName>
    <definedName name="ATW" localSheetId="33">#REF!</definedName>
    <definedName name="ATW" localSheetId="32">#REF!</definedName>
    <definedName name="ATW" localSheetId="8">#REF!</definedName>
    <definedName name="ATW" localSheetId="7">#REF!</definedName>
    <definedName name="ATW">#REF!</definedName>
    <definedName name="Can_doi" localSheetId="1">#REF!</definedName>
    <definedName name="Can_doi" localSheetId="2">#REF!</definedName>
    <definedName name="Can_doi" localSheetId="3">#REF!</definedName>
    <definedName name="Can_doi" localSheetId="4">#REF!</definedName>
    <definedName name="Can_doi" localSheetId="5">#REF!</definedName>
    <definedName name="Can_doi" localSheetId="23">#REF!</definedName>
    <definedName name="Can_doi" localSheetId="9">#REF!</definedName>
    <definedName name="Can_doi" localSheetId="15">#REF!</definedName>
    <definedName name="Can_doi" localSheetId="21">#REF!</definedName>
    <definedName name="Can_doi" localSheetId="22">#REF!</definedName>
    <definedName name="Can_doi" localSheetId="25">#REF!</definedName>
    <definedName name="Can_doi" localSheetId="26">#REF!</definedName>
    <definedName name="Can_doi" localSheetId="28">#REF!</definedName>
    <definedName name="Can_doi" localSheetId="0">#REF!</definedName>
    <definedName name="Can_doi" localSheetId="33">#REF!</definedName>
    <definedName name="Can_doi" localSheetId="32">#REF!</definedName>
    <definedName name="Can_doi" localSheetId="8">#REF!</definedName>
    <definedName name="Can_doi" localSheetId="7">#REF!</definedName>
    <definedName name="Can_doi">#REF!</definedName>
    <definedName name="DNNN" localSheetId="1">#REF!</definedName>
    <definedName name="DNNN" localSheetId="2">#REF!</definedName>
    <definedName name="DNNN" localSheetId="3">#REF!</definedName>
    <definedName name="DNNN" localSheetId="4">#REF!</definedName>
    <definedName name="DNNN" localSheetId="5">#REF!</definedName>
    <definedName name="DNNN" localSheetId="23">#REF!</definedName>
    <definedName name="DNNN" localSheetId="9">#REF!</definedName>
    <definedName name="DNNN" localSheetId="15">#REF!</definedName>
    <definedName name="DNNN" localSheetId="21">#REF!</definedName>
    <definedName name="DNNN" localSheetId="22">#REF!</definedName>
    <definedName name="DNNN" localSheetId="25">#REF!</definedName>
    <definedName name="DNNN" localSheetId="26">#REF!</definedName>
    <definedName name="DNNN" localSheetId="28">#REF!</definedName>
    <definedName name="DNNN" localSheetId="0">#REF!</definedName>
    <definedName name="DNNN" localSheetId="33">#REF!</definedName>
    <definedName name="DNNN" localSheetId="32">#REF!</definedName>
    <definedName name="DNNN" localSheetId="8">#REF!</definedName>
    <definedName name="DNNN" localSheetId="7">#REF!</definedName>
    <definedName name="DNNN">#REF!</definedName>
    <definedName name="i" localSheetId="1">#REF!</definedName>
    <definedName name="i" localSheetId="2">#REF!</definedName>
    <definedName name="i" localSheetId="3">#REF!</definedName>
    <definedName name="i" localSheetId="4">#REF!</definedName>
    <definedName name="i" localSheetId="5">#REF!</definedName>
    <definedName name="i" localSheetId="23">#REF!</definedName>
    <definedName name="i" localSheetId="25">#REF!</definedName>
    <definedName name="i" localSheetId="26">#REF!</definedName>
    <definedName name="i" localSheetId="28">#REF!</definedName>
    <definedName name="i" localSheetId="0">#REF!</definedName>
    <definedName name="i" localSheetId="33">#REF!</definedName>
    <definedName name="i" localSheetId="32">#REF!</definedName>
    <definedName name="i" localSheetId="7">#REF!</definedName>
    <definedName name="i">#REF!</definedName>
    <definedName name="Khac" localSheetId="1">#REF!</definedName>
    <definedName name="Khac" localSheetId="2">#REF!</definedName>
    <definedName name="Khac" localSheetId="3">#REF!</definedName>
    <definedName name="Khac" localSheetId="4">#REF!</definedName>
    <definedName name="Khac" localSheetId="5">#REF!</definedName>
    <definedName name="Khac" localSheetId="23">#REF!</definedName>
    <definedName name="Khac" localSheetId="22">#REF!</definedName>
    <definedName name="Khac" localSheetId="25">#REF!</definedName>
    <definedName name="Khac" localSheetId="26">#REF!</definedName>
    <definedName name="Khac" localSheetId="28">#REF!</definedName>
    <definedName name="Khac" localSheetId="0">#REF!</definedName>
    <definedName name="Khac" localSheetId="33">#REF!</definedName>
    <definedName name="Khac" localSheetId="32">#REF!</definedName>
    <definedName name="Khac" localSheetId="8">#REF!</definedName>
    <definedName name="Khac" localSheetId="7">#REF!</definedName>
    <definedName name="Khac">#REF!</definedName>
    <definedName name="Khong_can_doi" localSheetId="1">#REF!</definedName>
    <definedName name="Khong_can_doi" localSheetId="2">#REF!</definedName>
    <definedName name="Khong_can_doi" localSheetId="3">#REF!</definedName>
    <definedName name="Khong_can_doi" localSheetId="4">#REF!</definedName>
    <definedName name="Khong_can_doi" localSheetId="5">#REF!</definedName>
    <definedName name="Khong_can_doi" localSheetId="23">#REF!</definedName>
    <definedName name="Khong_can_doi" localSheetId="22">#REF!</definedName>
    <definedName name="Khong_can_doi" localSheetId="25">#REF!</definedName>
    <definedName name="Khong_can_doi" localSheetId="26">#REF!</definedName>
    <definedName name="Khong_can_doi" localSheetId="28">#REF!</definedName>
    <definedName name="Khong_can_doi" localSheetId="0">#REF!</definedName>
    <definedName name="Khong_can_doi" localSheetId="33">#REF!</definedName>
    <definedName name="Khong_can_doi" localSheetId="32">#REF!</definedName>
    <definedName name="Khong_can_doi" localSheetId="8">#REF!</definedName>
    <definedName name="Khong_can_doi" localSheetId="7">#REF!</definedName>
    <definedName name="Khong_can_doi">#REF!</definedName>
    <definedName name="NQD" localSheetId="1">#REF!</definedName>
    <definedName name="NQD" localSheetId="2">#REF!</definedName>
    <definedName name="NQD" localSheetId="3">#REF!</definedName>
    <definedName name="NQD" localSheetId="4">#REF!</definedName>
    <definedName name="NQD" localSheetId="5">#REF!</definedName>
    <definedName name="NQD" localSheetId="23">#REF!</definedName>
    <definedName name="NQD" localSheetId="22">#REF!</definedName>
    <definedName name="NQD" localSheetId="25">#REF!</definedName>
    <definedName name="NQD" localSheetId="26">#REF!</definedName>
    <definedName name="NQD" localSheetId="28">#REF!</definedName>
    <definedName name="NQD" localSheetId="0">#REF!</definedName>
    <definedName name="NQD" localSheetId="33">#REF!</definedName>
    <definedName name="NQD" localSheetId="32">#REF!</definedName>
    <definedName name="NQD" localSheetId="8">#REF!</definedName>
    <definedName name="NQD" localSheetId="7">#REF!</definedName>
    <definedName name="NQD">#REF!</definedName>
    <definedName name="NQQH" localSheetId="1">'[1]Dt 2001'!#REF!</definedName>
    <definedName name="NQQH" localSheetId="2">'[1]Dt 2001'!#REF!</definedName>
    <definedName name="NQQH" localSheetId="3">'[1]Dt 2001'!#REF!</definedName>
    <definedName name="NQQH" localSheetId="4">'[1]Dt 2001'!#REF!</definedName>
    <definedName name="NQQH" localSheetId="5">'[1]Dt 2001'!#REF!</definedName>
    <definedName name="NQQH" localSheetId="23">'[1]Dt 2001'!#REF!</definedName>
    <definedName name="NQQH" localSheetId="15">'[1]Dt 2001'!#REF!</definedName>
    <definedName name="NQQH" localSheetId="21">'[1]Dt 2001'!#REF!</definedName>
    <definedName name="NQQH" localSheetId="22">'[1]Dt 2001'!#REF!</definedName>
    <definedName name="NQQH" localSheetId="25">'[1]Dt 2001'!#REF!</definedName>
    <definedName name="NQQH" localSheetId="26">'[1]Dt 2001'!#REF!</definedName>
    <definedName name="NQQH" localSheetId="28">'[1]Dt 2001'!#REF!</definedName>
    <definedName name="NQQH" localSheetId="0">'[1]Dt 2001'!#REF!</definedName>
    <definedName name="NQQH" localSheetId="33">'[1]Dt 2001'!#REF!</definedName>
    <definedName name="NQQH" localSheetId="32">'[1]Dt 2001'!#REF!</definedName>
    <definedName name="NQQH" localSheetId="6">'[1]Dt 2001'!#REF!</definedName>
    <definedName name="NQQH" localSheetId="8">'[1]Dt 2001'!#REF!</definedName>
    <definedName name="NQQH" localSheetId="7">'[1]Dt 2001'!#REF!</definedName>
    <definedName name="NQQH">'[1]Dt 2001'!#REF!</definedName>
    <definedName name="NSNN" localSheetId="1">'[1]Dt 2001'!#REF!</definedName>
    <definedName name="NSNN" localSheetId="2">'[1]Dt 2001'!#REF!</definedName>
    <definedName name="NSNN" localSheetId="3">'[1]Dt 2001'!#REF!</definedName>
    <definedName name="NSNN" localSheetId="4">'[1]Dt 2001'!#REF!</definedName>
    <definedName name="NSNN" localSheetId="5">'[1]Dt 2001'!#REF!</definedName>
    <definedName name="NSNN" localSheetId="23">'[1]Dt 2001'!#REF!</definedName>
    <definedName name="NSNN" localSheetId="15">'[1]Dt 2001'!#REF!</definedName>
    <definedName name="NSNN" localSheetId="21">'[1]Dt 2001'!#REF!</definedName>
    <definedName name="NSNN" localSheetId="22">'[1]Dt 2001'!#REF!</definedName>
    <definedName name="NSNN" localSheetId="25">'[1]Dt 2001'!#REF!</definedName>
    <definedName name="NSNN" localSheetId="26">'[1]Dt 2001'!#REF!</definedName>
    <definedName name="NSNN" localSheetId="28">'[1]Dt 2001'!#REF!</definedName>
    <definedName name="NSNN" localSheetId="0">'[1]Dt 2001'!#REF!</definedName>
    <definedName name="NSNN" localSheetId="33">'[1]Dt 2001'!#REF!</definedName>
    <definedName name="NSNN" localSheetId="32">'[1]Dt 2001'!#REF!</definedName>
    <definedName name="NSNN" localSheetId="6">'[1]Dt 2001'!#REF!</definedName>
    <definedName name="NSNN" localSheetId="8">'[1]Dt 2001'!#REF!</definedName>
    <definedName name="NSNN" localSheetId="7">'[1]Dt 2001'!#REF!</definedName>
    <definedName name="NSNN">'[1]Dt 2001'!#REF!</definedName>
    <definedName name="PC" localSheetId="1">'[1]Dt 2001'!#REF!</definedName>
    <definedName name="PC" localSheetId="2">'[1]Dt 2001'!#REF!</definedName>
    <definedName name="PC" localSheetId="3">'[1]Dt 2001'!#REF!</definedName>
    <definedName name="PC" localSheetId="4">'[1]Dt 2001'!#REF!</definedName>
    <definedName name="PC" localSheetId="5">'[1]Dt 2001'!#REF!</definedName>
    <definedName name="PC" localSheetId="23">'[1]Dt 2001'!#REF!</definedName>
    <definedName name="PC" localSheetId="15">'[1]Dt 2001'!#REF!</definedName>
    <definedName name="PC" localSheetId="21">'[1]Dt 2001'!#REF!</definedName>
    <definedName name="PC" localSheetId="22">'[1]Dt 2001'!#REF!</definedName>
    <definedName name="PC" localSheetId="25">'[1]Dt 2001'!#REF!</definedName>
    <definedName name="PC" localSheetId="26">'[1]Dt 2001'!#REF!</definedName>
    <definedName name="PC" localSheetId="28">'[1]Dt 2001'!#REF!</definedName>
    <definedName name="PC" localSheetId="0">'[1]Dt 2001'!#REF!</definedName>
    <definedName name="PC" localSheetId="33">'[1]Dt 2001'!#REF!</definedName>
    <definedName name="PC" localSheetId="32">'[1]Dt 2001'!#REF!</definedName>
    <definedName name="PC" localSheetId="6">'[1]Dt 2001'!#REF!</definedName>
    <definedName name="PC" localSheetId="8">'[1]Dt 2001'!#REF!</definedName>
    <definedName name="PC" localSheetId="7">'[1]Dt 2001'!#REF!</definedName>
    <definedName name="PC">'[1]Dt 2001'!#REF!</definedName>
    <definedName name="Phan_cap" localSheetId="1">#REF!</definedName>
    <definedName name="Phan_cap" localSheetId="2">#REF!</definedName>
    <definedName name="Phan_cap" localSheetId="3">#REF!</definedName>
    <definedName name="Phan_cap" localSheetId="4">#REF!</definedName>
    <definedName name="Phan_cap" localSheetId="5">#REF!</definedName>
    <definedName name="Phan_cap" localSheetId="23">#REF!</definedName>
    <definedName name="Phan_cap" localSheetId="9">#REF!</definedName>
    <definedName name="Phan_cap" localSheetId="15">#REF!</definedName>
    <definedName name="Phan_cap" localSheetId="21">#REF!</definedName>
    <definedName name="Phan_cap" localSheetId="22">#REF!</definedName>
    <definedName name="Phan_cap" localSheetId="25">#REF!</definedName>
    <definedName name="Phan_cap" localSheetId="26">#REF!</definedName>
    <definedName name="Phan_cap" localSheetId="28">#REF!</definedName>
    <definedName name="Phan_cap" localSheetId="0">#REF!</definedName>
    <definedName name="Phan_cap" localSheetId="33">#REF!</definedName>
    <definedName name="Phan_cap" localSheetId="32">#REF!</definedName>
    <definedName name="Phan_cap" localSheetId="8">#REF!</definedName>
    <definedName name="Phan_cap" localSheetId="7">#REF!</definedName>
    <definedName name="Phan_cap">#REF!</definedName>
    <definedName name="Phi_le_phi" localSheetId="1">#REF!</definedName>
    <definedName name="Phi_le_phi" localSheetId="2">#REF!</definedName>
    <definedName name="Phi_le_phi" localSheetId="3">#REF!</definedName>
    <definedName name="Phi_le_phi" localSheetId="4">#REF!</definedName>
    <definedName name="Phi_le_phi" localSheetId="5">#REF!</definedName>
    <definedName name="Phi_le_phi" localSheetId="23">#REF!</definedName>
    <definedName name="Phi_le_phi" localSheetId="9">#REF!</definedName>
    <definedName name="Phi_le_phi" localSheetId="15">#REF!</definedName>
    <definedName name="Phi_le_phi" localSheetId="21">#REF!</definedName>
    <definedName name="Phi_le_phi" localSheetId="22">#REF!</definedName>
    <definedName name="Phi_le_phi" localSheetId="25">#REF!</definedName>
    <definedName name="Phi_le_phi" localSheetId="26">#REF!</definedName>
    <definedName name="Phi_le_phi" localSheetId="28">#REF!</definedName>
    <definedName name="Phi_le_phi" localSheetId="0">#REF!</definedName>
    <definedName name="Phi_le_phi" localSheetId="33">#REF!</definedName>
    <definedName name="Phi_le_phi" localSheetId="32">#REF!</definedName>
    <definedName name="Phi_le_phi" localSheetId="8">#REF!</definedName>
    <definedName name="Phi_le_phi" localSheetId="7">#REF!</definedName>
    <definedName name="Phi_le_phi">#REF!</definedName>
    <definedName name="_xlnm.Print_Area" localSheetId="1">'07'!$A$1:$AO$55</definedName>
    <definedName name="_xlnm.Print_Area" localSheetId="2">'08 '!$A$1:$K$64</definedName>
    <definedName name="_xlnm.Print_Area" localSheetId="3">'09 '!$A$1:$H$49</definedName>
    <definedName name="_xlnm.Print_Area" localSheetId="4">'10'!$A$1:$N$45</definedName>
    <definedName name="_xlnm.Print_Area" localSheetId="5">'11'!$A$1:$G$102</definedName>
    <definedName name="_xlnm.Print_Area" localSheetId="23">#REF!</definedName>
    <definedName name="_xlnm.Print_Area" localSheetId="14">'38'!$A$1:$Q$300</definedName>
    <definedName name="_xlnm.Print_Area" localSheetId="15">'39'!$A$1:$Q$47</definedName>
    <definedName name="_xlnm.Print_Area" localSheetId="16">'40'!$A$1:$S$194</definedName>
    <definedName name="_xlnm.Print_Area" localSheetId="20">'44'!$A$1:$S$37</definedName>
    <definedName name="_xlnm.Print_Area" localSheetId="21">'45'!$A$1:$Y$640</definedName>
    <definedName name="_xlnm.Print_Area" localSheetId="22">'Bieu 33-CHI TOAN TINH'!$A$1:$L$164</definedName>
    <definedName name="_xlnm.Print_Area" localSheetId="26">#REF!</definedName>
    <definedName name="_xlnm.Print_Area" localSheetId="28">'Bieu so 04'!$A$1:$AK$352</definedName>
    <definedName name="_xlnm.Print_Area" localSheetId="31">'BSCD CDCS 2019 (hoan chinh)-05 '!$A$1:$N$47</definedName>
    <definedName name="_xlnm.Print_Area" localSheetId="0">#REF!</definedName>
    <definedName name="_xlnm.Print_Area" localSheetId="33">#REF!</definedName>
    <definedName name="_xlnm.Print_Area" localSheetId="32">'tang dau tu'!$A$1:$N$7</definedName>
    <definedName name="_xlnm.Print_Area" localSheetId="6">#REF!</definedName>
    <definedName name="_xlnm.Print_Area" localSheetId="8">#REF!</definedName>
    <definedName name="_xlnm.Print_Area" localSheetId="7">#REF!</definedName>
    <definedName name="_xlnm.Print_Area">#REF!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23">#REF!</definedName>
    <definedName name="PRINT_AREA_MI" localSheetId="9">#REF!</definedName>
    <definedName name="PRINT_AREA_MI" localSheetId="22">#REF!</definedName>
    <definedName name="PRINT_AREA_MI" localSheetId="25">#REF!</definedName>
    <definedName name="PRINT_AREA_MI" localSheetId="26">#REF!</definedName>
    <definedName name="PRINT_AREA_MI" localSheetId="28">#REF!</definedName>
    <definedName name="PRINT_AREA_MI" localSheetId="0">#REF!</definedName>
    <definedName name="PRINT_AREA_MI" localSheetId="33">#REF!</definedName>
    <definedName name="PRINT_AREA_MI" localSheetId="32">#REF!</definedName>
    <definedName name="PRINT_AREA_MI" localSheetId="8">#REF!</definedName>
    <definedName name="PRINT_AREA_MI" localSheetId="7">#REF!</definedName>
    <definedName name="PRINT_AREA_MI">#REF!</definedName>
    <definedName name="_xlnm.Print_Titles" localSheetId="1">'07'!$7:$11</definedName>
    <definedName name="_xlnm.Print_Titles" localSheetId="2">'08 '!$7:$11</definedName>
    <definedName name="_xlnm.Print_Titles" localSheetId="3">'09 '!$12:$16</definedName>
    <definedName name="_xlnm.Print_Titles" localSheetId="23">'2019 (co TK)'!$5:$7</definedName>
    <definedName name="_xlnm.Print_Titles" localSheetId="15">'39'!$7:$10</definedName>
    <definedName name="_xlnm.Print_Titles" localSheetId="21">'45'!$6:$10</definedName>
    <definedName name="_xlnm.Print_Titles" localSheetId="22">'Bieu 33-CHI TOAN TINH'!$8:$10</definedName>
    <definedName name="_xlnm.Print_Titles" localSheetId="25">'Bieu so 01'!$8:$12</definedName>
    <definedName name="_xlnm.Print_Titles" localSheetId="26">'Bieu so 02'!$7:$11</definedName>
    <definedName name="_xlnm.Print_Titles" localSheetId="27">'Bieu so 03'!$6:$6</definedName>
    <definedName name="_xlnm.Print_Titles" localSheetId="28">'Bieu so 04'!$5:$7</definedName>
    <definedName name="_xlnm.Print_Titles" localSheetId="29">'Bieu so 05'!$5:$7</definedName>
    <definedName name="_xlnm.Print_Titles" localSheetId="31">'BSCD CDCS 2019 (hoan chinh)-05 '!$4:$4</definedName>
    <definedName name="_xlnm.Print_Titles" localSheetId="40">'Cang Long'!$5:$7</definedName>
    <definedName name="_xlnm.Print_Titles" localSheetId="41">'Cau Ke'!$5:$7</definedName>
    <definedName name="_xlnm.Print_Titles" localSheetId="0">'Mau 37 ND 31'!$10:$13</definedName>
    <definedName name="_xlnm.Print_Titles" localSheetId="32">'tang dau tu'!$4:$4</definedName>
    <definedName name="_xlnm.Print_Titles" localSheetId="24">'THUE 2019'!$7:$11</definedName>
    <definedName name="_xlnm.Print_Titles" localSheetId="39">'Tieu Can'!$5:$7</definedName>
    <definedName name="_xlnm.Print_Titles" localSheetId="35">'Tra Cu'!$5:$7</definedName>
    <definedName name="_xlnm.Print_Titles" localSheetId="8">'UTH-chi2018'!$5:$5</definedName>
    <definedName name="TW" localSheetId="1">#REF!</definedName>
    <definedName name="TW" localSheetId="2">#REF!</definedName>
    <definedName name="TW" localSheetId="3">#REF!</definedName>
    <definedName name="TW" localSheetId="4">#REF!</definedName>
    <definedName name="TW" localSheetId="5">#REF!</definedName>
    <definedName name="TW" localSheetId="23">#REF!</definedName>
    <definedName name="TW" localSheetId="9">#REF!</definedName>
    <definedName name="TW" localSheetId="15">#REF!</definedName>
    <definedName name="TW" localSheetId="21">#REF!</definedName>
    <definedName name="TW" localSheetId="22">#REF!</definedName>
    <definedName name="TW" localSheetId="25">#REF!</definedName>
    <definedName name="TW" localSheetId="26">#REF!</definedName>
    <definedName name="TW" localSheetId="28">#REF!</definedName>
    <definedName name="TW" localSheetId="0">#REF!</definedName>
    <definedName name="TW" localSheetId="33">#REF!</definedName>
    <definedName name="TW" localSheetId="32">#REF!</definedName>
    <definedName name="TW" localSheetId="8">#REF!</definedName>
    <definedName name="TW" localSheetId="7">#REF!</definedName>
    <definedName name="TW">#REF!</definedName>
  </definedNames>
  <calcPr calcId="144525"/>
</workbook>
</file>

<file path=xl/calcChain.xml><?xml version="1.0" encoding="utf-8"?>
<calcChain xmlns="http://schemas.openxmlformats.org/spreadsheetml/2006/main">
  <c r="K18" i="60" l="1"/>
  <c r="K17" i="60"/>
  <c r="K16" i="60"/>
  <c r="K15" i="60"/>
  <c r="K14" i="60"/>
  <c r="K13" i="60"/>
  <c r="K12" i="60"/>
  <c r="K11" i="60"/>
  <c r="K10" i="60"/>
  <c r="K9" i="60"/>
  <c r="I18" i="60"/>
  <c r="I17" i="60"/>
  <c r="I16" i="60"/>
  <c r="I15" i="60"/>
  <c r="I14" i="60"/>
  <c r="I13" i="60"/>
  <c r="I12" i="60"/>
  <c r="I11" i="60"/>
  <c r="I10" i="60"/>
  <c r="I9" i="60"/>
  <c r="E9" i="60"/>
  <c r="C9" i="60"/>
  <c r="G18" i="60"/>
  <c r="G17" i="60"/>
  <c r="G16" i="60"/>
  <c r="G15" i="60"/>
  <c r="G14" i="60"/>
  <c r="G13" i="60"/>
  <c r="G12" i="60"/>
  <c r="G11" i="60"/>
  <c r="G10" i="60"/>
  <c r="G9" i="60"/>
  <c r="E18" i="60"/>
  <c r="E17" i="60"/>
  <c r="E16" i="60"/>
  <c r="E15" i="60"/>
  <c r="E14" i="60"/>
  <c r="E13" i="60"/>
  <c r="E12" i="60"/>
  <c r="E11" i="60"/>
  <c r="E10" i="60"/>
  <c r="C18" i="60"/>
  <c r="C17" i="60"/>
  <c r="C16" i="60"/>
  <c r="C15" i="60"/>
  <c r="C14" i="60"/>
  <c r="C13" i="60"/>
  <c r="C12" i="60"/>
  <c r="C11" i="60"/>
  <c r="C10" i="60"/>
  <c r="N298" i="57"/>
  <c r="N297" i="57"/>
  <c r="N296" i="57"/>
  <c r="N295" i="57"/>
  <c r="N294" i="57"/>
  <c r="N293" i="57"/>
  <c r="N292" i="57"/>
  <c r="N291" i="57"/>
  <c r="N290" i="57"/>
  <c r="N289" i="57"/>
  <c r="N288" i="57"/>
  <c r="N287" i="57"/>
  <c r="N286" i="57"/>
  <c r="N285" i="57"/>
  <c r="N284" i="57"/>
  <c r="N283" i="57"/>
  <c r="N282" i="57"/>
  <c r="N281" i="57"/>
  <c r="N280" i="57"/>
  <c r="N279" i="57"/>
  <c r="N278" i="57"/>
  <c r="N277" i="57"/>
  <c r="N276" i="57"/>
  <c r="N275"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5" i="57"/>
  <c r="N234" i="57"/>
  <c r="N233" i="57"/>
  <c r="N232" i="57"/>
  <c r="N231" i="57"/>
  <c r="N230"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90" i="57"/>
  <c r="N189" i="57"/>
  <c r="N188" i="57"/>
  <c r="N187" i="57"/>
  <c r="N186" i="57"/>
  <c r="N185" i="57"/>
  <c r="N184" i="57"/>
  <c r="N183" i="57"/>
  <c r="N182" i="57"/>
  <c r="N181" i="57"/>
  <c r="N180" i="57"/>
  <c r="N179" i="57"/>
  <c r="N178" i="57"/>
  <c r="N177" i="57"/>
  <c r="N176" i="57"/>
  <c r="N175" i="57"/>
  <c r="N174" i="57"/>
  <c r="N173" i="57"/>
  <c r="N172" i="57"/>
  <c r="N171" i="57"/>
  <c r="N170" i="57"/>
  <c r="N169" i="57"/>
  <c r="N168" i="57"/>
  <c r="N167" i="57"/>
  <c r="N166" i="57"/>
  <c r="N165" i="57"/>
  <c r="N164" i="57"/>
  <c r="N163" i="57"/>
  <c r="N162" i="57"/>
  <c r="N161" i="57"/>
  <c r="N160" i="57"/>
  <c r="N159" i="57"/>
  <c r="N158" i="57"/>
  <c r="N157" i="57"/>
  <c r="N156" i="57"/>
  <c r="N155" i="57"/>
  <c r="N154" i="57"/>
  <c r="N153" i="57"/>
  <c r="N152" i="57"/>
  <c r="N151" i="57"/>
  <c r="N150" i="57"/>
  <c r="N149" i="57"/>
  <c r="N148" i="57"/>
  <c r="N147" i="57"/>
  <c r="N146" i="57"/>
  <c r="N145" i="57"/>
  <c r="N144" i="57"/>
  <c r="N143" i="57"/>
  <c r="N142" i="57"/>
  <c r="N141" i="57"/>
  <c r="N140" i="57"/>
  <c r="N139" i="57"/>
  <c r="N138" i="57"/>
  <c r="N137" i="57"/>
  <c r="N136" i="57"/>
  <c r="N135" i="57"/>
  <c r="N134" i="57"/>
  <c r="N133" i="57"/>
  <c r="N132" i="57"/>
  <c r="N131" i="57"/>
  <c r="N130" i="57"/>
  <c r="N129" i="57"/>
  <c r="N128" i="57"/>
  <c r="N127" i="57"/>
  <c r="N126" i="57"/>
  <c r="N125" i="57"/>
  <c r="N124" i="57"/>
  <c r="N123" i="57"/>
  <c r="N122" i="57"/>
  <c r="N121" i="57"/>
  <c r="N120" i="57"/>
  <c r="N119" i="57"/>
  <c r="N118" i="57"/>
  <c r="N117" i="57"/>
  <c r="N116" i="57"/>
  <c r="N115" i="57"/>
  <c r="N114" i="57"/>
  <c r="N113" i="57"/>
  <c r="N112" i="57"/>
  <c r="N111" i="57"/>
  <c r="N110" i="57"/>
  <c r="N109" i="57"/>
  <c r="N108" i="57"/>
  <c r="N107" i="57"/>
  <c r="N106" i="57"/>
  <c r="N105" i="57"/>
  <c r="N104" i="57"/>
  <c r="N103" i="57"/>
  <c r="N102" i="57"/>
  <c r="N101" i="57"/>
  <c r="N100" i="57"/>
  <c r="N99" i="57"/>
  <c r="N98" i="57"/>
  <c r="N97" i="57"/>
  <c r="N96" i="57"/>
  <c r="N95" i="57"/>
  <c r="N94" i="57"/>
  <c r="N93" i="57"/>
  <c r="N92" i="57"/>
  <c r="N91" i="57"/>
  <c r="N90" i="57"/>
  <c r="N89" i="57"/>
  <c r="N88" i="57"/>
  <c r="N87" i="57"/>
  <c r="N86" i="57"/>
  <c r="N85" i="57"/>
  <c r="N84" i="57"/>
  <c r="N83" i="57"/>
  <c r="N82" i="57"/>
  <c r="N81" i="57"/>
  <c r="N80" i="57"/>
  <c r="N79" i="57"/>
  <c r="N78" i="57"/>
  <c r="N77" i="57"/>
  <c r="N76" i="57"/>
  <c r="N75" i="57"/>
  <c r="N74" i="57"/>
  <c r="N73" i="57"/>
  <c r="N72" i="57"/>
  <c r="N71" i="57"/>
  <c r="N70" i="57"/>
  <c r="N69" i="57"/>
  <c r="N68" i="57"/>
  <c r="N67" i="57"/>
  <c r="N66" i="57"/>
  <c r="N65" i="57"/>
  <c r="N64" i="57"/>
  <c r="N63" i="57"/>
  <c r="N62" i="57"/>
  <c r="N61" i="57"/>
  <c r="N60" i="57"/>
  <c r="N59" i="57"/>
  <c r="N58" i="57"/>
  <c r="N57" i="57"/>
  <c r="N56" i="57"/>
  <c r="N55" i="57"/>
  <c r="N54" i="57"/>
  <c r="N53" i="57"/>
  <c r="N52" i="57"/>
  <c r="N51" i="57"/>
  <c r="N50" i="57"/>
  <c r="N49" i="57"/>
  <c r="N48" i="57"/>
  <c r="N47" i="57"/>
  <c r="N46" i="57"/>
  <c r="N45" i="57"/>
  <c r="N44" i="57"/>
  <c r="N43" i="57"/>
  <c r="N42" i="57"/>
  <c r="N41" i="57"/>
  <c r="N40" i="57"/>
  <c r="N39" i="57"/>
  <c r="N38" i="57"/>
  <c r="N37" i="57"/>
  <c r="N36" i="57"/>
  <c r="N35" i="57"/>
  <c r="N34" i="57"/>
  <c r="N33" i="57"/>
  <c r="N32" i="57"/>
  <c r="N31" i="57"/>
  <c r="N30" i="57"/>
  <c r="N29" i="57"/>
  <c r="N28" i="57"/>
  <c r="N27" i="57"/>
  <c r="N26" i="57"/>
  <c r="N25" i="57"/>
  <c r="N24" i="57"/>
  <c r="N23" i="57"/>
  <c r="N22" i="57"/>
  <c r="N21" i="57"/>
  <c r="N20" i="57"/>
  <c r="N19" i="57"/>
  <c r="N18" i="57"/>
  <c r="N17" i="57"/>
  <c r="N16" i="57"/>
  <c r="N15" i="57"/>
  <c r="N14" i="57"/>
  <c r="N13" i="57"/>
  <c r="N12" i="57"/>
  <c r="N11" i="57"/>
  <c r="K298" i="57"/>
  <c r="K297" i="57"/>
  <c r="K296" i="57"/>
  <c r="K295" i="57"/>
  <c r="K294" i="57"/>
  <c r="K293" i="57"/>
  <c r="K292" i="57"/>
  <c r="K291" i="57"/>
  <c r="K290" i="57"/>
  <c r="K289" i="57"/>
  <c r="K288" i="57"/>
  <c r="K287" i="57"/>
  <c r="K286" i="57"/>
  <c r="K285" i="57"/>
  <c r="K284" i="57"/>
  <c r="K283" i="57"/>
  <c r="K282" i="57"/>
  <c r="K281" i="57"/>
  <c r="K280" i="57"/>
  <c r="K279" i="57"/>
  <c r="K278" i="57"/>
  <c r="K277" i="57"/>
  <c r="K276" i="57"/>
  <c r="K275" i="57"/>
  <c r="K274" i="57"/>
  <c r="K273" i="57"/>
  <c r="K272" i="57"/>
  <c r="K271" i="57"/>
  <c r="K270" i="57"/>
  <c r="K269" i="57"/>
  <c r="K268" i="57"/>
  <c r="K267" i="57"/>
  <c r="K266" i="57"/>
  <c r="K265" i="57"/>
  <c r="K264" i="57"/>
  <c r="K263" i="57"/>
  <c r="K262" i="57"/>
  <c r="K261" i="57"/>
  <c r="K260" i="57"/>
  <c r="K259" i="57"/>
  <c r="K258" i="57"/>
  <c r="K257" i="57"/>
  <c r="K256" i="57"/>
  <c r="K255" i="57"/>
  <c r="K254" i="57"/>
  <c r="K253" i="57"/>
  <c r="K252" i="57"/>
  <c r="K251" i="57"/>
  <c r="K250" i="57"/>
  <c r="K249" i="57"/>
  <c r="K248" i="57"/>
  <c r="K247" i="57"/>
  <c r="K246" i="57"/>
  <c r="K245" i="57"/>
  <c r="K244" i="57"/>
  <c r="K243" i="57"/>
  <c r="K242" i="57"/>
  <c r="K241" i="57"/>
  <c r="K240" i="57"/>
  <c r="K239" i="57"/>
  <c r="K238" i="57"/>
  <c r="K237" i="57"/>
  <c r="K236" i="57"/>
  <c r="K235" i="57"/>
  <c r="K234" i="57"/>
  <c r="K233" i="57"/>
  <c r="K232" i="57"/>
  <c r="K231" i="57"/>
  <c r="K230" i="57"/>
  <c r="K229" i="57"/>
  <c r="K228" i="57"/>
  <c r="K227" i="57"/>
  <c r="K226" i="57"/>
  <c r="K225" i="57"/>
  <c r="K224" i="57"/>
  <c r="K223" i="57"/>
  <c r="K222" i="57"/>
  <c r="K221" i="57"/>
  <c r="K220" i="57"/>
  <c r="K219" i="57"/>
  <c r="K218" i="57"/>
  <c r="K217" i="57"/>
  <c r="K216" i="57"/>
  <c r="K215" i="57"/>
  <c r="K214" i="57"/>
  <c r="K213" i="57"/>
  <c r="K212" i="57"/>
  <c r="K211" i="57"/>
  <c r="K210" i="57"/>
  <c r="K209" i="57"/>
  <c r="K208" i="57"/>
  <c r="K207" i="57"/>
  <c r="K206" i="57"/>
  <c r="K20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9" i="57"/>
  <c r="K168" i="57"/>
  <c r="K167" i="57"/>
  <c r="K166" i="57"/>
  <c r="K165" i="57"/>
  <c r="K164" i="57"/>
  <c r="K163" i="57"/>
  <c r="K162"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2" i="57"/>
  <c r="K31" i="57"/>
  <c r="K30" i="57"/>
  <c r="K29" i="57"/>
  <c r="K28" i="57"/>
  <c r="K27" i="57"/>
  <c r="K26" i="57"/>
  <c r="K25" i="57"/>
  <c r="K24" i="57"/>
  <c r="K23" i="57"/>
  <c r="K22" i="57"/>
  <c r="K21" i="57"/>
  <c r="K20" i="57"/>
  <c r="K19" i="57"/>
  <c r="K18" i="57"/>
  <c r="K17" i="57"/>
  <c r="K16" i="57"/>
  <c r="K15" i="57"/>
  <c r="K14" i="57"/>
  <c r="K13" i="57"/>
  <c r="K12" i="57"/>
  <c r="K11" i="57"/>
  <c r="D298" i="57"/>
  <c r="D297" i="57"/>
  <c r="D296" i="57"/>
  <c r="D295" i="57"/>
  <c r="D294" i="57"/>
  <c r="D293" i="57"/>
  <c r="D292" i="57"/>
  <c r="D291" i="57"/>
  <c r="D290" i="57"/>
  <c r="D289" i="57"/>
  <c r="D288" i="57"/>
  <c r="D287" i="57"/>
  <c r="D286" i="57"/>
  <c r="D285" i="57"/>
  <c r="D284" i="57"/>
  <c r="D283" i="57"/>
  <c r="D282" i="57"/>
  <c r="D281" i="57"/>
  <c r="D280" i="57"/>
  <c r="D279" i="57"/>
  <c r="D278" i="57"/>
  <c r="D277" i="57"/>
  <c r="D276" i="57"/>
  <c r="D275" i="57"/>
  <c r="D274" i="57"/>
  <c r="D273" i="57"/>
  <c r="D272" i="57"/>
  <c r="D271" i="57"/>
  <c r="D270" i="57"/>
  <c r="D269" i="57"/>
  <c r="D268" i="57"/>
  <c r="D267" i="57"/>
  <c r="D266" i="57"/>
  <c r="D265" i="57"/>
  <c r="D264" i="57"/>
  <c r="D263" i="57"/>
  <c r="D262" i="57"/>
  <c r="D261" i="57"/>
  <c r="D260" i="57"/>
  <c r="D259" i="57"/>
  <c r="D258" i="57"/>
  <c r="D257" i="57"/>
  <c r="D256" i="57"/>
  <c r="D255" i="57"/>
  <c r="D254" i="57"/>
  <c r="D253" i="57"/>
  <c r="D252" i="57"/>
  <c r="D251" i="57"/>
  <c r="D250" i="57"/>
  <c r="D249" i="57"/>
  <c r="D248" i="57"/>
  <c r="D247" i="57"/>
  <c r="D246" i="57"/>
  <c r="D245" i="57"/>
  <c r="D244" i="57"/>
  <c r="D243" i="57"/>
  <c r="D242" i="57"/>
  <c r="D241" i="57"/>
  <c r="D240" i="57"/>
  <c r="D239" i="57"/>
  <c r="D238" i="57"/>
  <c r="D237" i="57"/>
  <c r="D236" i="57"/>
  <c r="D235" i="57"/>
  <c r="D234" i="57"/>
  <c r="D233" i="57"/>
  <c r="D232" i="57"/>
  <c r="D231" i="57"/>
  <c r="D230" i="57"/>
  <c r="D229" i="57"/>
  <c r="D228" i="57"/>
  <c r="D227" i="57"/>
  <c r="D226" i="57"/>
  <c r="D225" i="57"/>
  <c r="D224" i="57"/>
  <c r="D223" i="57"/>
  <c r="D222" i="57"/>
  <c r="D221" i="57"/>
  <c r="D220" i="57"/>
  <c r="D219" i="57"/>
  <c r="D218" i="57"/>
  <c r="D217" i="57"/>
  <c r="D216" i="57"/>
  <c r="D215" i="57"/>
  <c r="D214" i="57"/>
  <c r="D213" i="57"/>
  <c r="D212" i="57"/>
  <c r="D211" i="57"/>
  <c r="D210" i="57"/>
  <c r="D209" i="57"/>
  <c r="D208" i="57"/>
  <c r="D207" i="57"/>
  <c r="D206" i="57"/>
  <c r="D205" i="57"/>
  <c r="D204" i="57"/>
  <c r="D203" i="57"/>
  <c r="D202" i="57"/>
  <c r="D201" i="57"/>
  <c r="D200" i="57"/>
  <c r="D199" i="57"/>
  <c r="D198" i="57"/>
  <c r="D197" i="57"/>
  <c r="D196" i="57"/>
  <c r="D195" i="57"/>
  <c r="D194" i="57"/>
  <c r="D193" i="57"/>
  <c r="D192" i="57"/>
  <c r="D191" i="57"/>
  <c r="D190" i="57"/>
  <c r="D189" i="57"/>
  <c r="D188" i="57"/>
  <c r="D187" i="57"/>
  <c r="D186" i="57"/>
  <c r="D185" i="57"/>
  <c r="D184" i="57"/>
  <c r="D183" i="57"/>
  <c r="D182" i="57"/>
  <c r="D181" i="57"/>
  <c r="D180" i="57"/>
  <c r="D179" i="57"/>
  <c r="D178" i="57"/>
  <c r="D177" i="57"/>
  <c r="D176" i="57"/>
  <c r="D175" i="57"/>
  <c r="D174" i="57"/>
  <c r="D173" i="57"/>
  <c r="D172" i="57"/>
  <c r="D171" i="57"/>
  <c r="D170" i="57"/>
  <c r="D169" i="57"/>
  <c r="D168" i="57"/>
  <c r="D167" i="57"/>
  <c r="D166" i="57"/>
  <c r="D165" i="57"/>
  <c r="D164" i="57"/>
  <c r="D163" i="57"/>
  <c r="D162" i="57"/>
  <c r="D161" i="57"/>
  <c r="D160" i="57"/>
  <c r="D159" i="57"/>
  <c r="D158" i="57"/>
  <c r="D157" i="57"/>
  <c r="D156" i="57"/>
  <c r="D155" i="57"/>
  <c r="D154" i="57"/>
  <c r="D153" i="57"/>
  <c r="D152" i="57"/>
  <c r="D151" i="57"/>
  <c r="D150" i="57"/>
  <c r="D149" i="57"/>
  <c r="D148" i="57"/>
  <c r="D147" i="57"/>
  <c r="D146" i="57"/>
  <c r="D145" i="57"/>
  <c r="D144" i="57"/>
  <c r="D143" i="57"/>
  <c r="D142" i="57"/>
  <c r="D141" i="57"/>
  <c r="D140" i="57"/>
  <c r="D139" i="57"/>
  <c r="D138" i="57"/>
  <c r="D137" i="57"/>
  <c r="D136" i="57"/>
  <c r="D135" i="57"/>
  <c r="D134" i="57"/>
  <c r="D133" i="57"/>
  <c r="D132" i="57"/>
  <c r="D131" i="57"/>
  <c r="D130" i="57"/>
  <c r="D129" i="57"/>
  <c r="D128" i="57"/>
  <c r="D127" i="57"/>
  <c r="D126" i="57"/>
  <c r="D125" i="57"/>
  <c r="D124" i="57"/>
  <c r="D123" i="57"/>
  <c r="D122" i="57"/>
  <c r="D121" i="57"/>
  <c r="D120" i="57"/>
  <c r="D119" i="57"/>
  <c r="D118" i="57"/>
  <c r="D117" i="57"/>
  <c r="D116" i="57"/>
  <c r="D115" i="57"/>
  <c r="D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D89" i="57"/>
  <c r="D88" i="57"/>
  <c r="D87" i="57"/>
  <c r="D86" i="57"/>
  <c r="D85" i="57"/>
  <c r="D84" i="57"/>
  <c r="D83" i="57"/>
  <c r="D82" i="57"/>
  <c r="D81" i="57"/>
  <c r="D80" i="57"/>
  <c r="D79" i="57"/>
  <c r="D78" i="57"/>
  <c r="D77" i="57"/>
  <c r="D76" i="57"/>
  <c r="D75" i="57"/>
  <c r="D74" i="57"/>
  <c r="D73" i="57"/>
  <c r="D72" i="57"/>
  <c r="D71" i="57"/>
  <c r="D70" i="57"/>
  <c r="D69" i="57"/>
  <c r="D68" i="57"/>
  <c r="D67" i="57"/>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5" i="57"/>
  <c r="D34" i="57"/>
  <c r="D33" i="57"/>
  <c r="D32" i="57"/>
  <c r="D31" i="57"/>
  <c r="D30" i="57"/>
  <c r="D29" i="57"/>
  <c r="D28" i="57"/>
  <c r="D27" i="57"/>
  <c r="D26" i="57"/>
  <c r="D25" i="57"/>
  <c r="D24" i="57"/>
  <c r="D23" i="57"/>
  <c r="D22" i="57"/>
  <c r="D21" i="57"/>
  <c r="D20" i="57"/>
  <c r="D19" i="57"/>
  <c r="D18" i="57"/>
  <c r="D17" i="57"/>
  <c r="D16" i="57"/>
  <c r="D15" i="57"/>
  <c r="D14" i="57"/>
  <c r="D13" i="57"/>
  <c r="D12" i="57"/>
  <c r="D11" i="57"/>
  <c r="C298" i="57"/>
  <c r="C297" i="57"/>
  <c r="C296" i="57"/>
  <c r="C295" i="57"/>
  <c r="C294" i="57"/>
  <c r="C293" i="57"/>
  <c r="C292" i="57"/>
  <c r="C291" i="57"/>
  <c r="C290" i="57"/>
  <c r="C289" i="57"/>
  <c r="C288" i="57"/>
  <c r="C287" i="57"/>
  <c r="C286" i="57"/>
  <c r="C285" i="57"/>
  <c r="C284" i="57"/>
  <c r="C283" i="57"/>
  <c r="C282" i="57"/>
  <c r="C281" i="57"/>
  <c r="C280" i="57"/>
  <c r="C279" i="57"/>
  <c r="C278" i="57"/>
  <c r="C277" i="57"/>
  <c r="C276" i="57"/>
  <c r="C275" i="57"/>
  <c r="C274" i="57"/>
  <c r="C273" i="57"/>
  <c r="C272" i="57"/>
  <c r="C271" i="57"/>
  <c r="C270" i="57"/>
  <c r="C269" i="57"/>
  <c r="C268" i="57"/>
  <c r="C267" i="57"/>
  <c r="C266" i="57"/>
  <c r="C265" i="57"/>
  <c r="C264" i="57"/>
  <c r="C263" i="57"/>
  <c r="C262" i="57"/>
  <c r="C261" i="57"/>
  <c r="C260" i="57"/>
  <c r="C259" i="57"/>
  <c r="C258" i="57"/>
  <c r="C257" i="57"/>
  <c r="C256" i="57"/>
  <c r="C255" i="57"/>
  <c r="C254" i="57"/>
  <c r="C253" i="57"/>
  <c r="C252" i="57"/>
  <c r="C251" i="57"/>
  <c r="C250" i="57"/>
  <c r="C249" i="57"/>
  <c r="C248" i="57"/>
  <c r="C247" i="57"/>
  <c r="C246" i="57"/>
  <c r="C245" i="57"/>
  <c r="C244" i="57"/>
  <c r="C243" i="57"/>
  <c r="C242" i="57"/>
  <c r="C241" i="57"/>
  <c r="C240" i="57"/>
  <c r="C239" i="57"/>
  <c r="C238" i="57"/>
  <c r="C237" i="57"/>
  <c r="C236" i="57"/>
  <c r="C235" i="57"/>
  <c r="C234" i="57"/>
  <c r="C233" i="57"/>
  <c r="C232" i="57"/>
  <c r="C231" i="57"/>
  <c r="C230" i="57"/>
  <c r="C229" i="57"/>
  <c r="C228" i="57"/>
  <c r="C227" i="57"/>
  <c r="C226" i="57"/>
  <c r="C225" i="57"/>
  <c r="C224" i="57"/>
  <c r="C223" i="57"/>
  <c r="C222" i="57"/>
  <c r="C221" i="57"/>
  <c r="C220" i="57"/>
  <c r="C219" i="57"/>
  <c r="C218" i="57"/>
  <c r="C217" i="57"/>
  <c r="C216" i="57"/>
  <c r="C215" i="57"/>
  <c r="C214" i="57"/>
  <c r="C213" i="57"/>
  <c r="C212" i="57"/>
  <c r="C211" i="57"/>
  <c r="C210" i="57"/>
  <c r="C209" i="57"/>
  <c r="C208" i="57"/>
  <c r="C207" i="57"/>
  <c r="C206" i="57"/>
  <c r="C205" i="57"/>
  <c r="C204" i="57"/>
  <c r="C203" i="57"/>
  <c r="C202" i="57"/>
  <c r="C201" i="57"/>
  <c r="C200" i="57"/>
  <c r="C199" i="57"/>
  <c r="C198" i="57"/>
  <c r="C197" i="57"/>
  <c r="C196" i="57"/>
  <c r="C195" i="57"/>
  <c r="C194" i="57"/>
  <c r="C193" i="57"/>
  <c r="C192" i="57"/>
  <c r="C191" i="57"/>
  <c r="C190" i="57"/>
  <c r="C189" i="57"/>
  <c r="C188" i="57"/>
  <c r="C187" i="57"/>
  <c r="C186" i="57"/>
  <c r="C185" i="57"/>
  <c r="C184" i="57"/>
  <c r="C183" i="57"/>
  <c r="C182" i="57"/>
  <c r="C181" i="57"/>
  <c r="C180" i="57"/>
  <c r="C179" i="57"/>
  <c r="C178" i="57"/>
  <c r="C177" i="57"/>
  <c r="C176" i="57"/>
  <c r="C175" i="57"/>
  <c r="C174" i="57"/>
  <c r="C173" i="57"/>
  <c r="C172" i="57"/>
  <c r="C171" i="57"/>
  <c r="C170" i="57"/>
  <c r="C169" i="57"/>
  <c r="C168" i="57"/>
  <c r="C167" i="57"/>
  <c r="C166" i="57"/>
  <c r="C165" i="57"/>
  <c r="C164" i="57"/>
  <c r="C163" i="57"/>
  <c r="C162" i="57"/>
  <c r="C161" i="57"/>
  <c r="C160" i="57"/>
  <c r="C159" i="57"/>
  <c r="C158" i="57"/>
  <c r="C157" i="57"/>
  <c r="C156" i="57"/>
  <c r="C155" i="57"/>
  <c r="C154" i="57"/>
  <c r="C153" i="57"/>
  <c r="C152" i="57"/>
  <c r="C151" i="57"/>
  <c r="C150" i="57"/>
  <c r="C149" i="57"/>
  <c r="C148" i="57"/>
  <c r="C147" i="57"/>
  <c r="C146" i="57"/>
  <c r="C145" i="57"/>
  <c r="C144" i="57"/>
  <c r="C143" i="57"/>
  <c r="C142" i="57"/>
  <c r="C141" i="57"/>
  <c r="C140" i="57"/>
  <c r="C139" i="57"/>
  <c r="C138" i="57"/>
  <c r="C137" i="57"/>
  <c r="C136" i="57"/>
  <c r="C135" i="57"/>
  <c r="C134" i="57"/>
  <c r="C133" i="57"/>
  <c r="C132" i="57"/>
  <c r="C131" i="57"/>
  <c r="C130" i="57"/>
  <c r="C129" i="57"/>
  <c r="C128" i="57"/>
  <c r="C127" i="57"/>
  <c r="C126" i="57"/>
  <c r="C125" i="57"/>
  <c r="C124" i="57"/>
  <c r="C123" i="57"/>
  <c r="C122" i="57"/>
  <c r="C121" i="57"/>
  <c r="C120" i="57"/>
  <c r="C119" i="57"/>
  <c r="C118" i="57"/>
  <c r="C117" i="57"/>
  <c r="C116" i="57"/>
  <c r="C115" i="57"/>
  <c r="C114" i="57"/>
  <c r="C113"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C76" i="57"/>
  <c r="C75" i="57"/>
  <c r="C74" i="57"/>
  <c r="C73" i="57"/>
  <c r="C72" i="57"/>
  <c r="C71" i="57"/>
  <c r="C70" i="57"/>
  <c r="C69" i="57"/>
  <c r="C68" i="57"/>
  <c r="C67" i="57"/>
  <c r="C66" i="57"/>
  <c r="C65" i="57"/>
  <c r="C64" i="57"/>
  <c r="C63" i="57"/>
  <c r="C62" i="57"/>
  <c r="C61" i="57"/>
  <c r="C60" i="57"/>
  <c r="C59" i="57"/>
  <c r="C58" i="57"/>
  <c r="C57" i="57"/>
  <c r="C56" i="57"/>
  <c r="C55" i="57"/>
  <c r="C54" i="57"/>
  <c r="C53" i="57"/>
  <c r="C52" i="57"/>
  <c r="C51" i="57"/>
  <c r="C50" i="57"/>
  <c r="C49" i="57"/>
  <c r="C48" i="57"/>
  <c r="C47" i="57"/>
  <c r="C46" i="57"/>
  <c r="C45" i="57"/>
  <c r="C44" i="57"/>
  <c r="C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C12" i="57"/>
  <c r="C11" i="57"/>
  <c r="C10" i="57"/>
  <c r="Q10" i="57"/>
  <c r="P10" i="57"/>
  <c r="O10" i="57"/>
  <c r="K10" i="57"/>
  <c r="M10" i="57"/>
  <c r="Q283" i="57"/>
  <c r="Q298" i="57"/>
  <c r="D16" i="60" l="1"/>
  <c r="J9" i="60"/>
  <c r="J17" i="60"/>
  <c r="D17" i="60"/>
  <c r="J14" i="60"/>
  <c r="D14" i="60"/>
  <c r="D9" i="60"/>
  <c r="J15" i="60"/>
  <c r="D15" i="60"/>
  <c r="J12" i="60"/>
  <c r="D11" i="60"/>
  <c r="E19" i="60"/>
  <c r="F15" i="60" s="1"/>
  <c r="C19" i="60"/>
  <c r="D12" i="60" s="1"/>
  <c r="K19" i="60"/>
  <c r="L15" i="60" s="1"/>
  <c r="I19" i="60"/>
  <c r="J13" i="60" s="1"/>
  <c r="G19" i="60"/>
  <c r="H16" i="60" s="1"/>
  <c r="N10" i="57"/>
  <c r="M9" i="60" l="1"/>
  <c r="L14" i="60"/>
  <c r="F9" i="60"/>
  <c r="F10" i="60"/>
  <c r="L9" i="60"/>
  <c r="H15" i="60"/>
  <c r="M15" i="60" s="1"/>
  <c r="D18" i="60"/>
  <c r="L16" i="60"/>
  <c r="J10" i="60"/>
  <c r="F12" i="60"/>
  <c r="M12" i="60" s="1"/>
  <c r="L11" i="60"/>
  <c r="H17" i="60"/>
  <c r="F11" i="60"/>
  <c r="M11" i="60" s="1"/>
  <c r="L10" i="60"/>
  <c r="H12" i="60"/>
  <c r="H11" i="60"/>
  <c r="L12" i="60"/>
  <c r="H18" i="60"/>
  <c r="H13" i="60"/>
  <c r="J16" i="60"/>
  <c r="J19" i="60" s="1"/>
  <c r="F18" i="60"/>
  <c r="L17" i="60"/>
  <c r="J11" i="60"/>
  <c r="F17" i="60"/>
  <c r="M17" i="60" s="1"/>
  <c r="D10" i="60"/>
  <c r="J18" i="60"/>
  <c r="H10" i="60"/>
  <c r="D13" i="60"/>
  <c r="M13" i="60" s="1"/>
  <c r="H9" i="60"/>
  <c r="L18" i="60"/>
  <c r="F14" i="60"/>
  <c r="M14" i="60" s="1"/>
  <c r="L13" i="60"/>
  <c r="F13" i="60"/>
  <c r="H14" i="60"/>
  <c r="F16" i="60"/>
  <c r="M16" i="60" s="1"/>
  <c r="F19" i="60" l="1"/>
  <c r="M18" i="60"/>
  <c r="L19" i="60"/>
  <c r="D19" i="60"/>
  <c r="H19" i="60"/>
  <c r="M10" i="60"/>
  <c r="M19" i="60" l="1"/>
  <c r="P243" i="57" l="1"/>
  <c r="P282" i="57"/>
  <c r="P271" i="57"/>
  <c r="P253" i="57"/>
  <c r="P246" i="57"/>
  <c r="P270" i="57"/>
  <c r="P266" i="57"/>
  <c r="O254" i="57" l="1"/>
  <c r="O246" i="57"/>
  <c r="S581" i="76"/>
  <c r="O247" i="57"/>
  <c r="O244" i="57"/>
  <c r="O243" i="57" s="1"/>
  <c r="N97" i="43"/>
  <c r="M233" i="57" l="1"/>
  <c r="F45" i="57"/>
  <c r="F10" i="57" s="1"/>
  <c r="R10" i="59"/>
  <c r="C193" i="59"/>
  <c r="L1" i="50"/>
  <c r="C192" i="59"/>
  <c r="C191" i="59"/>
  <c r="K253" i="50"/>
  <c r="K252" i="50"/>
  <c r="K1" i="50"/>
  <c r="I10" i="57"/>
  <c r="H10" i="57"/>
  <c r="Q10" i="59"/>
  <c r="P10" i="59"/>
  <c r="O10" i="59"/>
  <c r="N10" i="59"/>
  <c r="M10" i="59"/>
  <c r="L10" i="59"/>
  <c r="K10" i="59"/>
  <c r="J10" i="59"/>
  <c r="I10" i="59"/>
  <c r="H10" i="59"/>
  <c r="G10" i="59"/>
  <c r="F10" i="59"/>
  <c r="E10" i="59"/>
  <c r="D10" i="59"/>
  <c r="C190" i="59"/>
  <c r="C189" i="59"/>
  <c r="C188" i="59"/>
  <c r="C187" i="59"/>
  <c r="C186" i="59"/>
  <c r="C185" i="59"/>
  <c r="C184" i="59"/>
  <c r="C183" i="59"/>
  <c r="C182" i="59"/>
  <c r="C181" i="59"/>
  <c r="C180" i="59"/>
  <c r="C179" i="59"/>
  <c r="C178" i="59"/>
  <c r="C177" i="59"/>
  <c r="C176" i="59"/>
  <c r="C175" i="59"/>
  <c r="C174" i="59"/>
  <c r="C173" i="59"/>
  <c r="C172" i="59"/>
  <c r="C171" i="59"/>
  <c r="C170" i="59"/>
  <c r="C169" i="59"/>
  <c r="C168" i="59"/>
  <c r="C167" i="59"/>
  <c r="C166" i="59"/>
  <c r="C165" i="59"/>
  <c r="C164" i="59"/>
  <c r="C163" i="59"/>
  <c r="C162" i="59"/>
  <c r="C161" i="59"/>
  <c r="C160" i="59"/>
  <c r="C159" i="59"/>
  <c r="C158" i="59"/>
  <c r="C157" i="59"/>
  <c r="C156" i="59"/>
  <c r="C155" i="59"/>
  <c r="C154" i="59"/>
  <c r="C153" i="59"/>
  <c r="C152" i="59"/>
  <c r="C151" i="59"/>
  <c r="C150" i="59"/>
  <c r="C149" i="59"/>
  <c r="C148" i="59"/>
  <c r="C147" i="59"/>
  <c r="C146" i="59"/>
  <c r="C145" i="59"/>
  <c r="C144" i="59"/>
  <c r="C143" i="59"/>
  <c r="C142" i="59"/>
  <c r="C141" i="59"/>
  <c r="C140" i="59"/>
  <c r="C139" i="59"/>
  <c r="C138" i="59"/>
  <c r="C137" i="59"/>
  <c r="C136" i="59"/>
  <c r="C135" i="59"/>
  <c r="C134" i="59"/>
  <c r="C133" i="59"/>
  <c r="C132" i="59"/>
  <c r="C131" i="59"/>
  <c r="C130" i="59"/>
  <c r="C129" i="59"/>
  <c r="C128" i="59"/>
  <c r="C127" i="59"/>
  <c r="C126" i="59"/>
  <c r="C125" i="59"/>
  <c r="C124" i="59"/>
  <c r="C123" i="59"/>
  <c r="C122" i="59"/>
  <c r="C121" i="59"/>
  <c r="C120" i="59"/>
  <c r="C119" i="59"/>
  <c r="C118" i="59"/>
  <c r="C117" i="59"/>
  <c r="C116" i="59"/>
  <c r="C115" i="59"/>
  <c r="C114" i="59"/>
  <c r="C113" i="59"/>
  <c r="C112" i="59"/>
  <c r="C111" i="59"/>
  <c r="C110" i="59"/>
  <c r="C109" i="59"/>
  <c r="C108" i="59"/>
  <c r="C107" i="59"/>
  <c r="C106" i="59"/>
  <c r="C105" i="59"/>
  <c r="C104" i="59"/>
  <c r="C103" i="59"/>
  <c r="C102" i="59"/>
  <c r="C101" i="59"/>
  <c r="C100" i="59"/>
  <c r="C99" i="59"/>
  <c r="C98" i="59"/>
  <c r="C97" i="59"/>
  <c r="C96" i="59"/>
  <c r="C95" i="59"/>
  <c r="C94" i="59"/>
  <c r="C93" i="59"/>
  <c r="C92" i="59"/>
  <c r="C91" i="59"/>
  <c r="C90" i="59"/>
  <c r="C89" i="59"/>
  <c r="C88" i="59"/>
  <c r="C87" i="59"/>
  <c r="C86" i="59"/>
  <c r="C85" i="59"/>
  <c r="C84" i="59"/>
  <c r="C83" i="59"/>
  <c r="C82" i="59"/>
  <c r="C81" i="59"/>
  <c r="C80" i="59"/>
  <c r="C79" i="59"/>
  <c r="C78" i="59"/>
  <c r="C77" i="59"/>
  <c r="C76" i="59"/>
  <c r="C75" i="59"/>
  <c r="C74" i="59"/>
  <c r="C73" i="59"/>
  <c r="C72" i="59"/>
  <c r="C71" i="59"/>
  <c r="C70" i="59"/>
  <c r="C69" i="59"/>
  <c r="C68" i="59"/>
  <c r="C67" i="59"/>
  <c r="C66" i="59"/>
  <c r="C65" i="59"/>
  <c r="C64" i="59"/>
  <c r="C63" i="59"/>
  <c r="C62" i="59"/>
  <c r="C61" i="59"/>
  <c r="C60" i="59"/>
  <c r="C59" i="59"/>
  <c r="C58" i="59"/>
  <c r="C57" i="59"/>
  <c r="C56" i="59"/>
  <c r="C55" i="59"/>
  <c r="C54" i="59"/>
  <c r="C53" i="59"/>
  <c r="C52" i="59"/>
  <c r="C51" i="59"/>
  <c r="C50" i="59"/>
  <c r="C49" i="59"/>
  <c r="C48" i="59"/>
  <c r="C47" i="59"/>
  <c r="C46" i="59"/>
  <c r="C45" i="59"/>
  <c r="C44" i="59"/>
  <c r="C43" i="59"/>
  <c r="C42" i="59"/>
  <c r="C41" i="59"/>
  <c r="C40" i="59"/>
  <c r="C39" i="59"/>
  <c r="C38" i="59"/>
  <c r="C37" i="59"/>
  <c r="C36" i="59"/>
  <c r="C35" i="59"/>
  <c r="C34" i="59"/>
  <c r="C33" i="59"/>
  <c r="C32" i="59"/>
  <c r="C31" i="59"/>
  <c r="C30" i="59"/>
  <c r="C29" i="59"/>
  <c r="C28" i="59"/>
  <c r="C27" i="59"/>
  <c r="C26" i="59"/>
  <c r="C25" i="59"/>
  <c r="C24" i="59"/>
  <c r="C23" i="59"/>
  <c r="C22" i="59"/>
  <c r="C21" i="59"/>
  <c r="C20" i="59"/>
  <c r="C19" i="59"/>
  <c r="C18" i="59"/>
  <c r="C17" i="59"/>
  <c r="C12" i="59"/>
  <c r="E11" i="57"/>
  <c r="E10" i="57" s="1"/>
  <c r="S637" i="76"/>
  <c r="S636" i="76" s="1"/>
  <c r="S634" i="76" s="1"/>
  <c r="S632" i="76" s="1"/>
  <c r="S631" i="76" s="1"/>
  <c r="O637" i="76"/>
  <c r="O636" i="76" s="1"/>
  <c r="K637" i="76"/>
  <c r="K636" i="76" s="1"/>
  <c r="K634" i="76" s="1"/>
  <c r="K632" i="76" s="1"/>
  <c r="K631" i="76" s="1"/>
  <c r="W636" i="76"/>
  <c r="V636" i="76"/>
  <c r="V634" i="76" s="1"/>
  <c r="V632" i="76" s="1"/>
  <c r="V631" i="76" s="1"/>
  <c r="U636" i="76"/>
  <c r="T636" i="76"/>
  <c r="T634" i="76" s="1"/>
  <c r="R636" i="76"/>
  <c r="R634" i="76" s="1"/>
  <c r="R632" i="76" s="1"/>
  <c r="R631" i="76" s="1"/>
  <c r="Q636" i="76"/>
  <c r="P636" i="76"/>
  <c r="P634" i="76" s="1"/>
  <c r="N636" i="76"/>
  <c r="N634" i="76" s="1"/>
  <c r="N632" i="76" s="1"/>
  <c r="N631" i="76" s="1"/>
  <c r="M636" i="76"/>
  <c r="L636" i="76"/>
  <c r="L634" i="76" s="1"/>
  <c r="J636" i="76"/>
  <c r="J634" i="76" s="1"/>
  <c r="J632" i="76" s="1"/>
  <c r="J631" i="76" s="1"/>
  <c r="I636" i="76"/>
  <c r="H636" i="76"/>
  <c r="H634" i="76" s="1"/>
  <c r="G636" i="76"/>
  <c r="W634" i="76"/>
  <c r="W632" i="76" s="1"/>
  <c r="W631" i="76" s="1"/>
  <c r="U634" i="76"/>
  <c r="U632" i="76" s="1"/>
  <c r="Q634" i="76"/>
  <c r="Q632" i="76" s="1"/>
  <c r="Q631" i="76" s="1"/>
  <c r="O634" i="76"/>
  <c r="O632" i="76" s="1"/>
  <c r="O631" i="76" s="1"/>
  <c r="M634" i="76"/>
  <c r="M632" i="76" s="1"/>
  <c r="I634" i="76"/>
  <c r="I632" i="76" s="1"/>
  <c r="I631" i="76" s="1"/>
  <c r="G634" i="76"/>
  <c r="G632" i="76" s="1"/>
  <c r="G631" i="76" s="1"/>
  <c r="T632" i="76"/>
  <c r="T631" i="76" s="1"/>
  <c r="P632" i="76"/>
  <c r="P631" i="76" s="1"/>
  <c r="L632" i="76"/>
  <c r="L631" i="76" s="1"/>
  <c r="H632" i="76"/>
  <c r="H631" i="76" s="1"/>
  <c r="U631" i="76"/>
  <c r="M631" i="76"/>
  <c r="S629" i="76"/>
  <c r="R629" i="76"/>
  <c r="R627" i="76" s="1"/>
  <c r="N629" i="76"/>
  <c r="S628" i="76"/>
  <c r="R628" i="76"/>
  <c r="N628" i="76"/>
  <c r="N627" i="76" s="1"/>
  <c r="W627" i="76"/>
  <c r="V627" i="76"/>
  <c r="U627" i="76"/>
  <c r="T627" i="76"/>
  <c r="S627" i="76"/>
  <c r="Q627" i="76"/>
  <c r="P627" i="76"/>
  <c r="O627" i="76"/>
  <c r="M627" i="76"/>
  <c r="L627" i="76"/>
  <c r="K627" i="76"/>
  <c r="J627" i="76"/>
  <c r="I627" i="76"/>
  <c r="H627" i="76"/>
  <c r="G627" i="76"/>
  <c r="S625" i="76"/>
  <c r="O625" i="76"/>
  <c r="K625" i="76"/>
  <c r="K624" i="76" s="1"/>
  <c r="W624" i="76"/>
  <c r="V624" i="76"/>
  <c r="U624" i="76"/>
  <c r="T624" i="76"/>
  <c r="S624" i="76"/>
  <c r="R624" i="76"/>
  <c r="Q624" i="76"/>
  <c r="P624" i="76"/>
  <c r="O624" i="76"/>
  <c r="N624" i="76"/>
  <c r="M624" i="76"/>
  <c r="L624" i="76"/>
  <c r="J624" i="76"/>
  <c r="I624" i="76"/>
  <c r="H624" i="76"/>
  <c r="G624" i="76"/>
  <c r="S623" i="76"/>
  <c r="O623" i="76"/>
  <c r="K623" i="76"/>
  <c r="S622" i="76"/>
  <c r="P622" i="76"/>
  <c r="O622" i="76" s="1"/>
  <c r="L622" i="76"/>
  <c r="K622" i="76" s="1"/>
  <c r="S621" i="76"/>
  <c r="S620" i="76" s="1"/>
  <c r="S619" i="76" s="1"/>
  <c r="S617" i="76" s="1"/>
  <c r="P621" i="76"/>
  <c r="O621" i="76"/>
  <c r="O620" i="76" s="1"/>
  <c r="L621" i="76"/>
  <c r="K621" i="76" s="1"/>
  <c r="W620" i="76"/>
  <c r="V620" i="76"/>
  <c r="U620" i="76"/>
  <c r="T620" i="76"/>
  <c r="T619" i="76" s="1"/>
  <c r="R620" i="76"/>
  <c r="Q620" i="76"/>
  <c r="P620" i="76"/>
  <c r="P619" i="76" s="1"/>
  <c r="N620" i="76"/>
  <c r="M620" i="76"/>
  <c r="L620" i="76"/>
  <c r="L619" i="76" s="1"/>
  <c r="J620" i="76"/>
  <c r="I620" i="76"/>
  <c r="H620" i="76"/>
  <c r="H619" i="76" s="1"/>
  <c r="G620" i="76"/>
  <c r="W619" i="76"/>
  <c r="W617" i="76" s="1"/>
  <c r="V619" i="76"/>
  <c r="U619" i="76"/>
  <c r="U617" i="76" s="1"/>
  <c r="R619" i="76"/>
  <c r="R617" i="76" s="1"/>
  <c r="Q619" i="76"/>
  <c r="Q617" i="76" s="1"/>
  <c r="O619" i="76"/>
  <c r="O617" i="76" s="1"/>
  <c r="N619" i="76"/>
  <c r="M619" i="76"/>
  <c r="M617" i="76" s="1"/>
  <c r="J619" i="76"/>
  <c r="J617" i="76" s="1"/>
  <c r="I619" i="76"/>
  <c r="I617" i="76" s="1"/>
  <c r="G619" i="76"/>
  <c r="G617" i="76" s="1"/>
  <c r="V617" i="76"/>
  <c r="T617" i="76"/>
  <c r="P617" i="76"/>
  <c r="N617" i="76"/>
  <c r="L617" i="76"/>
  <c r="H617" i="76"/>
  <c r="S616" i="76"/>
  <c r="S615" i="76" s="1"/>
  <c r="S613" i="76" s="1"/>
  <c r="S611" i="76" s="1"/>
  <c r="O616" i="76"/>
  <c r="K616" i="76"/>
  <c r="K615" i="76" s="1"/>
  <c r="K613" i="76" s="1"/>
  <c r="K611" i="76" s="1"/>
  <c r="W615" i="76"/>
  <c r="V615" i="76"/>
  <c r="V613" i="76" s="1"/>
  <c r="V611" i="76" s="1"/>
  <c r="U615" i="76"/>
  <c r="T615" i="76"/>
  <c r="R615" i="76"/>
  <c r="R613" i="76" s="1"/>
  <c r="Q615" i="76"/>
  <c r="P615" i="76"/>
  <c r="P613" i="76" s="1"/>
  <c r="P611" i="76" s="1"/>
  <c r="O615" i="76"/>
  <c r="N615" i="76"/>
  <c r="N613" i="76" s="1"/>
  <c r="N611" i="76" s="1"/>
  <c r="M615" i="76"/>
  <c r="L615" i="76"/>
  <c r="J615" i="76"/>
  <c r="J613" i="76" s="1"/>
  <c r="I615" i="76"/>
  <c r="H615" i="76"/>
  <c r="H613" i="76" s="1"/>
  <c r="H611" i="76" s="1"/>
  <c r="G615" i="76"/>
  <c r="W613" i="76"/>
  <c r="W611" i="76" s="1"/>
  <c r="U613" i="76"/>
  <c r="T613" i="76"/>
  <c r="T611" i="76" s="1"/>
  <c r="Q613" i="76"/>
  <c r="Q611" i="76" s="1"/>
  <c r="O613" i="76"/>
  <c r="O611" i="76" s="1"/>
  <c r="M613" i="76"/>
  <c r="L613" i="76"/>
  <c r="L611" i="76" s="1"/>
  <c r="I613" i="76"/>
  <c r="I611" i="76" s="1"/>
  <c r="G613" i="76"/>
  <c r="G611" i="76" s="1"/>
  <c r="U611" i="76"/>
  <c r="R611" i="76"/>
  <c r="M611" i="76"/>
  <c r="J611" i="76"/>
  <c r="S609" i="76"/>
  <c r="S608" i="76" s="1"/>
  <c r="O609" i="76"/>
  <c r="O608" i="76" s="1"/>
  <c r="K609" i="76"/>
  <c r="K608" i="76" s="1"/>
  <c r="W608" i="76"/>
  <c r="V608" i="76"/>
  <c r="U608" i="76"/>
  <c r="U607" i="76" s="1"/>
  <c r="U605" i="76" s="1"/>
  <c r="T608" i="76"/>
  <c r="T607" i="76" s="1"/>
  <c r="T605" i="76" s="1"/>
  <c r="R608" i="76"/>
  <c r="Q608" i="76"/>
  <c r="P608" i="76"/>
  <c r="P607" i="76" s="1"/>
  <c r="N608" i="76"/>
  <c r="N607" i="76" s="1"/>
  <c r="N605" i="76" s="1"/>
  <c r="M608" i="76"/>
  <c r="L608" i="76"/>
  <c r="L607" i="76" s="1"/>
  <c r="J608" i="76"/>
  <c r="J607" i="76" s="1"/>
  <c r="J605" i="76" s="1"/>
  <c r="I608" i="76"/>
  <c r="I607" i="76" s="1"/>
  <c r="I605" i="76" s="1"/>
  <c r="H608" i="76"/>
  <c r="H607" i="76" s="1"/>
  <c r="G608" i="76"/>
  <c r="W607" i="76"/>
  <c r="W605" i="76" s="1"/>
  <c r="V607" i="76"/>
  <c r="S607" i="76"/>
  <c r="R607" i="76"/>
  <c r="R605" i="76" s="1"/>
  <c r="Q607" i="76"/>
  <c r="Q605" i="76" s="1"/>
  <c r="O607" i="76"/>
  <c r="O605" i="76" s="1"/>
  <c r="M607" i="76"/>
  <c r="M605" i="76" s="1"/>
  <c r="K607" i="76"/>
  <c r="G607" i="76"/>
  <c r="G605" i="76" s="1"/>
  <c r="V605" i="76"/>
  <c r="S605" i="76"/>
  <c r="P605" i="76"/>
  <c r="L605" i="76"/>
  <c r="K605" i="76"/>
  <c r="H605" i="76"/>
  <c r="S604" i="76"/>
  <c r="S603" i="76" s="1"/>
  <c r="S601" i="76" s="1"/>
  <c r="S599" i="76" s="1"/>
  <c r="O604" i="76"/>
  <c r="K604" i="76"/>
  <c r="K603" i="76" s="1"/>
  <c r="K601" i="76" s="1"/>
  <c r="K599" i="76" s="1"/>
  <c r="W603" i="76"/>
  <c r="V603" i="76"/>
  <c r="V601" i="76" s="1"/>
  <c r="V599" i="76" s="1"/>
  <c r="U603" i="76"/>
  <c r="T603" i="76"/>
  <c r="R603" i="76"/>
  <c r="R601" i="76" s="1"/>
  <c r="Q603" i="76"/>
  <c r="P603" i="76"/>
  <c r="P601" i="76" s="1"/>
  <c r="P599" i="76" s="1"/>
  <c r="O603" i="76"/>
  <c r="N603" i="76"/>
  <c r="N601" i="76" s="1"/>
  <c r="N599" i="76" s="1"/>
  <c r="M603" i="76"/>
  <c r="L603" i="76"/>
  <c r="L601" i="76" s="1"/>
  <c r="L599" i="76" s="1"/>
  <c r="J603" i="76"/>
  <c r="J601" i="76" s="1"/>
  <c r="I603" i="76"/>
  <c r="H603" i="76"/>
  <c r="H601" i="76" s="1"/>
  <c r="H599" i="76" s="1"/>
  <c r="G603" i="76"/>
  <c r="W601" i="76"/>
  <c r="W599" i="76" s="1"/>
  <c r="U601" i="76"/>
  <c r="T601" i="76"/>
  <c r="T599" i="76" s="1"/>
  <c r="Q601" i="76"/>
  <c r="Q599" i="76" s="1"/>
  <c r="O601" i="76"/>
  <c r="O599" i="76" s="1"/>
  <c r="M601" i="76"/>
  <c r="I601" i="76"/>
  <c r="I599" i="76" s="1"/>
  <c r="G601" i="76"/>
  <c r="G599" i="76" s="1"/>
  <c r="U599" i="76"/>
  <c r="R599" i="76"/>
  <c r="M599" i="76"/>
  <c r="J599" i="76"/>
  <c r="S597" i="76"/>
  <c r="P597" i="76"/>
  <c r="O597" i="76" s="1"/>
  <c r="O596" i="76" s="1"/>
  <c r="O595" i="76" s="1"/>
  <c r="O593" i="76" s="1"/>
  <c r="M597" i="76"/>
  <c r="L597" i="76"/>
  <c r="K597" i="76"/>
  <c r="K596" i="76" s="1"/>
  <c r="K595" i="76" s="1"/>
  <c r="K593" i="76" s="1"/>
  <c r="W596" i="76"/>
  <c r="W595" i="76" s="1"/>
  <c r="V596" i="76"/>
  <c r="U596" i="76"/>
  <c r="T596" i="76"/>
  <c r="S596" i="76"/>
  <c r="S595" i="76" s="1"/>
  <c r="R596" i="76"/>
  <c r="Q596" i="76"/>
  <c r="P596" i="76"/>
  <c r="P595" i="76" s="1"/>
  <c r="P593" i="76" s="1"/>
  <c r="N596" i="76"/>
  <c r="M596" i="76"/>
  <c r="L596" i="76"/>
  <c r="L595" i="76" s="1"/>
  <c r="L593" i="76" s="1"/>
  <c r="J596" i="76"/>
  <c r="I596" i="76"/>
  <c r="H596" i="76"/>
  <c r="H595" i="76" s="1"/>
  <c r="H593" i="76" s="1"/>
  <c r="G596" i="76"/>
  <c r="G595" i="76" s="1"/>
  <c r="V595" i="76"/>
  <c r="V593" i="76" s="1"/>
  <c r="U595" i="76"/>
  <c r="T595" i="76"/>
  <c r="T593" i="76" s="1"/>
  <c r="R595" i="76"/>
  <c r="Q595" i="76"/>
  <c r="Q593" i="76" s="1"/>
  <c r="N595" i="76"/>
  <c r="N593" i="76" s="1"/>
  <c r="M595" i="76"/>
  <c r="J595" i="76"/>
  <c r="I595" i="76"/>
  <c r="I593" i="76" s="1"/>
  <c r="I580" i="76" s="1"/>
  <c r="W593" i="76"/>
  <c r="U593" i="76"/>
  <c r="S593" i="76"/>
  <c r="R593" i="76"/>
  <c r="M593" i="76"/>
  <c r="J593" i="76"/>
  <c r="G593" i="76"/>
  <c r="S592" i="76"/>
  <c r="Q592" i="76"/>
  <c r="O592" i="76" s="1"/>
  <c r="O591" i="76" s="1"/>
  <c r="O589" i="76" s="1"/>
  <c r="O587" i="76" s="1"/>
  <c r="P592" i="76"/>
  <c r="M592" i="76"/>
  <c r="L592" i="76"/>
  <c r="W591" i="76"/>
  <c r="V591" i="76"/>
  <c r="U591" i="76"/>
  <c r="U589" i="76" s="1"/>
  <c r="T591" i="76"/>
  <c r="S591" i="76"/>
  <c r="R591" i="76"/>
  <c r="R589" i="76" s="1"/>
  <c r="R587" i="76" s="1"/>
  <c r="P591" i="76"/>
  <c r="N591" i="76"/>
  <c r="M591" i="76"/>
  <c r="M589" i="76" s="1"/>
  <c r="J591" i="76"/>
  <c r="J589" i="76" s="1"/>
  <c r="J587" i="76" s="1"/>
  <c r="I591" i="76"/>
  <c r="I589" i="76" s="1"/>
  <c r="H591" i="76"/>
  <c r="G591" i="76"/>
  <c r="G589" i="76" s="1"/>
  <c r="G587" i="76" s="1"/>
  <c r="W589" i="76"/>
  <c r="V589" i="76"/>
  <c r="V587" i="76" s="1"/>
  <c r="T589" i="76"/>
  <c r="S589" i="76"/>
  <c r="S587" i="76" s="1"/>
  <c r="P589" i="76"/>
  <c r="P587" i="76" s="1"/>
  <c r="N589" i="76"/>
  <c r="N587" i="76" s="1"/>
  <c r="H589" i="76"/>
  <c r="H587" i="76" s="1"/>
  <c r="W587" i="76"/>
  <c r="U587" i="76"/>
  <c r="T587" i="76"/>
  <c r="M587" i="76"/>
  <c r="I587" i="76"/>
  <c r="S585" i="76"/>
  <c r="P585" i="76"/>
  <c r="O585" i="76" s="1"/>
  <c r="O584" i="76" s="1"/>
  <c r="O583" i="76" s="1"/>
  <c r="O581" i="76" s="1"/>
  <c r="M585" i="76"/>
  <c r="M584" i="76" s="1"/>
  <c r="L585" i="76"/>
  <c r="K585" i="76"/>
  <c r="W584" i="76"/>
  <c r="V584" i="76"/>
  <c r="V583" i="76" s="1"/>
  <c r="U584" i="76"/>
  <c r="T584" i="76"/>
  <c r="T583" i="76" s="1"/>
  <c r="T581" i="76" s="1"/>
  <c r="T580" i="76" s="1"/>
  <c r="S584" i="76"/>
  <c r="R584" i="76"/>
  <c r="R583" i="76" s="1"/>
  <c r="R581" i="76" s="1"/>
  <c r="R580" i="76" s="1"/>
  <c r="Q584" i="76"/>
  <c r="P584" i="76"/>
  <c r="P583" i="76" s="1"/>
  <c r="P581" i="76" s="1"/>
  <c r="P580" i="76" s="1"/>
  <c r="N584" i="76"/>
  <c r="N583" i="76" s="1"/>
  <c r="L584" i="76"/>
  <c r="K584" i="76"/>
  <c r="K583" i="76" s="1"/>
  <c r="K581" i="76" s="1"/>
  <c r="J584" i="76"/>
  <c r="J583" i="76" s="1"/>
  <c r="J581" i="76" s="1"/>
  <c r="J580" i="76" s="1"/>
  <c r="I584" i="76"/>
  <c r="H584" i="76"/>
  <c r="G584" i="76"/>
  <c r="G583" i="76" s="1"/>
  <c r="G581" i="76" s="1"/>
  <c r="W583" i="76"/>
  <c r="W581" i="76" s="1"/>
  <c r="U583" i="76"/>
  <c r="U581" i="76" s="1"/>
  <c r="U580" i="76" s="1"/>
  <c r="S583" i="76"/>
  <c r="S580" i="76" s="1"/>
  <c r="Q583" i="76"/>
  <c r="M583" i="76"/>
  <c r="M581" i="76" s="1"/>
  <c r="M580" i="76" s="1"/>
  <c r="L583" i="76"/>
  <c r="I583" i="76"/>
  <c r="H583" i="76"/>
  <c r="H581" i="76" s="1"/>
  <c r="V581" i="76"/>
  <c r="V580" i="76" s="1"/>
  <c r="Q581" i="76"/>
  <c r="N581" i="76"/>
  <c r="N580" i="76" s="1"/>
  <c r="L581" i="76"/>
  <c r="I581" i="76"/>
  <c r="S579" i="76"/>
  <c r="O579" i="76"/>
  <c r="O578" i="76" s="1"/>
  <c r="O576" i="76" s="1"/>
  <c r="K579" i="76"/>
  <c r="W578" i="76"/>
  <c r="W576" i="76" s="1"/>
  <c r="V578" i="76"/>
  <c r="U578" i="76"/>
  <c r="U576" i="76" s="1"/>
  <c r="U574" i="76" s="1"/>
  <c r="U573" i="76" s="1"/>
  <c r="T578" i="76"/>
  <c r="S578" i="76"/>
  <c r="S576" i="76" s="1"/>
  <c r="R578" i="76"/>
  <c r="Q578" i="76"/>
  <c r="Q576" i="76" s="1"/>
  <c r="Q574" i="76" s="1"/>
  <c r="Q573" i="76" s="1"/>
  <c r="P578" i="76"/>
  <c r="N578" i="76"/>
  <c r="M578" i="76"/>
  <c r="M576" i="76" s="1"/>
  <c r="L578" i="76"/>
  <c r="K578" i="76"/>
  <c r="K576" i="76" s="1"/>
  <c r="K574" i="76" s="1"/>
  <c r="K573" i="76" s="1"/>
  <c r="J578" i="76"/>
  <c r="I578" i="76"/>
  <c r="I576" i="76" s="1"/>
  <c r="H578" i="76"/>
  <c r="G578" i="76"/>
  <c r="G576" i="76" s="1"/>
  <c r="G574" i="76" s="1"/>
  <c r="G573" i="76" s="1"/>
  <c r="V576" i="76"/>
  <c r="V574" i="76" s="1"/>
  <c r="T576" i="76"/>
  <c r="T574" i="76" s="1"/>
  <c r="T573" i="76" s="1"/>
  <c r="R576" i="76"/>
  <c r="R574" i="76" s="1"/>
  <c r="P576" i="76"/>
  <c r="P574" i="76" s="1"/>
  <c r="P573" i="76" s="1"/>
  <c r="N576" i="76"/>
  <c r="N574" i="76" s="1"/>
  <c r="L576" i="76"/>
  <c r="L574" i="76" s="1"/>
  <c r="L573" i="76" s="1"/>
  <c r="J576" i="76"/>
  <c r="J574" i="76" s="1"/>
  <c r="H576" i="76"/>
  <c r="H574" i="76" s="1"/>
  <c r="H573" i="76" s="1"/>
  <c r="W574" i="76"/>
  <c r="W573" i="76" s="1"/>
  <c r="S574" i="76"/>
  <c r="S573" i="76" s="1"/>
  <c r="O574" i="76"/>
  <c r="O573" i="76" s="1"/>
  <c r="M574" i="76"/>
  <c r="M573" i="76" s="1"/>
  <c r="I574" i="76"/>
  <c r="I573" i="76" s="1"/>
  <c r="V573" i="76"/>
  <c r="R573" i="76"/>
  <c r="N573" i="76"/>
  <c r="J573" i="76"/>
  <c r="S572" i="76"/>
  <c r="S571" i="76" s="1"/>
  <c r="S569" i="76" s="1"/>
  <c r="S567" i="76" s="1"/>
  <c r="S566" i="76" s="1"/>
  <c r="Q572" i="76"/>
  <c r="O572" i="76"/>
  <c r="O571" i="76" s="1"/>
  <c r="O569" i="76" s="1"/>
  <c r="O567" i="76" s="1"/>
  <c r="O566" i="76" s="1"/>
  <c r="N572" i="76"/>
  <c r="M572" i="76"/>
  <c r="K572" i="76" s="1"/>
  <c r="K571" i="76" s="1"/>
  <c r="K569" i="76" s="1"/>
  <c r="K567" i="76" s="1"/>
  <c r="K566" i="76" s="1"/>
  <c r="W571" i="76"/>
  <c r="W569" i="76" s="1"/>
  <c r="V571" i="76"/>
  <c r="U571" i="76"/>
  <c r="U569" i="76" s="1"/>
  <c r="T571" i="76"/>
  <c r="R571" i="76"/>
  <c r="Q571" i="76"/>
  <c r="Q569" i="76" s="1"/>
  <c r="P571" i="76"/>
  <c r="N571" i="76"/>
  <c r="L571" i="76"/>
  <c r="J571" i="76"/>
  <c r="I571" i="76"/>
  <c r="I569" i="76" s="1"/>
  <c r="H571" i="76"/>
  <c r="G571" i="76"/>
  <c r="G569" i="76" s="1"/>
  <c r="V569" i="76"/>
  <c r="V567" i="76" s="1"/>
  <c r="V566" i="76" s="1"/>
  <c r="T569" i="76"/>
  <c r="T567" i="76" s="1"/>
  <c r="R569" i="76"/>
  <c r="R567" i="76" s="1"/>
  <c r="R566" i="76" s="1"/>
  <c r="P569" i="76"/>
  <c r="P567" i="76" s="1"/>
  <c r="N569" i="76"/>
  <c r="N567" i="76" s="1"/>
  <c r="N566" i="76" s="1"/>
  <c r="L569" i="76"/>
  <c r="L567" i="76" s="1"/>
  <c r="J569" i="76"/>
  <c r="J567" i="76" s="1"/>
  <c r="J566" i="76" s="1"/>
  <c r="H569" i="76"/>
  <c r="H567" i="76" s="1"/>
  <c r="W567" i="76"/>
  <c r="W566" i="76" s="1"/>
  <c r="U567" i="76"/>
  <c r="U566" i="76" s="1"/>
  <c r="Q567" i="76"/>
  <c r="Q566" i="76" s="1"/>
  <c r="I567" i="76"/>
  <c r="I566" i="76" s="1"/>
  <c r="G567" i="76"/>
  <c r="G566" i="76" s="1"/>
  <c r="T566" i="76"/>
  <c r="P566" i="76"/>
  <c r="L566" i="76"/>
  <c r="H566" i="76"/>
  <c r="S564" i="76"/>
  <c r="S563" i="76" s="1"/>
  <c r="O564" i="76"/>
  <c r="M564" i="76"/>
  <c r="J564" i="76"/>
  <c r="J563" i="76" s="1"/>
  <c r="J562" i="76" s="1"/>
  <c r="J560" i="76" s="1"/>
  <c r="J559" i="76" s="1"/>
  <c r="W563" i="76"/>
  <c r="V563" i="76"/>
  <c r="V562" i="76" s="1"/>
  <c r="V560" i="76" s="1"/>
  <c r="V559" i="76" s="1"/>
  <c r="U563" i="76"/>
  <c r="T563" i="76"/>
  <c r="T562" i="76" s="1"/>
  <c r="T560" i="76" s="1"/>
  <c r="T559" i="76" s="1"/>
  <c r="R563" i="76"/>
  <c r="R562" i="76" s="1"/>
  <c r="Q563" i="76"/>
  <c r="P563" i="76"/>
  <c r="P562" i="76" s="1"/>
  <c r="O563" i="76"/>
  <c r="N563" i="76"/>
  <c r="N562" i="76" s="1"/>
  <c r="L563" i="76"/>
  <c r="L562" i="76" s="1"/>
  <c r="L560" i="76" s="1"/>
  <c r="L559" i="76" s="1"/>
  <c r="I563" i="76"/>
  <c r="H563" i="76"/>
  <c r="H562" i="76" s="1"/>
  <c r="G563" i="76"/>
  <c r="W562" i="76"/>
  <c r="W560" i="76" s="1"/>
  <c r="U562" i="76"/>
  <c r="U560" i="76" s="1"/>
  <c r="U559" i="76" s="1"/>
  <c r="S562" i="76"/>
  <c r="S560" i="76" s="1"/>
  <c r="Q562" i="76"/>
  <c r="Q560" i="76" s="1"/>
  <c r="Q559" i="76" s="1"/>
  <c r="O562" i="76"/>
  <c r="O560" i="76" s="1"/>
  <c r="I562" i="76"/>
  <c r="I560" i="76" s="1"/>
  <c r="I559" i="76" s="1"/>
  <c r="G562" i="76"/>
  <c r="G560" i="76" s="1"/>
  <c r="R560" i="76"/>
  <c r="R559" i="76" s="1"/>
  <c r="P560" i="76"/>
  <c r="P559" i="76" s="1"/>
  <c r="N560" i="76"/>
  <c r="N559" i="76" s="1"/>
  <c r="H560" i="76"/>
  <c r="H559" i="76" s="1"/>
  <c r="W559" i="76"/>
  <c r="S559" i="76"/>
  <c r="O559" i="76"/>
  <c r="G559" i="76"/>
  <c r="S557" i="76"/>
  <c r="O557" i="76"/>
  <c r="O556" i="76" s="1"/>
  <c r="O555" i="76" s="1"/>
  <c r="O553" i="76" s="1"/>
  <c r="O552" i="76" s="1"/>
  <c r="K557" i="76"/>
  <c r="W556" i="76"/>
  <c r="W555" i="76" s="1"/>
  <c r="W553" i="76" s="1"/>
  <c r="W552" i="76" s="1"/>
  <c r="V556" i="76"/>
  <c r="U556" i="76"/>
  <c r="U555" i="76" s="1"/>
  <c r="T556" i="76"/>
  <c r="S556" i="76"/>
  <c r="S555" i="76" s="1"/>
  <c r="R556" i="76"/>
  <c r="Q556" i="76"/>
  <c r="Q555" i="76" s="1"/>
  <c r="Q553" i="76" s="1"/>
  <c r="Q552" i="76" s="1"/>
  <c r="P556" i="76"/>
  <c r="N556" i="76"/>
  <c r="M556" i="76"/>
  <c r="M555" i="76" s="1"/>
  <c r="M553" i="76" s="1"/>
  <c r="M552" i="76" s="1"/>
  <c r="L556" i="76"/>
  <c r="K556" i="76"/>
  <c r="K555" i="76" s="1"/>
  <c r="K553" i="76" s="1"/>
  <c r="K552" i="76" s="1"/>
  <c r="J556" i="76"/>
  <c r="I556" i="76"/>
  <c r="I555" i="76" s="1"/>
  <c r="I553" i="76" s="1"/>
  <c r="I552" i="76" s="1"/>
  <c r="H556" i="76"/>
  <c r="G556" i="76"/>
  <c r="G555" i="76" s="1"/>
  <c r="G553" i="76" s="1"/>
  <c r="G552" i="76" s="1"/>
  <c r="V555" i="76"/>
  <c r="V553" i="76" s="1"/>
  <c r="T555" i="76"/>
  <c r="T553" i="76" s="1"/>
  <c r="T552" i="76" s="1"/>
  <c r="R555" i="76"/>
  <c r="R553" i="76" s="1"/>
  <c r="P555" i="76"/>
  <c r="N555" i="76"/>
  <c r="L555" i="76"/>
  <c r="J555" i="76"/>
  <c r="H555" i="76"/>
  <c r="U553" i="76"/>
  <c r="S553" i="76"/>
  <c r="P553" i="76"/>
  <c r="P552" i="76" s="1"/>
  <c r="N553" i="76"/>
  <c r="N552" i="76" s="1"/>
  <c r="L553" i="76"/>
  <c r="L552" i="76" s="1"/>
  <c r="J553" i="76"/>
  <c r="J552" i="76" s="1"/>
  <c r="H553" i="76"/>
  <c r="H552" i="76" s="1"/>
  <c r="V552" i="76"/>
  <c r="U552" i="76"/>
  <c r="S552" i="76"/>
  <c r="R552" i="76"/>
  <c r="S551" i="76"/>
  <c r="R551" i="76"/>
  <c r="R550" i="76" s="1"/>
  <c r="R548" i="76" s="1"/>
  <c r="R546" i="76" s="1"/>
  <c r="N551" i="76"/>
  <c r="M551" i="76"/>
  <c r="K551" i="76"/>
  <c r="K550" i="76" s="1"/>
  <c r="K548" i="76" s="1"/>
  <c r="K546" i="76" s="1"/>
  <c r="W550" i="76"/>
  <c r="V550" i="76"/>
  <c r="V548" i="76" s="1"/>
  <c r="V546" i="76" s="1"/>
  <c r="U550" i="76"/>
  <c r="T550" i="76"/>
  <c r="T548" i="76" s="1"/>
  <c r="T546" i="76" s="1"/>
  <c r="S550" i="76"/>
  <c r="Q550" i="76"/>
  <c r="P550" i="76"/>
  <c r="P548" i="76" s="1"/>
  <c r="P546" i="76" s="1"/>
  <c r="N550" i="76"/>
  <c r="N548" i="76" s="1"/>
  <c r="N546" i="76" s="1"/>
  <c r="M550" i="76"/>
  <c r="L550" i="76"/>
  <c r="L548" i="76" s="1"/>
  <c r="L546" i="76" s="1"/>
  <c r="J550" i="76"/>
  <c r="J548" i="76" s="1"/>
  <c r="J546" i="76" s="1"/>
  <c r="I550" i="76"/>
  <c r="H550" i="76"/>
  <c r="H548" i="76" s="1"/>
  <c r="H546" i="76" s="1"/>
  <c r="G550" i="76"/>
  <c r="W548" i="76"/>
  <c r="W546" i="76" s="1"/>
  <c r="U548" i="76"/>
  <c r="U546" i="76" s="1"/>
  <c r="S548" i="76"/>
  <c r="S546" i="76" s="1"/>
  <c r="Q548" i="76"/>
  <c r="Q546" i="76" s="1"/>
  <c r="M548" i="76"/>
  <c r="M546" i="76" s="1"/>
  <c r="I548" i="76"/>
  <c r="I546" i="76" s="1"/>
  <c r="G548" i="76"/>
  <c r="G546" i="76" s="1"/>
  <c r="S545" i="76"/>
  <c r="O545" i="76"/>
  <c r="K545" i="76"/>
  <c r="S544" i="76"/>
  <c r="R544" i="76"/>
  <c r="O544" i="76" s="1"/>
  <c r="O542" i="76" s="1"/>
  <c r="Q544" i="76"/>
  <c r="N544" i="76"/>
  <c r="M544" i="76"/>
  <c r="M542" i="76" s="1"/>
  <c r="M538" i="76" s="1"/>
  <c r="M536" i="76" s="1"/>
  <c r="M535" i="76" s="1"/>
  <c r="S543" i="76"/>
  <c r="S542" i="76" s="1"/>
  <c r="O543" i="76"/>
  <c r="K543" i="76"/>
  <c r="W542" i="76"/>
  <c r="V542" i="76"/>
  <c r="U542" i="76"/>
  <c r="T542" i="76"/>
  <c r="Q542" i="76"/>
  <c r="P542" i="76"/>
  <c r="N542" i="76"/>
  <c r="L542" i="76"/>
  <c r="J542" i="76"/>
  <c r="I542" i="76"/>
  <c r="H542" i="76"/>
  <c r="G542" i="76"/>
  <c r="S541" i="76"/>
  <c r="S539" i="76" s="1"/>
  <c r="R541" i="76"/>
  <c r="Q541" i="76"/>
  <c r="Q539" i="76" s="1"/>
  <c r="Q538" i="76" s="1"/>
  <c r="Q536" i="76" s="1"/>
  <c r="N541" i="76"/>
  <c r="M541" i="76"/>
  <c r="K541" i="76"/>
  <c r="K539" i="76" s="1"/>
  <c r="S540" i="76"/>
  <c r="O540" i="76"/>
  <c r="K540" i="76"/>
  <c r="J540" i="76"/>
  <c r="J539" i="76" s="1"/>
  <c r="J538" i="76" s="1"/>
  <c r="J536" i="76" s="1"/>
  <c r="J535" i="76" s="1"/>
  <c r="W539" i="76"/>
  <c r="V539" i="76"/>
  <c r="V538" i="76" s="1"/>
  <c r="V536" i="76" s="1"/>
  <c r="V535" i="76" s="1"/>
  <c r="U539" i="76"/>
  <c r="T539" i="76"/>
  <c r="T538" i="76" s="1"/>
  <c r="T536" i="76" s="1"/>
  <c r="T535" i="76" s="1"/>
  <c r="R539" i="76"/>
  <c r="P539" i="76"/>
  <c r="P538" i="76" s="1"/>
  <c r="P536" i="76" s="1"/>
  <c r="P535" i="76" s="1"/>
  <c r="N539" i="76"/>
  <c r="N538" i="76" s="1"/>
  <c r="N536" i="76" s="1"/>
  <c r="M539" i="76"/>
  <c r="L539" i="76"/>
  <c r="L538" i="76" s="1"/>
  <c r="L536" i="76" s="1"/>
  <c r="I539" i="76"/>
  <c r="H539" i="76"/>
  <c r="H538" i="76" s="1"/>
  <c r="H536" i="76" s="1"/>
  <c r="H535" i="76" s="1"/>
  <c r="G539" i="76"/>
  <c r="W538" i="76"/>
  <c r="W536" i="76" s="1"/>
  <c r="W535" i="76" s="1"/>
  <c r="U538" i="76"/>
  <c r="U536" i="76" s="1"/>
  <c r="U535" i="76" s="1"/>
  <c r="I538" i="76"/>
  <c r="I536" i="76" s="1"/>
  <c r="G538" i="76"/>
  <c r="G536" i="76" s="1"/>
  <c r="G535" i="76" s="1"/>
  <c r="S533" i="76"/>
  <c r="Q533" i="76"/>
  <c r="O533" i="76" s="1"/>
  <c r="O532" i="76" s="1"/>
  <c r="O531" i="76" s="1"/>
  <c r="O529" i="76" s="1"/>
  <c r="M533" i="76"/>
  <c r="K533" i="76" s="1"/>
  <c r="K532" i="76" s="1"/>
  <c r="K531" i="76" s="1"/>
  <c r="K529" i="76" s="1"/>
  <c r="W532" i="76"/>
  <c r="W531" i="76" s="1"/>
  <c r="W529" i="76" s="1"/>
  <c r="V532" i="76"/>
  <c r="U532" i="76"/>
  <c r="U531" i="76" s="1"/>
  <c r="U529" i="76" s="1"/>
  <c r="T532" i="76"/>
  <c r="S532" i="76"/>
  <c r="S531" i="76" s="1"/>
  <c r="S529" i="76" s="1"/>
  <c r="R532" i="76"/>
  <c r="Q532" i="76"/>
  <c r="Q531" i="76" s="1"/>
  <c r="Q529" i="76" s="1"/>
  <c r="P532" i="76"/>
  <c r="N532" i="76"/>
  <c r="M532" i="76"/>
  <c r="M531" i="76" s="1"/>
  <c r="M529" i="76" s="1"/>
  <c r="L532" i="76"/>
  <c r="J532" i="76"/>
  <c r="I532" i="76"/>
  <c r="I531" i="76" s="1"/>
  <c r="I529" i="76" s="1"/>
  <c r="H532" i="76"/>
  <c r="G532" i="76"/>
  <c r="G531" i="76" s="1"/>
  <c r="G529" i="76" s="1"/>
  <c r="V531" i="76"/>
  <c r="V529" i="76" s="1"/>
  <c r="T531" i="76"/>
  <c r="T529" i="76" s="1"/>
  <c r="R531" i="76"/>
  <c r="R529" i="76" s="1"/>
  <c r="P531" i="76"/>
  <c r="P529" i="76" s="1"/>
  <c r="N531" i="76"/>
  <c r="N529" i="76" s="1"/>
  <c r="L531" i="76"/>
  <c r="L529" i="76" s="1"/>
  <c r="J531" i="76"/>
  <c r="J529" i="76" s="1"/>
  <c r="H531" i="76"/>
  <c r="H529" i="76" s="1"/>
  <c r="S528" i="76"/>
  <c r="O528" i="76"/>
  <c r="K528" i="76"/>
  <c r="W527" i="76"/>
  <c r="W525" i="76" s="1"/>
  <c r="W523" i="76" s="1"/>
  <c r="W522" i="76" s="1"/>
  <c r="V527" i="76"/>
  <c r="U527" i="76"/>
  <c r="U525" i="76" s="1"/>
  <c r="U523" i="76" s="1"/>
  <c r="U522" i="76" s="1"/>
  <c r="T527" i="76"/>
  <c r="S527" i="76"/>
  <c r="S525" i="76" s="1"/>
  <c r="S523" i="76" s="1"/>
  <c r="S522" i="76" s="1"/>
  <c r="R527" i="76"/>
  <c r="Q527" i="76"/>
  <c r="Q525" i="76" s="1"/>
  <c r="Q523" i="76" s="1"/>
  <c r="Q522" i="76" s="1"/>
  <c r="P527" i="76"/>
  <c r="O527" i="76"/>
  <c r="O525" i="76" s="1"/>
  <c r="O523" i="76" s="1"/>
  <c r="O522" i="76" s="1"/>
  <c r="N527" i="76"/>
  <c r="M527" i="76"/>
  <c r="M525" i="76" s="1"/>
  <c r="M523" i="76" s="1"/>
  <c r="M522" i="76" s="1"/>
  <c r="L527" i="76"/>
  <c r="K527" i="76"/>
  <c r="K525" i="76" s="1"/>
  <c r="K523" i="76" s="1"/>
  <c r="K522" i="76" s="1"/>
  <c r="J527" i="76"/>
  <c r="I527" i="76"/>
  <c r="I525" i="76" s="1"/>
  <c r="I523" i="76" s="1"/>
  <c r="I522" i="76" s="1"/>
  <c r="H527" i="76"/>
  <c r="G527" i="76"/>
  <c r="G525" i="76" s="1"/>
  <c r="G523" i="76" s="1"/>
  <c r="G522" i="76" s="1"/>
  <c r="V525" i="76"/>
  <c r="V523" i="76" s="1"/>
  <c r="V522" i="76" s="1"/>
  <c r="T525" i="76"/>
  <c r="T523" i="76" s="1"/>
  <c r="T522" i="76" s="1"/>
  <c r="R525" i="76"/>
  <c r="R523" i="76" s="1"/>
  <c r="R522" i="76" s="1"/>
  <c r="P525" i="76"/>
  <c r="P523" i="76" s="1"/>
  <c r="P522" i="76" s="1"/>
  <c r="N525" i="76"/>
  <c r="N523" i="76" s="1"/>
  <c r="N522" i="76" s="1"/>
  <c r="L525" i="76"/>
  <c r="L523" i="76" s="1"/>
  <c r="L522" i="76" s="1"/>
  <c r="J525" i="76"/>
  <c r="J523" i="76" s="1"/>
  <c r="J522" i="76" s="1"/>
  <c r="H525" i="76"/>
  <c r="H523" i="76" s="1"/>
  <c r="H522" i="76" s="1"/>
  <c r="S521" i="76"/>
  <c r="S519" i="76" s="1"/>
  <c r="S517" i="76" s="1"/>
  <c r="S515" i="76" s="1"/>
  <c r="O521" i="76"/>
  <c r="K521" i="76"/>
  <c r="S520" i="76"/>
  <c r="O520" i="76"/>
  <c r="O519" i="76" s="1"/>
  <c r="O517" i="76" s="1"/>
  <c r="O515" i="76" s="1"/>
  <c r="K520" i="76"/>
  <c r="W519" i="76"/>
  <c r="W517" i="76" s="1"/>
  <c r="W515" i="76" s="1"/>
  <c r="V519" i="76"/>
  <c r="U519" i="76"/>
  <c r="U517" i="76" s="1"/>
  <c r="U515" i="76" s="1"/>
  <c r="T519" i="76"/>
  <c r="R519" i="76"/>
  <c r="Q519" i="76"/>
  <c r="Q517" i="76" s="1"/>
  <c r="Q515" i="76" s="1"/>
  <c r="P519" i="76"/>
  <c r="N519" i="76"/>
  <c r="M519" i="76"/>
  <c r="M517" i="76" s="1"/>
  <c r="M515" i="76" s="1"/>
  <c r="L519" i="76"/>
  <c r="K519" i="76"/>
  <c r="K517" i="76" s="1"/>
  <c r="K515" i="76" s="1"/>
  <c r="J519" i="76"/>
  <c r="I519" i="76"/>
  <c r="I517" i="76" s="1"/>
  <c r="I515" i="76" s="1"/>
  <c r="H519" i="76"/>
  <c r="G519" i="76"/>
  <c r="G517" i="76" s="1"/>
  <c r="G515" i="76" s="1"/>
  <c r="V517" i="76"/>
  <c r="V515" i="76" s="1"/>
  <c r="T517" i="76"/>
  <c r="T515" i="76" s="1"/>
  <c r="R517" i="76"/>
  <c r="R515" i="76" s="1"/>
  <c r="P517" i="76"/>
  <c r="P515" i="76" s="1"/>
  <c r="N517" i="76"/>
  <c r="N515" i="76" s="1"/>
  <c r="L517" i="76"/>
  <c r="L515" i="76" s="1"/>
  <c r="J517" i="76"/>
  <c r="J515" i="76" s="1"/>
  <c r="H517" i="76"/>
  <c r="H515" i="76" s="1"/>
  <c r="S513" i="76"/>
  <c r="R513" i="76"/>
  <c r="O513" i="76" s="1"/>
  <c r="O512" i="76" s="1"/>
  <c r="O511" i="76" s="1"/>
  <c r="O509" i="76" s="1"/>
  <c r="O508" i="76" s="1"/>
  <c r="N513" i="76"/>
  <c r="N512" i="76" s="1"/>
  <c r="N511" i="76" s="1"/>
  <c r="N509" i="76" s="1"/>
  <c r="N508" i="76" s="1"/>
  <c r="W512" i="76"/>
  <c r="W511" i="76" s="1"/>
  <c r="W509" i="76" s="1"/>
  <c r="W508" i="76" s="1"/>
  <c r="V512" i="76"/>
  <c r="U512" i="76"/>
  <c r="U511" i="76" s="1"/>
  <c r="U509" i="76" s="1"/>
  <c r="U508" i="76" s="1"/>
  <c r="T512" i="76"/>
  <c r="S512" i="76"/>
  <c r="S511" i="76" s="1"/>
  <c r="S509" i="76" s="1"/>
  <c r="S508" i="76" s="1"/>
  <c r="Q512" i="76"/>
  <c r="Q511" i="76" s="1"/>
  <c r="Q509" i="76" s="1"/>
  <c r="Q508" i="76" s="1"/>
  <c r="P512" i="76"/>
  <c r="M512" i="76"/>
  <c r="M511" i="76" s="1"/>
  <c r="M509" i="76" s="1"/>
  <c r="M508" i="76" s="1"/>
  <c r="L512" i="76"/>
  <c r="J512" i="76"/>
  <c r="I512" i="76"/>
  <c r="I511" i="76" s="1"/>
  <c r="I509" i="76" s="1"/>
  <c r="I508" i="76" s="1"/>
  <c r="H512" i="76"/>
  <c r="G512" i="76"/>
  <c r="G511" i="76" s="1"/>
  <c r="G509" i="76" s="1"/>
  <c r="G508" i="76" s="1"/>
  <c r="V511" i="76"/>
  <c r="V509" i="76" s="1"/>
  <c r="V508" i="76" s="1"/>
  <c r="V507" i="76" s="1"/>
  <c r="T511" i="76"/>
  <c r="T509" i="76" s="1"/>
  <c r="T508" i="76" s="1"/>
  <c r="P511" i="76"/>
  <c r="P509" i="76" s="1"/>
  <c r="P508" i="76" s="1"/>
  <c r="P507" i="76" s="1"/>
  <c r="L511" i="76"/>
  <c r="L509" i="76" s="1"/>
  <c r="L508" i="76" s="1"/>
  <c r="J511" i="76"/>
  <c r="J509" i="76" s="1"/>
  <c r="J508" i="76" s="1"/>
  <c r="J507" i="76" s="1"/>
  <c r="H511" i="76"/>
  <c r="H509" i="76" s="1"/>
  <c r="H508" i="76" s="1"/>
  <c r="S505" i="76"/>
  <c r="S504" i="76"/>
  <c r="S503" i="76"/>
  <c r="S502" i="76"/>
  <c r="S501" i="76"/>
  <c r="S500" i="76"/>
  <c r="S499" i="76"/>
  <c r="S498" i="76"/>
  <c r="S497" i="76"/>
  <c r="W496" i="76"/>
  <c r="V496" i="76"/>
  <c r="U496" i="76"/>
  <c r="T496" i="76"/>
  <c r="S496" i="76"/>
  <c r="S495" i="76"/>
  <c r="W494" i="76"/>
  <c r="V494" i="76"/>
  <c r="U494" i="76"/>
  <c r="T494" i="76"/>
  <c r="S494" i="76"/>
  <c r="S493" i="76"/>
  <c r="S492" i="76"/>
  <c r="S491" i="76"/>
  <c r="S490" i="76"/>
  <c r="S489" i="76"/>
  <c r="W488" i="76"/>
  <c r="V488" i="76"/>
  <c r="U488" i="76"/>
  <c r="T488" i="76"/>
  <c r="S488" i="76"/>
  <c r="S487" i="76"/>
  <c r="S486" i="76"/>
  <c r="S485" i="76"/>
  <c r="S484" i="76"/>
  <c r="S482" i="76" s="1"/>
  <c r="S483" i="76"/>
  <c r="W482" i="76"/>
  <c r="V482" i="76"/>
  <c r="U482" i="76"/>
  <c r="T482" i="76"/>
  <c r="S481" i="76"/>
  <c r="S480" i="76"/>
  <c r="S478" i="76" s="1"/>
  <c r="S479" i="76"/>
  <c r="W478" i="76"/>
  <c r="V478" i="76"/>
  <c r="U478" i="76"/>
  <c r="T478" i="76"/>
  <c r="S477" i="76"/>
  <c r="S476" i="76"/>
  <c r="S475" i="76"/>
  <c r="S474" i="76"/>
  <c r="S473" i="76"/>
  <c r="S472" i="76"/>
  <c r="S471" i="76" s="1"/>
  <c r="W471" i="76"/>
  <c r="V471" i="76"/>
  <c r="U471" i="76"/>
  <c r="T471" i="76"/>
  <c r="S470" i="76"/>
  <c r="S469" i="76"/>
  <c r="S468" i="76"/>
  <c r="S467" i="76"/>
  <c r="S466" i="76"/>
  <c r="S465" i="76"/>
  <c r="S464" i="76"/>
  <c r="S463" i="76"/>
  <c r="S462" i="76"/>
  <c r="S461" i="76"/>
  <c r="S460" i="76"/>
  <c r="S458" i="76" s="1"/>
  <c r="S459" i="76"/>
  <c r="W458" i="76"/>
  <c r="V458" i="76"/>
  <c r="U458" i="76"/>
  <c r="T458" i="76"/>
  <c r="S457" i="76"/>
  <c r="S456" i="76"/>
  <c r="S455" i="76"/>
  <c r="S454" i="76"/>
  <c r="S453" i="76" s="1"/>
  <c r="W453" i="76"/>
  <c r="V453" i="76"/>
  <c r="V435" i="76" s="1"/>
  <c r="V434" i="76" s="1"/>
  <c r="V423" i="76" s="1"/>
  <c r="U453" i="76"/>
  <c r="T453" i="76"/>
  <c r="S452" i="76"/>
  <c r="S451" i="76"/>
  <c r="S450" i="76"/>
  <c r="S449" i="76"/>
  <c r="S448" i="76"/>
  <c r="S447" i="76" s="1"/>
  <c r="W447" i="76"/>
  <c r="V447" i="76"/>
  <c r="U447" i="76"/>
  <c r="T447" i="76"/>
  <c r="S446" i="76"/>
  <c r="S445" i="76"/>
  <c r="S444" i="76"/>
  <c r="S443" i="76"/>
  <c r="S442" i="76"/>
  <c r="S441" i="76"/>
  <c r="S440" i="76"/>
  <c r="S439" i="76"/>
  <c r="S438" i="76"/>
  <c r="S437" i="76"/>
  <c r="W436" i="76"/>
  <c r="W435" i="76" s="1"/>
  <c r="W434" i="76" s="1"/>
  <c r="V436" i="76"/>
  <c r="U436" i="76"/>
  <c r="U435" i="76" s="1"/>
  <c r="U434" i="76" s="1"/>
  <c r="T436" i="76"/>
  <c r="S436" i="76"/>
  <c r="T435" i="76"/>
  <c r="T434" i="76" s="1"/>
  <c r="T423" i="76" s="1"/>
  <c r="S433" i="76"/>
  <c r="S432" i="76"/>
  <c r="S431" i="76"/>
  <c r="S430" i="76"/>
  <c r="S429" i="76"/>
  <c r="S428" i="76"/>
  <c r="S427" i="76"/>
  <c r="S426" i="76"/>
  <c r="S425" i="76"/>
  <c r="W424" i="76"/>
  <c r="W423" i="76" s="1"/>
  <c r="V424" i="76"/>
  <c r="U424" i="76"/>
  <c r="U423" i="76" s="1"/>
  <c r="T424" i="76"/>
  <c r="S424" i="76"/>
  <c r="S422" i="76"/>
  <c r="S421" i="76" s="1"/>
  <c r="O422" i="76"/>
  <c r="K422" i="76"/>
  <c r="K421" i="76" s="1"/>
  <c r="W421" i="76"/>
  <c r="V421" i="76"/>
  <c r="U421" i="76"/>
  <c r="T421" i="76"/>
  <c r="R421" i="76"/>
  <c r="Q421" i="76"/>
  <c r="P421" i="76"/>
  <c r="O421" i="76"/>
  <c r="N421" i="76"/>
  <c r="M421" i="76"/>
  <c r="L421" i="76"/>
  <c r="J421" i="76"/>
  <c r="I421" i="76"/>
  <c r="H421" i="76"/>
  <c r="G421" i="76"/>
  <c r="S420" i="76"/>
  <c r="S419" i="76" s="1"/>
  <c r="S417" i="76" s="1"/>
  <c r="S415" i="76" s="1"/>
  <c r="S414" i="76" s="1"/>
  <c r="O420" i="76"/>
  <c r="K420" i="76"/>
  <c r="K419" i="76" s="1"/>
  <c r="K417" i="76" s="1"/>
  <c r="K415" i="76" s="1"/>
  <c r="W419" i="76"/>
  <c r="V419" i="76"/>
  <c r="V417" i="76" s="1"/>
  <c r="V415" i="76" s="1"/>
  <c r="V414" i="76" s="1"/>
  <c r="U419" i="76"/>
  <c r="T419" i="76"/>
  <c r="T417" i="76" s="1"/>
  <c r="T415" i="76" s="1"/>
  <c r="T414" i="76" s="1"/>
  <c r="R419" i="76"/>
  <c r="R417" i="76" s="1"/>
  <c r="Q419" i="76"/>
  <c r="P419" i="76"/>
  <c r="P417" i="76" s="1"/>
  <c r="P415" i="76" s="1"/>
  <c r="P414" i="76" s="1"/>
  <c r="O419" i="76"/>
  <c r="N419" i="76"/>
  <c r="N417" i="76" s="1"/>
  <c r="M419" i="76"/>
  <c r="L419" i="76"/>
  <c r="L417" i="76" s="1"/>
  <c r="L415" i="76" s="1"/>
  <c r="L414" i="76" s="1"/>
  <c r="J419" i="76"/>
  <c r="J417" i="76" s="1"/>
  <c r="I419" i="76"/>
  <c r="H419" i="76"/>
  <c r="H417" i="76" s="1"/>
  <c r="H415" i="76" s="1"/>
  <c r="H414" i="76" s="1"/>
  <c r="G419" i="76"/>
  <c r="W417" i="76"/>
  <c r="W415" i="76" s="1"/>
  <c r="W414" i="76" s="1"/>
  <c r="U417" i="76"/>
  <c r="U415" i="76" s="1"/>
  <c r="U414" i="76" s="1"/>
  <c r="Q417" i="76"/>
  <c r="Q415" i="76" s="1"/>
  <c r="Q414" i="76" s="1"/>
  <c r="O417" i="76"/>
  <c r="O415" i="76" s="1"/>
  <c r="M417" i="76"/>
  <c r="M415" i="76" s="1"/>
  <c r="M414" i="76" s="1"/>
  <c r="I417" i="76"/>
  <c r="I415" i="76" s="1"/>
  <c r="I414" i="76" s="1"/>
  <c r="G417" i="76"/>
  <c r="G415" i="76" s="1"/>
  <c r="G414" i="76" s="1"/>
  <c r="R415" i="76"/>
  <c r="R414" i="76" s="1"/>
  <c r="N415" i="76"/>
  <c r="N414" i="76" s="1"/>
  <c r="J415" i="76"/>
  <c r="J414" i="76" s="1"/>
  <c r="O414" i="76"/>
  <c r="K414" i="76"/>
  <c r="S413" i="76"/>
  <c r="O413" i="76"/>
  <c r="K413" i="76"/>
  <c r="W412" i="76"/>
  <c r="W410" i="76" s="1"/>
  <c r="W408" i="76" s="1"/>
  <c r="W407" i="76" s="1"/>
  <c r="V412" i="76"/>
  <c r="U412" i="76"/>
  <c r="U410" i="76" s="1"/>
  <c r="T412" i="76"/>
  <c r="S412" i="76"/>
  <c r="S410" i="76" s="1"/>
  <c r="S408" i="76" s="1"/>
  <c r="S407" i="76" s="1"/>
  <c r="R412" i="76"/>
  <c r="Q412" i="76"/>
  <c r="Q410" i="76" s="1"/>
  <c r="P412" i="76"/>
  <c r="O412" i="76"/>
  <c r="O410" i="76" s="1"/>
  <c r="O408" i="76" s="1"/>
  <c r="O407" i="76" s="1"/>
  <c r="N412" i="76"/>
  <c r="M412" i="76"/>
  <c r="M410" i="76" s="1"/>
  <c r="L412" i="76"/>
  <c r="K412" i="76"/>
  <c r="K410" i="76" s="1"/>
  <c r="J412" i="76"/>
  <c r="I412" i="76"/>
  <c r="I410" i="76" s="1"/>
  <c r="H412" i="76"/>
  <c r="G412" i="76"/>
  <c r="G410" i="76" s="1"/>
  <c r="V410" i="76"/>
  <c r="V408" i="76" s="1"/>
  <c r="T410" i="76"/>
  <c r="T408" i="76" s="1"/>
  <c r="R410" i="76"/>
  <c r="R408" i="76" s="1"/>
  <c r="R407" i="76" s="1"/>
  <c r="P410" i="76"/>
  <c r="P408" i="76" s="1"/>
  <c r="N410" i="76"/>
  <c r="N408" i="76" s="1"/>
  <c r="L410" i="76"/>
  <c r="L408" i="76" s="1"/>
  <c r="J410" i="76"/>
  <c r="J408" i="76" s="1"/>
  <c r="J407" i="76" s="1"/>
  <c r="H410" i="76"/>
  <c r="H408" i="76" s="1"/>
  <c r="U408" i="76"/>
  <c r="U407" i="76" s="1"/>
  <c r="Q408" i="76"/>
  <c r="Q407" i="76" s="1"/>
  <c r="M408" i="76"/>
  <c r="M407" i="76" s="1"/>
  <c r="K408" i="76"/>
  <c r="K407" i="76" s="1"/>
  <c r="I408" i="76"/>
  <c r="I407" i="76" s="1"/>
  <c r="G408" i="76"/>
  <c r="G407" i="76" s="1"/>
  <c r="V407" i="76"/>
  <c r="T407" i="76"/>
  <c r="P407" i="76"/>
  <c r="N407" i="76"/>
  <c r="L407" i="76"/>
  <c r="H407" i="76"/>
  <c r="S406" i="76"/>
  <c r="S405" i="76" s="1"/>
  <c r="O406" i="76"/>
  <c r="K406" i="76"/>
  <c r="K405" i="76" s="1"/>
  <c r="W405" i="76"/>
  <c r="V405" i="76"/>
  <c r="V403" i="76" s="1"/>
  <c r="V401" i="76" s="1"/>
  <c r="U405" i="76"/>
  <c r="T405" i="76"/>
  <c r="T403" i="76" s="1"/>
  <c r="R405" i="76"/>
  <c r="R403" i="76" s="1"/>
  <c r="Q405" i="76"/>
  <c r="P405" i="76"/>
  <c r="P403" i="76" s="1"/>
  <c r="O405" i="76"/>
  <c r="N405" i="76"/>
  <c r="N403" i="76" s="1"/>
  <c r="M405" i="76"/>
  <c r="L405" i="76"/>
  <c r="L403" i="76" s="1"/>
  <c r="J405" i="76"/>
  <c r="J403" i="76" s="1"/>
  <c r="J401" i="76" s="1"/>
  <c r="I405" i="76"/>
  <c r="H405" i="76"/>
  <c r="H403" i="76" s="1"/>
  <c r="H401" i="76" s="1"/>
  <c r="G405" i="76"/>
  <c r="W403" i="76"/>
  <c r="W401" i="76" s="1"/>
  <c r="U403" i="76"/>
  <c r="U401" i="76" s="1"/>
  <c r="S403" i="76"/>
  <c r="S401" i="76" s="1"/>
  <c r="Q403" i="76"/>
  <c r="Q401" i="76" s="1"/>
  <c r="O403" i="76"/>
  <c r="O401" i="76" s="1"/>
  <c r="M403" i="76"/>
  <c r="M401" i="76" s="1"/>
  <c r="K403" i="76"/>
  <c r="K401" i="76" s="1"/>
  <c r="I403" i="76"/>
  <c r="I401" i="76" s="1"/>
  <c r="G403" i="76"/>
  <c r="G401" i="76" s="1"/>
  <c r="T401" i="76"/>
  <c r="R401" i="76"/>
  <c r="P401" i="76"/>
  <c r="N401" i="76"/>
  <c r="L401" i="76"/>
  <c r="S400" i="76"/>
  <c r="S399" i="76" s="1"/>
  <c r="O400" i="76"/>
  <c r="K400" i="76"/>
  <c r="K399" i="76" s="1"/>
  <c r="W399" i="76"/>
  <c r="V399" i="76"/>
  <c r="V397" i="76" s="1"/>
  <c r="U399" i="76"/>
  <c r="T399" i="76"/>
  <c r="T397" i="76" s="1"/>
  <c r="R399" i="76"/>
  <c r="R397" i="76" s="1"/>
  <c r="Q399" i="76"/>
  <c r="P399" i="76"/>
  <c r="P397" i="76" s="1"/>
  <c r="P395" i="76" s="1"/>
  <c r="O399" i="76"/>
  <c r="N399" i="76"/>
  <c r="N397" i="76" s="1"/>
  <c r="M399" i="76"/>
  <c r="L399" i="76"/>
  <c r="L397" i="76" s="1"/>
  <c r="L395" i="76" s="1"/>
  <c r="J399" i="76"/>
  <c r="J397" i="76" s="1"/>
  <c r="I399" i="76"/>
  <c r="H399" i="76"/>
  <c r="H397" i="76" s="1"/>
  <c r="G399" i="76"/>
  <c r="W397" i="76"/>
  <c r="W395" i="76" s="1"/>
  <c r="U397" i="76"/>
  <c r="U395" i="76" s="1"/>
  <c r="S397" i="76"/>
  <c r="S395" i="76" s="1"/>
  <c r="Q397" i="76"/>
  <c r="Q395" i="76" s="1"/>
  <c r="O397" i="76"/>
  <c r="O395" i="76" s="1"/>
  <c r="M397" i="76"/>
  <c r="M395" i="76" s="1"/>
  <c r="K397" i="76"/>
  <c r="K395" i="76" s="1"/>
  <c r="I397" i="76"/>
  <c r="I395" i="76" s="1"/>
  <c r="G397" i="76"/>
  <c r="G395" i="76" s="1"/>
  <c r="V395" i="76"/>
  <c r="T395" i="76"/>
  <c r="R395" i="76"/>
  <c r="N395" i="76"/>
  <c r="J395" i="76"/>
  <c r="H395" i="76"/>
  <c r="S394" i="76"/>
  <c r="S393" i="76" s="1"/>
  <c r="O394" i="76"/>
  <c r="K394" i="76"/>
  <c r="K393" i="76" s="1"/>
  <c r="K391" i="76" s="1"/>
  <c r="K389" i="76" s="1"/>
  <c r="W393" i="76"/>
  <c r="V393" i="76"/>
  <c r="V391" i="76" s="1"/>
  <c r="V389" i="76" s="1"/>
  <c r="U393" i="76"/>
  <c r="T393" i="76"/>
  <c r="T391" i="76" s="1"/>
  <c r="T389" i="76" s="1"/>
  <c r="R393" i="76"/>
  <c r="R391" i="76" s="1"/>
  <c r="Q393" i="76"/>
  <c r="P393" i="76"/>
  <c r="P391" i="76" s="1"/>
  <c r="O393" i="76"/>
  <c r="N393" i="76"/>
  <c r="N391" i="76" s="1"/>
  <c r="M393" i="76"/>
  <c r="L393" i="76"/>
  <c r="L391" i="76" s="1"/>
  <c r="J393" i="76"/>
  <c r="J391" i="76" s="1"/>
  <c r="J389" i="76" s="1"/>
  <c r="I393" i="76"/>
  <c r="H393" i="76"/>
  <c r="H391" i="76" s="1"/>
  <c r="G393" i="76"/>
  <c r="W391" i="76"/>
  <c r="W389" i="76" s="1"/>
  <c r="U391" i="76"/>
  <c r="U389" i="76" s="1"/>
  <c r="S391" i="76"/>
  <c r="S389" i="76" s="1"/>
  <c r="Q391" i="76"/>
  <c r="Q389" i="76" s="1"/>
  <c r="O391" i="76"/>
  <c r="O389" i="76" s="1"/>
  <c r="M391" i="76"/>
  <c r="M389" i="76" s="1"/>
  <c r="I391" i="76"/>
  <c r="I389" i="76" s="1"/>
  <c r="G391" i="76"/>
  <c r="G389" i="76" s="1"/>
  <c r="R389" i="76"/>
  <c r="P389" i="76"/>
  <c r="N389" i="76"/>
  <c r="L389" i="76"/>
  <c r="H389" i="76"/>
  <c r="S388" i="76"/>
  <c r="O388" i="76"/>
  <c r="K388" i="76"/>
  <c r="S387" i="76"/>
  <c r="O387" i="76"/>
  <c r="K387" i="76"/>
  <c r="S386" i="76"/>
  <c r="O386" i="76"/>
  <c r="K386" i="76"/>
  <c r="S385" i="76"/>
  <c r="O385" i="76"/>
  <c r="K385" i="76"/>
  <c r="S384" i="76"/>
  <c r="S382" i="76" s="1"/>
  <c r="S379" i="76" s="1"/>
  <c r="S377" i="76" s="1"/>
  <c r="O384" i="76"/>
  <c r="K384" i="76"/>
  <c r="S383" i="76"/>
  <c r="O383" i="76"/>
  <c r="O382" i="76" s="1"/>
  <c r="K383" i="76"/>
  <c r="W382" i="76"/>
  <c r="V382" i="76"/>
  <c r="U382" i="76"/>
  <c r="T382" i="76"/>
  <c r="R382" i="76"/>
  <c r="Q382" i="76"/>
  <c r="P382" i="76"/>
  <c r="N382" i="76"/>
  <c r="M382" i="76"/>
  <c r="L382" i="76"/>
  <c r="K382" i="76"/>
  <c r="J382" i="76"/>
  <c r="I382" i="76"/>
  <c r="H382" i="76"/>
  <c r="G382" i="76"/>
  <c r="S381" i="76"/>
  <c r="O381" i="76"/>
  <c r="O380" i="76" s="1"/>
  <c r="K381" i="76"/>
  <c r="W380" i="76"/>
  <c r="V380" i="76"/>
  <c r="U380" i="76"/>
  <c r="T380" i="76"/>
  <c r="S380" i="76"/>
  <c r="R380" i="76"/>
  <c r="Q380" i="76"/>
  <c r="P380" i="76"/>
  <c r="N380" i="76"/>
  <c r="M380" i="76"/>
  <c r="L380" i="76"/>
  <c r="K380" i="76"/>
  <c r="J380" i="76"/>
  <c r="J379" i="76" s="1"/>
  <c r="J377" i="76" s="1"/>
  <c r="I380" i="76"/>
  <c r="H380" i="76"/>
  <c r="G380" i="76"/>
  <c r="W379" i="76"/>
  <c r="W377" i="76" s="1"/>
  <c r="V379" i="76"/>
  <c r="U379" i="76"/>
  <c r="U377" i="76" s="1"/>
  <c r="T379" i="76"/>
  <c r="R379" i="76"/>
  <c r="Q379" i="76"/>
  <c r="Q377" i="76" s="1"/>
  <c r="P379" i="76"/>
  <c r="N379" i="76"/>
  <c r="M379" i="76"/>
  <c r="M377" i="76" s="1"/>
  <c r="L379" i="76"/>
  <c r="K379" i="76"/>
  <c r="K377" i="76" s="1"/>
  <c r="I379" i="76"/>
  <c r="I377" i="76" s="1"/>
  <c r="H379" i="76"/>
  <c r="G379" i="76"/>
  <c r="G377" i="76" s="1"/>
  <c r="V377" i="76"/>
  <c r="T377" i="76"/>
  <c r="R377" i="76"/>
  <c r="P377" i="76"/>
  <c r="N377" i="76"/>
  <c r="L377" i="76"/>
  <c r="H377" i="76"/>
  <c r="S376" i="76"/>
  <c r="O376" i="76"/>
  <c r="K376" i="76"/>
  <c r="S375" i="76"/>
  <c r="O375" i="76"/>
  <c r="K375" i="76"/>
  <c r="S374" i="76"/>
  <c r="O374" i="76"/>
  <c r="K374" i="76"/>
  <c r="S373" i="76"/>
  <c r="O373" i="76"/>
  <c r="K373" i="76"/>
  <c r="S372" i="76"/>
  <c r="O372" i="76"/>
  <c r="K372" i="76"/>
  <c r="S371" i="76"/>
  <c r="O371" i="76"/>
  <c r="K371" i="76"/>
  <c r="S370" i="76"/>
  <c r="O370" i="76"/>
  <c r="K370" i="76"/>
  <c r="S369" i="76"/>
  <c r="O369" i="76"/>
  <c r="K369" i="76"/>
  <c r="S368" i="76"/>
  <c r="O368" i="76"/>
  <c r="K368" i="76"/>
  <c r="S367" i="76"/>
  <c r="O367" i="76"/>
  <c r="K367" i="76"/>
  <c r="S366" i="76"/>
  <c r="S364" i="76" s="1"/>
  <c r="S362" i="76" s="1"/>
  <c r="S360" i="76" s="1"/>
  <c r="S359" i="76" s="1"/>
  <c r="O366" i="76"/>
  <c r="K366" i="76"/>
  <c r="S365" i="76"/>
  <c r="R365" i="76"/>
  <c r="R364" i="76" s="1"/>
  <c r="R362" i="76" s="1"/>
  <c r="R360" i="76" s="1"/>
  <c r="R359" i="76" s="1"/>
  <c r="N365" i="76"/>
  <c r="M365" i="76"/>
  <c r="K365" i="76"/>
  <c r="K364" i="76" s="1"/>
  <c r="K362" i="76" s="1"/>
  <c r="K360" i="76" s="1"/>
  <c r="W364" i="76"/>
  <c r="V364" i="76"/>
  <c r="V362" i="76" s="1"/>
  <c r="V360" i="76" s="1"/>
  <c r="U364" i="76"/>
  <c r="T364" i="76"/>
  <c r="T362" i="76" s="1"/>
  <c r="T360" i="76" s="1"/>
  <c r="Q364" i="76"/>
  <c r="P364" i="76"/>
  <c r="P362" i="76" s="1"/>
  <c r="P360" i="76" s="1"/>
  <c r="N364" i="76"/>
  <c r="N362" i="76" s="1"/>
  <c r="N360" i="76" s="1"/>
  <c r="N359" i="76" s="1"/>
  <c r="M364" i="76"/>
  <c r="L364" i="76"/>
  <c r="L362" i="76" s="1"/>
  <c r="L360" i="76" s="1"/>
  <c r="L359" i="76" s="1"/>
  <c r="J364" i="76"/>
  <c r="J362" i="76" s="1"/>
  <c r="J360" i="76" s="1"/>
  <c r="I364" i="76"/>
  <c r="H364" i="76"/>
  <c r="H362" i="76" s="1"/>
  <c r="H360" i="76" s="1"/>
  <c r="H359" i="76" s="1"/>
  <c r="G364" i="76"/>
  <c r="W362" i="76"/>
  <c r="W360" i="76" s="1"/>
  <c r="W359" i="76" s="1"/>
  <c r="U362" i="76"/>
  <c r="U360" i="76" s="1"/>
  <c r="U359" i="76" s="1"/>
  <c r="Q362" i="76"/>
  <c r="Q360" i="76" s="1"/>
  <c r="M362" i="76"/>
  <c r="M360" i="76" s="1"/>
  <c r="M359" i="76" s="1"/>
  <c r="I362" i="76"/>
  <c r="I360" i="76" s="1"/>
  <c r="G362" i="76"/>
  <c r="G360" i="76" s="1"/>
  <c r="G359" i="76" s="1"/>
  <c r="S358" i="76"/>
  <c r="O358" i="76"/>
  <c r="K358" i="76"/>
  <c r="W357" i="76"/>
  <c r="W355" i="76" s="1"/>
  <c r="W353" i="76" s="1"/>
  <c r="W352" i="76" s="1"/>
  <c r="V357" i="76"/>
  <c r="U357" i="76"/>
  <c r="U355" i="76" s="1"/>
  <c r="U353" i="76" s="1"/>
  <c r="U352" i="76" s="1"/>
  <c r="T357" i="76"/>
  <c r="S357" i="76"/>
  <c r="S355" i="76" s="1"/>
  <c r="S353" i="76" s="1"/>
  <c r="S352" i="76" s="1"/>
  <c r="R357" i="76"/>
  <c r="Q357" i="76"/>
  <c r="Q355" i="76" s="1"/>
  <c r="Q353" i="76" s="1"/>
  <c r="Q352" i="76" s="1"/>
  <c r="P357" i="76"/>
  <c r="O357" i="76"/>
  <c r="O355" i="76" s="1"/>
  <c r="O353" i="76" s="1"/>
  <c r="O352" i="76" s="1"/>
  <c r="N357" i="76"/>
  <c r="M357" i="76"/>
  <c r="M355" i="76" s="1"/>
  <c r="M353" i="76" s="1"/>
  <c r="M352" i="76" s="1"/>
  <c r="L357" i="76"/>
  <c r="K357" i="76"/>
  <c r="K355" i="76" s="1"/>
  <c r="K353" i="76" s="1"/>
  <c r="K352" i="76" s="1"/>
  <c r="J357" i="76"/>
  <c r="I357" i="76"/>
  <c r="I355" i="76" s="1"/>
  <c r="I353" i="76" s="1"/>
  <c r="I352" i="76" s="1"/>
  <c r="H357" i="76"/>
  <c r="G357" i="76"/>
  <c r="G355" i="76" s="1"/>
  <c r="G353" i="76" s="1"/>
  <c r="G352" i="76" s="1"/>
  <c r="V355" i="76"/>
  <c r="V353" i="76" s="1"/>
  <c r="V352" i="76" s="1"/>
  <c r="T355" i="76"/>
  <c r="T353" i="76" s="1"/>
  <c r="T352" i="76" s="1"/>
  <c r="R355" i="76"/>
  <c r="R353" i="76" s="1"/>
  <c r="R352" i="76" s="1"/>
  <c r="P355" i="76"/>
  <c r="P353" i="76" s="1"/>
  <c r="P352" i="76" s="1"/>
  <c r="N355" i="76"/>
  <c r="N353" i="76" s="1"/>
  <c r="N352" i="76" s="1"/>
  <c r="L355" i="76"/>
  <c r="L353" i="76" s="1"/>
  <c r="L352" i="76" s="1"/>
  <c r="J355" i="76"/>
  <c r="J353" i="76" s="1"/>
  <c r="J352" i="76" s="1"/>
  <c r="H355" i="76"/>
  <c r="H353" i="76" s="1"/>
  <c r="H352" i="76" s="1"/>
  <c r="S351" i="76"/>
  <c r="S350" i="76" s="1"/>
  <c r="S348" i="76" s="1"/>
  <c r="S346" i="76" s="1"/>
  <c r="S345" i="76" s="1"/>
  <c r="O351" i="76"/>
  <c r="K351" i="76"/>
  <c r="K350" i="76" s="1"/>
  <c r="K348" i="76" s="1"/>
  <c r="K346" i="76" s="1"/>
  <c r="K345" i="76" s="1"/>
  <c r="W350" i="76"/>
  <c r="V350" i="76"/>
  <c r="V348" i="76" s="1"/>
  <c r="V346" i="76" s="1"/>
  <c r="V345" i="76" s="1"/>
  <c r="U350" i="76"/>
  <c r="T350" i="76"/>
  <c r="T348" i="76" s="1"/>
  <c r="T346" i="76" s="1"/>
  <c r="T345" i="76" s="1"/>
  <c r="R350" i="76"/>
  <c r="R348" i="76" s="1"/>
  <c r="R346" i="76" s="1"/>
  <c r="R345" i="76" s="1"/>
  <c r="Q350" i="76"/>
  <c r="P350" i="76"/>
  <c r="P348" i="76" s="1"/>
  <c r="P346" i="76" s="1"/>
  <c r="P345" i="76" s="1"/>
  <c r="O350" i="76"/>
  <c r="N350" i="76"/>
  <c r="N348" i="76" s="1"/>
  <c r="N346" i="76" s="1"/>
  <c r="N345" i="76" s="1"/>
  <c r="M350" i="76"/>
  <c r="L350" i="76"/>
  <c r="L348" i="76" s="1"/>
  <c r="L346" i="76" s="1"/>
  <c r="L345" i="76" s="1"/>
  <c r="J350" i="76"/>
  <c r="J348" i="76" s="1"/>
  <c r="J346" i="76" s="1"/>
  <c r="J345" i="76" s="1"/>
  <c r="I350" i="76"/>
  <c r="H350" i="76"/>
  <c r="H348" i="76" s="1"/>
  <c r="H346" i="76" s="1"/>
  <c r="H345" i="76" s="1"/>
  <c r="G350" i="76"/>
  <c r="W348" i="76"/>
  <c r="W346" i="76" s="1"/>
  <c r="W345" i="76" s="1"/>
  <c r="U348" i="76"/>
  <c r="U346" i="76" s="1"/>
  <c r="U345" i="76" s="1"/>
  <c r="Q348" i="76"/>
  <c r="Q346" i="76" s="1"/>
  <c r="Q345" i="76" s="1"/>
  <c r="O348" i="76"/>
  <c r="O346" i="76" s="1"/>
  <c r="O345" i="76" s="1"/>
  <c r="M348" i="76"/>
  <c r="M346" i="76" s="1"/>
  <c r="M345" i="76" s="1"/>
  <c r="I348" i="76"/>
  <c r="I346" i="76" s="1"/>
  <c r="I345" i="76" s="1"/>
  <c r="G348" i="76"/>
  <c r="G346" i="76" s="1"/>
  <c r="G345" i="76" s="1"/>
  <c r="S344" i="76"/>
  <c r="O344" i="76"/>
  <c r="O343" i="76" s="1"/>
  <c r="O341" i="76" s="1"/>
  <c r="O339" i="76" s="1"/>
  <c r="O338" i="76" s="1"/>
  <c r="K344" i="76"/>
  <c r="W343" i="76"/>
  <c r="W341" i="76" s="1"/>
  <c r="W339" i="76" s="1"/>
  <c r="W338" i="76" s="1"/>
  <c r="V343" i="76"/>
  <c r="U343" i="76"/>
  <c r="U341" i="76" s="1"/>
  <c r="U339" i="76" s="1"/>
  <c r="U338" i="76" s="1"/>
  <c r="T343" i="76"/>
  <c r="S343" i="76"/>
  <c r="S341" i="76" s="1"/>
  <c r="S339" i="76" s="1"/>
  <c r="S338" i="76" s="1"/>
  <c r="R343" i="76"/>
  <c r="Q343" i="76"/>
  <c r="Q341" i="76" s="1"/>
  <c r="Q339" i="76" s="1"/>
  <c r="Q338" i="76" s="1"/>
  <c r="P343" i="76"/>
  <c r="N343" i="76"/>
  <c r="M343" i="76"/>
  <c r="M341" i="76" s="1"/>
  <c r="M339" i="76" s="1"/>
  <c r="M338" i="76" s="1"/>
  <c r="L343" i="76"/>
  <c r="K343" i="76"/>
  <c r="K341" i="76" s="1"/>
  <c r="K339" i="76" s="1"/>
  <c r="K338" i="76" s="1"/>
  <c r="J343" i="76"/>
  <c r="I343" i="76"/>
  <c r="I341" i="76" s="1"/>
  <c r="I339" i="76" s="1"/>
  <c r="I338" i="76" s="1"/>
  <c r="H343" i="76"/>
  <c r="G343" i="76"/>
  <c r="G341" i="76" s="1"/>
  <c r="G339" i="76" s="1"/>
  <c r="G338" i="76" s="1"/>
  <c r="V341" i="76"/>
  <c r="V339" i="76" s="1"/>
  <c r="V338" i="76" s="1"/>
  <c r="T341" i="76"/>
  <c r="T339" i="76" s="1"/>
  <c r="T338" i="76" s="1"/>
  <c r="R341" i="76"/>
  <c r="R339" i="76" s="1"/>
  <c r="R338" i="76" s="1"/>
  <c r="P341" i="76"/>
  <c r="P339" i="76" s="1"/>
  <c r="P338" i="76" s="1"/>
  <c r="N341" i="76"/>
  <c r="N339" i="76" s="1"/>
  <c r="N338" i="76" s="1"/>
  <c r="L341" i="76"/>
  <c r="L339" i="76" s="1"/>
  <c r="L338" i="76" s="1"/>
  <c r="J341" i="76"/>
  <c r="J339" i="76" s="1"/>
  <c r="J338" i="76" s="1"/>
  <c r="H341" i="76"/>
  <c r="H339" i="76" s="1"/>
  <c r="H338" i="76" s="1"/>
  <c r="S337" i="76"/>
  <c r="O337" i="76"/>
  <c r="K337" i="76"/>
  <c r="S336" i="76"/>
  <c r="O336" i="76"/>
  <c r="K336" i="76"/>
  <c r="W335" i="76"/>
  <c r="W333" i="76" s="1"/>
  <c r="W331" i="76" s="1"/>
  <c r="W330" i="76" s="1"/>
  <c r="V335" i="76"/>
  <c r="U335" i="76"/>
  <c r="U333" i="76" s="1"/>
  <c r="U331" i="76" s="1"/>
  <c r="U330" i="76" s="1"/>
  <c r="T335" i="76"/>
  <c r="S335" i="76"/>
  <c r="S333" i="76" s="1"/>
  <c r="S331" i="76" s="1"/>
  <c r="S330" i="76" s="1"/>
  <c r="R335" i="76"/>
  <c r="Q335" i="76"/>
  <c r="Q333" i="76" s="1"/>
  <c r="Q331" i="76" s="1"/>
  <c r="Q330" i="76" s="1"/>
  <c r="P335" i="76"/>
  <c r="O335" i="76"/>
  <c r="O333" i="76" s="1"/>
  <c r="O331" i="76" s="1"/>
  <c r="O330" i="76" s="1"/>
  <c r="N335" i="76"/>
  <c r="M335" i="76"/>
  <c r="M333" i="76" s="1"/>
  <c r="M331" i="76" s="1"/>
  <c r="M330" i="76" s="1"/>
  <c r="L335" i="76"/>
  <c r="K335" i="76"/>
  <c r="K333" i="76" s="1"/>
  <c r="K331" i="76" s="1"/>
  <c r="K330" i="76" s="1"/>
  <c r="J335" i="76"/>
  <c r="I335" i="76"/>
  <c r="I333" i="76" s="1"/>
  <c r="I331" i="76" s="1"/>
  <c r="I330" i="76" s="1"/>
  <c r="H335" i="76"/>
  <c r="G335" i="76"/>
  <c r="G333" i="76" s="1"/>
  <c r="G331" i="76" s="1"/>
  <c r="G330" i="76" s="1"/>
  <c r="V333" i="76"/>
  <c r="V331" i="76" s="1"/>
  <c r="V330" i="76" s="1"/>
  <c r="T333" i="76"/>
  <c r="T331" i="76" s="1"/>
  <c r="T330" i="76" s="1"/>
  <c r="R333" i="76"/>
  <c r="R331" i="76" s="1"/>
  <c r="R330" i="76" s="1"/>
  <c r="P333" i="76"/>
  <c r="P331" i="76" s="1"/>
  <c r="P330" i="76" s="1"/>
  <c r="N333" i="76"/>
  <c r="N331" i="76" s="1"/>
  <c r="N330" i="76" s="1"/>
  <c r="L333" i="76"/>
  <c r="L331" i="76" s="1"/>
  <c r="L330" i="76" s="1"/>
  <c r="J333" i="76"/>
  <c r="J331" i="76" s="1"/>
  <c r="J330" i="76" s="1"/>
  <c r="H333" i="76"/>
  <c r="H331" i="76" s="1"/>
  <c r="H330" i="76" s="1"/>
  <c r="S329" i="76"/>
  <c r="O329" i="76"/>
  <c r="K329" i="76"/>
  <c r="S328" i="76"/>
  <c r="O328" i="76"/>
  <c r="O326" i="76" s="1"/>
  <c r="O324" i="76" s="1"/>
  <c r="O322" i="76" s="1"/>
  <c r="K328" i="76"/>
  <c r="S327" i="76"/>
  <c r="S326" i="76" s="1"/>
  <c r="S324" i="76" s="1"/>
  <c r="S322" i="76" s="1"/>
  <c r="O327" i="76"/>
  <c r="K327" i="76"/>
  <c r="K326" i="76" s="1"/>
  <c r="K324" i="76" s="1"/>
  <c r="K322" i="76" s="1"/>
  <c r="W326" i="76"/>
  <c r="V326" i="76"/>
  <c r="V324" i="76" s="1"/>
  <c r="V322" i="76" s="1"/>
  <c r="U326" i="76"/>
  <c r="T326" i="76"/>
  <c r="T324" i="76" s="1"/>
  <c r="T322" i="76" s="1"/>
  <c r="R326" i="76"/>
  <c r="R324" i="76" s="1"/>
  <c r="R322" i="76" s="1"/>
  <c r="Q326" i="76"/>
  <c r="P326" i="76"/>
  <c r="P324" i="76" s="1"/>
  <c r="P322" i="76" s="1"/>
  <c r="N326" i="76"/>
  <c r="N324" i="76" s="1"/>
  <c r="N322" i="76" s="1"/>
  <c r="M326" i="76"/>
  <c r="L326" i="76"/>
  <c r="L324" i="76" s="1"/>
  <c r="L322" i="76" s="1"/>
  <c r="J326" i="76"/>
  <c r="J324" i="76" s="1"/>
  <c r="J322" i="76" s="1"/>
  <c r="I326" i="76"/>
  <c r="H326" i="76"/>
  <c r="H324" i="76" s="1"/>
  <c r="H322" i="76" s="1"/>
  <c r="G326" i="76"/>
  <c r="W324" i="76"/>
  <c r="W322" i="76" s="1"/>
  <c r="U324" i="76"/>
  <c r="U322" i="76" s="1"/>
  <c r="Q324" i="76"/>
  <c r="Q322" i="76" s="1"/>
  <c r="M324" i="76"/>
  <c r="M322" i="76" s="1"/>
  <c r="I324" i="76"/>
  <c r="I322" i="76" s="1"/>
  <c r="G324" i="76"/>
  <c r="G322" i="76" s="1"/>
  <c r="S321" i="76"/>
  <c r="S320" i="76" s="1"/>
  <c r="S318" i="76" s="1"/>
  <c r="S316" i="76" s="1"/>
  <c r="O321" i="76"/>
  <c r="K321" i="76"/>
  <c r="K320" i="76" s="1"/>
  <c r="K318" i="76" s="1"/>
  <c r="K316" i="76" s="1"/>
  <c r="W320" i="76"/>
  <c r="V320" i="76"/>
  <c r="V318" i="76" s="1"/>
  <c r="V316" i="76" s="1"/>
  <c r="U320" i="76"/>
  <c r="T320" i="76"/>
  <c r="T318" i="76" s="1"/>
  <c r="T316" i="76" s="1"/>
  <c r="R320" i="76"/>
  <c r="R318" i="76" s="1"/>
  <c r="R316" i="76" s="1"/>
  <c r="Q320" i="76"/>
  <c r="P320" i="76"/>
  <c r="P318" i="76" s="1"/>
  <c r="P316" i="76" s="1"/>
  <c r="O320" i="76"/>
  <c r="N320" i="76"/>
  <c r="N318" i="76" s="1"/>
  <c r="N316" i="76" s="1"/>
  <c r="M320" i="76"/>
  <c r="L320" i="76"/>
  <c r="L318" i="76" s="1"/>
  <c r="L316" i="76" s="1"/>
  <c r="J320" i="76"/>
  <c r="J318" i="76" s="1"/>
  <c r="J316" i="76" s="1"/>
  <c r="I320" i="76"/>
  <c r="H320" i="76"/>
  <c r="H318" i="76" s="1"/>
  <c r="H316" i="76" s="1"/>
  <c r="G320" i="76"/>
  <c r="W318" i="76"/>
  <c r="W316" i="76" s="1"/>
  <c r="U318" i="76"/>
  <c r="U316" i="76" s="1"/>
  <c r="Q318" i="76"/>
  <c r="Q316" i="76" s="1"/>
  <c r="O318" i="76"/>
  <c r="O316" i="76" s="1"/>
  <c r="M318" i="76"/>
  <c r="M316" i="76" s="1"/>
  <c r="I318" i="76"/>
  <c r="I316" i="76" s="1"/>
  <c r="G318" i="76"/>
  <c r="G316" i="76" s="1"/>
  <c r="S315" i="76"/>
  <c r="S314" i="76" s="1"/>
  <c r="O315" i="76"/>
  <c r="K315" i="76"/>
  <c r="K314" i="76" s="1"/>
  <c r="W314" i="76"/>
  <c r="V314" i="76"/>
  <c r="U314" i="76"/>
  <c r="T314" i="76"/>
  <c r="R314" i="76"/>
  <c r="Q314" i="76"/>
  <c r="P314" i="76"/>
  <c r="O314" i="76"/>
  <c r="N314" i="76"/>
  <c r="M314" i="76"/>
  <c r="L314" i="76"/>
  <c r="J314" i="76"/>
  <c r="I314" i="76"/>
  <c r="H314" i="76"/>
  <c r="G314" i="76"/>
  <c r="S313" i="76"/>
  <c r="S312" i="76" s="1"/>
  <c r="O313" i="76"/>
  <c r="K313" i="76"/>
  <c r="K312" i="76" s="1"/>
  <c r="K311" i="76" s="1"/>
  <c r="K309" i="76" s="1"/>
  <c r="K308" i="76" s="1"/>
  <c r="W312" i="76"/>
  <c r="V312" i="76"/>
  <c r="V311" i="76" s="1"/>
  <c r="V309" i="76" s="1"/>
  <c r="V308" i="76" s="1"/>
  <c r="U312" i="76"/>
  <c r="T312" i="76"/>
  <c r="T311" i="76" s="1"/>
  <c r="T309" i="76" s="1"/>
  <c r="T308" i="76" s="1"/>
  <c r="R312" i="76"/>
  <c r="R311" i="76" s="1"/>
  <c r="R309" i="76" s="1"/>
  <c r="Q312" i="76"/>
  <c r="P312" i="76"/>
  <c r="P311" i="76" s="1"/>
  <c r="P309" i="76" s="1"/>
  <c r="O312" i="76"/>
  <c r="N312" i="76"/>
  <c r="N311" i="76" s="1"/>
  <c r="N309" i="76" s="1"/>
  <c r="M312" i="76"/>
  <c r="L312" i="76"/>
  <c r="L311" i="76" s="1"/>
  <c r="L309" i="76" s="1"/>
  <c r="J312" i="76"/>
  <c r="J311" i="76" s="1"/>
  <c r="J309" i="76" s="1"/>
  <c r="J308" i="76" s="1"/>
  <c r="I312" i="76"/>
  <c r="H312" i="76"/>
  <c r="H311" i="76" s="1"/>
  <c r="H309" i="76" s="1"/>
  <c r="H308" i="76" s="1"/>
  <c r="G312" i="76"/>
  <c r="W311" i="76"/>
  <c r="W309" i="76" s="1"/>
  <c r="W308" i="76" s="1"/>
  <c r="U311" i="76"/>
  <c r="U309" i="76" s="1"/>
  <c r="Q311" i="76"/>
  <c r="Q309" i="76" s="1"/>
  <c r="Q308" i="76" s="1"/>
  <c r="O311" i="76"/>
  <c r="O309" i="76" s="1"/>
  <c r="M311" i="76"/>
  <c r="M309" i="76" s="1"/>
  <c r="M308" i="76" s="1"/>
  <c r="I311" i="76"/>
  <c r="I309" i="76" s="1"/>
  <c r="G311" i="76"/>
  <c r="G309" i="76" s="1"/>
  <c r="G308" i="76" s="1"/>
  <c r="S307" i="76"/>
  <c r="S306" i="76"/>
  <c r="O306" i="76"/>
  <c r="K306" i="76"/>
  <c r="S305" i="76"/>
  <c r="O305" i="76"/>
  <c r="O303" i="76" s="1"/>
  <c r="O301" i="76" s="1"/>
  <c r="O299" i="76" s="1"/>
  <c r="K305" i="76"/>
  <c r="S304" i="76"/>
  <c r="S303" i="76" s="1"/>
  <c r="S301" i="76" s="1"/>
  <c r="S299" i="76" s="1"/>
  <c r="O304" i="76"/>
  <c r="K304" i="76"/>
  <c r="K303" i="76" s="1"/>
  <c r="W303" i="76"/>
  <c r="V303" i="76"/>
  <c r="V301" i="76" s="1"/>
  <c r="V299" i="76" s="1"/>
  <c r="U303" i="76"/>
  <c r="T303" i="76"/>
  <c r="T301" i="76" s="1"/>
  <c r="T299" i="76" s="1"/>
  <c r="R303" i="76"/>
  <c r="R301" i="76" s="1"/>
  <c r="R299" i="76" s="1"/>
  <c r="Q303" i="76"/>
  <c r="P303" i="76"/>
  <c r="P301" i="76" s="1"/>
  <c r="N303" i="76"/>
  <c r="N301" i="76" s="1"/>
  <c r="N299" i="76" s="1"/>
  <c r="M303" i="76"/>
  <c r="L303" i="76"/>
  <c r="L301" i="76" s="1"/>
  <c r="L299" i="76" s="1"/>
  <c r="J303" i="76"/>
  <c r="J301" i="76" s="1"/>
  <c r="J299" i="76" s="1"/>
  <c r="I303" i="76"/>
  <c r="H303" i="76"/>
  <c r="H301" i="76" s="1"/>
  <c r="G303" i="76"/>
  <c r="W301" i="76"/>
  <c r="W299" i="76" s="1"/>
  <c r="U301" i="76"/>
  <c r="U299" i="76" s="1"/>
  <c r="Q301" i="76"/>
  <c r="Q299" i="76" s="1"/>
  <c r="M301" i="76"/>
  <c r="M299" i="76" s="1"/>
  <c r="K301" i="76"/>
  <c r="K299" i="76" s="1"/>
  <c r="I301" i="76"/>
  <c r="I299" i="76" s="1"/>
  <c r="G301" i="76"/>
  <c r="G299" i="76" s="1"/>
  <c r="P299" i="76"/>
  <c r="H299" i="76"/>
  <c r="S298" i="76"/>
  <c r="O298" i="76"/>
  <c r="K298" i="76"/>
  <c r="S297" i="76"/>
  <c r="O297" i="76"/>
  <c r="K297" i="76"/>
  <c r="W296" i="76"/>
  <c r="W294" i="76" s="1"/>
  <c r="W292" i="76" s="1"/>
  <c r="V296" i="76"/>
  <c r="U296" i="76"/>
  <c r="U294" i="76" s="1"/>
  <c r="T296" i="76"/>
  <c r="S296" i="76"/>
  <c r="S294" i="76" s="1"/>
  <c r="S292" i="76" s="1"/>
  <c r="R296" i="76"/>
  <c r="Q296" i="76"/>
  <c r="Q294" i="76" s="1"/>
  <c r="P296" i="76"/>
  <c r="O296" i="76"/>
  <c r="O294" i="76" s="1"/>
  <c r="O292" i="76" s="1"/>
  <c r="N296" i="76"/>
  <c r="M296" i="76"/>
  <c r="M294" i="76" s="1"/>
  <c r="L296" i="76"/>
  <c r="K296" i="76"/>
  <c r="K294" i="76" s="1"/>
  <c r="K292" i="76" s="1"/>
  <c r="J296" i="76"/>
  <c r="I296" i="76"/>
  <c r="I294" i="76" s="1"/>
  <c r="H296" i="76"/>
  <c r="G296" i="76"/>
  <c r="G294" i="76" s="1"/>
  <c r="G292" i="76" s="1"/>
  <c r="V294" i="76"/>
  <c r="V292" i="76" s="1"/>
  <c r="T294" i="76"/>
  <c r="T292" i="76" s="1"/>
  <c r="R294" i="76"/>
  <c r="R292" i="76" s="1"/>
  <c r="P294" i="76"/>
  <c r="P292" i="76" s="1"/>
  <c r="N294" i="76"/>
  <c r="N292" i="76" s="1"/>
  <c r="L294" i="76"/>
  <c r="L292" i="76" s="1"/>
  <c r="J294" i="76"/>
  <c r="J292" i="76" s="1"/>
  <c r="H294" i="76"/>
  <c r="H292" i="76" s="1"/>
  <c r="U292" i="76"/>
  <c r="Q292" i="76"/>
  <c r="M292" i="76"/>
  <c r="I292" i="76"/>
  <c r="S291" i="76"/>
  <c r="O291" i="76"/>
  <c r="K291" i="76"/>
  <c r="S290" i="76"/>
  <c r="O290" i="76"/>
  <c r="K290" i="76"/>
  <c r="S289" i="76"/>
  <c r="O289" i="76"/>
  <c r="K289" i="76"/>
  <c r="W288" i="76"/>
  <c r="W286" i="76" s="1"/>
  <c r="W284" i="76" s="1"/>
  <c r="V288" i="76"/>
  <c r="U288" i="76"/>
  <c r="U286" i="76" s="1"/>
  <c r="T288" i="76"/>
  <c r="S288" i="76"/>
  <c r="S286" i="76" s="1"/>
  <c r="S284" i="76" s="1"/>
  <c r="R288" i="76"/>
  <c r="Q288" i="76"/>
  <c r="Q286" i="76" s="1"/>
  <c r="P288" i="76"/>
  <c r="O288" i="76"/>
  <c r="O286" i="76" s="1"/>
  <c r="O284" i="76" s="1"/>
  <c r="N288" i="76"/>
  <c r="M288" i="76"/>
  <c r="M286" i="76" s="1"/>
  <c r="L288" i="76"/>
  <c r="K288" i="76"/>
  <c r="K286" i="76" s="1"/>
  <c r="K284" i="76" s="1"/>
  <c r="J288" i="76"/>
  <c r="I288" i="76"/>
  <c r="I286" i="76" s="1"/>
  <c r="I284" i="76" s="1"/>
  <c r="H288" i="76"/>
  <c r="G288" i="76"/>
  <c r="G286" i="76" s="1"/>
  <c r="G284" i="76" s="1"/>
  <c r="V286" i="76"/>
  <c r="V284" i="76" s="1"/>
  <c r="T286" i="76"/>
  <c r="T284" i="76" s="1"/>
  <c r="R286" i="76"/>
  <c r="R284" i="76" s="1"/>
  <c r="P286" i="76"/>
  <c r="P284" i="76" s="1"/>
  <c r="N286" i="76"/>
  <c r="N284" i="76" s="1"/>
  <c r="L286" i="76"/>
  <c r="L284" i="76" s="1"/>
  <c r="J286" i="76"/>
  <c r="J284" i="76" s="1"/>
  <c r="H286" i="76"/>
  <c r="H284" i="76" s="1"/>
  <c r="U284" i="76"/>
  <c r="Q284" i="76"/>
  <c r="M284" i="76"/>
  <c r="S283" i="76"/>
  <c r="O283" i="76"/>
  <c r="K283" i="76"/>
  <c r="S282" i="76"/>
  <c r="O282" i="76"/>
  <c r="K282" i="76"/>
  <c r="S281" i="76"/>
  <c r="O281" i="76"/>
  <c r="K281" i="76"/>
  <c r="W280" i="76"/>
  <c r="W278" i="76" s="1"/>
  <c r="W276" i="76" s="1"/>
  <c r="V280" i="76"/>
  <c r="U280" i="76"/>
  <c r="U278" i="76" s="1"/>
  <c r="T280" i="76"/>
  <c r="S280" i="76"/>
  <c r="S278" i="76" s="1"/>
  <c r="S276" i="76" s="1"/>
  <c r="R280" i="76"/>
  <c r="Q280" i="76"/>
  <c r="Q278" i="76" s="1"/>
  <c r="P280" i="76"/>
  <c r="O280" i="76"/>
  <c r="O278" i="76" s="1"/>
  <c r="O276" i="76" s="1"/>
  <c r="N280" i="76"/>
  <c r="M280" i="76"/>
  <c r="M278" i="76" s="1"/>
  <c r="L280" i="76"/>
  <c r="K280" i="76"/>
  <c r="K278" i="76" s="1"/>
  <c r="K276" i="76" s="1"/>
  <c r="J280" i="76"/>
  <c r="I280" i="76"/>
  <c r="I278" i="76" s="1"/>
  <c r="H280" i="76"/>
  <c r="G280" i="76"/>
  <c r="G278" i="76" s="1"/>
  <c r="G276" i="76" s="1"/>
  <c r="V278" i="76"/>
  <c r="V276" i="76" s="1"/>
  <c r="T278" i="76"/>
  <c r="T276" i="76" s="1"/>
  <c r="R278" i="76"/>
  <c r="R276" i="76" s="1"/>
  <c r="P278" i="76"/>
  <c r="P276" i="76" s="1"/>
  <c r="N278" i="76"/>
  <c r="N276" i="76" s="1"/>
  <c r="L278" i="76"/>
  <c r="L276" i="76" s="1"/>
  <c r="J278" i="76"/>
  <c r="J276" i="76" s="1"/>
  <c r="H278" i="76"/>
  <c r="H276" i="76" s="1"/>
  <c r="U276" i="76"/>
  <c r="Q276" i="76"/>
  <c r="M276" i="76"/>
  <c r="I276" i="76"/>
  <c r="S275" i="76"/>
  <c r="O275" i="76"/>
  <c r="K275" i="76"/>
  <c r="S274" i="76"/>
  <c r="O274" i="76"/>
  <c r="K274" i="76"/>
  <c r="S273" i="76"/>
  <c r="O273" i="76"/>
  <c r="K273" i="76"/>
  <c r="W272" i="76"/>
  <c r="W270" i="76" s="1"/>
  <c r="V272" i="76"/>
  <c r="U272" i="76"/>
  <c r="U270" i="76" s="1"/>
  <c r="T272" i="76"/>
  <c r="S272" i="76"/>
  <c r="S270" i="76" s="1"/>
  <c r="R272" i="76"/>
  <c r="Q272" i="76"/>
  <c r="Q270" i="76" s="1"/>
  <c r="Q268" i="76" s="1"/>
  <c r="P272" i="76"/>
  <c r="O272" i="76"/>
  <c r="O270" i="76" s="1"/>
  <c r="N272" i="76"/>
  <c r="M272" i="76"/>
  <c r="M270" i="76" s="1"/>
  <c r="L272" i="76"/>
  <c r="K272" i="76"/>
  <c r="K270" i="76" s="1"/>
  <c r="J272" i="76"/>
  <c r="I272" i="76"/>
  <c r="I270" i="76" s="1"/>
  <c r="I268" i="76" s="1"/>
  <c r="H272" i="76"/>
  <c r="G272" i="76"/>
  <c r="G270" i="76" s="1"/>
  <c r="V270" i="76"/>
  <c r="V268" i="76" s="1"/>
  <c r="T270" i="76"/>
  <c r="T268" i="76" s="1"/>
  <c r="R270" i="76"/>
  <c r="R268" i="76" s="1"/>
  <c r="P270" i="76"/>
  <c r="P268" i="76" s="1"/>
  <c r="N270" i="76"/>
  <c r="N268" i="76" s="1"/>
  <c r="L270" i="76"/>
  <c r="L268" i="76" s="1"/>
  <c r="J270" i="76"/>
  <c r="J268" i="76" s="1"/>
  <c r="H270" i="76"/>
  <c r="W268" i="76"/>
  <c r="U268" i="76"/>
  <c r="S268" i="76"/>
  <c r="O268" i="76"/>
  <c r="M268" i="76"/>
  <c r="K268" i="76"/>
  <c r="H268" i="76"/>
  <c r="G268" i="76"/>
  <c r="S267" i="76"/>
  <c r="O267" i="76"/>
  <c r="K267" i="76"/>
  <c r="K263" i="76" s="1"/>
  <c r="K261" i="76" s="1"/>
  <c r="K259" i="76" s="1"/>
  <c r="S266" i="76"/>
  <c r="O266" i="76"/>
  <c r="K266" i="76"/>
  <c r="S265" i="76"/>
  <c r="S263" i="76" s="1"/>
  <c r="S261" i="76" s="1"/>
  <c r="S259" i="76" s="1"/>
  <c r="O265" i="76"/>
  <c r="K265" i="76"/>
  <c r="S264" i="76"/>
  <c r="O264" i="76"/>
  <c r="O263" i="76" s="1"/>
  <c r="O261" i="76" s="1"/>
  <c r="O259" i="76" s="1"/>
  <c r="K264" i="76"/>
  <c r="W263" i="76"/>
  <c r="W261" i="76" s="1"/>
  <c r="W259" i="76" s="1"/>
  <c r="V263" i="76"/>
  <c r="U263" i="76"/>
  <c r="U261" i="76" s="1"/>
  <c r="U259" i="76" s="1"/>
  <c r="T263" i="76"/>
  <c r="R263" i="76"/>
  <c r="Q263" i="76"/>
  <c r="Q261" i="76" s="1"/>
  <c r="Q259" i="76" s="1"/>
  <c r="P263" i="76"/>
  <c r="N263" i="76"/>
  <c r="M263" i="76"/>
  <c r="M261" i="76" s="1"/>
  <c r="M259" i="76" s="1"/>
  <c r="L263" i="76"/>
  <c r="J263" i="76"/>
  <c r="I263" i="76"/>
  <c r="I261" i="76" s="1"/>
  <c r="I259" i="76" s="1"/>
  <c r="H263" i="76"/>
  <c r="G263" i="76"/>
  <c r="G261" i="76" s="1"/>
  <c r="G259" i="76" s="1"/>
  <c r="V261" i="76"/>
  <c r="V259" i="76" s="1"/>
  <c r="T261" i="76"/>
  <c r="T259" i="76" s="1"/>
  <c r="R261" i="76"/>
  <c r="R259" i="76" s="1"/>
  <c r="P261" i="76"/>
  <c r="P259" i="76" s="1"/>
  <c r="N261" i="76"/>
  <c r="N259" i="76" s="1"/>
  <c r="L261" i="76"/>
  <c r="L259" i="76" s="1"/>
  <c r="J261" i="76"/>
  <c r="J259" i="76" s="1"/>
  <c r="H261" i="76"/>
  <c r="H259" i="76" s="1"/>
  <c r="S258" i="76"/>
  <c r="O258" i="76"/>
  <c r="K258" i="76"/>
  <c r="S257" i="76"/>
  <c r="O257" i="76"/>
  <c r="K257" i="76"/>
  <c r="S256" i="76"/>
  <c r="O256" i="76"/>
  <c r="O254" i="76" s="1"/>
  <c r="O252" i="76" s="1"/>
  <c r="O250" i="76" s="1"/>
  <c r="K256" i="76"/>
  <c r="S255" i="76"/>
  <c r="S254" i="76" s="1"/>
  <c r="S252" i="76" s="1"/>
  <c r="S250" i="76" s="1"/>
  <c r="O255" i="76"/>
  <c r="K255" i="76"/>
  <c r="K254" i="76" s="1"/>
  <c r="K252" i="76" s="1"/>
  <c r="K250" i="76" s="1"/>
  <c r="W254" i="76"/>
  <c r="V254" i="76"/>
  <c r="V252" i="76" s="1"/>
  <c r="V250" i="76" s="1"/>
  <c r="U254" i="76"/>
  <c r="T254" i="76"/>
  <c r="T252" i="76" s="1"/>
  <c r="T250" i="76" s="1"/>
  <c r="R254" i="76"/>
  <c r="R252" i="76" s="1"/>
  <c r="R250" i="76" s="1"/>
  <c r="Q254" i="76"/>
  <c r="P254" i="76"/>
  <c r="P252" i="76" s="1"/>
  <c r="P250" i="76" s="1"/>
  <c r="N254" i="76"/>
  <c r="N252" i="76" s="1"/>
  <c r="N250" i="76" s="1"/>
  <c r="M254" i="76"/>
  <c r="L254" i="76"/>
  <c r="L252" i="76" s="1"/>
  <c r="L250" i="76" s="1"/>
  <c r="J254" i="76"/>
  <c r="J252" i="76" s="1"/>
  <c r="J250" i="76" s="1"/>
  <c r="I254" i="76"/>
  <c r="H254" i="76"/>
  <c r="H252" i="76" s="1"/>
  <c r="H250" i="76" s="1"/>
  <c r="G254" i="76"/>
  <c r="W252" i="76"/>
  <c r="W250" i="76" s="1"/>
  <c r="U252" i="76"/>
  <c r="U250" i="76" s="1"/>
  <c r="Q252" i="76"/>
  <c r="Q250" i="76" s="1"/>
  <c r="M252" i="76"/>
  <c r="M250" i="76" s="1"/>
  <c r="I252" i="76"/>
  <c r="I250" i="76" s="1"/>
  <c r="G252" i="76"/>
  <c r="G250" i="76" s="1"/>
  <c r="S249" i="76"/>
  <c r="O249" i="76"/>
  <c r="K249" i="76"/>
  <c r="S248" i="76"/>
  <c r="O248" i="76"/>
  <c r="K248" i="76"/>
  <c r="S247" i="76"/>
  <c r="O247" i="76"/>
  <c r="K247" i="76"/>
  <c r="S246" i="76"/>
  <c r="O246" i="76"/>
  <c r="K246" i="76"/>
  <c r="W245" i="76"/>
  <c r="W243" i="76" s="1"/>
  <c r="W241" i="76" s="1"/>
  <c r="V245" i="76"/>
  <c r="U245" i="76"/>
  <c r="U243" i="76" s="1"/>
  <c r="U241" i="76" s="1"/>
  <c r="T245" i="76"/>
  <c r="S245" i="76"/>
  <c r="S243" i="76" s="1"/>
  <c r="S241" i="76" s="1"/>
  <c r="R245" i="76"/>
  <c r="Q245" i="76"/>
  <c r="Q243" i="76" s="1"/>
  <c r="Q241" i="76" s="1"/>
  <c r="P245" i="76"/>
  <c r="O245" i="76"/>
  <c r="O243" i="76" s="1"/>
  <c r="O241" i="76" s="1"/>
  <c r="N245" i="76"/>
  <c r="M245" i="76"/>
  <c r="M243" i="76" s="1"/>
  <c r="M241" i="76" s="1"/>
  <c r="L245" i="76"/>
  <c r="K245" i="76"/>
  <c r="K243" i="76" s="1"/>
  <c r="K241" i="76" s="1"/>
  <c r="J245" i="76"/>
  <c r="I245" i="76"/>
  <c r="I243" i="76" s="1"/>
  <c r="I241" i="76" s="1"/>
  <c r="H245" i="76"/>
  <c r="G245" i="76"/>
  <c r="G243" i="76" s="1"/>
  <c r="G241" i="76" s="1"/>
  <c r="V243" i="76"/>
  <c r="V241" i="76" s="1"/>
  <c r="T243" i="76"/>
  <c r="T241" i="76" s="1"/>
  <c r="R243" i="76"/>
  <c r="R241" i="76" s="1"/>
  <c r="P243" i="76"/>
  <c r="P241" i="76" s="1"/>
  <c r="N243" i="76"/>
  <c r="N241" i="76" s="1"/>
  <c r="L243" i="76"/>
  <c r="L241" i="76" s="1"/>
  <c r="J243" i="76"/>
  <c r="J241" i="76" s="1"/>
  <c r="H243" i="76"/>
  <c r="H241" i="76" s="1"/>
  <c r="S240" i="76"/>
  <c r="O240" i="76"/>
  <c r="K240" i="76"/>
  <c r="S239" i="76"/>
  <c r="O239" i="76"/>
  <c r="K239" i="76"/>
  <c r="S238" i="76"/>
  <c r="O238" i="76"/>
  <c r="O236" i="76" s="1"/>
  <c r="O234" i="76" s="1"/>
  <c r="O232" i="76" s="1"/>
  <c r="K238" i="76"/>
  <c r="S237" i="76"/>
  <c r="S236" i="76" s="1"/>
  <c r="S234" i="76" s="1"/>
  <c r="S232" i="76" s="1"/>
  <c r="O237" i="76"/>
  <c r="K237" i="76"/>
  <c r="K236" i="76" s="1"/>
  <c r="K234" i="76" s="1"/>
  <c r="K232" i="76" s="1"/>
  <c r="W236" i="76"/>
  <c r="V236" i="76"/>
  <c r="V234" i="76" s="1"/>
  <c r="V232" i="76" s="1"/>
  <c r="U236" i="76"/>
  <c r="T236" i="76"/>
  <c r="T234" i="76" s="1"/>
  <c r="T232" i="76" s="1"/>
  <c r="R236" i="76"/>
  <c r="R234" i="76" s="1"/>
  <c r="R232" i="76" s="1"/>
  <c r="Q236" i="76"/>
  <c r="P236" i="76"/>
  <c r="P234" i="76" s="1"/>
  <c r="P232" i="76" s="1"/>
  <c r="N236" i="76"/>
  <c r="N234" i="76" s="1"/>
  <c r="N232" i="76" s="1"/>
  <c r="M236" i="76"/>
  <c r="L236" i="76"/>
  <c r="L234" i="76" s="1"/>
  <c r="L232" i="76" s="1"/>
  <c r="J236" i="76"/>
  <c r="J234" i="76" s="1"/>
  <c r="J232" i="76" s="1"/>
  <c r="I236" i="76"/>
  <c r="H236" i="76"/>
  <c r="H234" i="76" s="1"/>
  <c r="H232" i="76" s="1"/>
  <c r="G236" i="76"/>
  <c r="W234" i="76"/>
  <c r="W232" i="76" s="1"/>
  <c r="U234" i="76"/>
  <c r="U232" i="76" s="1"/>
  <c r="Q234" i="76"/>
  <c r="Q232" i="76" s="1"/>
  <c r="M234" i="76"/>
  <c r="M232" i="76" s="1"/>
  <c r="I234" i="76"/>
  <c r="I232" i="76" s="1"/>
  <c r="G234" i="76"/>
  <c r="G232" i="76" s="1"/>
  <c r="S231" i="76"/>
  <c r="S230" i="76" s="1"/>
  <c r="S228" i="76" s="1"/>
  <c r="S226" i="76" s="1"/>
  <c r="O231" i="76"/>
  <c r="K231" i="76"/>
  <c r="K230" i="76" s="1"/>
  <c r="K228" i="76" s="1"/>
  <c r="K226" i="76" s="1"/>
  <c r="W230" i="76"/>
  <c r="V230" i="76"/>
  <c r="V228" i="76" s="1"/>
  <c r="V226" i="76" s="1"/>
  <c r="U230" i="76"/>
  <c r="T230" i="76"/>
  <c r="T228" i="76" s="1"/>
  <c r="T226" i="76" s="1"/>
  <c r="R230" i="76"/>
  <c r="R228" i="76" s="1"/>
  <c r="R226" i="76" s="1"/>
  <c r="Q230" i="76"/>
  <c r="P230" i="76"/>
  <c r="P228" i="76" s="1"/>
  <c r="P226" i="76" s="1"/>
  <c r="O230" i="76"/>
  <c r="N230" i="76"/>
  <c r="N228" i="76" s="1"/>
  <c r="N226" i="76" s="1"/>
  <c r="M230" i="76"/>
  <c r="L230" i="76"/>
  <c r="L228" i="76" s="1"/>
  <c r="L226" i="76" s="1"/>
  <c r="J230" i="76"/>
  <c r="J228" i="76" s="1"/>
  <c r="J226" i="76" s="1"/>
  <c r="I230" i="76"/>
  <c r="H230" i="76"/>
  <c r="H228" i="76" s="1"/>
  <c r="H226" i="76" s="1"/>
  <c r="G230" i="76"/>
  <c r="W228" i="76"/>
  <c r="W226" i="76" s="1"/>
  <c r="U228" i="76"/>
  <c r="U226" i="76" s="1"/>
  <c r="Q228" i="76"/>
  <c r="Q226" i="76" s="1"/>
  <c r="O228" i="76"/>
  <c r="O226" i="76" s="1"/>
  <c r="M228" i="76"/>
  <c r="M226" i="76" s="1"/>
  <c r="I228" i="76"/>
  <c r="I226" i="76" s="1"/>
  <c r="G228" i="76"/>
  <c r="G226" i="76" s="1"/>
  <c r="S225" i="76"/>
  <c r="O225" i="76"/>
  <c r="K225" i="76"/>
  <c r="S224" i="76"/>
  <c r="O224" i="76"/>
  <c r="K224" i="76"/>
  <c r="S223" i="76"/>
  <c r="O223" i="76"/>
  <c r="K223" i="76"/>
  <c r="S222" i="76"/>
  <c r="O222" i="76"/>
  <c r="K222" i="76"/>
  <c r="S221" i="76"/>
  <c r="O221" i="76"/>
  <c r="K221" i="76"/>
  <c r="S220" i="76"/>
  <c r="O220" i="76"/>
  <c r="K220" i="76"/>
  <c r="S219" i="76"/>
  <c r="O219" i="76"/>
  <c r="K219" i="76"/>
  <c r="S218" i="76"/>
  <c r="O218" i="76"/>
  <c r="K218" i="76"/>
  <c r="S216" i="76"/>
  <c r="O216" i="76"/>
  <c r="K216" i="76"/>
  <c r="S215" i="76"/>
  <c r="O215" i="76"/>
  <c r="K215" i="76"/>
  <c r="S214" i="76"/>
  <c r="O214" i="76"/>
  <c r="K214" i="76"/>
  <c r="S213" i="76"/>
  <c r="O213" i="76"/>
  <c r="K213" i="76"/>
  <c r="S211" i="76"/>
  <c r="O211" i="76"/>
  <c r="K211" i="76"/>
  <c r="S210" i="76"/>
  <c r="O210" i="76"/>
  <c r="K210" i="76"/>
  <c r="S209" i="76"/>
  <c r="O209" i="76"/>
  <c r="K209" i="76"/>
  <c r="S208" i="76"/>
  <c r="O208" i="76"/>
  <c r="K208" i="76"/>
  <c r="S207" i="76"/>
  <c r="O207" i="76"/>
  <c r="K207" i="76"/>
  <c r="S206" i="76"/>
  <c r="O206" i="76"/>
  <c r="K206" i="76"/>
  <c r="S205" i="76"/>
  <c r="O205" i="76"/>
  <c r="K205" i="76"/>
  <c r="S204" i="76"/>
  <c r="O204" i="76"/>
  <c r="K204" i="76"/>
  <c r="W203" i="76"/>
  <c r="W201" i="76" s="1"/>
  <c r="W199" i="76" s="1"/>
  <c r="W198" i="76" s="1"/>
  <c r="W197" i="76" s="1"/>
  <c r="W196" i="76" s="1"/>
  <c r="V203" i="76"/>
  <c r="U203" i="76"/>
  <c r="U201" i="76" s="1"/>
  <c r="U199" i="76" s="1"/>
  <c r="U198" i="76" s="1"/>
  <c r="T203" i="76"/>
  <c r="S203" i="76"/>
  <c r="S201" i="76" s="1"/>
  <c r="S199" i="76" s="1"/>
  <c r="S198" i="76" s="1"/>
  <c r="R203" i="76"/>
  <c r="Q203" i="76"/>
  <c r="Q201" i="76" s="1"/>
  <c r="Q199" i="76" s="1"/>
  <c r="Q198" i="76" s="1"/>
  <c r="P203" i="76"/>
  <c r="O203" i="76"/>
  <c r="O201" i="76" s="1"/>
  <c r="O199" i="76" s="1"/>
  <c r="O198" i="76" s="1"/>
  <c r="N203" i="76"/>
  <c r="M203" i="76"/>
  <c r="M201" i="76" s="1"/>
  <c r="M199" i="76" s="1"/>
  <c r="M198" i="76" s="1"/>
  <c r="M197" i="76" s="1"/>
  <c r="M196" i="76" s="1"/>
  <c r="L203" i="76"/>
  <c r="K203" i="76"/>
  <c r="K201" i="76" s="1"/>
  <c r="K199" i="76" s="1"/>
  <c r="K198" i="76" s="1"/>
  <c r="J203" i="76"/>
  <c r="I203" i="76"/>
  <c r="I201" i="76" s="1"/>
  <c r="I199" i="76" s="1"/>
  <c r="I198" i="76" s="1"/>
  <c r="H203" i="76"/>
  <c r="G203" i="76"/>
  <c r="G201" i="76" s="1"/>
  <c r="G199" i="76" s="1"/>
  <c r="G198" i="76" s="1"/>
  <c r="G197" i="76" s="1"/>
  <c r="G196" i="76" s="1"/>
  <c r="V201" i="76"/>
  <c r="V199" i="76" s="1"/>
  <c r="T201" i="76"/>
  <c r="T199" i="76" s="1"/>
  <c r="T198" i="76" s="1"/>
  <c r="R201" i="76"/>
  <c r="R199" i="76" s="1"/>
  <c r="P201" i="76"/>
  <c r="P199" i="76" s="1"/>
  <c r="P198" i="76" s="1"/>
  <c r="N201" i="76"/>
  <c r="N199" i="76" s="1"/>
  <c r="L201" i="76"/>
  <c r="L199" i="76" s="1"/>
  <c r="L198" i="76" s="1"/>
  <c r="J201" i="76"/>
  <c r="J199" i="76" s="1"/>
  <c r="H201" i="76"/>
  <c r="H199" i="76" s="1"/>
  <c r="H198" i="76" s="1"/>
  <c r="H197" i="76" s="1"/>
  <c r="H196" i="76" s="1"/>
  <c r="S194" i="76"/>
  <c r="S193" i="76"/>
  <c r="S192" i="76"/>
  <c r="S191" i="76"/>
  <c r="S190" i="76"/>
  <c r="S189" i="76"/>
  <c r="S188" i="76"/>
  <c r="S187" i="76"/>
  <c r="S186" i="76"/>
  <c r="S185" i="76" s="1"/>
  <c r="W185" i="76"/>
  <c r="V185" i="76"/>
  <c r="U185" i="76"/>
  <c r="T185" i="76"/>
  <c r="S184" i="76"/>
  <c r="S183" i="76"/>
  <c r="S182" i="76"/>
  <c r="S181" i="76"/>
  <c r="S180" i="76"/>
  <c r="S179" i="76"/>
  <c r="S178" i="76"/>
  <c r="S177" i="76"/>
  <c r="S176" i="76"/>
  <c r="S175" i="76" s="1"/>
  <c r="W175" i="76"/>
  <c r="V175" i="76"/>
  <c r="U175" i="76"/>
  <c r="T175" i="76"/>
  <c r="S174" i="76"/>
  <c r="S173" i="76"/>
  <c r="S172" i="76"/>
  <c r="S171" i="76"/>
  <c r="S170" i="76"/>
  <c r="S169" i="76"/>
  <c r="S168" i="76"/>
  <c r="S167" i="76"/>
  <c r="S166" i="76"/>
  <c r="S165" i="76" s="1"/>
  <c r="W165" i="76"/>
  <c r="V165" i="76"/>
  <c r="V164" i="76" s="1"/>
  <c r="U165" i="76"/>
  <c r="T165" i="76"/>
  <c r="T164" i="76" s="1"/>
  <c r="W164" i="76"/>
  <c r="W142" i="76" s="1"/>
  <c r="U164" i="76"/>
  <c r="S163" i="76"/>
  <c r="S162" i="76"/>
  <c r="S161" i="76"/>
  <c r="S160" i="76"/>
  <c r="S159" i="76"/>
  <c r="S158" i="76"/>
  <c r="S157" i="76"/>
  <c r="S156" i="76"/>
  <c r="S155" i="76"/>
  <c r="S154" i="76"/>
  <c r="S153" i="76" s="1"/>
  <c r="W153" i="76"/>
  <c r="V153" i="76"/>
  <c r="U153" i="76"/>
  <c r="T153" i="76"/>
  <c r="S152" i="76"/>
  <c r="S151" i="76"/>
  <c r="S150" i="76"/>
  <c r="S149" i="76"/>
  <c r="S148" i="76"/>
  <c r="S147" i="76"/>
  <c r="S146" i="76"/>
  <c r="S145" i="76"/>
  <c r="S144" i="76"/>
  <c r="S143" i="76" s="1"/>
  <c r="W143" i="76"/>
  <c r="V143" i="76"/>
  <c r="V142" i="76" s="1"/>
  <c r="Y15" i="76" s="1"/>
  <c r="U143" i="76"/>
  <c r="T143" i="76"/>
  <c r="T142" i="76" s="1"/>
  <c r="U142" i="76"/>
  <c r="S141" i="76"/>
  <c r="O141" i="76"/>
  <c r="K141" i="76"/>
  <c r="S140" i="76"/>
  <c r="O140" i="76"/>
  <c r="K140" i="76"/>
  <c r="S139" i="76"/>
  <c r="O139" i="76"/>
  <c r="O137" i="76" s="1"/>
  <c r="K139" i="76"/>
  <c r="S138" i="76"/>
  <c r="S137" i="76" s="1"/>
  <c r="O138" i="76"/>
  <c r="K138" i="76"/>
  <c r="K137" i="76" s="1"/>
  <c r="W137" i="76"/>
  <c r="V137" i="76"/>
  <c r="U137" i="76"/>
  <c r="T137" i="76"/>
  <c r="R137" i="76"/>
  <c r="Q137" i="76"/>
  <c r="P137" i="76"/>
  <c r="N137" i="76"/>
  <c r="M137" i="76"/>
  <c r="L137" i="76"/>
  <c r="J137" i="76"/>
  <c r="I137" i="76"/>
  <c r="H137" i="76"/>
  <c r="G137" i="76"/>
  <c r="S136" i="76"/>
  <c r="S134" i="76" s="1"/>
  <c r="O136" i="76"/>
  <c r="K136" i="76"/>
  <c r="S135" i="76"/>
  <c r="O135" i="76"/>
  <c r="O134" i="76" s="1"/>
  <c r="K135" i="76"/>
  <c r="W134" i="76"/>
  <c r="V134" i="76"/>
  <c r="U134" i="76"/>
  <c r="T134" i="76"/>
  <c r="R134" i="76"/>
  <c r="Q134" i="76"/>
  <c r="P134" i="76"/>
  <c r="N134" i="76"/>
  <c r="M134" i="76"/>
  <c r="L134" i="76"/>
  <c r="K134" i="76"/>
  <c r="J134" i="76"/>
  <c r="I134" i="76"/>
  <c r="H134" i="76"/>
  <c r="G134" i="76"/>
  <c r="S133" i="76"/>
  <c r="O133" i="76"/>
  <c r="O132" i="76" s="1"/>
  <c r="O130" i="76" s="1"/>
  <c r="O128" i="76" s="1"/>
  <c r="O127" i="76" s="1"/>
  <c r="K133" i="76"/>
  <c r="W132" i="76"/>
  <c r="W130" i="76" s="1"/>
  <c r="W128" i="76" s="1"/>
  <c r="W127" i="76" s="1"/>
  <c r="V132" i="76"/>
  <c r="U132" i="76"/>
  <c r="U130" i="76" s="1"/>
  <c r="U128" i="76" s="1"/>
  <c r="U127" i="76" s="1"/>
  <c r="T132" i="76"/>
  <c r="S132" i="76"/>
  <c r="S130" i="76" s="1"/>
  <c r="S128" i="76" s="1"/>
  <c r="S127" i="76" s="1"/>
  <c r="R132" i="76"/>
  <c r="Q132" i="76"/>
  <c r="Q130" i="76" s="1"/>
  <c r="Q128" i="76" s="1"/>
  <c r="Q127" i="76" s="1"/>
  <c r="P132" i="76"/>
  <c r="N132" i="76"/>
  <c r="M132" i="76"/>
  <c r="M130" i="76" s="1"/>
  <c r="M128" i="76" s="1"/>
  <c r="M127" i="76" s="1"/>
  <c r="L132" i="76"/>
  <c r="K132" i="76"/>
  <c r="K130" i="76" s="1"/>
  <c r="K128" i="76" s="1"/>
  <c r="K127" i="76" s="1"/>
  <c r="J132" i="76"/>
  <c r="I132" i="76"/>
  <c r="I130" i="76" s="1"/>
  <c r="I128" i="76" s="1"/>
  <c r="I127" i="76" s="1"/>
  <c r="H132" i="76"/>
  <c r="G132" i="76"/>
  <c r="G130" i="76" s="1"/>
  <c r="G128" i="76" s="1"/>
  <c r="G127" i="76" s="1"/>
  <c r="V130" i="76"/>
  <c r="V128" i="76" s="1"/>
  <c r="V127" i="76" s="1"/>
  <c r="T130" i="76"/>
  <c r="T128" i="76" s="1"/>
  <c r="T127" i="76" s="1"/>
  <c r="R130" i="76"/>
  <c r="R128" i="76" s="1"/>
  <c r="R127" i="76" s="1"/>
  <c r="P130" i="76"/>
  <c r="P128" i="76" s="1"/>
  <c r="P127" i="76" s="1"/>
  <c r="N130" i="76"/>
  <c r="N128" i="76" s="1"/>
  <c r="N127" i="76" s="1"/>
  <c r="L130" i="76"/>
  <c r="L128" i="76" s="1"/>
  <c r="L127" i="76" s="1"/>
  <c r="J130" i="76"/>
  <c r="J128" i="76" s="1"/>
  <c r="J127" i="76" s="1"/>
  <c r="H130" i="76"/>
  <c r="H128" i="76" s="1"/>
  <c r="H127" i="76" s="1"/>
  <c r="S126" i="76"/>
  <c r="S125" i="76" s="1"/>
  <c r="S123" i="76" s="1"/>
  <c r="S121" i="76" s="1"/>
  <c r="O126" i="76"/>
  <c r="K126" i="76"/>
  <c r="K125" i="76" s="1"/>
  <c r="K123" i="76" s="1"/>
  <c r="K121" i="76" s="1"/>
  <c r="W125" i="76"/>
  <c r="V125" i="76"/>
  <c r="V123" i="76" s="1"/>
  <c r="V121" i="76" s="1"/>
  <c r="U125" i="76"/>
  <c r="T125" i="76"/>
  <c r="T123" i="76" s="1"/>
  <c r="T121" i="76" s="1"/>
  <c r="R125" i="76"/>
  <c r="R123" i="76" s="1"/>
  <c r="R121" i="76" s="1"/>
  <c r="Q125" i="76"/>
  <c r="P125" i="76"/>
  <c r="P123" i="76" s="1"/>
  <c r="P121" i="76" s="1"/>
  <c r="O125" i="76"/>
  <c r="N125" i="76"/>
  <c r="N123" i="76" s="1"/>
  <c r="N121" i="76" s="1"/>
  <c r="M125" i="76"/>
  <c r="L125" i="76"/>
  <c r="L123" i="76" s="1"/>
  <c r="L121" i="76" s="1"/>
  <c r="J125" i="76"/>
  <c r="J123" i="76" s="1"/>
  <c r="J121" i="76" s="1"/>
  <c r="I125" i="76"/>
  <c r="H125" i="76"/>
  <c r="H123" i="76" s="1"/>
  <c r="H121" i="76" s="1"/>
  <c r="G125" i="76"/>
  <c r="W123" i="76"/>
  <c r="W121" i="76" s="1"/>
  <c r="U123" i="76"/>
  <c r="U121" i="76" s="1"/>
  <c r="Q123" i="76"/>
  <c r="Q121" i="76" s="1"/>
  <c r="O123" i="76"/>
  <c r="O121" i="76" s="1"/>
  <c r="M123" i="76"/>
  <c r="M121" i="76" s="1"/>
  <c r="I123" i="76"/>
  <c r="I121" i="76" s="1"/>
  <c r="G123" i="76"/>
  <c r="G121" i="76" s="1"/>
  <c r="S120" i="76"/>
  <c r="S119" i="76" s="1"/>
  <c r="S117" i="76" s="1"/>
  <c r="S115" i="76" s="1"/>
  <c r="O120" i="76"/>
  <c r="K120" i="76"/>
  <c r="K119" i="76" s="1"/>
  <c r="K117" i="76" s="1"/>
  <c r="K115" i="76" s="1"/>
  <c r="W119" i="76"/>
  <c r="V119" i="76"/>
  <c r="V117" i="76" s="1"/>
  <c r="V115" i="76" s="1"/>
  <c r="U119" i="76"/>
  <c r="T119" i="76"/>
  <c r="T117" i="76" s="1"/>
  <c r="T115" i="76" s="1"/>
  <c r="R119" i="76"/>
  <c r="R117" i="76" s="1"/>
  <c r="R115" i="76" s="1"/>
  <c r="Q119" i="76"/>
  <c r="P119" i="76"/>
  <c r="P117" i="76" s="1"/>
  <c r="P115" i="76" s="1"/>
  <c r="O119" i="76"/>
  <c r="N119" i="76"/>
  <c r="N117" i="76" s="1"/>
  <c r="N115" i="76" s="1"/>
  <c r="M119" i="76"/>
  <c r="L119" i="76"/>
  <c r="L117" i="76" s="1"/>
  <c r="L115" i="76" s="1"/>
  <c r="J119" i="76"/>
  <c r="J117" i="76" s="1"/>
  <c r="J115" i="76" s="1"/>
  <c r="I119" i="76"/>
  <c r="H119" i="76"/>
  <c r="H117" i="76" s="1"/>
  <c r="H115" i="76" s="1"/>
  <c r="G119" i="76"/>
  <c r="W117" i="76"/>
  <c r="W115" i="76" s="1"/>
  <c r="U117" i="76"/>
  <c r="U115" i="76" s="1"/>
  <c r="Q117" i="76"/>
  <c r="Q115" i="76" s="1"/>
  <c r="O117" i="76"/>
  <c r="O115" i="76" s="1"/>
  <c r="M117" i="76"/>
  <c r="M115" i="76" s="1"/>
  <c r="I117" i="76"/>
  <c r="I115" i="76" s="1"/>
  <c r="G117" i="76"/>
  <c r="G115" i="76" s="1"/>
  <c r="S114" i="76"/>
  <c r="O114" i="76"/>
  <c r="K114" i="76"/>
  <c r="S113" i="76"/>
  <c r="O113" i="76"/>
  <c r="K113" i="76"/>
  <c r="W112" i="76"/>
  <c r="W110" i="76" s="1"/>
  <c r="W108" i="76" s="1"/>
  <c r="V112" i="76"/>
  <c r="U112" i="76"/>
  <c r="U110" i="76" s="1"/>
  <c r="U108" i="76" s="1"/>
  <c r="T112" i="76"/>
  <c r="S112" i="76"/>
  <c r="S110" i="76" s="1"/>
  <c r="S108" i="76" s="1"/>
  <c r="R112" i="76"/>
  <c r="Q112" i="76"/>
  <c r="Q110" i="76" s="1"/>
  <c r="Q108" i="76" s="1"/>
  <c r="P112" i="76"/>
  <c r="O112" i="76"/>
  <c r="O110" i="76" s="1"/>
  <c r="O108" i="76" s="1"/>
  <c r="N112" i="76"/>
  <c r="M112" i="76"/>
  <c r="M110" i="76" s="1"/>
  <c r="M108" i="76" s="1"/>
  <c r="L112" i="76"/>
  <c r="K112" i="76"/>
  <c r="K110" i="76" s="1"/>
  <c r="K108" i="76" s="1"/>
  <c r="J112" i="76"/>
  <c r="I112" i="76"/>
  <c r="I110" i="76" s="1"/>
  <c r="I108" i="76" s="1"/>
  <c r="H112" i="76"/>
  <c r="G112" i="76"/>
  <c r="G110" i="76" s="1"/>
  <c r="G108" i="76" s="1"/>
  <c r="V110" i="76"/>
  <c r="V108" i="76" s="1"/>
  <c r="T110" i="76"/>
  <c r="T108" i="76" s="1"/>
  <c r="R110" i="76"/>
  <c r="R108" i="76" s="1"/>
  <c r="P110" i="76"/>
  <c r="P108" i="76" s="1"/>
  <c r="N110" i="76"/>
  <c r="N108" i="76" s="1"/>
  <c r="L110" i="76"/>
  <c r="L108" i="76" s="1"/>
  <c r="J110" i="76"/>
  <c r="J108" i="76" s="1"/>
  <c r="H110" i="76"/>
  <c r="H108" i="76" s="1"/>
  <c r="S107" i="76"/>
  <c r="O107" i="76"/>
  <c r="O106" i="76" s="1"/>
  <c r="O104" i="76" s="1"/>
  <c r="O102" i="76" s="1"/>
  <c r="K107" i="76"/>
  <c r="W106" i="76"/>
  <c r="W104" i="76" s="1"/>
  <c r="W102" i="76" s="1"/>
  <c r="V106" i="76"/>
  <c r="U106" i="76"/>
  <c r="U104" i="76" s="1"/>
  <c r="U102" i="76" s="1"/>
  <c r="T106" i="76"/>
  <c r="S106" i="76"/>
  <c r="S104" i="76" s="1"/>
  <c r="S102" i="76" s="1"/>
  <c r="R106" i="76"/>
  <c r="Q106" i="76"/>
  <c r="Q104" i="76" s="1"/>
  <c r="Q102" i="76" s="1"/>
  <c r="P106" i="76"/>
  <c r="N106" i="76"/>
  <c r="M106" i="76"/>
  <c r="M104" i="76" s="1"/>
  <c r="M102" i="76" s="1"/>
  <c r="L106" i="76"/>
  <c r="K106" i="76"/>
  <c r="K104" i="76" s="1"/>
  <c r="K102" i="76" s="1"/>
  <c r="J106" i="76"/>
  <c r="I106" i="76"/>
  <c r="I104" i="76" s="1"/>
  <c r="I102" i="76" s="1"/>
  <c r="H106" i="76"/>
  <c r="G106" i="76"/>
  <c r="G104" i="76" s="1"/>
  <c r="G102" i="76" s="1"/>
  <c r="V104" i="76"/>
  <c r="V102" i="76" s="1"/>
  <c r="V87" i="76" s="1"/>
  <c r="T104" i="76"/>
  <c r="T102" i="76" s="1"/>
  <c r="R104" i="76"/>
  <c r="R102" i="76" s="1"/>
  <c r="R87" i="76" s="1"/>
  <c r="P104" i="76"/>
  <c r="P102" i="76" s="1"/>
  <c r="N104" i="76"/>
  <c r="N102" i="76" s="1"/>
  <c r="N87" i="76" s="1"/>
  <c r="L104" i="76"/>
  <c r="L102" i="76" s="1"/>
  <c r="J104" i="76"/>
  <c r="J102" i="76" s="1"/>
  <c r="J87" i="76" s="1"/>
  <c r="H104" i="76"/>
  <c r="H102" i="76" s="1"/>
  <c r="S101" i="76"/>
  <c r="O101" i="76"/>
  <c r="K101" i="76"/>
  <c r="W100" i="76"/>
  <c r="W98" i="76" s="1"/>
  <c r="W96" i="76" s="1"/>
  <c r="V100" i="76"/>
  <c r="U100" i="76"/>
  <c r="U98" i="76" s="1"/>
  <c r="U96" i="76" s="1"/>
  <c r="T100" i="76"/>
  <c r="S100" i="76"/>
  <c r="S98" i="76" s="1"/>
  <c r="S96" i="76" s="1"/>
  <c r="R100" i="76"/>
  <c r="Q100" i="76"/>
  <c r="P100" i="76"/>
  <c r="O100" i="76"/>
  <c r="O98" i="76" s="1"/>
  <c r="O96" i="76" s="1"/>
  <c r="N100" i="76"/>
  <c r="M100" i="76"/>
  <c r="L100" i="76"/>
  <c r="K100" i="76"/>
  <c r="K98" i="76" s="1"/>
  <c r="K96" i="76" s="1"/>
  <c r="J100" i="76"/>
  <c r="I100" i="76"/>
  <c r="H100" i="76"/>
  <c r="G100" i="76"/>
  <c r="G98" i="76" s="1"/>
  <c r="G96" i="76" s="1"/>
  <c r="V98" i="76"/>
  <c r="T98" i="76"/>
  <c r="T96" i="76" s="1"/>
  <c r="R98" i="76"/>
  <c r="Q98" i="76"/>
  <c r="P98" i="76"/>
  <c r="P96" i="76" s="1"/>
  <c r="N98" i="76"/>
  <c r="M98" i="76"/>
  <c r="L98" i="76"/>
  <c r="L96" i="76" s="1"/>
  <c r="J98" i="76"/>
  <c r="I98" i="76"/>
  <c r="H98" i="76"/>
  <c r="H96" i="76" s="1"/>
  <c r="V96" i="76"/>
  <c r="R96" i="76"/>
  <c r="Q96" i="76"/>
  <c r="N96" i="76"/>
  <c r="M96" i="76"/>
  <c r="J96" i="76"/>
  <c r="I96" i="76"/>
  <c r="S95" i="76"/>
  <c r="O95" i="76"/>
  <c r="K95" i="76"/>
  <c r="S94" i="76"/>
  <c r="O94" i="76"/>
  <c r="K94" i="76"/>
  <c r="S93" i="76"/>
  <c r="O93" i="76"/>
  <c r="K93" i="76"/>
  <c r="W92" i="76"/>
  <c r="W90" i="76" s="1"/>
  <c r="W88" i="76" s="1"/>
  <c r="V92" i="76"/>
  <c r="U92" i="76"/>
  <c r="T92" i="76"/>
  <c r="S92" i="76"/>
  <c r="S90" i="76" s="1"/>
  <c r="S88" i="76" s="1"/>
  <c r="R92" i="76"/>
  <c r="Q92" i="76"/>
  <c r="P92" i="76"/>
  <c r="O92" i="76"/>
  <c r="O90" i="76" s="1"/>
  <c r="O88" i="76" s="1"/>
  <c r="N92" i="76"/>
  <c r="M92" i="76"/>
  <c r="L92" i="76"/>
  <c r="K92" i="76"/>
  <c r="K90" i="76" s="1"/>
  <c r="K88" i="76" s="1"/>
  <c r="J92" i="76"/>
  <c r="I92" i="76"/>
  <c r="H92" i="76"/>
  <c r="G92" i="76"/>
  <c r="G90" i="76" s="1"/>
  <c r="G88" i="76" s="1"/>
  <c r="V90" i="76"/>
  <c r="U90" i="76"/>
  <c r="T90" i="76"/>
  <c r="T88" i="76" s="1"/>
  <c r="T87" i="76" s="1"/>
  <c r="R90" i="76"/>
  <c r="Q90" i="76"/>
  <c r="P90" i="76"/>
  <c r="P88" i="76" s="1"/>
  <c r="N90" i="76"/>
  <c r="M90" i="76"/>
  <c r="L90" i="76"/>
  <c r="L88" i="76" s="1"/>
  <c r="L87" i="76" s="1"/>
  <c r="J90" i="76"/>
  <c r="I90" i="76"/>
  <c r="H90" i="76"/>
  <c r="H88" i="76" s="1"/>
  <c r="V88" i="76"/>
  <c r="U88" i="76"/>
  <c r="R88" i="76"/>
  <c r="Q88" i="76"/>
  <c r="N88" i="76"/>
  <c r="M88" i="76"/>
  <c r="J88" i="76"/>
  <c r="I88" i="76"/>
  <c r="S86" i="76"/>
  <c r="S84" i="76" s="1"/>
  <c r="S82" i="76" s="1"/>
  <c r="S80" i="76" s="1"/>
  <c r="O86" i="76"/>
  <c r="K86" i="76"/>
  <c r="S85" i="76"/>
  <c r="O85" i="76"/>
  <c r="O84" i="76" s="1"/>
  <c r="O82" i="76" s="1"/>
  <c r="O80" i="76" s="1"/>
  <c r="K85" i="76"/>
  <c r="W84" i="76"/>
  <c r="V84" i="76"/>
  <c r="U84" i="76"/>
  <c r="U82" i="76" s="1"/>
  <c r="U80" i="76" s="1"/>
  <c r="T84" i="76"/>
  <c r="R84" i="76"/>
  <c r="Q84" i="76"/>
  <c r="Q82" i="76" s="1"/>
  <c r="Q80" i="76" s="1"/>
  <c r="P84" i="76"/>
  <c r="N84" i="76"/>
  <c r="M84" i="76"/>
  <c r="M82" i="76" s="1"/>
  <c r="M80" i="76" s="1"/>
  <c r="L84" i="76"/>
  <c r="K84" i="76"/>
  <c r="J84" i="76"/>
  <c r="I84" i="76"/>
  <c r="I82" i="76" s="1"/>
  <c r="I80" i="76" s="1"/>
  <c r="H84" i="76"/>
  <c r="G84" i="76"/>
  <c r="W82" i="76"/>
  <c r="V82" i="76"/>
  <c r="V80" i="76" s="1"/>
  <c r="T82" i="76"/>
  <c r="R82" i="76"/>
  <c r="R80" i="76" s="1"/>
  <c r="P82" i="76"/>
  <c r="N82" i="76"/>
  <c r="N80" i="76" s="1"/>
  <c r="L82" i="76"/>
  <c r="K82" i="76"/>
  <c r="J82" i="76"/>
  <c r="J80" i="76" s="1"/>
  <c r="H82" i="76"/>
  <c r="G82" i="76"/>
  <c r="W80" i="76"/>
  <c r="T80" i="76"/>
  <c r="P80" i="76"/>
  <c r="L80" i="76"/>
  <c r="K80" i="76"/>
  <c r="H80" i="76"/>
  <c r="G80" i="76"/>
  <c r="S79" i="76"/>
  <c r="O79" i="76"/>
  <c r="K79" i="76"/>
  <c r="S78" i="76"/>
  <c r="S76" i="76" s="1"/>
  <c r="S74" i="76" s="1"/>
  <c r="S72" i="76" s="1"/>
  <c r="O78" i="76"/>
  <c r="K78" i="76"/>
  <c r="S77" i="76"/>
  <c r="O77" i="76"/>
  <c r="O76" i="76" s="1"/>
  <c r="O74" i="76" s="1"/>
  <c r="O72" i="76" s="1"/>
  <c r="K77" i="76"/>
  <c r="W76" i="76"/>
  <c r="V76" i="76"/>
  <c r="U76" i="76"/>
  <c r="U74" i="76" s="1"/>
  <c r="U72" i="76" s="1"/>
  <c r="T76" i="76"/>
  <c r="R76" i="76"/>
  <c r="Q76" i="76"/>
  <c r="Q74" i="76" s="1"/>
  <c r="Q72" i="76" s="1"/>
  <c r="P76" i="76"/>
  <c r="N76" i="76"/>
  <c r="M76" i="76"/>
  <c r="M74" i="76" s="1"/>
  <c r="M72" i="76" s="1"/>
  <c r="L76" i="76"/>
  <c r="K76" i="76"/>
  <c r="J76" i="76"/>
  <c r="I76" i="76"/>
  <c r="I74" i="76" s="1"/>
  <c r="I72" i="76" s="1"/>
  <c r="H76" i="76"/>
  <c r="G76" i="76"/>
  <c r="W74" i="76"/>
  <c r="V74" i="76"/>
  <c r="V72" i="76" s="1"/>
  <c r="T74" i="76"/>
  <c r="R74" i="76"/>
  <c r="R72" i="76" s="1"/>
  <c r="P74" i="76"/>
  <c r="N74" i="76"/>
  <c r="N72" i="76" s="1"/>
  <c r="L74" i="76"/>
  <c r="K74" i="76"/>
  <c r="J74" i="76"/>
  <c r="J72" i="76" s="1"/>
  <c r="H74" i="76"/>
  <c r="G74" i="76"/>
  <c r="W72" i="76"/>
  <c r="T72" i="76"/>
  <c r="P72" i="76"/>
  <c r="L72" i="76"/>
  <c r="K72" i="76"/>
  <c r="H72" i="76"/>
  <c r="G72" i="76"/>
  <c r="S71" i="76"/>
  <c r="O71" i="76"/>
  <c r="K71" i="76"/>
  <c r="W70" i="76"/>
  <c r="V70" i="76"/>
  <c r="U70" i="76"/>
  <c r="T70" i="76"/>
  <c r="S70" i="76"/>
  <c r="R70" i="76"/>
  <c r="Q70" i="76"/>
  <c r="P70" i="76"/>
  <c r="O70" i="76"/>
  <c r="N70" i="76"/>
  <c r="M70" i="76"/>
  <c r="L70" i="76"/>
  <c r="K70" i="76"/>
  <c r="J70" i="76"/>
  <c r="I70" i="76"/>
  <c r="H70" i="76"/>
  <c r="G70" i="76"/>
  <c r="S69" i="76"/>
  <c r="P69" i="76"/>
  <c r="O69" i="76"/>
  <c r="M69" i="76"/>
  <c r="K69" i="76" s="1"/>
  <c r="K68" i="76" s="1"/>
  <c r="K67" i="76" s="1"/>
  <c r="K65" i="76" s="1"/>
  <c r="L69" i="76"/>
  <c r="W68" i="76"/>
  <c r="V68" i="76"/>
  <c r="V67" i="76" s="1"/>
  <c r="V65" i="76" s="1"/>
  <c r="U68" i="76"/>
  <c r="T68" i="76"/>
  <c r="S68" i="76"/>
  <c r="R68" i="76"/>
  <c r="R67" i="76" s="1"/>
  <c r="R65" i="76" s="1"/>
  <c r="Q68" i="76"/>
  <c r="P68" i="76"/>
  <c r="O68" i="76"/>
  <c r="N68" i="76"/>
  <c r="N67" i="76" s="1"/>
  <c r="N65" i="76" s="1"/>
  <c r="L68" i="76"/>
  <c r="J68" i="76"/>
  <c r="J67" i="76" s="1"/>
  <c r="J65" i="76" s="1"/>
  <c r="I68" i="76"/>
  <c r="H68" i="76"/>
  <c r="G68" i="76"/>
  <c r="W67" i="76"/>
  <c r="W65" i="76" s="1"/>
  <c r="U67" i="76"/>
  <c r="T67" i="76"/>
  <c r="S67" i="76"/>
  <c r="S65" i="76" s="1"/>
  <c r="Q67" i="76"/>
  <c r="P67" i="76"/>
  <c r="O67" i="76"/>
  <c r="O65" i="76" s="1"/>
  <c r="L67" i="76"/>
  <c r="I67" i="76"/>
  <c r="H67" i="76"/>
  <c r="G67" i="76"/>
  <c r="G65" i="76" s="1"/>
  <c r="U65" i="76"/>
  <c r="T65" i="76"/>
  <c r="Q65" i="76"/>
  <c r="P65" i="76"/>
  <c r="L65" i="76"/>
  <c r="I65" i="76"/>
  <c r="H65" i="76"/>
  <c r="S64" i="76"/>
  <c r="O64" i="76"/>
  <c r="K64" i="76"/>
  <c r="S63" i="76"/>
  <c r="O63" i="76"/>
  <c r="K63" i="76"/>
  <c r="S62" i="76"/>
  <c r="O62" i="76"/>
  <c r="K62" i="76"/>
  <c r="S61" i="76"/>
  <c r="O61" i="76"/>
  <c r="K61" i="76"/>
  <c r="S60" i="76"/>
  <c r="O60" i="76"/>
  <c r="K60" i="76"/>
  <c r="S59" i="76"/>
  <c r="O59" i="76"/>
  <c r="K59" i="76"/>
  <c r="W58" i="76"/>
  <c r="V58" i="76"/>
  <c r="U58" i="76"/>
  <c r="T58" i="76"/>
  <c r="S58" i="76"/>
  <c r="R58" i="76"/>
  <c r="Q58" i="76"/>
  <c r="P58" i="76"/>
  <c r="O58" i="76"/>
  <c r="N58" i="76"/>
  <c r="M58" i="76"/>
  <c r="L58" i="76"/>
  <c r="K58" i="76"/>
  <c r="J58" i="76"/>
  <c r="I58" i="76"/>
  <c r="H58" i="76"/>
  <c r="G58" i="76"/>
  <c r="S57" i="76"/>
  <c r="O57" i="76"/>
  <c r="K57" i="76"/>
  <c r="W56" i="76"/>
  <c r="W55" i="76" s="1"/>
  <c r="W53" i="76" s="1"/>
  <c r="V56" i="76"/>
  <c r="U56" i="76"/>
  <c r="T56" i="76"/>
  <c r="S56" i="76"/>
  <c r="S55" i="76" s="1"/>
  <c r="S53" i="76" s="1"/>
  <c r="R56" i="76"/>
  <c r="Q56" i="76"/>
  <c r="P56" i="76"/>
  <c r="O56" i="76"/>
  <c r="O55" i="76" s="1"/>
  <c r="O53" i="76" s="1"/>
  <c r="N56" i="76"/>
  <c r="M56" i="76"/>
  <c r="L56" i="76"/>
  <c r="K56" i="76"/>
  <c r="K55" i="76" s="1"/>
  <c r="K53" i="76" s="1"/>
  <c r="J56" i="76"/>
  <c r="I56" i="76"/>
  <c r="H56" i="76"/>
  <c r="G56" i="76"/>
  <c r="G55" i="76" s="1"/>
  <c r="G53" i="76" s="1"/>
  <c r="V55" i="76"/>
  <c r="U55" i="76"/>
  <c r="T55" i="76"/>
  <c r="T53" i="76" s="1"/>
  <c r="R55" i="76"/>
  <c r="Q55" i="76"/>
  <c r="P55" i="76"/>
  <c r="P53" i="76" s="1"/>
  <c r="N55" i="76"/>
  <c r="M55" i="76"/>
  <c r="L55" i="76"/>
  <c r="L53" i="76" s="1"/>
  <c r="J55" i="76"/>
  <c r="I55" i="76"/>
  <c r="H55" i="76"/>
  <c r="H53" i="76" s="1"/>
  <c r="V53" i="76"/>
  <c r="U53" i="76"/>
  <c r="R53" i="76"/>
  <c r="Q53" i="76"/>
  <c r="N53" i="76"/>
  <c r="M53" i="76"/>
  <c r="J53" i="76"/>
  <c r="I53" i="76"/>
  <c r="S52" i="76"/>
  <c r="S51" i="76" s="1"/>
  <c r="S49" i="76" s="1"/>
  <c r="S47" i="76" s="1"/>
  <c r="O52" i="76"/>
  <c r="O51" i="76" s="1"/>
  <c r="O49" i="76" s="1"/>
  <c r="O47" i="76" s="1"/>
  <c r="K52" i="76"/>
  <c r="W51" i="76"/>
  <c r="V51" i="76"/>
  <c r="U51" i="76"/>
  <c r="U49" i="76" s="1"/>
  <c r="U47" i="76" s="1"/>
  <c r="T51" i="76"/>
  <c r="R51" i="76"/>
  <c r="Q51" i="76"/>
  <c r="Q49" i="76" s="1"/>
  <c r="Q47" i="76" s="1"/>
  <c r="P51" i="76"/>
  <c r="N51" i="76"/>
  <c r="M51" i="76"/>
  <c r="M49" i="76" s="1"/>
  <c r="M47" i="76" s="1"/>
  <c r="L51" i="76"/>
  <c r="K51" i="76"/>
  <c r="J51" i="76"/>
  <c r="I51" i="76"/>
  <c r="I49" i="76" s="1"/>
  <c r="I47" i="76" s="1"/>
  <c r="H51" i="76"/>
  <c r="G51" i="76"/>
  <c r="W49" i="76"/>
  <c r="V49" i="76"/>
  <c r="V47" i="76" s="1"/>
  <c r="T49" i="76"/>
  <c r="R49" i="76"/>
  <c r="R47" i="76" s="1"/>
  <c r="P49" i="76"/>
  <c r="N49" i="76"/>
  <c r="N47" i="76" s="1"/>
  <c r="L49" i="76"/>
  <c r="K49" i="76"/>
  <c r="J49" i="76"/>
  <c r="J47" i="76" s="1"/>
  <c r="J35" i="76" s="1"/>
  <c r="H49" i="76"/>
  <c r="G49" i="76"/>
  <c r="W47" i="76"/>
  <c r="T47" i="76"/>
  <c r="P47" i="76"/>
  <c r="L47" i="76"/>
  <c r="K47" i="76"/>
  <c r="H47" i="76"/>
  <c r="G47" i="76"/>
  <c r="S46" i="76"/>
  <c r="O46" i="76"/>
  <c r="K46" i="76"/>
  <c r="S45" i="76"/>
  <c r="O45" i="76"/>
  <c r="K45" i="76"/>
  <c r="S44" i="76"/>
  <c r="S42" i="76" s="1"/>
  <c r="O44" i="76"/>
  <c r="K44" i="76"/>
  <c r="S43" i="76"/>
  <c r="O43" i="76"/>
  <c r="O42" i="76" s="1"/>
  <c r="K43" i="76"/>
  <c r="K42" i="76" s="1"/>
  <c r="W42" i="76"/>
  <c r="V42" i="76"/>
  <c r="U42" i="76"/>
  <c r="T42" i="76"/>
  <c r="R42" i="76"/>
  <c r="Q42" i="76"/>
  <c r="P42" i="76"/>
  <c r="N42" i="76"/>
  <c r="M42" i="76"/>
  <c r="L42" i="76"/>
  <c r="J42" i="76"/>
  <c r="I42" i="76"/>
  <c r="H42" i="76"/>
  <c r="G42" i="76"/>
  <c r="S41" i="76"/>
  <c r="O41" i="76"/>
  <c r="K41" i="76"/>
  <c r="S40" i="76"/>
  <c r="O40" i="76"/>
  <c r="K40" i="76"/>
  <c r="W39" i="76"/>
  <c r="W38" i="76" s="1"/>
  <c r="W36" i="76" s="1"/>
  <c r="W35" i="76" s="1"/>
  <c r="V39" i="76"/>
  <c r="U39" i="76"/>
  <c r="T39" i="76"/>
  <c r="S39" i="76"/>
  <c r="R39" i="76"/>
  <c r="Q39" i="76"/>
  <c r="P39" i="76"/>
  <c r="O39" i="76"/>
  <c r="N39" i="76"/>
  <c r="M39" i="76"/>
  <c r="L39" i="76"/>
  <c r="K39" i="76"/>
  <c r="K38" i="76" s="1"/>
  <c r="K36" i="76" s="1"/>
  <c r="J39" i="76"/>
  <c r="I39" i="76"/>
  <c r="H39" i="76"/>
  <c r="G39" i="76"/>
  <c r="G38" i="76" s="1"/>
  <c r="G36" i="76" s="1"/>
  <c r="G35" i="76" s="1"/>
  <c r="V38" i="76"/>
  <c r="U38" i="76"/>
  <c r="T38" i="76"/>
  <c r="T36" i="76" s="1"/>
  <c r="R38" i="76"/>
  <c r="Q38" i="76"/>
  <c r="P38" i="76"/>
  <c r="P36" i="76" s="1"/>
  <c r="P35" i="76" s="1"/>
  <c r="N38" i="76"/>
  <c r="M38" i="76"/>
  <c r="L38" i="76"/>
  <c r="L36" i="76" s="1"/>
  <c r="J38" i="76"/>
  <c r="I38" i="76"/>
  <c r="H38" i="76"/>
  <c r="H36" i="76" s="1"/>
  <c r="H35" i="76" s="1"/>
  <c r="V36" i="76"/>
  <c r="U36" i="76"/>
  <c r="U35" i="76" s="1"/>
  <c r="R36" i="76"/>
  <c r="Q36" i="76"/>
  <c r="Q35" i="76" s="1"/>
  <c r="N36" i="76"/>
  <c r="M36" i="76"/>
  <c r="J36" i="76"/>
  <c r="I36" i="76"/>
  <c r="I35" i="76" s="1"/>
  <c r="S34" i="76"/>
  <c r="S33" i="76" s="1"/>
  <c r="S31" i="76" s="1"/>
  <c r="S29" i="76" s="1"/>
  <c r="S28" i="76" s="1"/>
  <c r="O34" i="76"/>
  <c r="K34" i="76"/>
  <c r="W33" i="76"/>
  <c r="V33" i="76"/>
  <c r="V31" i="76" s="1"/>
  <c r="V29" i="76" s="1"/>
  <c r="V28" i="76" s="1"/>
  <c r="U33" i="76"/>
  <c r="T33" i="76"/>
  <c r="R33" i="76"/>
  <c r="R31" i="76" s="1"/>
  <c r="R29" i="76" s="1"/>
  <c r="R28" i="76" s="1"/>
  <c r="Q33" i="76"/>
  <c r="P33" i="76"/>
  <c r="O33" i="76"/>
  <c r="N33" i="76"/>
  <c r="N31" i="76" s="1"/>
  <c r="N29" i="76" s="1"/>
  <c r="N28" i="76" s="1"/>
  <c r="M33" i="76"/>
  <c r="L33" i="76"/>
  <c r="K33" i="76"/>
  <c r="J33" i="76"/>
  <c r="J31" i="76" s="1"/>
  <c r="J29" i="76" s="1"/>
  <c r="J28" i="76" s="1"/>
  <c r="I33" i="76"/>
  <c r="H33" i="76"/>
  <c r="G33" i="76"/>
  <c r="W31" i="76"/>
  <c r="W29" i="76" s="1"/>
  <c r="W28" i="76" s="1"/>
  <c r="U31" i="76"/>
  <c r="T31" i="76"/>
  <c r="Q31" i="76"/>
  <c r="P31" i="76"/>
  <c r="O31" i="76"/>
  <c r="O29" i="76" s="1"/>
  <c r="O28" i="76" s="1"/>
  <c r="M31" i="76"/>
  <c r="L31" i="76"/>
  <c r="K31" i="76"/>
  <c r="K29" i="76" s="1"/>
  <c r="K28" i="76" s="1"/>
  <c r="I31" i="76"/>
  <c r="H31" i="76"/>
  <c r="G31" i="76"/>
  <c r="G29" i="76" s="1"/>
  <c r="G28" i="76" s="1"/>
  <c r="U29" i="76"/>
  <c r="T29" i="76"/>
  <c r="T28" i="76" s="1"/>
  <c r="Q29" i="76"/>
  <c r="P29" i="76"/>
  <c r="P28" i="76" s="1"/>
  <c r="M29" i="76"/>
  <c r="L29" i="76"/>
  <c r="L28" i="76" s="1"/>
  <c r="I29" i="76"/>
  <c r="H29" i="76"/>
  <c r="H28" i="76" s="1"/>
  <c r="U28" i="76"/>
  <c r="Q28" i="76"/>
  <c r="M28" i="76"/>
  <c r="I28" i="76"/>
  <c r="S27" i="76"/>
  <c r="S26" i="76" s="1"/>
  <c r="S24" i="76" s="1"/>
  <c r="S22" i="76" s="1"/>
  <c r="S21" i="76" s="1"/>
  <c r="O27" i="76"/>
  <c r="O26" i="76" s="1"/>
  <c r="O24" i="76" s="1"/>
  <c r="K27" i="76"/>
  <c r="W26" i="76"/>
  <c r="V26" i="76"/>
  <c r="U26" i="76"/>
  <c r="U24" i="76" s="1"/>
  <c r="U22" i="76" s="1"/>
  <c r="U21" i="76" s="1"/>
  <c r="T26" i="76"/>
  <c r="R26" i="76"/>
  <c r="Q26" i="76"/>
  <c r="Q24" i="76" s="1"/>
  <c r="Q22" i="76" s="1"/>
  <c r="Q21" i="76" s="1"/>
  <c r="P26" i="76"/>
  <c r="N26" i="76"/>
  <c r="M26" i="76"/>
  <c r="M24" i="76" s="1"/>
  <c r="M22" i="76" s="1"/>
  <c r="M21" i="76" s="1"/>
  <c r="L26" i="76"/>
  <c r="K26" i="76"/>
  <c r="J26" i="76"/>
  <c r="I26" i="76"/>
  <c r="I24" i="76" s="1"/>
  <c r="I22" i="76" s="1"/>
  <c r="I21" i="76" s="1"/>
  <c r="H26" i="76"/>
  <c r="G26" i="76"/>
  <c r="W24" i="76"/>
  <c r="V24" i="76"/>
  <c r="V22" i="76" s="1"/>
  <c r="V21" i="76" s="1"/>
  <c r="T24" i="76"/>
  <c r="R24" i="76"/>
  <c r="R22" i="76" s="1"/>
  <c r="R21" i="76" s="1"/>
  <c r="P24" i="76"/>
  <c r="N24" i="76"/>
  <c r="N22" i="76" s="1"/>
  <c r="N21" i="76" s="1"/>
  <c r="L24" i="76"/>
  <c r="K24" i="76"/>
  <c r="J24" i="76"/>
  <c r="J22" i="76" s="1"/>
  <c r="J21" i="76" s="1"/>
  <c r="H24" i="76"/>
  <c r="G24" i="76"/>
  <c r="W22" i="76"/>
  <c r="W21" i="76" s="1"/>
  <c r="T22" i="76"/>
  <c r="P22" i="76"/>
  <c r="O22" i="76"/>
  <c r="O21" i="76" s="1"/>
  <c r="L22" i="76"/>
  <c r="K22" i="76"/>
  <c r="K21" i="76" s="1"/>
  <c r="H22" i="76"/>
  <c r="G22" i="76"/>
  <c r="G21" i="76" s="1"/>
  <c r="T21" i="76"/>
  <c r="P21" i="76"/>
  <c r="L21" i="76"/>
  <c r="H21" i="76"/>
  <c r="S20" i="76"/>
  <c r="O20" i="76"/>
  <c r="O19" i="76" s="1"/>
  <c r="O17" i="76" s="1"/>
  <c r="O15" i="76" s="1"/>
  <c r="O14" i="76" s="1"/>
  <c r="K20" i="76"/>
  <c r="K19" i="76" s="1"/>
  <c r="K17" i="76" s="1"/>
  <c r="K15" i="76" s="1"/>
  <c r="K14" i="76" s="1"/>
  <c r="W19" i="76"/>
  <c r="V19" i="76"/>
  <c r="U19" i="76"/>
  <c r="T19" i="76"/>
  <c r="T17" i="76" s="1"/>
  <c r="T15" i="76" s="1"/>
  <c r="T14" i="76" s="1"/>
  <c r="S19" i="76"/>
  <c r="R19" i="76"/>
  <c r="Q19" i="76"/>
  <c r="P19" i="76"/>
  <c r="P17" i="76" s="1"/>
  <c r="N19" i="76"/>
  <c r="M19" i="76"/>
  <c r="L19" i="76"/>
  <c r="L17" i="76" s="1"/>
  <c r="J19" i="76"/>
  <c r="I19" i="76"/>
  <c r="H19" i="76"/>
  <c r="H17" i="76" s="1"/>
  <c r="G19" i="76"/>
  <c r="W17" i="76"/>
  <c r="V17" i="76"/>
  <c r="U17" i="76"/>
  <c r="U15" i="76" s="1"/>
  <c r="S17" i="76"/>
  <c r="R17" i="76"/>
  <c r="Q17" i="76"/>
  <c r="Q15" i="76" s="1"/>
  <c r="N17" i="76"/>
  <c r="M17" i="76"/>
  <c r="J17" i="76"/>
  <c r="I17" i="76"/>
  <c r="G17" i="76"/>
  <c r="W15" i="76"/>
  <c r="V15" i="76"/>
  <c r="S15" i="76"/>
  <c r="R15" i="76"/>
  <c r="P15" i="76"/>
  <c r="P14" i="76" s="1"/>
  <c r="N15" i="76"/>
  <c r="N14" i="76" s="1"/>
  <c r="M15" i="76"/>
  <c r="L15" i="76"/>
  <c r="L14" i="76" s="1"/>
  <c r="J15" i="76"/>
  <c r="J14" i="76" s="1"/>
  <c r="J13" i="76" s="1"/>
  <c r="J12" i="76" s="1"/>
  <c r="I15" i="76"/>
  <c r="H15" i="76"/>
  <c r="H14" i="76" s="1"/>
  <c r="G15" i="76"/>
  <c r="W14" i="76"/>
  <c r="V14" i="76"/>
  <c r="U14" i="76"/>
  <c r="S14" i="76"/>
  <c r="R14" i="76"/>
  <c r="Q14" i="76"/>
  <c r="M14" i="76"/>
  <c r="I14" i="76"/>
  <c r="G14" i="76"/>
  <c r="D10" i="57" l="1"/>
  <c r="C10" i="59"/>
  <c r="T13" i="76"/>
  <c r="T12" i="76" s="1"/>
  <c r="T35" i="76"/>
  <c r="N35" i="76"/>
  <c r="N13" i="76" s="1"/>
  <c r="N12" i="76" s="1"/>
  <c r="V35" i="76"/>
  <c r="V13" i="76" s="1"/>
  <c r="V12" i="76" s="1"/>
  <c r="M87" i="76"/>
  <c r="U87" i="76"/>
  <c r="U13" i="76" s="1"/>
  <c r="U12" i="76" s="1"/>
  <c r="U11" i="76" s="1"/>
  <c r="P87" i="76"/>
  <c r="P13" i="76" s="1"/>
  <c r="P12" i="76" s="1"/>
  <c r="N198" i="76"/>
  <c r="V198" i="76"/>
  <c r="S142" i="76"/>
  <c r="L35" i="76"/>
  <c r="L13" i="76" s="1"/>
  <c r="L12" i="76" s="1"/>
  <c r="R35" i="76"/>
  <c r="R13" i="76" s="1"/>
  <c r="R12" i="76" s="1"/>
  <c r="I87" i="76"/>
  <c r="I13" i="76" s="1"/>
  <c r="I12" i="76" s="1"/>
  <c r="Q87" i="76"/>
  <c r="Q13" i="76" s="1"/>
  <c r="Q12" i="76" s="1"/>
  <c r="H87" i="76"/>
  <c r="H13" i="76" s="1"/>
  <c r="H12" i="76" s="1"/>
  <c r="H11" i="76" s="1"/>
  <c r="G87" i="76"/>
  <c r="G13" i="76" s="1"/>
  <c r="G12" i="76" s="1"/>
  <c r="G11" i="76" s="1"/>
  <c r="K87" i="76"/>
  <c r="O87" i="76"/>
  <c r="S87" i="76"/>
  <c r="W87" i="76"/>
  <c r="W13" i="76" s="1"/>
  <c r="W12" i="76" s="1"/>
  <c r="S164" i="76"/>
  <c r="J198" i="76"/>
  <c r="R198" i="76"/>
  <c r="R197" i="76" s="1"/>
  <c r="R196" i="76" s="1"/>
  <c r="K35" i="76"/>
  <c r="K13" i="76" s="1"/>
  <c r="K12" i="76" s="1"/>
  <c r="O38" i="76"/>
  <c r="O36" i="76" s="1"/>
  <c r="O35" i="76" s="1"/>
  <c r="O13" i="76" s="1"/>
  <c r="O12" i="76" s="1"/>
  <c r="S38" i="76"/>
  <c r="S36" i="76" s="1"/>
  <c r="S35" i="76" s="1"/>
  <c r="S13" i="76" s="1"/>
  <c r="S12" i="76" s="1"/>
  <c r="T197" i="76"/>
  <c r="T196" i="76" s="1"/>
  <c r="Q197" i="76"/>
  <c r="Q196" i="76" s="1"/>
  <c r="U197" i="76"/>
  <c r="U196" i="76" s="1"/>
  <c r="M68" i="76"/>
  <c r="M67" i="76" s="1"/>
  <c r="M65" i="76" s="1"/>
  <c r="M35" i="76" s="1"/>
  <c r="M13" i="76" s="1"/>
  <c r="M12" i="76" s="1"/>
  <c r="I308" i="76"/>
  <c r="I197" i="76" s="1"/>
  <c r="I196" i="76" s="1"/>
  <c r="U308" i="76"/>
  <c r="N308" i="76"/>
  <c r="R308" i="76"/>
  <c r="I359" i="76"/>
  <c r="J359" i="76"/>
  <c r="P359" i="76"/>
  <c r="V359" i="76"/>
  <c r="O308" i="76"/>
  <c r="L308" i="76"/>
  <c r="L197" i="76" s="1"/>
  <c r="L196" i="76" s="1"/>
  <c r="P308" i="76"/>
  <c r="P197" i="76" s="1"/>
  <c r="P196" i="76" s="1"/>
  <c r="Q359" i="76"/>
  <c r="T359" i="76"/>
  <c r="K359" i="76"/>
  <c r="K197" i="76" s="1"/>
  <c r="K196" i="76" s="1"/>
  <c r="O379" i="76"/>
  <c r="O377" i="76" s="1"/>
  <c r="S311" i="76"/>
  <c r="S309" i="76" s="1"/>
  <c r="S308" i="76" s="1"/>
  <c r="S197" i="76" s="1"/>
  <c r="S196" i="76" s="1"/>
  <c r="O365" i="76"/>
  <c r="O364" i="76" s="1"/>
  <c r="O362" i="76" s="1"/>
  <c r="O360" i="76" s="1"/>
  <c r="S435" i="76"/>
  <c r="S434" i="76" s="1"/>
  <c r="H507" i="76"/>
  <c r="T507" i="76"/>
  <c r="U507" i="76"/>
  <c r="L535" i="76"/>
  <c r="Q535" i="76"/>
  <c r="Q507" i="76" s="1"/>
  <c r="S423" i="76"/>
  <c r="G507" i="76"/>
  <c r="I535" i="76"/>
  <c r="I507" i="76" s="1"/>
  <c r="N535" i="76"/>
  <c r="N507" i="76" s="1"/>
  <c r="S538" i="76"/>
  <c r="S536" i="76" s="1"/>
  <c r="S535" i="76" s="1"/>
  <c r="S507" i="76" s="1"/>
  <c r="O539" i="76"/>
  <c r="O538" i="76" s="1"/>
  <c r="O536" i="76" s="1"/>
  <c r="O535" i="76" s="1"/>
  <c r="O507" i="76" s="1"/>
  <c r="K513" i="76"/>
  <c r="K512" i="76" s="1"/>
  <c r="K511" i="76" s="1"/>
  <c r="K509" i="76" s="1"/>
  <c r="K508" i="76" s="1"/>
  <c r="O541" i="76"/>
  <c r="K544" i="76"/>
  <c r="K542" i="76" s="1"/>
  <c r="K538" i="76" s="1"/>
  <c r="K536" i="76" s="1"/>
  <c r="K535" i="76" s="1"/>
  <c r="O551" i="76"/>
  <c r="O550" i="76" s="1"/>
  <c r="O548" i="76" s="1"/>
  <c r="O546" i="76" s="1"/>
  <c r="K564" i="76"/>
  <c r="K563" i="76" s="1"/>
  <c r="K562" i="76" s="1"/>
  <c r="K560" i="76" s="1"/>
  <c r="K559" i="76" s="1"/>
  <c r="M563" i="76"/>
  <c r="M562" i="76" s="1"/>
  <c r="M560" i="76" s="1"/>
  <c r="M559" i="76" s="1"/>
  <c r="M507" i="76" s="1"/>
  <c r="O580" i="76"/>
  <c r="W580" i="76"/>
  <c r="W507" i="76" s="1"/>
  <c r="R512" i="76"/>
  <c r="R511" i="76" s="1"/>
  <c r="R509" i="76" s="1"/>
  <c r="R508" i="76" s="1"/>
  <c r="M571" i="76"/>
  <c r="M569" i="76" s="1"/>
  <c r="M567" i="76" s="1"/>
  <c r="M566" i="76" s="1"/>
  <c r="H580" i="76"/>
  <c r="G580" i="76"/>
  <c r="K580" i="76"/>
  <c r="R542" i="76"/>
  <c r="R538" i="76" s="1"/>
  <c r="R536" i="76" s="1"/>
  <c r="R535" i="76" s="1"/>
  <c r="K620" i="76"/>
  <c r="K619" i="76" s="1"/>
  <c r="K617" i="76" s="1"/>
  <c r="K592" i="76"/>
  <c r="K591" i="76" s="1"/>
  <c r="K589" i="76" s="1"/>
  <c r="K587" i="76" s="1"/>
  <c r="L591" i="76"/>
  <c r="L589" i="76" s="1"/>
  <c r="L587" i="76" s="1"/>
  <c r="L580" i="76" s="1"/>
  <c r="L507" i="76" s="1"/>
  <c r="Q591" i="76"/>
  <c r="Q589" i="76" s="1"/>
  <c r="Q587" i="76" s="1"/>
  <c r="Q580" i="76" s="1"/>
  <c r="W11" i="76" l="1"/>
  <c r="L11" i="76"/>
  <c r="P11" i="76"/>
  <c r="N11" i="76"/>
  <c r="M11" i="76"/>
  <c r="S11" i="76"/>
  <c r="Q11" i="76"/>
  <c r="I11" i="76"/>
  <c r="R507" i="76"/>
  <c r="K507" i="76"/>
  <c r="K11" i="76" s="1"/>
  <c r="O359" i="76"/>
  <c r="O197" i="76" s="1"/>
  <c r="O196" i="76" s="1"/>
  <c r="O11" i="76" s="1"/>
  <c r="R11" i="76"/>
  <c r="V197" i="76"/>
  <c r="V196" i="76" s="1"/>
  <c r="N197" i="76"/>
  <c r="N196" i="76" s="1"/>
  <c r="V11" i="76"/>
  <c r="T11" i="76"/>
  <c r="J197" i="76"/>
  <c r="J196" i="76" s="1"/>
  <c r="J11" i="76" s="1"/>
  <c r="M14" i="43" l="1"/>
  <c r="M21" i="62"/>
  <c r="M20" i="62"/>
  <c r="M19" i="62"/>
  <c r="M18" i="62"/>
  <c r="M17" i="62"/>
  <c r="M16" i="62"/>
  <c r="M15" i="62"/>
  <c r="M14" i="62"/>
  <c r="M13" i="62"/>
  <c r="Q44" i="74"/>
  <c r="C44" i="74" s="1"/>
  <c r="L43" i="74"/>
  <c r="K43" i="74"/>
  <c r="C43" i="74"/>
  <c r="C42" i="74"/>
  <c r="C41" i="74"/>
  <c r="C40" i="74"/>
  <c r="L39" i="74"/>
  <c r="K39" i="74"/>
  <c r="C39" i="74"/>
  <c r="C38" i="74"/>
  <c r="C37" i="74"/>
  <c r="L36" i="74"/>
  <c r="C36" i="74" s="1"/>
  <c r="K36" i="74"/>
  <c r="C35" i="74"/>
  <c r="C34" i="74"/>
  <c r="C33" i="74"/>
  <c r="C32" i="74"/>
  <c r="C31" i="74"/>
  <c r="C30" i="74"/>
  <c r="C29" i="74"/>
  <c r="C28" i="74"/>
  <c r="C27" i="74"/>
  <c r="C26" i="74"/>
  <c r="L25" i="74"/>
  <c r="K25" i="74"/>
  <c r="C25" i="74"/>
  <c r="J24" i="74"/>
  <c r="C24" i="74"/>
  <c r="M23" i="74"/>
  <c r="K23" i="74"/>
  <c r="C23" i="74" s="1"/>
  <c r="C22" i="74"/>
  <c r="C21" i="74"/>
  <c r="C20" i="74"/>
  <c r="C19" i="74"/>
  <c r="C18" i="74"/>
  <c r="C17" i="74"/>
  <c r="C16" i="74"/>
  <c r="C15" i="74"/>
  <c r="C14" i="74"/>
  <c r="C13" i="74"/>
  <c r="C12" i="74"/>
  <c r="Q11" i="74"/>
  <c r="P11" i="74"/>
  <c r="O11" i="74"/>
  <c r="N11" i="74"/>
  <c r="M11" i="74"/>
  <c r="L11" i="74"/>
  <c r="K11" i="74"/>
  <c r="J11" i="74"/>
  <c r="I11" i="74"/>
  <c r="H11" i="74"/>
  <c r="G11" i="74"/>
  <c r="F11" i="74"/>
  <c r="E11" i="74"/>
  <c r="D11" i="74"/>
  <c r="C11" i="74" l="1"/>
  <c r="I26" i="73"/>
  <c r="F26" i="73"/>
  <c r="E26" i="73"/>
  <c r="D26" i="73"/>
  <c r="C26" i="73"/>
  <c r="I25" i="73"/>
  <c r="F25" i="73"/>
  <c r="E25" i="73"/>
  <c r="D25" i="73"/>
  <c r="C25" i="73" s="1"/>
  <c r="I24" i="73"/>
  <c r="F24" i="73"/>
  <c r="E24" i="73"/>
  <c r="D24" i="73"/>
  <c r="C24" i="73"/>
  <c r="I23" i="73"/>
  <c r="F23" i="73"/>
  <c r="E23" i="73"/>
  <c r="D23" i="73"/>
  <c r="C23" i="73" s="1"/>
  <c r="I22" i="73"/>
  <c r="F22" i="73"/>
  <c r="E22" i="73"/>
  <c r="C22" i="73" s="1"/>
  <c r="D22" i="73"/>
  <c r="I21" i="73"/>
  <c r="F21" i="73"/>
  <c r="E21" i="73"/>
  <c r="D21" i="73"/>
  <c r="C21" i="73" s="1"/>
  <c r="I20" i="73"/>
  <c r="F20" i="73"/>
  <c r="E20" i="73"/>
  <c r="D20" i="73"/>
  <c r="C20" i="73"/>
  <c r="I19" i="73"/>
  <c r="F19" i="73"/>
  <c r="E19" i="73"/>
  <c r="D19" i="73"/>
  <c r="C19" i="73" s="1"/>
  <c r="I18" i="73"/>
  <c r="F18" i="73"/>
  <c r="E18" i="73"/>
  <c r="C18" i="73" s="1"/>
  <c r="D18" i="73"/>
  <c r="K17" i="73"/>
  <c r="J17" i="73"/>
  <c r="I17" i="73" s="1"/>
  <c r="H17" i="73"/>
  <c r="E17" i="73" s="1"/>
  <c r="G17" i="73"/>
  <c r="F17" i="73"/>
  <c r="D17" i="73"/>
  <c r="C17" i="73" s="1"/>
  <c r="I16" i="73"/>
  <c r="F16" i="73"/>
  <c r="E16" i="73"/>
  <c r="D16" i="73"/>
  <c r="C16" i="73"/>
  <c r="I15" i="73"/>
  <c r="F15" i="73"/>
  <c r="E15" i="73"/>
  <c r="D15" i="73"/>
  <c r="C15" i="73" s="1"/>
  <c r="I14" i="73"/>
  <c r="F14" i="73"/>
  <c r="E14" i="73"/>
  <c r="C14" i="73" s="1"/>
  <c r="D14" i="73"/>
  <c r="I13" i="73"/>
  <c r="F13" i="73"/>
  <c r="E13" i="73"/>
  <c r="D13" i="73"/>
  <c r="C13" i="73" s="1"/>
  <c r="I12" i="73"/>
  <c r="F12" i="73"/>
  <c r="E12" i="73"/>
  <c r="D12" i="73"/>
  <c r="C12" i="73"/>
  <c r="I11" i="73"/>
  <c r="F11" i="73"/>
  <c r="E11" i="73"/>
  <c r="D11" i="73"/>
  <c r="C11" i="73" s="1"/>
  <c r="I10" i="73"/>
  <c r="F10" i="73"/>
  <c r="E10" i="73"/>
  <c r="C10" i="73" s="1"/>
  <c r="D10" i="73"/>
  <c r="I9" i="73"/>
  <c r="F9" i="73"/>
  <c r="E9" i="73"/>
  <c r="D9" i="73"/>
  <c r="C9" i="73" s="1"/>
  <c r="I8" i="73"/>
  <c r="F8" i="73"/>
  <c r="E8" i="73"/>
  <c r="D8" i="73"/>
  <c r="C8" i="73"/>
  <c r="K7" i="73"/>
  <c r="I7" i="73"/>
  <c r="H7" i="73"/>
  <c r="F7" i="73"/>
  <c r="E7" i="73"/>
  <c r="D7" i="73"/>
  <c r="C7" i="73" s="1"/>
  <c r="K6" i="73"/>
  <c r="I6" i="73" s="1"/>
  <c r="J6" i="73"/>
  <c r="H6" i="73"/>
  <c r="G6" i="73"/>
  <c r="D6" i="73" s="1"/>
  <c r="C6" i="73" l="1"/>
  <c r="E6" i="73"/>
  <c r="F6" i="73"/>
  <c r="L252" i="50" l="1"/>
  <c r="L253" i="50" l="1"/>
  <c r="J252" i="50"/>
  <c r="S11" i="63"/>
  <c r="P11" i="63"/>
  <c r="O11" i="63"/>
  <c r="L11" i="63"/>
  <c r="H11" i="63"/>
  <c r="S12" i="63"/>
  <c r="R12" i="63"/>
  <c r="Q12" i="63"/>
  <c r="P12" i="63"/>
  <c r="O12" i="63"/>
  <c r="N12" i="63"/>
  <c r="M12" i="63"/>
  <c r="L12" i="63"/>
  <c r="K12" i="63"/>
  <c r="J12" i="63"/>
  <c r="I12" i="63"/>
  <c r="S22" i="63"/>
  <c r="R22" i="63"/>
  <c r="R11" i="63" s="1"/>
  <c r="Q11" i="63" s="1"/>
  <c r="P22" i="63"/>
  <c r="O22" i="63"/>
  <c r="L22" i="63"/>
  <c r="K22" i="63"/>
  <c r="K11" i="63" s="1"/>
  <c r="I22" i="63"/>
  <c r="I11" i="63" s="1"/>
  <c r="H22" i="63"/>
  <c r="H12" i="63"/>
  <c r="C21" i="63"/>
  <c r="C20" i="63"/>
  <c r="C19" i="63"/>
  <c r="C18" i="63"/>
  <c r="C17" i="63"/>
  <c r="C16" i="63"/>
  <c r="C15" i="63"/>
  <c r="C14" i="63"/>
  <c r="C13" i="63"/>
  <c r="M21" i="63"/>
  <c r="M20" i="63"/>
  <c r="M19" i="63"/>
  <c r="M18" i="63"/>
  <c r="M17" i="63"/>
  <c r="M16" i="63"/>
  <c r="M15" i="63"/>
  <c r="M14" i="63"/>
  <c r="M13" i="63"/>
  <c r="F21" i="63"/>
  <c r="F20" i="63"/>
  <c r="F19" i="63"/>
  <c r="F18" i="63"/>
  <c r="F17" i="63"/>
  <c r="F16" i="63"/>
  <c r="F15" i="63"/>
  <c r="F14" i="63"/>
  <c r="F13" i="63"/>
  <c r="E31" i="63"/>
  <c r="E27" i="63"/>
  <c r="E21" i="63"/>
  <c r="E20" i="63"/>
  <c r="E19" i="63"/>
  <c r="E18" i="63"/>
  <c r="E17" i="63"/>
  <c r="E16" i="63"/>
  <c r="E15" i="63"/>
  <c r="E14" i="63"/>
  <c r="E13" i="63"/>
  <c r="E12" i="63"/>
  <c r="D21" i="63"/>
  <c r="D20" i="63"/>
  <c r="D19" i="63"/>
  <c r="D18" i="63"/>
  <c r="D17" i="63"/>
  <c r="D16" i="63"/>
  <c r="D15" i="63"/>
  <c r="D14" i="63"/>
  <c r="D13" i="63"/>
  <c r="Q31" i="63"/>
  <c r="Q30" i="63"/>
  <c r="Q29" i="63"/>
  <c r="Q28" i="63"/>
  <c r="Q27" i="63"/>
  <c r="Q26" i="63"/>
  <c r="Q25" i="63"/>
  <c r="Q24" i="63"/>
  <c r="Q22" i="63" s="1"/>
  <c r="Q23" i="63"/>
  <c r="E23" i="63" s="1"/>
  <c r="Q21" i="63"/>
  <c r="Q20" i="63"/>
  <c r="Q19" i="63"/>
  <c r="Q18" i="63"/>
  <c r="Q17" i="63"/>
  <c r="Q16" i="63"/>
  <c r="Q15" i="63"/>
  <c r="Q14" i="63"/>
  <c r="Q13" i="63"/>
  <c r="N31" i="63"/>
  <c r="M31" i="63" s="1"/>
  <c r="N30" i="63"/>
  <c r="M30" i="63" s="1"/>
  <c r="N29" i="63"/>
  <c r="M29" i="63" s="1"/>
  <c r="N28" i="63"/>
  <c r="N27" i="63"/>
  <c r="M27" i="63" s="1"/>
  <c r="N26" i="63"/>
  <c r="M26" i="63" s="1"/>
  <c r="N25" i="63"/>
  <c r="M25" i="63" s="1"/>
  <c r="N24" i="63"/>
  <c r="N23" i="63"/>
  <c r="N22" i="63" s="1"/>
  <c r="N21" i="63"/>
  <c r="N20" i="63"/>
  <c r="N19" i="63"/>
  <c r="N18" i="63"/>
  <c r="N17" i="63"/>
  <c r="N16" i="63"/>
  <c r="N15" i="63"/>
  <c r="N14" i="63"/>
  <c r="N13" i="63"/>
  <c r="J31" i="63"/>
  <c r="J30" i="63"/>
  <c r="E30" i="63" s="1"/>
  <c r="J29" i="63"/>
  <c r="E29" i="63" s="1"/>
  <c r="J28" i="63"/>
  <c r="J27" i="63"/>
  <c r="J26" i="63"/>
  <c r="E26" i="63" s="1"/>
  <c r="J25" i="63"/>
  <c r="J22" i="63" s="1"/>
  <c r="J24" i="63"/>
  <c r="J23" i="63"/>
  <c r="J21" i="63"/>
  <c r="J20" i="63"/>
  <c r="J19" i="63"/>
  <c r="J18" i="63"/>
  <c r="J17" i="63"/>
  <c r="J16" i="63"/>
  <c r="J15" i="63"/>
  <c r="J14" i="63"/>
  <c r="J13" i="63"/>
  <c r="G31" i="63"/>
  <c r="F31" i="63" s="1"/>
  <c r="G30" i="63"/>
  <c r="F30" i="63" s="1"/>
  <c r="G29" i="63"/>
  <c r="D29" i="63" s="1"/>
  <c r="G28" i="63"/>
  <c r="D28" i="63" s="1"/>
  <c r="G27" i="63"/>
  <c r="F27" i="63" s="1"/>
  <c r="G26" i="63"/>
  <c r="F26" i="63" s="1"/>
  <c r="G25" i="63"/>
  <c r="D25" i="63" s="1"/>
  <c r="G24" i="63"/>
  <c r="D24" i="63" s="1"/>
  <c r="G23" i="63"/>
  <c r="F23" i="63" s="1"/>
  <c r="G22" i="63"/>
  <c r="G21" i="63"/>
  <c r="G20" i="63"/>
  <c r="G19" i="63"/>
  <c r="G18" i="63"/>
  <c r="G17" i="63"/>
  <c r="G16" i="63"/>
  <c r="G15" i="63"/>
  <c r="G14" i="63"/>
  <c r="G13" i="63"/>
  <c r="G12" i="63"/>
  <c r="D12" i="63" s="1"/>
  <c r="M24" i="63" l="1"/>
  <c r="M28" i="63"/>
  <c r="E22" i="63"/>
  <c r="E24" i="63"/>
  <c r="C24" i="63" s="1"/>
  <c r="E28" i="63"/>
  <c r="M23" i="63"/>
  <c r="M22" i="63" s="1"/>
  <c r="C28" i="63"/>
  <c r="E25" i="63"/>
  <c r="C25" i="63" s="1"/>
  <c r="C29" i="63"/>
  <c r="F22" i="63"/>
  <c r="D26" i="63"/>
  <c r="C26" i="63" s="1"/>
  <c r="D30" i="63"/>
  <c r="C30" i="63" s="1"/>
  <c r="F28" i="63"/>
  <c r="F24" i="63"/>
  <c r="D23" i="63"/>
  <c r="C23" i="63" s="1"/>
  <c r="D27" i="63"/>
  <c r="C27" i="63" s="1"/>
  <c r="D31" i="63"/>
  <c r="C31" i="63" s="1"/>
  <c r="F25" i="63"/>
  <c r="F29" i="63"/>
  <c r="N11" i="63"/>
  <c r="M11" i="63" s="1"/>
  <c r="J11" i="63"/>
  <c r="E11" i="63" s="1"/>
  <c r="G11" i="63"/>
  <c r="C12" i="63"/>
  <c r="D22" i="63"/>
  <c r="C22" i="63" s="1"/>
  <c r="F12" i="63"/>
  <c r="L21" i="62"/>
  <c r="L20" i="62"/>
  <c r="L19" i="62"/>
  <c r="L18" i="62"/>
  <c r="L17" i="62"/>
  <c r="L16" i="62"/>
  <c r="L15" i="62"/>
  <c r="L14" i="62"/>
  <c r="L13" i="62"/>
  <c r="K21" i="62"/>
  <c r="K20" i="62"/>
  <c r="J20" i="62" s="1"/>
  <c r="K19" i="62"/>
  <c r="J19" i="62" s="1"/>
  <c r="K18" i="62"/>
  <c r="K17" i="62"/>
  <c r="K16" i="62"/>
  <c r="J16" i="62" s="1"/>
  <c r="K15" i="62"/>
  <c r="J15" i="62" s="1"/>
  <c r="K14" i="62"/>
  <c r="K13" i="62"/>
  <c r="H21" i="62"/>
  <c r="H20" i="62"/>
  <c r="H19" i="62"/>
  <c r="H18" i="62"/>
  <c r="H17" i="62"/>
  <c r="H16" i="62"/>
  <c r="H15" i="62"/>
  <c r="H14" i="62"/>
  <c r="H13" i="62"/>
  <c r="C1" i="35"/>
  <c r="L1" i="35"/>
  <c r="K1" i="35"/>
  <c r="J1" i="35"/>
  <c r="I1" i="35"/>
  <c r="H1" i="35"/>
  <c r="G1" i="35"/>
  <c r="F1" i="35"/>
  <c r="E1" i="35"/>
  <c r="D1" i="35"/>
  <c r="I21" i="62"/>
  <c r="I20" i="62"/>
  <c r="I19" i="62"/>
  <c r="I18" i="62"/>
  <c r="I17" i="62"/>
  <c r="I16" i="62"/>
  <c r="I15" i="62"/>
  <c r="I14" i="62"/>
  <c r="I13" i="62"/>
  <c r="G21" i="62"/>
  <c r="E21" i="62" s="1"/>
  <c r="G20" i="62"/>
  <c r="E20" i="62" s="1"/>
  <c r="G19" i="62"/>
  <c r="G18" i="62"/>
  <c r="G17" i="62"/>
  <c r="E17" i="62" s="1"/>
  <c r="G16" i="62"/>
  <c r="E16" i="62" s="1"/>
  <c r="G15" i="62"/>
  <c r="G14" i="62"/>
  <c r="G13" i="62"/>
  <c r="E13" i="62" s="1"/>
  <c r="F19" i="62"/>
  <c r="E19" i="62" s="1"/>
  <c r="D19" i="62" s="1"/>
  <c r="F14" i="62"/>
  <c r="C21" i="62"/>
  <c r="C13" i="62"/>
  <c r="C17" i="62" l="1"/>
  <c r="F11" i="63"/>
  <c r="D11" i="63"/>
  <c r="C11" i="63" s="1"/>
  <c r="D16" i="62"/>
  <c r="E18" i="62"/>
  <c r="K12" i="62"/>
  <c r="J17" i="62"/>
  <c r="D17" i="62" s="1"/>
  <c r="J21" i="62"/>
  <c r="D20" i="62"/>
  <c r="J14" i="62"/>
  <c r="J18" i="62"/>
  <c r="D21" i="62"/>
  <c r="D18" i="62"/>
  <c r="J13" i="62"/>
  <c r="J12" i="62" s="1"/>
  <c r="F12" i="62"/>
  <c r="E15" i="62"/>
  <c r="D15" i="62" s="1"/>
  <c r="I12" i="62"/>
  <c r="L12" i="62"/>
  <c r="G12" i="62"/>
  <c r="E14" i="62"/>
  <c r="H12" i="62"/>
  <c r="C16" i="62"/>
  <c r="C14" i="62"/>
  <c r="C19" i="62"/>
  <c r="C15" i="62"/>
  <c r="C20" i="62"/>
  <c r="E12" i="62" l="1"/>
  <c r="D14" i="62"/>
  <c r="D13" i="62"/>
  <c r="D12" i="62" s="1"/>
  <c r="C18" i="62"/>
  <c r="M12" i="62" l="1"/>
  <c r="C12" i="62" s="1"/>
  <c r="D39" i="70" l="1"/>
  <c r="V243" i="50"/>
  <c r="K20" i="61" l="1"/>
  <c r="K19" i="61"/>
  <c r="K18" i="61"/>
  <c r="K17" i="61"/>
  <c r="K16" i="61"/>
  <c r="K15" i="61"/>
  <c r="K14" i="61"/>
  <c r="K13" i="61"/>
  <c r="K12" i="61"/>
  <c r="I12" i="61"/>
  <c r="I20" i="61"/>
  <c r="I19" i="61"/>
  <c r="I18" i="61"/>
  <c r="I17" i="61"/>
  <c r="I16" i="61"/>
  <c r="I15" i="61"/>
  <c r="I14" i="61"/>
  <c r="I13" i="61"/>
  <c r="J11" i="61"/>
  <c r="H20" i="61"/>
  <c r="H19" i="61"/>
  <c r="H18" i="61"/>
  <c r="H17" i="61"/>
  <c r="H16" i="61"/>
  <c r="H15" i="61"/>
  <c r="H14" i="61"/>
  <c r="H13" i="61"/>
  <c r="H12" i="61"/>
  <c r="G20" i="61"/>
  <c r="G19" i="61"/>
  <c r="G18" i="61"/>
  <c r="G17" i="61"/>
  <c r="G16" i="61"/>
  <c r="G15" i="61"/>
  <c r="G14" i="61"/>
  <c r="G13" i="61"/>
  <c r="G12" i="61"/>
  <c r="F20" i="61"/>
  <c r="F19" i="61"/>
  <c r="F18" i="61"/>
  <c r="F17" i="61"/>
  <c r="F16" i="61"/>
  <c r="F15" i="61"/>
  <c r="F14" i="61"/>
  <c r="F13" i="61"/>
  <c r="F12" i="61"/>
  <c r="E11" i="61"/>
  <c r="D11" i="61"/>
  <c r="F38" i="52"/>
  <c r="F36" i="52"/>
  <c r="F35" i="52"/>
  <c r="F33" i="52"/>
  <c r="F31" i="52"/>
  <c r="F29" i="52"/>
  <c r="F28" i="52"/>
  <c r="F27" i="52"/>
  <c r="F26" i="52"/>
  <c r="F25" i="52"/>
  <c r="F23" i="52"/>
  <c r="F20" i="52"/>
  <c r="F16" i="52"/>
  <c r="F14" i="52"/>
  <c r="F13" i="52"/>
  <c r="F12" i="52"/>
  <c r="F11" i="52"/>
  <c r="F10" i="52"/>
  <c r="F9" i="52"/>
  <c r="F8" i="52"/>
  <c r="E38" i="52"/>
  <c r="E36" i="52" s="1"/>
  <c r="E35" i="52"/>
  <c r="E33" i="52" s="1"/>
  <c r="E31" i="52"/>
  <c r="E26" i="52"/>
  <c r="E28" i="52"/>
  <c r="E29" i="52"/>
  <c r="E27" i="52"/>
  <c r="E23" i="52"/>
  <c r="E20" i="52"/>
  <c r="D38" i="52"/>
  <c r="D35" i="52"/>
  <c r="D32" i="52"/>
  <c r="D31" i="52"/>
  <c r="D26" i="52"/>
  <c r="D29" i="52"/>
  <c r="D28" i="52"/>
  <c r="D27" i="52"/>
  <c r="D19" i="52"/>
  <c r="D25" i="52"/>
  <c r="D24" i="52"/>
  <c r="D23" i="52"/>
  <c r="D22" i="52"/>
  <c r="D21" i="52"/>
  <c r="D20" i="52"/>
  <c r="D36" i="52"/>
  <c r="C36" i="52"/>
  <c r="C38" i="52"/>
  <c r="C37" i="52"/>
  <c r="C33" i="52"/>
  <c r="C35" i="52"/>
  <c r="C34" i="52"/>
  <c r="C32" i="52"/>
  <c r="C18" i="52"/>
  <c r="C25" i="52"/>
  <c r="C19" i="52" s="1"/>
  <c r="C26" i="52"/>
  <c r="C31" i="52"/>
  <c r="C29" i="52"/>
  <c r="C28" i="52"/>
  <c r="C27" i="52"/>
  <c r="C24" i="52"/>
  <c r="C23" i="52"/>
  <c r="C22" i="52"/>
  <c r="C21" i="52"/>
  <c r="C20" i="52"/>
  <c r="E16" i="52"/>
  <c r="D16" i="52"/>
  <c r="C16" i="52"/>
  <c r="E14" i="52"/>
  <c r="E13" i="52"/>
  <c r="E12" i="52" s="1"/>
  <c r="E8" i="52" s="1"/>
  <c r="D14" i="52"/>
  <c r="D13" i="52"/>
  <c r="D12" i="52" s="1"/>
  <c r="D8" i="52" s="1"/>
  <c r="C14" i="52"/>
  <c r="C13" i="52"/>
  <c r="C12" i="52" s="1"/>
  <c r="C8" i="52" s="1"/>
  <c r="E9" i="52"/>
  <c r="D9" i="52"/>
  <c r="C9" i="52"/>
  <c r="D43" i="54"/>
  <c r="D11" i="53"/>
  <c r="C19" i="61" l="1"/>
  <c r="C15" i="61"/>
  <c r="C13" i="61"/>
  <c r="C17" i="61"/>
  <c r="C14" i="61"/>
  <c r="C18" i="61"/>
  <c r="H11" i="61"/>
  <c r="C12" i="61"/>
  <c r="C16" i="61"/>
  <c r="C20" i="61"/>
  <c r="K11" i="61"/>
  <c r="I11" i="61"/>
  <c r="G11" i="61"/>
  <c r="F11" i="61"/>
  <c r="D33" i="52"/>
  <c r="D18" i="52"/>
  <c r="C11" i="61" l="1"/>
  <c r="F34" i="53"/>
  <c r="D14" i="53"/>
  <c r="D13" i="53"/>
  <c r="E33" i="53"/>
  <c r="E35" i="53"/>
  <c r="F35" i="53" s="1"/>
  <c r="E34" i="53"/>
  <c r="E29" i="53"/>
  <c r="E27" i="53"/>
  <c r="E22" i="53"/>
  <c r="F22" i="53" s="1"/>
  <c r="E21" i="53"/>
  <c r="E20" i="53" s="1"/>
  <c r="E19" i="53"/>
  <c r="K18" i="53" s="1"/>
  <c r="E16" i="53"/>
  <c r="F16" i="53" s="1"/>
  <c r="E14" i="53"/>
  <c r="F14" i="53" s="1"/>
  <c r="E13" i="53"/>
  <c r="F13" i="53" s="1"/>
  <c r="E11" i="53"/>
  <c r="K11" i="53" s="1"/>
  <c r="C35" i="53"/>
  <c r="D35" i="53" s="1"/>
  <c r="C34" i="53"/>
  <c r="D34" i="53" s="1"/>
  <c r="C27" i="53"/>
  <c r="D27" i="53" s="1"/>
  <c r="C22" i="53"/>
  <c r="C30" i="53" s="1"/>
  <c r="D30" i="53" s="1"/>
  <c r="C21" i="53"/>
  <c r="C20" i="53" s="1"/>
  <c r="C19" i="53"/>
  <c r="C16" i="53"/>
  <c r="C14" i="53"/>
  <c r="C13" i="53"/>
  <c r="C11" i="53"/>
  <c r="H69" i="54"/>
  <c r="G69" i="54"/>
  <c r="H68" i="54"/>
  <c r="G68" i="54"/>
  <c r="H67" i="54"/>
  <c r="G67" i="54"/>
  <c r="H66" i="54"/>
  <c r="G66" i="54"/>
  <c r="H63" i="54"/>
  <c r="G63" i="54"/>
  <c r="G62" i="54"/>
  <c r="G61" i="54"/>
  <c r="G60" i="54"/>
  <c r="H59" i="54"/>
  <c r="G59" i="54"/>
  <c r="H58" i="54"/>
  <c r="G58" i="54"/>
  <c r="H53" i="54"/>
  <c r="G53" i="54"/>
  <c r="H52" i="54"/>
  <c r="G52" i="54"/>
  <c r="H51" i="54"/>
  <c r="G51" i="54"/>
  <c r="H50" i="54"/>
  <c r="G50" i="54"/>
  <c r="H49" i="54"/>
  <c r="G49" i="54"/>
  <c r="H47" i="54"/>
  <c r="G47" i="54"/>
  <c r="G46" i="54"/>
  <c r="H44" i="54"/>
  <c r="G44" i="54"/>
  <c r="H43" i="54"/>
  <c r="G43" i="54"/>
  <c r="H42" i="54"/>
  <c r="G42" i="54"/>
  <c r="G41" i="54"/>
  <c r="H40" i="54"/>
  <c r="G40" i="54"/>
  <c r="H39" i="54"/>
  <c r="G39" i="54"/>
  <c r="H38" i="54"/>
  <c r="G38" i="54"/>
  <c r="H37" i="54"/>
  <c r="G37" i="54"/>
  <c r="H36" i="54"/>
  <c r="G36" i="54"/>
  <c r="H35" i="54"/>
  <c r="G35" i="54"/>
  <c r="H34" i="54"/>
  <c r="G34" i="54"/>
  <c r="H33" i="54"/>
  <c r="G33" i="54"/>
  <c r="H32" i="54"/>
  <c r="G32" i="54"/>
  <c r="H31" i="54"/>
  <c r="G31" i="54"/>
  <c r="H30" i="54"/>
  <c r="G30" i="54"/>
  <c r="H29" i="54"/>
  <c r="G29" i="54"/>
  <c r="H28" i="54"/>
  <c r="G28" i="54"/>
  <c r="H27" i="54"/>
  <c r="G27" i="54"/>
  <c r="H26" i="54"/>
  <c r="G26" i="54"/>
  <c r="H25" i="54"/>
  <c r="G25" i="54"/>
  <c r="H24" i="54"/>
  <c r="G24" i="54"/>
  <c r="H23" i="54"/>
  <c r="G23" i="54"/>
  <c r="H22" i="54"/>
  <c r="G22" i="54"/>
  <c r="H21" i="54"/>
  <c r="G21" i="54"/>
  <c r="H20" i="54"/>
  <c r="G20" i="54"/>
  <c r="H19" i="54"/>
  <c r="G19" i="54"/>
  <c r="H18" i="54"/>
  <c r="G18" i="54"/>
  <c r="H17" i="54"/>
  <c r="G17" i="54"/>
  <c r="H16" i="54"/>
  <c r="G16" i="54"/>
  <c r="H15" i="54"/>
  <c r="G15" i="54"/>
  <c r="H14" i="54"/>
  <c r="G14" i="54"/>
  <c r="H13" i="54"/>
  <c r="G13" i="54"/>
  <c r="H12" i="54"/>
  <c r="G12" i="54"/>
  <c r="H11" i="54"/>
  <c r="G11" i="54"/>
  <c r="G10" i="54"/>
  <c r="F66" i="54"/>
  <c r="F58" i="54"/>
  <c r="F54" i="54"/>
  <c r="F44" i="54"/>
  <c r="F40" i="54"/>
  <c r="F10" i="54"/>
  <c r="E9" i="54"/>
  <c r="E10" i="54"/>
  <c r="E66" i="54"/>
  <c r="E69" i="54"/>
  <c r="E68" i="54"/>
  <c r="E67" i="54"/>
  <c r="E64" i="54"/>
  <c r="E63" i="54"/>
  <c r="E58" i="54"/>
  <c r="E62" i="54"/>
  <c r="E61" i="54"/>
  <c r="E60" i="54"/>
  <c r="E59" i="54"/>
  <c r="E54" i="54"/>
  <c r="E56" i="54"/>
  <c r="E55" i="54"/>
  <c r="E53" i="54"/>
  <c r="E52" i="54"/>
  <c r="E51" i="54"/>
  <c r="E50" i="54"/>
  <c r="E49" i="54"/>
  <c r="E44" i="54"/>
  <c r="E45" i="54"/>
  <c r="E47" i="54"/>
  <c r="E46" i="54"/>
  <c r="E43" i="54"/>
  <c r="E40" i="54"/>
  <c r="E42" i="54"/>
  <c r="E41" i="54"/>
  <c r="E39" i="54"/>
  <c r="E32" i="54"/>
  <c r="E25" i="54"/>
  <c r="E18" i="54"/>
  <c r="E11" i="54"/>
  <c r="D58" i="54"/>
  <c r="D44" i="54"/>
  <c r="D40" i="54"/>
  <c r="D66" i="54"/>
  <c r="D10" i="54"/>
  <c r="H10" i="54" s="1"/>
  <c r="C9" i="54"/>
  <c r="G9" i="54" s="1"/>
  <c r="C10" i="54"/>
  <c r="C66" i="54"/>
  <c r="C62" i="54"/>
  <c r="C61" i="54"/>
  <c r="C60" i="54"/>
  <c r="C46" i="54"/>
  <c r="C41" i="54"/>
  <c r="F20" i="53" l="1"/>
  <c r="E18" i="53"/>
  <c r="F27" i="53"/>
  <c r="D21" i="53"/>
  <c r="C12" i="53"/>
  <c r="C33" i="53"/>
  <c r="F33" i="53" s="1"/>
  <c r="E12" i="53"/>
  <c r="C29" i="53"/>
  <c r="D29" i="53" s="1"/>
  <c r="F29" i="53" s="1"/>
  <c r="E30" i="53"/>
  <c r="F30" i="53" s="1"/>
  <c r="D22" i="53"/>
  <c r="D20" i="53" s="1"/>
  <c r="D18" i="53" s="1"/>
  <c r="F21" i="53"/>
  <c r="F19" i="53"/>
  <c r="C10" i="53"/>
  <c r="I10" i="53" s="1"/>
  <c r="I11" i="53"/>
  <c r="D19" i="53"/>
  <c r="J18" i="53" s="1"/>
  <c r="D9" i="54"/>
  <c r="H9" i="54" s="1"/>
  <c r="E5" i="54"/>
  <c r="D33" i="53"/>
  <c r="D28" i="53"/>
  <c r="D26" i="53" s="1"/>
  <c r="D12" i="53"/>
  <c r="E28" i="53"/>
  <c r="C28" i="53"/>
  <c r="C26" i="53" s="1"/>
  <c r="C24" i="53"/>
  <c r="C18" i="53"/>
  <c r="F9" i="54"/>
  <c r="E41" i="55"/>
  <c r="E12" i="55"/>
  <c r="D51" i="55"/>
  <c r="D43" i="55" s="1"/>
  <c r="D60" i="55"/>
  <c r="E52" i="55"/>
  <c r="C52" i="55" s="1"/>
  <c r="D52" i="55"/>
  <c r="E65" i="55"/>
  <c r="D65" i="55"/>
  <c r="E62" i="55"/>
  <c r="E60" i="55" s="1"/>
  <c r="E51" i="55" s="1"/>
  <c r="E43" i="55" s="1"/>
  <c r="D62" i="55"/>
  <c r="E64" i="55"/>
  <c r="D64" i="55"/>
  <c r="E63" i="55"/>
  <c r="D63" i="55"/>
  <c r="E61" i="55"/>
  <c r="D61" i="55"/>
  <c r="D59" i="55"/>
  <c r="C59" i="55" s="1"/>
  <c r="D58" i="55"/>
  <c r="C58" i="55" s="1"/>
  <c r="D56" i="55"/>
  <c r="C56" i="55" s="1"/>
  <c r="E54" i="55"/>
  <c r="E53" i="55" s="1"/>
  <c r="D53" i="55"/>
  <c r="D54" i="55"/>
  <c r="E48" i="55"/>
  <c r="E44" i="55" s="1"/>
  <c r="D48" i="55"/>
  <c r="C57" i="55"/>
  <c r="C55" i="55"/>
  <c r="C50" i="55"/>
  <c r="C49" i="55"/>
  <c r="E50" i="55"/>
  <c r="D50" i="55"/>
  <c r="E49" i="55"/>
  <c r="D49" i="55"/>
  <c r="C47" i="55"/>
  <c r="C46" i="55"/>
  <c r="C45" i="55"/>
  <c r="D44" i="55"/>
  <c r="E45" i="55"/>
  <c r="D45" i="55"/>
  <c r="E47" i="55"/>
  <c r="D47" i="55"/>
  <c r="E46" i="55"/>
  <c r="D46" i="55"/>
  <c r="C42" i="55"/>
  <c r="C40" i="55"/>
  <c r="D40" i="55"/>
  <c r="E23" i="55"/>
  <c r="D38" i="55"/>
  <c r="C38" i="55" s="1"/>
  <c r="E36" i="55"/>
  <c r="D36" i="55"/>
  <c r="E35" i="55"/>
  <c r="E34" i="55"/>
  <c r="D34" i="55"/>
  <c r="E33" i="55"/>
  <c r="E32" i="55"/>
  <c r="E31" i="55"/>
  <c r="D31" i="55"/>
  <c r="D30" i="55"/>
  <c r="C30" i="55" s="1"/>
  <c r="E29" i="55"/>
  <c r="D29" i="55"/>
  <c r="D28" i="55"/>
  <c r="C28" i="55" s="1"/>
  <c r="E27" i="55"/>
  <c r="D27" i="55"/>
  <c r="E26" i="55"/>
  <c r="D26" i="55"/>
  <c r="E25" i="55"/>
  <c r="C25" i="55" s="1"/>
  <c r="D25" i="55"/>
  <c r="E24" i="55"/>
  <c r="C29" i="55"/>
  <c r="D13" i="55"/>
  <c r="D14" i="55"/>
  <c r="D19" i="55"/>
  <c r="D20" i="55"/>
  <c r="E14" i="55"/>
  <c r="E13" i="55" s="1"/>
  <c r="E19" i="55"/>
  <c r="E20" i="55"/>
  <c r="C21" i="55"/>
  <c r="C22" i="55"/>
  <c r="C11" i="56"/>
  <c r="C9" i="56" s="1"/>
  <c r="AC49" i="40"/>
  <c r="C10" i="56"/>
  <c r="Q27" i="69"/>
  <c r="F18" i="53" l="1"/>
  <c r="E26" i="53"/>
  <c r="F26" i="53" s="1"/>
  <c r="F28" i="53"/>
  <c r="J33" i="53"/>
  <c r="I18" i="53"/>
  <c r="I24" i="53" s="1"/>
  <c r="E10" i="53"/>
  <c r="F12" i="53"/>
  <c r="E11" i="55"/>
  <c r="C43" i="55"/>
  <c r="C51" i="55"/>
  <c r="C60" i="55"/>
  <c r="C65" i="55"/>
  <c r="C62" i="55"/>
  <c r="C64" i="55"/>
  <c r="C63" i="55"/>
  <c r="C61" i="55"/>
  <c r="C54" i="55"/>
  <c r="C53" i="55"/>
  <c r="C44" i="55"/>
  <c r="C48" i="55"/>
  <c r="C13" i="55"/>
  <c r="C19" i="55"/>
  <c r="C36" i="55"/>
  <c r="C34" i="55"/>
  <c r="C31" i="55"/>
  <c r="C27" i="55"/>
  <c r="C26" i="55"/>
  <c r="C14" i="55"/>
  <c r="C20" i="55"/>
  <c r="C74" i="56"/>
  <c r="C73" i="56"/>
  <c r="C72" i="56"/>
  <c r="C71" i="56" s="1"/>
  <c r="C70" i="56"/>
  <c r="C69" i="56" s="1"/>
  <c r="C68" i="56"/>
  <c r="C67" i="56"/>
  <c r="C65" i="56"/>
  <c r="C63" i="56"/>
  <c r="C62" i="56" s="1"/>
  <c r="C61" i="56" s="1"/>
  <c r="C59" i="56"/>
  <c r="C58" i="56"/>
  <c r="C56" i="56"/>
  <c r="C55" i="56"/>
  <c r="E24" i="53" l="1"/>
  <c r="F24" i="53" s="1"/>
  <c r="K10" i="53"/>
  <c r="K24" i="53" s="1"/>
  <c r="C60" i="56"/>
  <c r="C57" i="56"/>
  <c r="C53" i="56" s="1"/>
  <c r="C52" i="56" s="1"/>
  <c r="C49" i="56"/>
  <c r="C47" i="56"/>
  <c r="C45" i="56"/>
  <c r="C43" i="56"/>
  <c r="C40" i="56"/>
  <c r="C39" i="56"/>
  <c r="C38" i="56"/>
  <c r="C37" i="56"/>
  <c r="C36" i="56"/>
  <c r="C35" i="56"/>
  <c r="C34" i="56"/>
  <c r="C17" i="56"/>
  <c r="C16" i="56"/>
  <c r="C15" i="56"/>
  <c r="F93" i="71"/>
  <c r="E93" i="71"/>
  <c r="D93" i="71"/>
  <c r="C93" i="71"/>
  <c r="D89" i="71"/>
  <c r="F88" i="71"/>
  <c r="E88" i="71"/>
  <c r="D88" i="71"/>
  <c r="C88" i="71"/>
  <c r="E85" i="71"/>
  <c r="D85" i="71"/>
  <c r="C85" i="71"/>
  <c r="D83" i="71"/>
  <c r="D82" i="71" s="1"/>
  <c r="E82" i="71"/>
  <c r="C82" i="71"/>
  <c r="E79" i="71"/>
  <c r="D79" i="71"/>
  <c r="C79" i="71"/>
  <c r="D77" i="71"/>
  <c r="D76" i="71" s="1"/>
  <c r="E76" i="71"/>
  <c r="C76" i="71"/>
  <c r="D74" i="71"/>
  <c r="D73" i="71" s="1"/>
  <c r="E73" i="71"/>
  <c r="C73" i="71"/>
  <c r="D71" i="71"/>
  <c r="D70" i="71" s="1"/>
  <c r="E70" i="71"/>
  <c r="C70" i="71"/>
  <c r="E67" i="71"/>
  <c r="D67" i="71"/>
  <c r="C67" i="71"/>
  <c r="D65" i="71"/>
  <c r="E64" i="71"/>
  <c r="D64" i="71"/>
  <c r="C64" i="71"/>
  <c r="D62" i="71"/>
  <c r="F61" i="71"/>
  <c r="E61" i="71"/>
  <c r="D61" i="71"/>
  <c r="C61" i="71"/>
  <c r="E60" i="71"/>
  <c r="E43" i="71" s="1"/>
  <c r="D60" i="71"/>
  <c r="C60" i="71"/>
  <c r="C59" i="71"/>
  <c r="C57" i="71" s="1"/>
  <c r="F57" i="71"/>
  <c r="F54" i="71"/>
  <c r="E54" i="71"/>
  <c r="D54" i="71"/>
  <c r="C54" i="71"/>
  <c r="D52" i="71"/>
  <c r="D51" i="71" s="1"/>
  <c r="E51" i="71"/>
  <c r="C51" i="71"/>
  <c r="D49" i="71"/>
  <c r="D48" i="71" s="1"/>
  <c r="E48" i="71"/>
  <c r="C48" i="71"/>
  <c r="E46" i="71"/>
  <c r="D46" i="71"/>
  <c r="C46" i="71"/>
  <c r="F44" i="71"/>
  <c r="E44" i="71"/>
  <c r="D44" i="71"/>
  <c r="C44" i="71"/>
  <c r="F43" i="71"/>
  <c r="F18" i="71" s="1"/>
  <c r="F14" i="71" s="1"/>
  <c r="D43" i="71"/>
  <c r="C43" i="71"/>
  <c r="F42" i="71"/>
  <c r="F40" i="71" s="1"/>
  <c r="E42" i="71"/>
  <c r="G39" i="71"/>
  <c r="G38" i="71"/>
  <c r="D38" i="71"/>
  <c r="G37" i="71"/>
  <c r="D37" i="71"/>
  <c r="G36" i="71"/>
  <c r="D36" i="71"/>
  <c r="D35" i="71" s="1"/>
  <c r="D33" i="71" s="1"/>
  <c r="C36" i="71"/>
  <c r="G35" i="71"/>
  <c r="F35" i="71"/>
  <c r="F33" i="71" s="1"/>
  <c r="G33" i="71" s="1"/>
  <c r="E35" i="71"/>
  <c r="C35" i="71"/>
  <c r="C33" i="71" s="1"/>
  <c r="G34" i="71"/>
  <c r="E33" i="71"/>
  <c r="G32" i="71"/>
  <c r="G31" i="71"/>
  <c r="G30" i="71"/>
  <c r="D30" i="71"/>
  <c r="G29" i="71"/>
  <c r="D29" i="71"/>
  <c r="G28" i="71"/>
  <c r="D28" i="71"/>
  <c r="D27" i="71" s="1"/>
  <c r="D25" i="71" s="1"/>
  <c r="C28" i="71"/>
  <c r="G27" i="71"/>
  <c r="F27" i="71"/>
  <c r="E27" i="71"/>
  <c r="C27" i="71"/>
  <c r="C25" i="71" s="1"/>
  <c r="G26" i="71"/>
  <c r="G25" i="71"/>
  <c r="F25" i="71"/>
  <c r="E25" i="71"/>
  <c r="G24" i="71"/>
  <c r="G23" i="71"/>
  <c r="F23" i="71"/>
  <c r="E23" i="71"/>
  <c r="F22" i="71"/>
  <c r="G22" i="71" s="1"/>
  <c r="E22" i="71"/>
  <c r="G21" i="71"/>
  <c r="F21" i="71"/>
  <c r="E21" i="71"/>
  <c r="E20" i="71" s="1"/>
  <c r="C21" i="71"/>
  <c r="D20" i="71"/>
  <c r="C20" i="71"/>
  <c r="C19" i="71" s="1"/>
  <c r="D19" i="71"/>
  <c r="G18" i="71"/>
  <c r="D18" i="71"/>
  <c r="C18" i="71"/>
  <c r="G16" i="71"/>
  <c r="G14" i="71"/>
  <c r="D14" i="71"/>
  <c r="C14" i="71"/>
  <c r="G12" i="71"/>
  <c r="F43" i="70"/>
  <c r="N43" i="70" s="1"/>
  <c r="E43" i="70"/>
  <c r="Q42" i="70"/>
  <c r="R42" i="70" s="1"/>
  <c r="N42" i="70"/>
  <c r="F41" i="70"/>
  <c r="N41" i="70" s="1"/>
  <c r="E41" i="70"/>
  <c r="F40" i="70"/>
  <c r="N40" i="70" s="1"/>
  <c r="D40" i="70"/>
  <c r="E40" i="70" s="1"/>
  <c r="E39" i="70"/>
  <c r="F38" i="70"/>
  <c r="E38" i="70"/>
  <c r="F37" i="70"/>
  <c r="F35" i="70" s="1"/>
  <c r="E37" i="70"/>
  <c r="R36" i="70"/>
  <c r="Q36" i="70"/>
  <c r="N36" i="70"/>
  <c r="N35" i="70" s="1"/>
  <c r="F36" i="70"/>
  <c r="E36" i="70"/>
  <c r="D35" i="70"/>
  <c r="E35" i="70" s="1"/>
  <c r="C35" i="70"/>
  <c r="J33" i="70"/>
  <c r="F33" i="70"/>
  <c r="D33" i="70"/>
  <c r="I33" i="70" s="1"/>
  <c r="I34" i="70" s="1"/>
  <c r="K32" i="70"/>
  <c r="J32" i="70"/>
  <c r="I32" i="70"/>
  <c r="F31" i="70"/>
  <c r="N31" i="70" s="1"/>
  <c r="N30" i="70" s="1"/>
  <c r="E31" i="70"/>
  <c r="D31" i="70"/>
  <c r="F30" i="70"/>
  <c r="C30" i="70"/>
  <c r="C29" i="70" s="1"/>
  <c r="D26" i="70"/>
  <c r="F26" i="70" s="1"/>
  <c r="F24" i="70" s="1"/>
  <c r="N25" i="70"/>
  <c r="N24" i="70" s="1"/>
  <c r="E25" i="70"/>
  <c r="C24" i="70"/>
  <c r="C12" i="70"/>
  <c r="F13" i="70" s="1"/>
  <c r="A46" i="69"/>
  <c r="C43" i="69"/>
  <c r="A43" i="69"/>
  <c r="C41" i="69"/>
  <c r="A39" i="69"/>
  <c r="A40" i="69" s="1"/>
  <c r="H38" i="69"/>
  <c r="D37" i="69"/>
  <c r="C37" i="69"/>
  <c r="C36" i="69"/>
  <c r="A36" i="69"/>
  <c r="H35" i="69"/>
  <c r="F35" i="69"/>
  <c r="C35" i="69"/>
  <c r="C34" i="69"/>
  <c r="H30" i="69"/>
  <c r="F30" i="69"/>
  <c r="F38" i="69" s="1"/>
  <c r="E30" i="69"/>
  <c r="D30" i="69"/>
  <c r="D38" i="69" s="1"/>
  <c r="H29" i="69"/>
  <c r="H37" i="69" s="1"/>
  <c r="H36" i="69" s="1"/>
  <c r="H43" i="69" s="1"/>
  <c r="F29" i="69"/>
  <c r="F37" i="69" s="1"/>
  <c r="F36" i="69" s="1"/>
  <c r="E29" i="69"/>
  <c r="E37" i="69" s="1"/>
  <c r="D29" i="69"/>
  <c r="D28" i="69" s="1"/>
  <c r="W28" i="69"/>
  <c r="U28" i="69"/>
  <c r="F28" i="69"/>
  <c r="F26" i="69" s="1"/>
  <c r="C28" i="69"/>
  <c r="A28" i="69"/>
  <c r="A31" i="69" s="1"/>
  <c r="H27" i="69"/>
  <c r="F27" i="69"/>
  <c r="E27" i="69"/>
  <c r="D27" i="69"/>
  <c r="C27" i="69"/>
  <c r="G26" i="69"/>
  <c r="F24" i="69"/>
  <c r="D24" i="69"/>
  <c r="A23" i="69"/>
  <c r="A24" i="69" s="1"/>
  <c r="A25" i="69" s="1"/>
  <c r="H22" i="69"/>
  <c r="F22" i="69"/>
  <c r="E22" i="69"/>
  <c r="D22" i="69"/>
  <c r="H21" i="69"/>
  <c r="H20" i="69" s="1"/>
  <c r="G21" i="69"/>
  <c r="F21" i="69"/>
  <c r="F20" i="69" s="1"/>
  <c r="M21" i="69" s="1"/>
  <c r="D21" i="69"/>
  <c r="C21" i="69"/>
  <c r="C20" i="69" s="1"/>
  <c r="C18" i="69" s="1"/>
  <c r="E20" i="69"/>
  <c r="A20" i="69"/>
  <c r="G19" i="69"/>
  <c r="E19" i="69"/>
  <c r="F19" i="69" s="1"/>
  <c r="D19" i="69"/>
  <c r="D35" i="69" s="1"/>
  <c r="C19" i="69"/>
  <c r="G18" i="69"/>
  <c r="G20" i="69" s="1"/>
  <c r="I14" i="69"/>
  <c r="M14" i="69" s="1"/>
  <c r="D10" i="69"/>
  <c r="H10" i="69" s="1"/>
  <c r="F8" i="69"/>
  <c r="E8" i="69"/>
  <c r="D8" i="69"/>
  <c r="G55" i="68"/>
  <c r="F55" i="68"/>
  <c r="I55" i="68" s="1"/>
  <c r="D55" i="68"/>
  <c r="E55" i="68" s="1"/>
  <c r="J54" i="68"/>
  <c r="D54" i="68"/>
  <c r="I54" i="68" s="1"/>
  <c r="K53" i="68"/>
  <c r="G53" i="68"/>
  <c r="J53" i="68" s="1"/>
  <c r="F53" i="68"/>
  <c r="D53" i="68"/>
  <c r="I53" i="68" s="1"/>
  <c r="C53" i="68"/>
  <c r="G52" i="68"/>
  <c r="J52" i="68" s="1"/>
  <c r="F52" i="68"/>
  <c r="D52" i="68"/>
  <c r="K52" i="68" s="1"/>
  <c r="C52" i="68"/>
  <c r="C51" i="68" s="1"/>
  <c r="F51" i="68"/>
  <c r="K50" i="68"/>
  <c r="K49" i="68"/>
  <c r="K48" i="68"/>
  <c r="K47" i="68"/>
  <c r="K46" i="68"/>
  <c r="K45" i="68"/>
  <c r="K44" i="68"/>
  <c r="K43" i="68"/>
  <c r="K42" i="68"/>
  <c r="K41" i="68"/>
  <c r="J41" i="68"/>
  <c r="I41" i="68"/>
  <c r="G40" i="68"/>
  <c r="J40" i="68" s="1"/>
  <c r="F40" i="68"/>
  <c r="I40" i="68" s="1"/>
  <c r="D40" i="68"/>
  <c r="C40" i="68"/>
  <c r="E40" i="68" s="1"/>
  <c r="J39" i="68"/>
  <c r="G39" i="68"/>
  <c r="F39" i="68"/>
  <c r="D39" i="68"/>
  <c r="K39" i="68" s="1"/>
  <c r="G38" i="68"/>
  <c r="J38" i="68" s="1"/>
  <c r="F38" i="68"/>
  <c r="D38" i="68"/>
  <c r="C38" i="68"/>
  <c r="G37" i="68"/>
  <c r="J37" i="68" s="1"/>
  <c r="F37" i="68"/>
  <c r="D37" i="68"/>
  <c r="G36" i="68"/>
  <c r="J36" i="68" s="1"/>
  <c r="F36" i="68"/>
  <c r="D36" i="68"/>
  <c r="C36" i="68"/>
  <c r="G35" i="68"/>
  <c r="J35" i="68" s="1"/>
  <c r="F35" i="68"/>
  <c r="I35" i="68" s="1"/>
  <c r="E35" i="68"/>
  <c r="D35" i="68"/>
  <c r="C35" i="68"/>
  <c r="G34" i="68"/>
  <c r="J34" i="68" s="1"/>
  <c r="F34" i="68"/>
  <c r="D34" i="68"/>
  <c r="C34" i="68"/>
  <c r="G33" i="68"/>
  <c r="J33" i="68" s="1"/>
  <c r="F33" i="68"/>
  <c r="I33" i="68" s="1"/>
  <c r="E33" i="68"/>
  <c r="D33" i="68"/>
  <c r="C33" i="68"/>
  <c r="G32" i="68"/>
  <c r="J32" i="68" s="1"/>
  <c r="F32" i="68"/>
  <c r="D32" i="68"/>
  <c r="C32" i="68"/>
  <c r="G31" i="68"/>
  <c r="J31" i="68" s="1"/>
  <c r="F31" i="68"/>
  <c r="I31" i="68" s="1"/>
  <c r="E31" i="68"/>
  <c r="D31" i="68"/>
  <c r="C31" i="68"/>
  <c r="G30" i="68"/>
  <c r="J30" i="68" s="1"/>
  <c r="F30" i="68"/>
  <c r="D30" i="68"/>
  <c r="C30" i="68"/>
  <c r="G29" i="68"/>
  <c r="F29" i="68"/>
  <c r="I29" i="68" s="1"/>
  <c r="E29" i="68"/>
  <c r="D29" i="68"/>
  <c r="C29" i="68"/>
  <c r="G28" i="68"/>
  <c r="J28" i="68" s="1"/>
  <c r="F28" i="68"/>
  <c r="D28" i="68"/>
  <c r="C28" i="68"/>
  <c r="G27" i="68"/>
  <c r="F27" i="68"/>
  <c r="I27" i="68" s="1"/>
  <c r="E27" i="68"/>
  <c r="D27" i="68"/>
  <c r="C27" i="68"/>
  <c r="G26" i="68"/>
  <c r="J26" i="68" s="1"/>
  <c r="F26" i="68"/>
  <c r="D26" i="68"/>
  <c r="C26" i="68"/>
  <c r="G25" i="68"/>
  <c r="F25" i="68"/>
  <c r="I25" i="68" s="1"/>
  <c r="E25" i="68"/>
  <c r="D25" i="68"/>
  <c r="C25" i="68"/>
  <c r="G24" i="68"/>
  <c r="G20" i="68" s="1"/>
  <c r="F24" i="68"/>
  <c r="D24" i="68"/>
  <c r="C24" i="68"/>
  <c r="C19" i="68" s="1"/>
  <c r="C20" i="68"/>
  <c r="I17" i="68"/>
  <c r="G17" i="68"/>
  <c r="G19" i="68" s="1"/>
  <c r="F17" i="68"/>
  <c r="K17" i="68" s="1"/>
  <c r="E17" i="68"/>
  <c r="F16" i="68"/>
  <c r="K15" i="68"/>
  <c r="G15" i="68"/>
  <c r="J15" i="68" s="1"/>
  <c r="F15" i="68"/>
  <c r="D15" i="68"/>
  <c r="D16" i="68" s="1"/>
  <c r="C15" i="68"/>
  <c r="C16" i="68" s="1"/>
  <c r="G13" i="68"/>
  <c r="J13" i="68" s="1"/>
  <c r="F13" i="68"/>
  <c r="D13" i="68"/>
  <c r="C13" i="68"/>
  <c r="J15" i="67"/>
  <c r="H53" i="67"/>
  <c r="J52" i="67"/>
  <c r="J49" i="67" s="1"/>
  <c r="F52" i="67"/>
  <c r="AO51" i="67"/>
  <c r="AK51" i="67"/>
  <c r="N51" i="67"/>
  <c r="L51" i="67"/>
  <c r="F51" i="67"/>
  <c r="F49" i="67" s="1"/>
  <c r="A51" i="67"/>
  <c r="AO50" i="67"/>
  <c r="L50" i="67"/>
  <c r="K50" i="67"/>
  <c r="F50" i="67"/>
  <c r="AC49" i="67"/>
  <c r="H49" i="67"/>
  <c r="G49" i="67"/>
  <c r="AG48" i="67"/>
  <c r="J48" i="67"/>
  <c r="M48" i="67" s="1"/>
  <c r="G48" i="67"/>
  <c r="F48" i="67"/>
  <c r="A48" i="67"/>
  <c r="AO47" i="67"/>
  <c r="AL47" i="67"/>
  <c r="AK47" i="67"/>
  <c r="AJ47" i="67"/>
  <c r="AI47" i="67"/>
  <c r="M47" i="67"/>
  <c r="L47" i="67"/>
  <c r="K47" i="67"/>
  <c r="F47" i="67"/>
  <c r="J46" i="67"/>
  <c r="L46" i="67" s="1"/>
  <c r="H46" i="67"/>
  <c r="E46" i="67"/>
  <c r="D46" i="67"/>
  <c r="D53" i="67" s="1"/>
  <c r="AL45" i="67"/>
  <c r="AI45" i="67"/>
  <c r="N45" i="67"/>
  <c r="L45" i="67"/>
  <c r="K45" i="67"/>
  <c r="J45" i="67"/>
  <c r="M45" i="67" s="1"/>
  <c r="G45" i="67"/>
  <c r="F45" i="67"/>
  <c r="G44" i="67"/>
  <c r="F44" i="67"/>
  <c r="AO43" i="67"/>
  <c r="L43" i="67"/>
  <c r="F43" i="67"/>
  <c r="AE42" i="67"/>
  <c r="AD42" i="67"/>
  <c r="AC42" i="67"/>
  <c r="AB42" i="67"/>
  <c r="Y42" i="67"/>
  <c r="X42" i="67"/>
  <c r="W42" i="67"/>
  <c r="V42" i="67"/>
  <c r="P42" i="67"/>
  <c r="AG41" i="67"/>
  <c r="AN41" i="67" s="1"/>
  <c r="O41" i="67"/>
  <c r="N41" i="67"/>
  <c r="AO41" i="67" s="1"/>
  <c r="J41" i="67"/>
  <c r="L41" i="67" s="1"/>
  <c r="G41" i="67"/>
  <c r="F41" i="67"/>
  <c r="AO40" i="67"/>
  <c r="AH40" i="67"/>
  <c r="L40" i="67"/>
  <c r="K40" i="67"/>
  <c r="F40" i="67"/>
  <c r="AO39" i="67"/>
  <c r="J39" i="67"/>
  <c r="H39" i="67"/>
  <c r="AL39" i="67" s="1"/>
  <c r="AM38" i="67"/>
  <c r="AD38" i="67"/>
  <c r="AC38" i="67"/>
  <c r="AB38" i="67"/>
  <c r="O38" i="67"/>
  <c r="AN38" i="67" s="1"/>
  <c r="N38" i="67"/>
  <c r="AO38" i="67" s="1"/>
  <c r="L38" i="67"/>
  <c r="K38" i="67"/>
  <c r="J38" i="67"/>
  <c r="H38" i="67"/>
  <c r="M38" i="67" s="1"/>
  <c r="G38" i="67"/>
  <c r="F38" i="67"/>
  <c r="Z37" i="67"/>
  <c r="O37" i="67"/>
  <c r="N37" i="67"/>
  <c r="AL37" i="67" s="1"/>
  <c r="L37" i="67"/>
  <c r="J37" i="67"/>
  <c r="M37" i="67" s="1"/>
  <c r="H37" i="67"/>
  <c r="G37" i="67"/>
  <c r="F37" i="67"/>
  <c r="N35" i="67"/>
  <c r="J35" i="67"/>
  <c r="E35" i="67"/>
  <c r="D35" i="67"/>
  <c r="G34" i="67" s="1"/>
  <c r="AH34" i="67"/>
  <c r="AG34" i="67"/>
  <c r="O34" i="67"/>
  <c r="N34" i="67"/>
  <c r="K34" i="67"/>
  <c r="J34" i="67"/>
  <c r="H34" i="67"/>
  <c r="F34" i="67"/>
  <c r="AG33" i="67"/>
  <c r="AN33" i="67" s="1"/>
  <c r="O33" i="67"/>
  <c r="N33" i="67"/>
  <c r="J33" i="67"/>
  <c r="L33" i="67" s="1"/>
  <c r="H33" i="67"/>
  <c r="G33" i="67"/>
  <c r="F33" i="67"/>
  <c r="AO32" i="67"/>
  <c r="AN32" i="67"/>
  <c r="AM32" i="67"/>
  <c r="AH32" i="67"/>
  <c r="K32" i="67"/>
  <c r="J32" i="67"/>
  <c r="H32" i="67"/>
  <c r="AL32" i="67" s="1"/>
  <c r="G32" i="67"/>
  <c r="F32" i="67"/>
  <c r="AG31" i="67"/>
  <c r="O31" i="67"/>
  <c r="N31" i="67"/>
  <c r="J31" i="67"/>
  <c r="H31" i="67"/>
  <c r="F31" i="67"/>
  <c r="O30" i="67"/>
  <c r="AG30" i="67" s="1"/>
  <c r="N30" i="67"/>
  <c r="AL30" i="67" s="1"/>
  <c r="L30" i="67"/>
  <c r="J30" i="67"/>
  <c r="M30" i="67" s="1"/>
  <c r="H30" i="67"/>
  <c r="P30" i="67" s="1"/>
  <c r="G30" i="67"/>
  <c r="F30" i="67"/>
  <c r="A30" i="67"/>
  <c r="A31" i="67" s="1"/>
  <c r="A32" i="67" s="1"/>
  <c r="A33" i="67" s="1"/>
  <c r="A34" i="67" s="1"/>
  <c r="AG29" i="67"/>
  <c r="AC29" i="67"/>
  <c r="O29" i="67"/>
  <c r="N29" i="67"/>
  <c r="Q29" i="67" s="1"/>
  <c r="J29" i="67"/>
  <c r="H29" i="67"/>
  <c r="G29" i="67"/>
  <c r="F29" i="67"/>
  <c r="N27" i="67"/>
  <c r="N23" i="67" s="1"/>
  <c r="E27" i="67"/>
  <c r="D27" i="67"/>
  <c r="AO24" i="67"/>
  <c r="AN24" i="67"/>
  <c r="AM24" i="67"/>
  <c r="AL24" i="67"/>
  <c r="M24" i="67"/>
  <c r="L24" i="67"/>
  <c r="K24" i="67"/>
  <c r="E23" i="67"/>
  <c r="D23" i="67"/>
  <c r="D25" i="67" s="1"/>
  <c r="AO22" i="67"/>
  <c r="L22" i="67"/>
  <c r="K22" i="67"/>
  <c r="F22" i="67"/>
  <c r="AG21" i="67"/>
  <c r="O21" i="67"/>
  <c r="AO21" i="67" s="1"/>
  <c r="J21" i="67"/>
  <c r="L21" i="67" s="1"/>
  <c r="H21" i="67"/>
  <c r="AL21" i="67" s="1"/>
  <c r="G21" i="67"/>
  <c r="F21" i="67"/>
  <c r="AO20" i="67"/>
  <c r="L20" i="67"/>
  <c r="K20" i="67"/>
  <c r="F20" i="67"/>
  <c r="AG19" i="67"/>
  <c r="O19" i="67"/>
  <c r="AM19" i="67" s="1"/>
  <c r="N19" i="67"/>
  <c r="L19" i="67"/>
  <c r="K19" i="67"/>
  <c r="J19" i="67"/>
  <c r="H19" i="67"/>
  <c r="G19" i="67"/>
  <c r="F19" i="67"/>
  <c r="E19" i="67"/>
  <c r="A19" i="67"/>
  <c r="AG18" i="67"/>
  <c r="O18" i="67"/>
  <c r="AM18" i="67" s="1"/>
  <c r="N18" i="67"/>
  <c r="J18" i="67"/>
  <c r="H18" i="67"/>
  <c r="H16" i="67" s="1"/>
  <c r="G18" i="67"/>
  <c r="F18" i="67"/>
  <c r="E18" i="67"/>
  <c r="N16" i="67"/>
  <c r="E16" i="67"/>
  <c r="G16" i="67" s="1"/>
  <c r="D16" i="67"/>
  <c r="AG15" i="67"/>
  <c r="AG44" i="67" s="1"/>
  <c r="O15" i="67"/>
  <c r="O44" i="67" s="1"/>
  <c r="N15" i="67"/>
  <c r="N44" i="67" s="1"/>
  <c r="J44" i="67"/>
  <c r="L44" i="67" s="1"/>
  <c r="H15" i="67"/>
  <c r="H44" i="67" s="1"/>
  <c r="G15" i="67"/>
  <c r="F15" i="67"/>
  <c r="T12" i="67"/>
  <c r="T42" i="67" s="1"/>
  <c r="E12" i="67"/>
  <c r="E42" i="67" s="1"/>
  <c r="D12" i="67"/>
  <c r="D42" i="67" s="1"/>
  <c r="I49" i="66"/>
  <c r="I47" i="66"/>
  <c r="J46" i="66"/>
  <c r="C44" i="66"/>
  <c r="C45" i="66" s="1"/>
  <c r="C43" i="66"/>
  <c r="C42" i="66"/>
  <c r="C46" i="66" s="1"/>
  <c r="C40" i="66"/>
  <c r="C39" i="66"/>
  <c r="D37" i="66"/>
  <c r="F36" i="66"/>
  <c r="D36" i="66"/>
  <c r="E36" i="66" s="1"/>
  <c r="E35" i="66"/>
  <c r="D35" i="66"/>
  <c r="F35" i="66" s="1"/>
  <c r="G34" i="66"/>
  <c r="E34" i="66"/>
  <c r="D34" i="66"/>
  <c r="F34" i="66" s="1"/>
  <c r="C34" i="66"/>
  <c r="D32" i="66"/>
  <c r="D30" i="66"/>
  <c r="D27" i="66" s="1"/>
  <c r="D33" i="66" s="1"/>
  <c r="I28" i="66"/>
  <c r="C27" i="66"/>
  <c r="C33" i="66" s="1"/>
  <c r="C8" i="66" s="1"/>
  <c r="F24" i="66"/>
  <c r="E24" i="66"/>
  <c r="F23" i="66"/>
  <c r="E23" i="66"/>
  <c r="F22" i="66"/>
  <c r="E22" i="66"/>
  <c r="F21" i="66"/>
  <c r="E21" i="66"/>
  <c r="F20" i="66"/>
  <c r="E20" i="66"/>
  <c r="F19" i="66"/>
  <c r="E19" i="66"/>
  <c r="F18" i="66"/>
  <c r="E18" i="66"/>
  <c r="F17" i="66"/>
  <c r="E17" i="66"/>
  <c r="F16" i="66"/>
  <c r="E16" i="66"/>
  <c r="F15" i="66"/>
  <c r="E15" i="66"/>
  <c r="F14" i="66"/>
  <c r="E14" i="66"/>
  <c r="F13" i="66"/>
  <c r="E13" i="66"/>
  <c r="F12" i="66"/>
  <c r="E12" i="66"/>
  <c r="F11" i="66"/>
  <c r="E11" i="66"/>
  <c r="F10" i="66"/>
  <c r="E10" i="66"/>
  <c r="G9" i="66"/>
  <c r="G33" i="66" s="1"/>
  <c r="G8" i="66" s="1"/>
  <c r="D9" i="66"/>
  <c r="I12" i="66" s="1"/>
  <c r="C9" i="66"/>
  <c r="I9" i="66" s="1"/>
  <c r="E60" i="65"/>
  <c r="E58" i="65"/>
  <c r="D58" i="65"/>
  <c r="E57" i="65"/>
  <c r="E56" i="65"/>
  <c r="J55" i="65"/>
  <c r="E55" i="65"/>
  <c r="D55" i="65"/>
  <c r="E54" i="65"/>
  <c r="E53" i="65"/>
  <c r="F52" i="65"/>
  <c r="E52" i="65"/>
  <c r="F51" i="65"/>
  <c r="E51" i="65"/>
  <c r="D51" i="65"/>
  <c r="D50" i="65"/>
  <c r="F50" i="65" s="1"/>
  <c r="I49" i="65"/>
  <c r="D49" i="65"/>
  <c r="F49" i="65" s="1"/>
  <c r="D48" i="65"/>
  <c r="F48" i="65" s="1"/>
  <c r="F47" i="65"/>
  <c r="E47" i="65"/>
  <c r="D47" i="65"/>
  <c r="E46" i="65"/>
  <c r="D46" i="65"/>
  <c r="F46" i="65" s="1"/>
  <c r="F45" i="65"/>
  <c r="E45" i="65"/>
  <c r="D45" i="65"/>
  <c r="I44" i="65"/>
  <c r="I45" i="65" s="1"/>
  <c r="H44" i="65"/>
  <c r="F44" i="65"/>
  <c r="E44" i="65"/>
  <c r="D44" i="65"/>
  <c r="H43" i="65"/>
  <c r="F43" i="65"/>
  <c r="E43" i="65"/>
  <c r="D43" i="65"/>
  <c r="H42" i="65"/>
  <c r="F42" i="65"/>
  <c r="E42" i="65"/>
  <c r="D42" i="65"/>
  <c r="F41" i="65"/>
  <c r="E41" i="65"/>
  <c r="D41" i="65"/>
  <c r="D40" i="65"/>
  <c r="F40" i="65" s="1"/>
  <c r="D39" i="65"/>
  <c r="F39" i="65" s="1"/>
  <c r="I38" i="65"/>
  <c r="H38" i="65"/>
  <c r="D38" i="65"/>
  <c r="F38" i="65" s="1"/>
  <c r="J37" i="65"/>
  <c r="I37" i="65"/>
  <c r="H37" i="65"/>
  <c r="C37" i="65"/>
  <c r="F32" i="65"/>
  <c r="E32" i="65"/>
  <c r="F31" i="65"/>
  <c r="E31" i="65"/>
  <c r="E30" i="65"/>
  <c r="E29" i="65"/>
  <c r="F28" i="65"/>
  <c r="C28" i="65"/>
  <c r="C9" i="65" s="1"/>
  <c r="K27" i="65"/>
  <c r="F27" i="65"/>
  <c r="E27" i="65"/>
  <c r="K26" i="65"/>
  <c r="F26" i="65"/>
  <c r="E26" i="65"/>
  <c r="K25" i="65"/>
  <c r="K24" i="65" s="1"/>
  <c r="F25" i="65"/>
  <c r="E25" i="65"/>
  <c r="I24" i="65"/>
  <c r="F24" i="65"/>
  <c r="E24" i="65"/>
  <c r="F23" i="65"/>
  <c r="E23" i="65"/>
  <c r="F22" i="65"/>
  <c r="E22" i="65"/>
  <c r="F21" i="65"/>
  <c r="E21" i="65"/>
  <c r="F20" i="65"/>
  <c r="E20" i="65"/>
  <c r="F19" i="65"/>
  <c r="E19" i="65"/>
  <c r="F18" i="65"/>
  <c r="E18" i="65"/>
  <c r="F17" i="65"/>
  <c r="E17" i="65"/>
  <c r="F16" i="65"/>
  <c r="E16" i="65"/>
  <c r="F15" i="65"/>
  <c r="E15" i="65"/>
  <c r="F14" i="65"/>
  <c r="E14" i="65"/>
  <c r="F13" i="65"/>
  <c r="E13" i="65"/>
  <c r="F12" i="65"/>
  <c r="E12" i="65"/>
  <c r="F11" i="65"/>
  <c r="E11" i="65"/>
  <c r="H10" i="65"/>
  <c r="F10" i="65"/>
  <c r="E10" i="65"/>
  <c r="I9" i="65"/>
  <c r="H9" i="65"/>
  <c r="F9" i="65"/>
  <c r="D9" i="65"/>
  <c r="H8" i="65"/>
  <c r="H7" i="65" s="1"/>
  <c r="J7" i="65"/>
  <c r="L3" i="65"/>
  <c r="K3" i="65"/>
  <c r="J3" i="65"/>
  <c r="J2" i="65"/>
  <c r="N36" i="67" l="1"/>
  <c r="G14" i="68"/>
  <c r="G18" i="68" s="1"/>
  <c r="N17" i="67"/>
  <c r="H12" i="67"/>
  <c r="D26" i="69"/>
  <c r="L35" i="67"/>
  <c r="M18" i="67"/>
  <c r="AG16" i="67"/>
  <c r="K29" i="67"/>
  <c r="AN31" i="67"/>
  <c r="M32" i="67"/>
  <c r="M33" i="67"/>
  <c r="AL41" i="67"/>
  <c r="L52" i="67"/>
  <c r="C14" i="68"/>
  <c r="C18" i="68" s="1"/>
  <c r="F20" i="68"/>
  <c r="K24" i="68"/>
  <c r="J24" i="68"/>
  <c r="K26" i="68"/>
  <c r="K28" i="68"/>
  <c r="K30" i="68"/>
  <c r="K32" i="68"/>
  <c r="K34" i="68"/>
  <c r="K36" i="68"/>
  <c r="J55" i="68"/>
  <c r="L18" i="67"/>
  <c r="AL19" i="67"/>
  <c r="R29" i="67"/>
  <c r="AM29" i="67"/>
  <c r="L31" i="67"/>
  <c r="AL35" i="67"/>
  <c r="AM41" i="67"/>
  <c r="M52" i="67"/>
  <c r="K13" i="68"/>
  <c r="I15" i="68"/>
  <c r="E24" i="68"/>
  <c r="E26" i="68"/>
  <c r="E28" i="68"/>
  <c r="E30" i="68"/>
  <c r="E32" i="68"/>
  <c r="E34" i="68"/>
  <c r="E36" i="68"/>
  <c r="K37" i="68"/>
  <c r="K38" i="68"/>
  <c r="I39" i="68"/>
  <c r="K40" i="68"/>
  <c r="C26" i="69"/>
  <c r="C32" i="69" s="1"/>
  <c r="H34" i="69"/>
  <c r="H41" i="69" s="1"/>
  <c r="H42" i="69" s="1"/>
  <c r="R41" i="69" s="1"/>
  <c r="D36" i="69"/>
  <c r="D43" i="69" s="1"/>
  <c r="F29" i="70"/>
  <c r="F23" i="70" s="1"/>
  <c r="J16" i="67"/>
  <c r="L16" i="67" s="1"/>
  <c r="AL18" i="67"/>
  <c r="M19" i="67"/>
  <c r="AM21" i="67"/>
  <c r="M29" i="67"/>
  <c r="L32" i="67"/>
  <c r="H35" i="67"/>
  <c r="AL38" i="67"/>
  <c r="AA41" i="67"/>
  <c r="L48" i="67"/>
  <c r="D19" i="68"/>
  <c r="I24" i="68"/>
  <c r="K25" i="68"/>
  <c r="J25" i="68"/>
  <c r="I26" i="68"/>
  <c r="K27" i="68"/>
  <c r="J27" i="68"/>
  <c r="I28" i="68"/>
  <c r="K29" i="68"/>
  <c r="J29" i="68"/>
  <c r="I30" i="68"/>
  <c r="K31" i="68"/>
  <c r="I32" i="68"/>
  <c r="K33" i="68"/>
  <c r="I34" i="68"/>
  <c r="K35" i="68"/>
  <c r="I36" i="68"/>
  <c r="I37" i="68"/>
  <c r="D20" i="69"/>
  <c r="D18" i="69" s="1"/>
  <c r="C14" i="56"/>
  <c r="E40" i="71"/>
  <c r="E18" i="71"/>
  <c r="E14" i="71" s="1"/>
  <c r="E19" i="71"/>
  <c r="E17" i="71"/>
  <c r="F20" i="71"/>
  <c r="C42" i="71"/>
  <c r="D59" i="71"/>
  <c r="E57" i="71"/>
  <c r="C9" i="70"/>
  <c r="C23" i="70"/>
  <c r="J23" i="70" s="1"/>
  <c r="N29" i="70"/>
  <c r="N23" i="70" s="1"/>
  <c r="C13" i="70"/>
  <c r="E26" i="70"/>
  <c r="D30" i="70"/>
  <c r="E33" i="70"/>
  <c r="D13" i="70"/>
  <c r="D24" i="70"/>
  <c r="S19" i="69"/>
  <c r="F18" i="69"/>
  <c r="H19" i="69"/>
  <c r="T26" i="69"/>
  <c r="D34" i="69"/>
  <c r="D41" i="69" s="1"/>
  <c r="J34" i="69"/>
  <c r="F34" i="69"/>
  <c r="F41" i="69" s="1"/>
  <c r="F43" i="69"/>
  <c r="E10" i="69"/>
  <c r="K14" i="69"/>
  <c r="E28" i="69"/>
  <c r="E26" i="69" s="1"/>
  <c r="E38" i="69"/>
  <c r="E36" i="69" s="1"/>
  <c r="F10" i="69"/>
  <c r="L14" i="69"/>
  <c r="E18" i="69"/>
  <c r="R19" i="69"/>
  <c r="H28" i="69"/>
  <c r="H26" i="69" s="1"/>
  <c r="E16" i="68"/>
  <c r="I16" i="68"/>
  <c r="H13" i="68"/>
  <c r="E13" i="68"/>
  <c r="I13" i="68"/>
  <c r="H15" i="68"/>
  <c r="G16" i="68"/>
  <c r="J16" i="68" s="1"/>
  <c r="D20" i="68"/>
  <c r="I38" i="68"/>
  <c r="E52" i="68"/>
  <c r="I52" i="68"/>
  <c r="H53" i="68"/>
  <c r="K54" i="68"/>
  <c r="C12" i="68"/>
  <c r="J17" i="68"/>
  <c r="F19" i="68"/>
  <c r="E38" i="68"/>
  <c r="G51" i="68"/>
  <c r="J51" i="68" s="1"/>
  <c r="E53" i="68"/>
  <c r="E54" i="68"/>
  <c r="H52" i="68"/>
  <c r="D51" i="68"/>
  <c r="AG12" i="67"/>
  <c r="AG17" i="67"/>
  <c r="AN30" i="67"/>
  <c r="AG27" i="67"/>
  <c r="AK44" i="67"/>
  <c r="AN44" i="67"/>
  <c r="D14" i="67"/>
  <c r="AL15" i="67"/>
  <c r="AL16" i="67"/>
  <c r="H17" i="67"/>
  <c r="K18" i="67"/>
  <c r="AN18" i="67"/>
  <c r="M21" i="67"/>
  <c r="AL29" i="67"/>
  <c r="AH37" i="67"/>
  <c r="O35" i="67"/>
  <c r="AO35" i="67" s="1"/>
  <c r="F42" i="67"/>
  <c r="N12" i="67"/>
  <c r="H14" i="67"/>
  <c r="K15" i="67"/>
  <c r="AJ44" i="67"/>
  <c r="AM15" i="67"/>
  <c r="AO18" i="67"/>
  <c r="AO19" i="67"/>
  <c r="AN21" i="67"/>
  <c r="G23" i="67"/>
  <c r="F23" i="67"/>
  <c r="AC27" i="67"/>
  <c r="AC22" i="67" s="1"/>
  <c r="N25" i="67"/>
  <c r="G27" i="67"/>
  <c r="F27" i="67"/>
  <c r="K30" i="67"/>
  <c r="AO30" i="67"/>
  <c r="M31" i="67"/>
  <c r="AO33" i="67"/>
  <c r="AH33" i="67"/>
  <c r="K33" i="67"/>
  <c r="AO34" i="67"/>
  <c r="AL34" i="67"/>
  <c r="M35" i="67"/>
  <c r="K37" i="67"/>
  <c r="M44" i="67"/>
  <c r="AM44" i="67"/>
  <c r="M46" i="67"/>
  <c r="J53" i="67"/>
  <c r="F12" i="67"/>
  <c r="O12" i="67"/>
  <c r="L15" i="67"/>
  <c r="AF15" i="67"/>
  <c r="AN15" i="67"/>
  <c r="F16" i="67"/>
  <c r="O16" i="67"/>
  <c r="AO16" i="67" s="1"/>
  <c r="K21" i="67"/>
  <c r="H27" i="67"/>
  <c r="AL27" i="67" s="1"/>
  <c r="Q27" i="67"/>
  <c r="L29" i="67"/>
  <c r="P29" i="67"/>
  <c r="AL31" i="67"/>
  <c r="AO31" i="67"/>
  <c r="AH31" i="67"/>
  <c r="K31" i="67"/>
  <c r="AM31" i="67"/>
  <c r="AL33" i="67"/>
  <c r="G35" i="67"/>
  <c r="AC32" i="67"/>
  <c r="AB31" i="67"/>
  <c r="F35" i="67"/>
  <c r="AH35" i="67"/>
  <c r="K35" i="67"/>
  <c r="AC34" i="67"/>
  <c r="AM37" i="67"/>
  <c r="M41" i="67"/>
  <c r="G46" i="67"/>
  <c r="M49" i="67"/>
  <c r="L49" i="67"/>
  <c r="AJ51" i="67"/>
  <c r="K51" i="67"/>
  <c r="AO44" i="67"/>
  <c r="K44" i="67"/>
  <c r="N52" i="67"/>
  <c r="M16" i="67"/>
  <c r="AN19" i="67"/>
  <c r="AM30" i="67"/>
  <c r="R30" i="67"/>
  <c r="O27" i="67"/>
  <c r="AO27" i="67" s="1"/>
  <c r="AL44" i="67"/>
  <c r="G12" i="67"/>
  <c r="M15" i="67"/>
  <c r="AO15" i="67"/>
  <c r="J27" i="67"/>
  <c r="AN29" i="67"/>
  <c r="AH30" i="67"/>
  <c r="AC33" i="67"/>
  <c r="AM33" i="67"/>
  <c r="M34" i="67"/>
  <c r="L34" i="67"/>
  <c r="P35" i="67"/>
  <c r="Q35" i="67"/>
  <c r="H36" i="67"/>
  <c r="AL36" i="67"/>
  <c r="AN37" i="67"/>
  <c r="M39" i="67"/>
  <c r="L39" i="67"/>
  <c r="AF41" i="67"/>
  <c r="Z41" i="67"/>
  <c r="K41" i="67"/>
  <c r="AI44" i="67"/>
  <c r="G53" i="67"/>
  <c r="F46" i="67"/>
  <c r="F53" i="67" s="1"/>
  <c r="AG46" i="67"/>
  <c r="AI51" i="67"/>
  <c r="E53" i="67"/>
  <c r="AH29" i="67"/>
  <c r="AO29" i="67"/>
  <c r="Q30" i="67"/>
  <c r="AO37" i="67"/>
  <c r="AB29" i="67"/>
  <c r="AH38" i="67"/>
  <c r="E33" i="66"/>
  <c r="D8" i="66"/>
  <c r="F33" i="66"/>
  <c r="H9" i="66"/>
  <c r="E9" i="66"/>
  <c r="F9" i="66"/>
  <c r="C8" i="65"/>
  <c r="C7" i="65" s="1"/>
  <c r="J10" i="65" s="1"/>
  <c r="J24" i="65" s="1"/>
  <c r="E9" i="65"/>
  <c r="D8" i="65"/>
  <c r="E28" i="65"/>
  <c r="E38" i="65"/>
  <c r="E40" i="65"/>
  <c r="E49" i="65"/>
  <c r="E50" i="65"/>
  <c r="D37" i="65"/>
  <c r="E39" i="65"/>
  <c r="E48" i="65"/>
  <c r="L23" i="70" l="1"/>
  <c r="H22" i="70"/>
  <c r="AH27" i="67"/>
  <c r="F42" i="69"/>
  <c r="F22" i="68"/>
  <c r="F14" i="68"/>
  <c r="G22" i="68"/>
  <c r="AF35" i="67"/>
  <c r="AG36" i="67" s="1"/>
  <c r="K16" i="67"/>
  <c r="J12" i="67"/>
  <c r="K21" i="69"/>
  <c r="C22" i="68"/>
  <c r="M26" i="69"/>
  <c r="E15" i="71"/>
  <c r="E13" i="71"/>
  <c r="E11" i="71" s="1"/>
  <c r="D42" i="71"/>
  <c r="D57" i="71"/>
  <c r="C17" i="71"/>
  <c r="C40" i="71"/>
  <c r="G20" i="71"/>
  <c r="G17" i="71" s="1"/>
  <c r="F17" i="71"/>
  <c r="F19" i="71"/>
  <c r="G19" i="71" s="1"/>
  <c r="E24" i="70"/>
  <c r="F10" i="70"/>
  <c r="F14" i="70" s="1"/>
  <c r="D10" i="70"/>
  <c r="C10" i="70"/>
  <c r="C14" i="70" s="1"/>
  <c r="I35" i="70"/>
  <c r="E30" i="70"/>
  <c r="D29" i="70"/>
  <c r="E29" i="70" s="1"/>
  <c r="E43" i="69"/>
  <c r="E34" i="69"/>
  <c r="E41" i="69" s="1"/>
  <c r="L21" i="69"/>
  <c r="L19" i="69"/>
  <c r="E32" i="69"/>
  <c r="P19" i="69"/>
  <c r="P20" i="69" s="1"/>
  <c r="R18" i="69"/>
  <c r="K26" i="69"/>
  <c r="D42" i="69"/>
  <c r="T19" i="69"/>
  <c r="H18" i="69"/>
  <c r="T18" i="69" s="1"/>
  <c r="S26" i="69"/>
  <c r="M18" i="69"/>
  <c r="S18" i="69"/>
  <c r="S32" i="69" s="1"/>
  <c r="M19" i="69"/>
  <c r="F32" i="69"/>
  <c r="D32" i="69"/>
  <c r="K19" i="69"/>
  <c r="K18" i="69"/>
  <c r="E20" i="68"/>
  <c r="D14" i="68"/>
  <c r="G12" i="68"/>
  <c r="K16" i="68"/>
  <c r="H16" i="68"/>
  <c r="H51" i="68"/>
  <c r="I51" i="68"/>
  <c r="K51" i="68"/>
  <c r="E51" i="68"/>
  <c r="F21" i="68"/>
  <c r="O14" i="67"/>
  <c r="AD11" i="67"/>
  <c r="AM12" i="67"/>
  <c r="AA12" i="67"/>
  <c r="AA42" i="67" s="1"/>
  <c r="M36" i="67"/>
  <c r="L36" i="67"/>
  <c r="O17" i="67"/>
  <c r="AM16" i="67"/>
  <c r="AD34" i="67"/>
  <c r="AN35" i="67"/>
  <c r="O36" i="67"/>
  <c r="AM35" i="67"/>
  <c r="R35" i="67"/>
  <c r="AN16" i="67"/>
  <c r="AB33" i="67"/>
  <c r="O23" i="67"/>
  <c r="AD33" i="67"/>
  <c r="O28" i="67"/>
  <c r="AM27" i="67"/>
  <c r="M53" i="67"/>
  <c r="L53" i="67"/>
  <c r="AO12" i="67"/>
  <c r="AL12" i="67"/>
  <c r="Z12" i="67"/>
  <c r="Z42" i="67" s="1"/>
  <c r="R12" i="67"/>
  <c r="R42" i="67" s="1"/>
  <c r="N42" i="67"/>
  <c r="N14" i="67"/>
  <c r="K12" i="67"/>
  <c r="AC11" i="67"/>
  <c r="AC31" i="67"/>
  <c r="AN17" i="67"/>
  <c r="AN36" i="67"/>
  <c r="L27" i="67"/>
  <c r="J23" i="67"/>
  <c r="J42" i="67" s="1"/>
  <c r="M27" i="67"/>
  <c r="AI52" i="67"/>
  <c r="AL52" i="67"/>
  <c r="N49" i="67"/>
  <c r="H28" i="67"/>
  <c r="H23" i="67"/>
  <c r="AF27" i="67"/>
  <c r="AF12" i="67"/>
  <c r="K27" i="67"/>
  <c r="N28" i="67"/>
  <c r="L12" i="67"/>
  <c r="M12" i="67"/>
  <c r="M17" i="67"/>
  <c r="L17" i="67"/>
  <c r="AG28" i="67"/>
  <c r="AN28" i="67" s="1"/>
  <c r="AN27" i="67"/>
  <c r="AG23" i="67"/>
  <c r="AL17" i="67"/>
  <c r="AG14" i="67"/>
  <c r="AN12" i="67"/>
  <c r="F8" i="66"/>
  <c r="G4" i="66"/>
  <c r="E8" i="66"/>
  <c r="I11" i="66"/>
  <c r="I10" i="66"/>
  <c r="E37" i="65"/>
  <c r="F37" i="65"/>
  <c r="E8" i="65"/>
  <c r="F8" i="65"/>
  <c r="D7" i="65"/>
  <c r="F18" i="68" l="1"/>
  <c r="F12" i="68"/>
  <c r="J12" i="68"/>
  <c r="J14" i="68"/>
  <c r="G13" i="71"/>
  <c r="G11" i="71" s="1"/>
  <c r="G15" i="71"/>
  <c r="D17" i="71"/>
  <c r="D40" i="71"/>
  <c r="F13" i="71"/>
  <c r="F11" i="71" s="1"/>
  <c r="F15" i="71"/>
  <c r="C13" i="71"/>
  <c r="C11" i="71" s="1"/>
  <c r="C15" i="71"/>
  <c r="D14" i="70"/>
  <c r="D23" i="70"/>
  <c r="M28" i="69"/>
  <c r="M20" i="69"/>
  <c r="K32" i="69"/>
  <c r="K33" i="69" s="1"/>
  <c r="J32" i="69"/>
  <c r="L26" i="69"/>
  <c r="R26" i="69"/>
  <c r="R32" i="69" s="1"/>
  <c r="O42" i="69"/>
  <c r="E42" i="69"/>
  <c r="K28" i="69"/>
  <c r="K20" i="69"/>
  <c r="L18" i="69"/>
  <c r="D12" i="68"/>
  <c r="K14" i="68"/>
  <c r="E14" i="68"/>
  <c r="D18" i="68"/>
  <c r="H14" i="68"/>
  <c r="I14" i="68"/>
  <c r="D22" i="68"/>
  <c r="AI49" i="67"/>
  <c r="AL49" i="67"/>
  <c r="K36" i="67"/>
  <c r="AM36" i="67"/>
  <c r="AH36" i="67"/>
  <c r="AO36" i="67"/>
  <c r="AM17" i="67"/>
  <c r="AO17" i="67"/>
  <c r="K17" i="67"/>
  <c r="AD27" i="67"/>
  <c r="AD22" i="67" s="1"/>
  <c r="O25" i="67"/>
  <c r="AM23" i="67"/>
  <c r="O26" i="67"/>
  <c r="R27" i="67"/>
  <c r="AO23" i="67"/>
  <c r="K23" i="67"/>
  <c r="AH23" i="67"/>
  <c r="AM28" i="67"/>
  <c r="S12" i="67"/>
  <c r="S42" i="67" s="1"/>
  <c r="M28" i="67"/>
  <c r="L28" i="67"/>
  <c r="AN23" i="67"/>
  <c r="AG25" i="67"/>
  <c r="AN25" i="67" s="1"/>
  <c r="AL28" i="67"/>
  <c r="AO28" i="67"/>
  <c r="AH28" i="67"/>
  <c r="K28" i="67"/>
  <c r="P27" i="67"/>
  <c r="AF23" i="67"/>
  <c r="AF42" i="67" s="1"/>
  <c r="H25" i="67"/>
  <c r="H26" i="67"/>
  <c r="Q12" i="67"/>
  <c r="H42" i="67"/>
  <c r="L42" i="67" s="1"/>
  <c r="N26" i="67"/>
  <c r="AL23" i="67"/>
  <c r="L23" i="67"/>
  <c r="M23" i="67"/>
  <c r="N48" i="67"/>
  <c r="K42" i="67"/>
  <c r="AC41" i="67"/>
  <c r="O42" i="67"/>
  <c r="AO42" i="67" s="1"/>
  <c r="F7" i="65"/>
  <c r="E7" i="65"/>
  <c r="AM26" i="67" l="1"/>
  <c r="AL42" i="67"/>
  <c r="D13" i="71"/>
  <c r="D11" i="71" s="1"/>
  <c r="D15" i="71"/>
  <c r="E23" i="70"/>
  <c r="G22" i="70"/>
  <c r="K23" i="70"/>
  <c r="L28" i="69"/>
  <c r="L20" i="69"/>
  <c r="H12" i="68"/>
  <c r="E12" i="68"/>
  <c r="K12" i="68"/>
  <c r="I12" i="68"/>
  <c r="AG26" i="67"/>
  <c r="AN26" i="67" s="1"/>
  <c r="L26" i="67"/>
  <c r="M26" i="67"/>
  <c r="M42" i="67"/>
  <c r="U12" i="67"/>
  <c r="U42" i="67" s="1"/>
  <c r="Q42" i="67"/>
  <c r="AN42" i="67"/>
  <c r="AD41" i="67"/>
  <c r="O48" i="67"/>
  <c r="AO48" i="67" s="1"/>
  <c r="AM42" i="67"/>
  <c r="AI48" i="67"/>
  <c r="N46" i="67"/>
  <c r="AL48" i="67"/>
  <c r="K48" i="67"/>
  <c r="K26" i="67"/>
  <c r="AL26" i="67"/>
  <c r="M25" i="67"/>
  <c r="L25" i="67"/>
  <c r="AL25" i="67"/>
  <c r="AM25" i="67"/>
  <c r="K25" i="67"/>
  <c r="AO25" i="67"/>
  <c r="AO26" i="67" l="1"/>
  <c r="AL46" i="67"/>
  <c r="AI46" i="67"/>
  <c r="N53" i="67"/>
  <c r="AJ48" i="67"/>
  <c r="AM48" i="67"/>
  <c r="O46" i="67"/>
  <c r="AK48" i="67"/>
  <c r="AN48" i="67"/>
  <c r="AM46" i="67" l="1"/>
  <c r="AJ46" i="67"/>
  <c r="AN46" i="67"/>
  <c r="AK46" i="67"/>
  <c r="K46" i="67"/>
  <c r="AO46" i="67"/>
  <c r="AI53" i="67"/>
  <c r="O45" i="67"/>
  <c r="AL53" i="67"/>
  <c r="AJ45" i="67" l="1"/>
  <c r="AM45" i="67"/>
  <c r="O52" i="67"/>
  <c r="AJ52" i="67" l="1"/>
  <c r="AM52" i="67"/>
  <c r="O49" i="67"/>
  <c r="AJ49" i="67" l="1"/>
  <c r="AM49" i="67"/>
  <c r="AF49" i="67"/>
  <c r="O53" i="67"/>
  <c r="AM53" i="67" l="1"/>
  <c r="AG45" i="67"/>
  <c r="AJ53" i="67"/>
  <c r="AK45" i="67" l="1"/>
  <c r="AN45" i="67"/>
  <c r="AG52" i="67"/>
  <c r="AO45" i="67"/>
  <c r="AK52" i="67" l="1"/>
  <c r="AN52" i="67"/>
  <c r="AG49" i="67"/>
  <c r="K52" i="67"/>
  <c r="AO52" i="67"/>
  <c r="AK49" i="67" l="1"/>
  <c r="AN49" i="67"/>
  <c r="AO49" i="67"/>
  <c r="K49" i="67"/>
  <c r="AG53" i="67"/>
  <c r="AN53" i="67" l="1"/>
  <c r="AK53" i="67"/>
  <c r="AO53" i="67"/>
  <c r="AB46" i="40" l="1"/>
  <c r="F69" i="43"/>
  <c r="Z196" i="50"/>
  <c r="V196" i="50"/>
  <c r="Z179" i="50"/>
  <c r="V179" i="50"/>
  <c r="Z178" i="50"/>
  <c r="V178" i="50"/>
  <c r="V165" i="50"/>
  <c r="M223" i="50"/>
  <c r="N223" i="50"/>
  <c r="O223" i="50"/>
  <c r="P223" i="50"/>
  <c r="Q223" i="50"/>
  <c r="R223" i="50"/>
  <c r="S223" i="50"/>
  <c r="T223" i="50"/>
  <c r="W223" i="50"/>
  <c r="X223" i="50"/>
  <c r="Y223" i="50"/>
  <c r="Z223" i="50"/>
  <c r="AA223" i="50"/>
  <c r="AD223" i="50"/>
  <c r="AE223" i="50"/>
  <c r="AF223" i="50"/>
  <c r="AG223" i="50"/>
  <c r="AH223" i="50"/>
  <c r="AI223" i="50"/>
  <c r="AJ223" i="50"/>
  <c r="AK223" i="50"/>
  <c r="AL223" i="50"/>
  <c r="U229" i="50"/>
  <c r="AB229" i="50"/>
  <c r="AC229" i="50"/>
  <c r="L229" i="50" s="1"/>
  <c r="U228" i="50"/>
  <c r="AB228" i="50"/>
  <c r="AC228" i="50"/>
  <c r="AB227" i="50"/>
  <c r="AC227" i="50"/>
  <c r="U227" i="50"/>
  <c r="AB226" i="50"/>
  <c r="AC226" i="50"/>
  <c r="U226" i="50"/>
  <c r="AB225" i="50"/>
  <c r="AC225" i="50"/>
  <c r="U225" i="50"/>
  <c r="AB224" i="50"/>
  <c r="AB223" i="50" s="1"/>
  <c r="V224" i="50"/>
  <c r="AC224" i="50" s="1"/>
  <c r="U224" i="50"/>
  <c r="U223" i="50" s="1"/>
  <c r="G80" i="43"/>
  <c r="H8" i="9"/>
  <c r="AC223" i="50" l="1"/>
  <c r="L226" i="50"/>
  <c r="L227" i="50"/>
  <c r="V223" i="50"/>
  <c r="L225" i="50"/>
  <c r="L228" i="50"/>
  <c r="L224" i="50"/>
  <c r="I140" i="43"/>
  <c r="H140" i="43"/>
  <c r="I137" i="43"/>
  <c r="H137" i="43"/>
  <c r="I136" i="43"/>
  <c r="H136" i="43"/>
  <c r="I135" i="43"/>
  <c r="H135" i="43"/>
  <c r="I134" i="43"/>
  <c r="H134" i="43"/>
  <c r="I133" i="43"/>
  <c r="H133" i="43"/>
  <c r="I132" i="43"/>
  <c r="H132" i="43"/>
  <c r="I131" i="43"/>
  <c r="H131" i="43"/>
  <c r="I127" i="43"/>
  <c r="H127" i="43"/>
  <c r="I126" i="43"/>
  <c r="H126" i="43"/>
  <c r="I125" i="43"/>
  <c r="H125" i="43"/>
  <c r="I124" i="43"/>
  <c r="H124" i="43"/>
  <c r="I123" i="43"/>
  <c r="H123" i="43"/>
  <c r="I122" i="43"/>
  <c r="H122" i="43"/>
  <c r="I121" i="43"/>
  <c r="H121" i="43"/>
  <c r="I120" i="43"/>
  <c r="H120" i="43"/>
  <c r="I117" i="43"/>
  <c r="H117" i="43"/>
  <c r="H116" i="43"/>
  <c r="I115" i="43"/>
  <c r="H115" i="43"/>
  <c r="I114" i="43"/>
  <c r="H114" i="43"/>
  <c r="I113" i="43"/>
  <c r="H113" i="43"/>
  <c r="H112" i="43"/>
  <c r="I111" i="43"/>
  <c r="H111" i="43"/>
  <c r="I110" i="43"/>
  <c r="H110" i="43"/>
  <c r="I109" i="43"/>
  <c r="H109" i="43"/>
  <c r="I108" i="43"/>
  <c r="H108" i="43"/>
  <c r="I105" i="43"/>
  <c r="H105" i="43"/>
  <c r="I104" i="43"/>
  <c r="H104" i="43"/>
  <c r="H103" i="43"/>
  <c r="I102" i="43"/>
  <c r="H102" i="43"/>
  <c r="I101" i="43"/>
  <c r="H101" i="43"/>
  <c r="I100" i="43"/>
  <c r="H100" i="43"/>
  <c r="I99" i="43"/>
  <c r="H99" i="43"/>
  <c r="I98" i="43"/>
  <c r="H98" i="43"/>
  <c r="I97" i="43"/>
  <c r="H97" i="43"/>
  <c r="I95" i="43"/>
  <c r="H95" i="43"/>
  <c r="I94" i="43"/>
  <c r="H94" i="43"/>
  <c r="I93" i="43"/>
  <c r="H93" i="43"/>
  <c r="I92" i="43"/>
  <c r="H92" i="43"/>
  <c r="I91" i="43"/>
  <c r="H91" i="43"/>
  <c r="I90" i="43"/>
  <c r="H90" i="43"/>
  <c r="I89" i="43"/>
  <c r="H89" i="43"/>
  <c r="I87" i="43"/>
  <c r="H87" i="43"/>
  <c r="H71" i="43"/>
  <c r="H49" i="43"/>
  <c r="H38" i="43"/>
  <c r="I33" i="43"/>
  <c r="H33" i="43"/>
  <c r="I32" i="43"/>
  <c r="H32" i="43"/>
  <c r="I31" i="43"/>
  <c r="H31" i="43"/>
  <c r="I30" i="43"/>
  <c r="H30" i="43"/>
  <c r="I29" i="43"/>
  <c r="H29" i="43"/>
  <c r="I28" i="43"/>
  <c r="H28" i="43"/>
  <c r="I27" i="43"/>
  <c r="H27" i="43"/>
  <c r="I26" i="43"/>
  <c r="H26" i="43"/>
  <c r="I25" i="43"/>
  <c r="H25" i="43"/>
  <c r="I24" i="43"/>
  <c r="H24" i="43"/>
  <c r="I23" i="43"/>
  <c r="H23" i="43"/>
  <c r="I22" i="43"/>
  <c r="H22" i="43"/>
  <c r="I21" i="43"/>
  <c r="H21" i="43"/>
  <c r="I20" i="43"/>
  <c r="H20" i="43"/>
  <c r="I19" i="43"/>
  <c r="H19" i="43"/>
  <c r="I18" i="43"/>
  <c r="H18" i="43"/>
  <c r="I17" i="43"/>
  <c r="H17" i="43"/>
  <c r="I16" i="43"/>
  <c r="H16" i="43"/>
  <c r="I15" i="43"/>
  <c r="H15" i="43"/>
  <c r="I14" i="43"/>
  <c r="H14" i="43"/>
  <c r="L223" i="50" l="1"/>
  <c r="N68" i="50"/>
  <c r="V233" i="50"/>
  <c r="C46" i="35"/>
  <c r="D134" i="43"/>
  <c r="D135" i="43"/>
  <c r="D137" i="43"/>
  <c r="D138" i="43"/>
  <c r="D139" i="43"/>
  <c r="F43" i="43"/>
  <c r="D87" i="42" l="1"/>
  <c r="D3" i="35"/>
  <c r="E3" i="35"/>
  <c r="F3" i="35"/>
  <c r="G3" i="35"/>
  <c r="H3" i="35"/>
  <c r="I3" i="35"/>
  <c r="J3" i="35"/>
  <c r="K3" i="35"/>
  <c r="L3" i="35"/>
  <c r="M3" i="35"/>
  <c r="N3" i="35"/>
  <c r="C3" i="35"/>
  <c r="D7" i="35"/>
  <c r="E7" i="35"/>
  <c r="F7" i="35"/>
  <c r="G7" i="35"/>
  <c r="H7" i="35"/>
  <c r="I7" i="35"/>
  <c r="J7" i="35"/>
  <c r="K7" i="35"/>
  <c r="L7" i="35"/>
  <c r="M7" i="35"/>
  <c r="N7" i="35"/>
  <c r="C7" i="35"/>
  <c r="C67" i="22"/>
  <c r="D67" i="22"/>
  <c r="D67" i="20"/>
  <c r="D67" i="21"/>
  <c r="C67" i="19"/>
  <c r="D67" i="19"/>
  <c r="D66" i="19"/>
  <c r="D67" i="17"/>
  <c r="D67" i="16"/>
  <c r="C67" i="15"/>
  <c r="D67" i="15"/>
  <c r="C67" i="14"/>
  <c r="D67" i="14"/>
  <c r="C67" i="9"/>
  <c r="D67" i="9"/>
  <c r="G132" i="43" l="1"/>
  <c r="G133" i="43"/>
  <c r="G136" i="43"/>
  <c r="G139" i="43"/>
  <c r="G138" i="43"/>
  <c r="F95" i="43"/>
  <c r="F94" i="43"/>
  <c r="G95" i="43"/>
  <c r="G94" i="43"/>
  <c r="G92" i="43"/>
  <c r="G91" i="43"/>
  <c r="D93" i="42"/>
  <c r="F96" i="42"/>
  <c r="G96" i="42"/>
  <c r="H96" i="42"/>
  <c r="I96" i="42"/>
  <c r="J96" i="42"/>
  <c r="K96" i="42"/>
  <c r="L96" i="42"/>
  <c r="M96" i="42"/>
  <c r="N96" i="42"/>
  <c r="F97" i="42"/>
  <c r="G97" i="42"/>
  <c r="H97" i="42"/>
  <c r="I97" i="42"/>
  <c r="J97" i="42"/>
  <c r="K97" i="42"/>
  <c r="L97" i="42"/>
  <c r="M97" i="42"/>
  <c r="N97" i="42"/>
  <c r="N95" i="42"/>
  <c r="M95" i="42"/>
  <c r="L95" i="42"/>
  <c r="K95" i="42"/>
  <c r="J95" i="42"/>
  <c r="I95" i="42"/>
  <c r="H95" i="42"/>
  <c r="G95" i="42"/>
  <c r="F95" i="42"/>
  <c r="E96" i="42"/>
  <c r="C96" i="42" s="1"/>
  <c r="E20" i="23"/>
  <c r="E21" i="23"/>
  <c r="E22" i="23"/>
  <c r="E23" i="23"/>
  <c r="D21" i="23"/>
  <c r="D22" i="23"/>
  <c r="D23" i="23"/>
  <c r="D22" i="22"/>
  <c r="D23" i="22"/>
  <c r="D21" i="22"/>
  <c r="H21" i="36"/>
  <c r="I21" i="36"/>
  <c r="J21" i="36"/>
  <c r="K21" i="36"/>
  <c r="L21" i="36"/>
  <c r="M21" i="36"/>
  <c r="N21" i="36"/>
  <c r="O21" i="36"/>
  <c r="P21" i="36"/>
  <c r="H22" i="36"/>
  <c r="I22" i="36"/>
  <c r="J22" i="36"/>
  <c r="K22" i="36"/>
  <c r="L22" i="36"/>
  <c r="M22" i="36"/>
  <c r="N22" i="36"/>
  <c r="O22" i="36"/>
  <c r="P22" i="36"/>
  <c r="D22" i="36" s="1"/>
  <c r="H23" i="36"/>
  <c r="I23" i="36"/>
  <c r="J23" i="36"/>
  <c r="K23" i="36"/>
  <c r="L23" i="36"/>
  <c r="M23" i="36"/>
  <c r="N23" i="36"/>
  <c r="O23" i="36"/>
  <c r="P23" i="36"/>
  <c r="D22" i="20"/>
  <c r="D23" i="20"/>
  <c r="D21" i="20"/>
  <c r="D22" i="21"/>
  <c r="D23" i="21"/>
  <c r="D21" i="21"/>
  <c r="D22" i="19"/>
  <c r="D23" i="19"/>
  <c r="D21" i="19"/>
  <c r="D22" i="17"/>
  <c r="D23" i="17"/>
  <c r="D21" i="17"/>
  <c r="D22" i="16"/>
  <c r="D23" i="16"/>
  <c r="D21" i="16"/>
  <c r="D22" i="15"/>
  <c r="D23" i="15"/>
  <c r="D21" i="15"/>
  <c r="D22" i="14"/>
  <c r="D23" i="14"/>
  <c r="D21" i="14"/>
  <c r="D22" i="9"/>
  <c r="D23" i="9"/>
  <c r="D21" i="9"/>
  <c r="D24" i="35"/>
  <c r="C24" i="35"/>
  <c r="E28" i="35"/>
  <c r="F28" i="35"/>
  <c r="G28" i="35"/>
  <c r="H28" i="35"/>
  <c r="I28" i="35"/>
  <c r="J28" i="35"/>
  <c r="K28" i="35"/>
  <c r="L28" i="35"/>
  <c r="M28" i="35"/>
  <c r="N28" i="35"/>
  <c r="D28" i="35"/>
  <c r="E25" i="35"/>
  <c r="F25" i="35"/>
  <c r="G25" i="35"/>
  <c r="H25" i="35"/>
  <c r="I25" i="35"/>
  <c r="J25" i="35"/>
  <c r="K25" i="35"/>
  <c r="L25" i="35"/>
  <c r="M25" i="35"/>
  <c r="N25" i="35"/>
  <c r="D25" i="35"/>
  <c r="M30" i="50"/>
  <c r="N30" i="50"/>
  <c r="O30" i="50"/>
  <c r="P30" i="50"/>
  <c r="Q30" i="50"/>
  <c r="R30" i="50"/>
  <c r="S30" i="50"/>
  <c r="V30" i="50"/>
  <c r="W30" i="50"/>
  <c r="X30" i="50"/>
  <c r="AA30" i="50"/>
  <c r="AD30" i="50"/>
  <c r="AE30" i="50"/>
  <c r="AF30" i="50"/>
  <c r="AG30" i="50"/>
  <c r="AH30" i="50"/>
  <c r="AI30" i="50"/>
  <c r="AJ30" i="50"/>
  <c r="AK30" i="50"/>
  <c r="E67" i="9"/>
  <c r="I49" i="9"/>
  <c r="H24" i="35"/>
  <c r="C26" i="35"/>
  <c r="C29" i="35"/>
  <c r="C27" i="35"/>
  <c r="C30" i="35"/>
  <c r="C23" i="35"/>
  <c r="C22" i="35"/>
  <c r="C43" i="35"/>
  <c r="C42" i="35"/>
  <c r="E97" i="42" l="1"/>
  <c r="C97" i="42" s="1"/>
  <c r="D92" i="42"/>
  <c r="E95" i="42"/>
  <c r="C95" i="42" s="1"/>
  <c r="D23" i="36"/>
  <c r="D21" i="36"/>
  <c r="N24" i="35"/>
  <c r="J24" i="35"/>
  <c r="F24" i="35"/>
  <c r="M24" i="35"/>
  <c r="I24" i="35"/>
  <c r="E24" i="35"/>
  <c r="L24" i="35"/>
  <c r="K24" i="35"/>
  <c r="G24" i="35"/>
  <c r="C25" i="35"/>
  <c r="C28" i="35"/>
  <c r="AK196" i="50"/>
  <c r="AK179" i="50"/>
  <c r="AK178" i="50"/>
  <c r="AK165" i="50"/>
  <c r="V222" i="50"/>
  <c r="O35" i="50"/>
  <c r="P35" i="50"/>
  <c r="Q35" i="50"/>
  <c r="S35" i="50"/>
  <c r="X35" i="50"/>
  <c r="AD35" i="50"/>
  <c r="AE35" i="50"/>
  <c r="AF35" i="50"/>
  <c r="AG35" i="50"/>
  <c r="AH35" i="50"/>
  <c r="AI35" i="50"/>
  <c r="AJ35" i="50"/>
  <c r="AK35" i="50"/>
  <c r="AC41" i="50"/>
  <c r="U41" i="50"/>
  <c r="L41" i="50" l="1"/>
  <c r="K41" i="50" s="1"/>
  <c r="C120" i="43"/>
  <c r="AC78" i="50" l="1"/>
  <c r="AC79" i="50"/>
  <c r="L79" i="50" s="1"/>
  <c r="K79" i="50" s="1"/>
  <c r="AC60" i="50" l="1"/>
  <c r="U60" i="50"/>
  <c r="D61" i="50"/>
  <c r="C61" i="50" s="1"/>
  <c r="T61" i="50"/>
  <c r="U61" i="50" s="1"/>
  <c r="Z61" i="50"/>
  <c r="EJ61" i="50" s="1"/>
  <c r="AB61" i="50"/>
  <c r="AC61" i="50" s="1"/>
  <c r="EM61" i="50" s="1"/>
  <c r="AR61" i="50"/>
  <c r="AQ61" i="50" s="1"/>
  <c r="BE61" i="50"/>
  <c r="BF61" i="50" s="1"/>
  <c r="BG61" i="50" s="1"/>
  <c r="BL61" i="50"/>
  <c r="BM61" i="50" s="1"/>
  <c r="BN61" i="50" s="1"/>
  <c r="DW61" i="50"/>
  <c r="DX61" i="50"/>
  <c r="DY61" i="50"/>
  <c r="DZ61" i="50"/>
  <c r="EA61" i="50"/>
  <c r="EB61" i="50"/>
  <c r="EC61" i="50"/>
  <c r="EF61" i="50"/>
  <c r="EG61" i="50"/>
  <c r="EH61" i="50"/>
  <c r="EI61" i="50"/>
  <c r="EK61" i="50"/>
  <c r="EL61" i="50"/>
  <c r="EN61" i="50"/>
  <c r="EO61" i="50"/>
  <c r="EP61" i="50"/>
  <c r="EQ61" i="50"/>
  <c r="ER61" i="50"/>
  <c r="ES61" i="50"/>
  <c r="ET61" i="50"/>
  <c r="EU61" i="50"/>
  <c r="EV61" i="50"/>
  <c r="AY61" i="50" l="1"/>
  <c r="L60" i="50"/>
  <c r="L61" i="50"/>
  <c r="EE61" i="50"/>
  <c r="ED61" i="50"/>
  <c r="C17" i="35"/>
  <c r="K61" i="50" l="1"/>
  <c r="DV61" i="50"/>
  <c r="V164" i="50"/>
  <c r="W164" i="50"/>
  <c r="F6" i="47" l="1"/>
  <c r="I29" i="36"/>
  <c r="D29" i="36" s="1"/>
  <c r="D26" i="14"/>
  <c r="F44" i="43" l="1"/>
  <c r="D44" i="43" s="1"/>
  <c r="AJ241" i="50"/>
  <c r="AK74" i="50"/>
  <c r="AJ74" i="50"/>
  <c r="AI74" i="50"/>
  <c r="AH74" i="50"/>
  <c r="AG74" i="50"/>
  <c r="AF74" i="50"/>
  <c r="AE74" i="50"/>
  <c r="AD74" i="50"/>
  <c r="AD62" i="50" s="1"/>
  <c r="AI156" i="50"/>
  <c r="AJ156" i="50"/>
  <c r="AK156" i="50"/>
  <c r="M141" i="50"/>
  <c r="M140" i="50" s="1"/>
  <c r="N141" i="50"/>
  <c r="N140" i="50" s="1"/>
  <c r="O141" i="50"/>
  <c r="O140" i="50" s="1"/>
  <c r="P141" i="50"/>
  <c r="P140" i="50" s="1"/>
  <c r="Q141" i="50"/>
  <c r="Q140" i="50" s="1"/>
  <c r="S141" i="50"/>
  <c r="S140" i="50" s="1"/>
  <c r="W141" i="50"/>
  <c r="W140" i="50" s="1"/>
  <c r="X141" i="50"/>
  <c r="X140" i="50" s="1"/>
  <c r="AA141" i="50"/>
  <c r="AA140" i="50" s="1"/>
  <c r="AD141" i="50"/>
  <c r="AD140" i="50" s="1"/>
  <c r="AE141" i="50"/>
  <c r="AE140" i="50" s="1"/>
  <c r="AF141" i="50"/>
  <c r="AF140" i="50" s="1"/>
  <c r="AG141" i="50"/>
  <c r="AG140" i="50" s="1"/>
  <c r="AH141" i="50"/>
  <c r="AH140" i="50" s="1"/>
  <c r="AI141" i="50"/>
  <c r="AI140" i="50" s="1"/>
  <c r="AJ141" i="50"/>
  <c r="AJ140" i="50" s="1"/>
  <c r="AK141" i="50"/>
  <c r="AK140" i="50" s="1"/>
  <c r="M133" i="50"/>
  <c r="M132" i="50" s="1"/>
  <c r="O133" i="50"/>
  <c r="O132" i="50" s="1"/>
  <c r="P133" i="50"/>
  <c r="P132" i="50" s="1"/>
  <c r="Q133" i="50"/>
  <c r="S133" i="50"/>
  <c r="S132" i="50" s="1"/>
  <c r="V133" i="50"/>
  <c r="V132" i="50" s="1"/>
  <c r="W133" i="50"/>
  <c r="W132" i="50" s="1"/>
  <c r="X133" i="50"/>
  <c r="X132" i="50" s="1"/>
  <c r="AA133" i="50"/>
  <c r="AA132" i="50" s="1"/>
  <c r="AD133" i="50"/>
  <c r="AD132" i="50" s="1"/>
  <c r="AE133" i="50"/>
  <c r="AE132" i="50" s="1"/>
  <c r="AF133" i="50"/>
  <c r="AF132" i="50" s="1"/>
  <c r="AG133" i="50"/>
  <c r="AG132" i="50" s="1"/>
  <c r="AH133" i="50"/>
  <c r="AH132" i="50" s="1"/>
  <c r="AI133" i="50"/>
  <c r="AI132" i="50" s="1"/>
  <c r="AJ133" i="50"/>
  <c r="AJ132" i="50" s="1"/>
  <c r="AK133" i="50"/>
  <c r="AK132" i="50" s="1"/>
  <c r="AL133" i="50"/>
  <c r="Q132" i="50"/>
  <c r="AJ82" i="50"/>
  <c r="AJ81" i="50" s="1"/>
  <c r="AK82" i="50"/>
  <c r="AK81" i="50" s="1"/>
  <c r="AH34" i="50"/>
  <c r="AI34" i="50"/>
  <c r="AJ34" i="50"/>
  <c r="AK34" i="50"/>
  <c r="AH10" i="50"/>
  <c r="AH9" i="50" s="1"/>
  <c r="AI10" i="50"/>
  <c r="AI9" i="50" s="1"/>
  <c r="AJ10" i="50"/>
  <c r="AJ9" i="50" s="1"/>
  <c r="AK10" i="50"/>
  <c r="AK9" i="50" s="1"/>
  <c r="M112" i="50"/>
  <c r="H49" i="9"/>
  <c r="H27" i="36"/>
  <c r="I27" i="36"/>
  <c r="J27" i="36"/>
  <c r="K27" i="36"/>
  <c r="L27" i="36"/>
  <c r="M27" i="36"/>
  <c r="N27" i="36"/>
  <c r="O27" i="36"/>
  <c r="P27" i="36"/>
  <c r="H28" i="36"/>
  <c r="I28" i="36"/>
  <c r="J28" i="36"/>
  <c r="K28" i="36"/>
  <c r="L28" i="36"/>
  <c r="M28" i="36"/>
  <c r="N28" i="36"/>
  <c r="O28" i="36"/>
  <c r="P28" i="36"/>
  <c r="E27" i="22"/>
  <c r="F27" i="22"/>
  <c r="E28" i="22"/>
  <c r="D26" i="22"/>
  <c r="E27" i="20"/>
  <c r="F27" i="20"/>
  <c r="E28" i="20"/>
  <c r="D26" i="20"/>
  <c r="E27" i="21"/>
  <c r="F27" i="21"/>
  <c r="E28" i="21"/>
  <c r="D26" i="21"/>
  <c r="E27" i="19"/>
  <c r="F27" i="19"/>
  <c r="E28" i="19"/>
  <c r="D26" i="19"/>
  <c r="E27" i="17"/>
  <c r="F27" i="17"/>
  <c r="E28" i="17"/>
  <c r="D26" i="17"/>
  <c r="E27" i="16"/>
  <c r="F27" i="16"/>
  <c r="E28" i="16"/>
  <c r="D26" i="16"/>
  <c r="E27" i="15"/>
  <c r="F27" i="15"/>
  <c r="E28" i="15"/>
  <c r="D26" i="15"/>
  <c r="E27" i="14"/>
  <c r="F27" i="14"/>
  <c r="E28" i="14"/>
  <c r="E27" i="9"/>
  <c r="F27" i="9"/>
  <c r="E28" i="9"/>
  <c r="D26" i="9"/>
  <c r="K110" i="50"/>
  <c r="K111" i="50"/>
  <c r="U110" i="50"/>
  <c r="D27" i="36" l="1"/>
  <c r="D28" i="36"/>
  <c r="H46" i="9"/>
  <c r="F155" i="43"/>
  <c r="L19" i="35"/>
  <c r="K19" i="35"/>
  <c r="J19" i="35"/>
  <c r="I19" i="35"/>
  <c r="H19" i="35"/>
  <c r="G19" i="35"/>
  <c r="F19" i="35"/>
  <c r="E19" i="35"/>
  <c r="D19" i="35"/>
  <c r="C20" i="35"/>
  <c r="C21" i="35"/>
  <c r="F140" i="43" l="1"/>
  <c r="D157" i="43"/>
  <c r="H157" i="43" s="1"/>
  <c r="I50" i="40" l="1"/>
  <c r="D130" i="43" l="1"/>
  <c r="H26" i="36"/>
  <c r="I26" i="36"/>
  <c r="J26" i="36"/>
  <c r="K26" i="36"/>
  <c r="L26" i="36"/>
  <c r="M26" i="36"/>
  <c r="N26" i="36"/>
  <c r="O26" i="36"/>
  <c r="P26" i="36"/>
  <c r="E30" i="36"/>
  <c r="E25" i="36" s="1"/>
  <c r="F30" i="36"/>
  <c r="F25" i="36" s="1"/>
  <c r="G30" i="36"/>
  <c r="G25" i="36" s="1"/>
  <c r="D100" i="43"/>
  <c r="D142" i="43" l="1"/>
  <c r="D143" i="43"/>
  <c r="D144" i="43"/>
  <c r="D145" i="43"/>
  <c r="D146" i="43"/>
  <c r="D147" i="43"/>
  <c r="D148" i="43"/>
  <c r="D149" i="43"/>
  <c r="D151" i="43"/>
  <c r="D152" i="43"/>
  <c r="D153" i="43"/>
  <c r="D154" i="43"/>
  <c r="D141" i="43"/>
  <c r="C67" i="21"/>
  <c r="D20" i="22"/>
  <c r="P20" i="36" s="1"/>
  <c r="G98" i="42" s="1"/>
  <c r="D20" i="20"/>
  <c r="N20" i="36" s="1"/>
  <c r="M98" i="42" s="1"/>
  <c r="D19" i="20"/>
  <c r="E19" i="20" s="1"/>
  <c r="D20" i="21"/>
  <c r="O20" i="36" s="1"/>
  <c r="N98" i="42" s="1"/>
  <c r="D20" i="17"/>
  <c r="L20" i="36" s="1"/>
  <c r="K98" i="42" s="1"/>
  <c r="D20" i="16"/>
  <c r="K20" i="36" s="1"/>
  <c r="J98" i="42" s="1"/>
  <c r="D20" i="15"/>
  <c r="J20" i="36" s="1"/>
  <c r="I98" i="42" s="1"/>
  <c r="D20" i="14"/>
  <c r="I20" i="36" s="1"/>
  <c r="H98" i="42" s="1"/>
  <c r="D20" i="9"/>
  <c r="F131" i="43"/>
  <c r="C19" i="35"/>
  <c r="G156" i="43" s="1"/>
  <c r="C16" i="35"/>
  <c r="G140" i="43" l="1"/>
  <c r="D156" i="43"/>
  <c r="E20" i="21"/>
  <c r="E20" i="15"/>
  <c r="E20" i="14"/>
  <c r="E20" i="20"/>
  <c r="E20" i="9"/>
  <c r="H20" i="36"/>
  <c r="F98" i="42" s="1"/>
  <c r="E20" i="17"/>
  <c r="E20" i="16"/>
  <c r="E20" i="22"/>
  <c r="D20" i="19"/>
  <c r="D20" i="23" s="1"/>
  <c r="F19" i="20"/>
  <c r="E44" i="14"/>
  <c r="D43" i="14"/>
  <c r="E43" i="14" s="1"/>
  <c r="C42" i="14"/>
  <c r="C43" i="14"/>
  <c r="C42" i="16"/>
  <c r="D43" i="16"/>
  <c r="C43" i="16"/>
  <c r="C42" i="19"/>
  <c r="C43" i="19"/>
  <c r="D43" i="19"/>
  <c r="D43" i="22"/>
  <c r="C43" i="22"/>
  <c r="C42" i="22" s="1"/>
  <c r="D43" i="21"/>
  <c r="D41" i="21"/>
  <c r="D42" i="21" s="1"/>
  <c r="C42" i="21"/>
  <c r="C43" i="21"/>
  <c r="M20" i="36" l="1"/>
  <c r="L98" i="42" s="1"/>
  <c r="E98" i="42" s="1"/>
  <c r="E20" i="19"/>
  <c r="D59" i="19"/>
  <c r="C59" i="19"/>
  <c r="D48" i="19"/>
  <c r="C48" i="19"/>
  <c r="D59" i="22"/>
  <c r="C59" i="22"/>
  <c r="D48" i="22"/>
  <c r="C48" i="22"/>
  <c r="D59" i="20"/>
  <c r="C59" i="20"/>
  <c r="D48" i="20"/>
  <c r="C48" i="20"/>
  <c r="D59" i="17"/>
  <c r="C59" i="17"/>
  <c r="D48" i="17"/>
  <c r="C48" i="17"/>
  <c r="D59" i="16"/>
  <c r="C59" i="16"/>
  <c r="D48" i="16"/>
  <c r="C48" i="16"/>
  <c r="D59" i="15"/>
  <c r="C59" i="15"/>
  <c r="C48" i="15"/>
  <c r="D48" i="15"/>
  <c r="C48" i="9"/>
  <c r="D48" i="9"/>
  <c r="D52" i="22"/>
  <c r="C52" i="22"/>
  <c r="D49" i="22"/>
  <c r="C49" i="22"/>
  <c r="D66" i="20"/>
  <c r="C52" i="20"/>
  <c r="C49" i="20"/>
  <c r="D49" i="20" s="1"/>
  <c r="D52" i="20"/>
  <c r="C52" i="21"/>
  <c r="D66" i="21"/>
  <c r="C66" i="21"/>
  <c r="C59" i="21"/>
  <c r="D59" i="21"/>
  <c r="D49" i="21"/>
  <c r="C98" i="42" l="1"/>
  <c r="J50" i="40"/>
  <c r="H50" i="40" s="1"/>
  <c r="E99" i="42"/>
  <c r="D20" i="36"/>
  <c r="C52" i="19"/>
  <c r="D52" i="19"/>
  <c r="C49" i="19"/>
  <c r="D49" i="19" s="1"/>
  <c r="D52" i="17"/>
  <c r="C52" i="17"/>
  <c r="D49" i="17"/>
  <c r="C49" i="17"/>
  <c r="C52" i="16"/>
  <c r="D52" i="16"/>
  <c r="D49" i="16"/>
  <c r="C49" i="16"/>
  <c r="D52" i="15"/>
  <c r="C52" i="15"/>
  <c r="D59" i="14"/>
  <c r="C59" i="14"/>
  <c r="D49" i="14"/>
  <c r="D49" i="15"/>
  <c r="C49" i="15"/>
  <c r="C49" i="9"/>
  <c r="K50" i="40" l="1"/>
  <c r="L50" i="40"/>
  <c r="C76" i="43"/>
  <c r="C15" i="43"/>
  <c r="C14" i="43"/>
  <c r="C13" i="43" s="1"/>
  <c r="C12" i="43" s="1"/>
  <c r="G101" i="42" l="1"/>
  <c r="D82" i="43"/>
  <c r="I82" i="43" l="1"/>
  <c r="H82" i="43"/>
  <c r="K82" i="43"/>
  <c r="D43" i="43"/>
  <c r="I43" i="43" l="1"/>
  <c r="H43" i="43"/>
  <c r="K53" i="40"/>
  <c r="F120" i="43" l="1"/>
  <c r="D128" i="43"/>
  <c r="D119" i="43"/>
  <c r="D117" i="43"/>
  <c r="D116" i="43"/>
  <c r="D111" i="43"/>
  <c r="F118" i="43"/>
  <c r="F107" i="43" s="1"/>
  <c r="I38" i="40"/>
  <c r="H38" i="40" s="1"/>
  <c r="D101" i="42"/>
  <c r="C80" i="42"/>
  <c r="F42" i="43"/>
  <c r="F41" i="43"/>
  <c r="K204" i="50"/>
  <c r="F320" i="50"/>
  <c r="E320" i="50"/>
  <c r="AL318" i="50"/>
  <c r="AK318" i="50"/>
  <c r="AJ318" i="50"/>
  <c r="AI318" i="50"/>
  <c r="AH318" i="50"/>
  <c r="AG318" i="50"/>
  <c r="AF318" i="50"/>
  <c r="AE318" i="50"/>
  <c r="X318" i="50"/>
  <c r="Q318" i="50"/>
  <c r="P318" i="50"/>
  <c r="G318" i="50"/>
  <c r="AL317" i="50"/>
  <c r="AK317" i="50"/>
  <c r="AJ317" i="50"/>
  <c r="AI317" i="50"/>
  <c r="AG317" i="50"/>
  <c r="AF317" i="50"/>
  <c r="AE317" i="50"/>
  <c r="X317" i="50"/>
  <c r="Q317" i="50"/>
  <c r="Q308" i="50"/>
  <c r="P308" i="50"/>
  <c r="O308" i="50"/>
  <c r="N308" i="50"/>
  <c r="M308" i="50"/>
  <c r="R306" i="50"/>
  <c r="R305" i="50"/>
  <c r="EV246" i="50"/>
  <c r="EU246" i="50"/>
  <c r="ET246" i="50"/>
  <c r="ES246" i="50"/>
  <c r="ER246" i="50"/>
  <c r="EQ246" i="50"/>
  <c r="EP246" i="50"/>
  <c r="EO246" i="50"/>
  <c r="EN246" i="50"/>
  <c r="EK246" i="50"/>
  <c r="EJ246" i="50"/>
  <c r="EI246" i="50"/>
  <c r="EH246" i="50"/>
  <c r="EG246" i="50"/>
  <c r="EF246" i="50"/>
  <c r="ED246" i="50"/>
  <c r="EC246" i="50"/>
  <c r="EB246" i="50"/>
  <c r="EA246" i="50"/>
  <c r="DZ246" i="50"/>
  <c r="DY246" i="50"/>
  <c r="DX246" i="50"/>
  <c r="DW246" i="50"/>
  <c r="BN246" i="50"/>
  <c r="BG246" i="50"/>
  <c r="AC246" i="50"/>
  <c r="EM246" i="50" s="1"/>
  <c r="AB246" i="50"/>
  <c r="EL246" i="50" s="1"/>
  <c r="U246" i="50"/>
  <c r="EV245" i="50"/>
  <c r="EU245" i="50"/>
  <c r="ET245" i="50"/>
  <c r="ES245" i="50"/>
  <c r="ER245" i="50"/>
  <c r="EQ245" i="50"/>
  <c r="EP245" i="50"/>
  <c r="EO245" i="50"/>
  <c r="EN245" i="50"/>
  <c r="EK245" i="50"/>
  <c r="EJ245" i="50"/>
  <c r="EI245" i="50"/>
  <c r="EH245" i="50"/>
  <c r="EG245" i="50"/>
  <c r="EF245" i="50"/>
  <c r="ED245" i="50"/>
  <c r="EC245" i="50"/>
  <c r="EB245" i="50"/>
  <c r="EA245" i="50"/>
  <c r="DZ245" i="50"/>
  <c r="DY245" i="50"/>
  <c r="DX245" i="50"/>
  <c r="DW245" i="50"/>
  <c r="BN245" i="50"/>
  <c r="BG245" i="50"/>
  <c r="AC245" i="50"/>
  <c r="EM245" i="50" s="1"/>
  <c r="AB245" i="50"/>
  <c r="EL245" i="50" s="1"/>
  <c r="U245" i="50"/>
  <c r="EE245" i="50" s="1"/>
  <c r="EV244" i="50"/>
  <c r="EU244" i="50"/>
  <c r="ET244" i="50"/>
  <c r="ES244" i="50"/>
  <c r="ER244" i="50"/>
  <c r="EQ244" i="50"/>
  <c r="EP244" i="50"/>
  <c r="EO244" i="50"/>
  <c r="EN244" i="50"/>
  <c r="EK244" i="50"/>
  <c r="EJ244" i="50"/>
  <c r="EI244" i="50"/>
  <c r="EH244" i="50"/>
  <c r="EG244" i="50"/>
  <c r="EF244" i="50"/>
  <c r="ED244" i="50"/>
  <c r="EC244" i="50"/>
  <c r="EB244" i="50"/>
  <c r="EA244" i="50"/>
  <c r="DZ244" i="50"/>
  <c r="DY244" i="50"/>
  <c r="DX244" i="50"/>
  <c r="DW244" i="50"/>
  <c r="BN244" i="50"/>
  <c r="BG244" i="50"/>
  <c r="AC244" i="50"/>
  <c r="EM244" i="50" s="1"/>
  <c r="AB244" i="50"/>
  <c r="EL244" i="50" s="1"/>
  <c r="U244" i="50"/>
  <c r="EE244" i="50" s="1"/>
  <c r="EV243" i="50"/>
  <c r="EU243" i="50"/>
  <c r="ET243" i="50"/>
  <c r="ES243" i="50"/>
  <c r="ER243" i="50"/>
  <c r="EQ243" i="50"/>
  <c r="EP243" i="50"/>
  <c r="EO243" i="50"/>
  <c r="EN243" i="50"/>
  <c r="EK243" i="50"/>
  <c r="EJ243" i="50"/>
  <c r="EI243" i="50"/>
  <c r="EH243" i="50"/>
  <c r="EG243" i="50"/>
  <c r="EF243" i="50"/>
  <c r="ED243" i="50"/>
  <c r="EC243" i="50"/>
  <c r="EB243" i="50"/>
  <c r="EA243" i="50"/>
  <c r="DZ243" i="50"/>
  <c r="DY243" i="50"/>
  <c r="DX243" i="50"/>
  <c r="DW243" i="50"/>
  <c r="BH243" i="50"/>
  <c r="BN243" i="50" s="1"/>
  <c r="BG243" i="50"/>
  <c r="AC243" i="50"/>
  <c r="EM243" i="50" s="1"/>
  <c r="AB243" i="50"/>
  <c r="EL243" i="50" s="1"/>
  <c r="U243" i="50"/>
  <c r="EV242" i="50"/>
  <c r="EU242" i="50"/>
  <c r="ET242" i="50"/>
  <c r="ES242" i="50"/>
  <c r="ER242" i="50"/>
  <c r="EQ242" i="50"/>
  <c r="EP242" i="50"/>
  <c r="EO242" i="50"/>
  <c r="EN242" i="50"/>
  <c r="EK242" i="50"/>
  <c r="EJ242" i="50"/>
  <c r="EI242" i="50"/>
  <c r="EH242" i="50"/>
  <c r="EG242" i="50"/>
  <c r="EF242" i="50"/>
  <c r="ED242" i="50"/>
  <c r="EC242" i="50"/>
  <c r="EB242" i="50"/>
  <c r="EA242" i="50"/>
  <c r="DZ242" i="50"/>
  <c r="DY242" i="50"/>
  <c r="DX242" i="50"/>
  <c r="DW242" i="50"/>
  <c r="BN242" i="50"/>
  <c r="BG242" i="50"/>
  <c r="AC242" i="50"/>
  <c r="EM242" i="50" s="1"/>
  <c r="AB242" i="50"/>
  <c r="EL242" i="50" s="1"/>
  <c r="U242" i="50"/>
  <c r="EE242" i="50" s="1"/>
  <c r="EV241" i="50"/>
  <c r="EU241" i="50"/>
  <c r="ET241" i="50"/>
  <c r="ES241" i="50"/>
  <c r="ER241" i="50"/>
  <c r="EQ241" i="50"/>
  <c r="EP241" i="50"/>
  <c r="EO241" i="50"/>
  <c r="EN241" i="50"/>
  <c r="EK241" i="50"/>
  <c r="EJ241" i="50"/>
  <c r="EI241" i="50"/>
  <c r="EH241" i="50"/>
  <c r="EG241" i="50"/>
  <c r="EF241" i="50"/>
  <c r="ED241" i="50"/>
  <c r="EC241" i="50"/>
  <c r="EB241" i="50"/>
  <c r="EA241" i="50"/>
  <c r="DZ241" i="50"/>
  <c r="DY241" i="50"/>
  <c r="DX241" i="50"/>
  <c r="DW241" i="50"/>
  <c r="BN241" i="50"/>
  <c r="BG241" i="50"/>
  <c r="AC241" i="50"/>
  <c r="EM241" i="50" s="1"/>
  <c r="AB241" i="50"/>
  <c r="EL241" i="50" s="1"/>
  <c r="U241" i="50"/>
  <c r="EE241" i="50" s="1"/>
  <c r="EV240" i="50"/>
  <c r="EU240" i="50"/>
  <c r="ET240" i="50"/>
  <c r="ES240" i="50"/>
  <c r="ER240" i="50"/>
  <c r="EQ240" i="50"/>
  <c r="EP240" i="50"/>
  <c r="EO240" i="50"/>
  <c r="EN240" i="50"/>
  <c r="EK240" i="50"/>
  <c r="EJ240" i="50"/>
  <c r="EI240" i="50"/>
  <c r="EH240" i="50"/>
  <c r="EG240" i="50"/>
  <c r="EF240" i="50"/>
  <c r="ED240" i="50"/>
  <c r="EC240" i="50"/>
  <c r="EB240" i="50"/>
  <c r="EA240" i="50"/>
  <c r="DZ240" i="50"/>
  <c r="DY240" i="50"/>
  <c r="DX240" i="50"/>
  <c r="DW240" i="50"/>
  <c r="BN240" i="50"/>
  <c r="BN239" i="50" s="1"/>
  <c r="BG240" i="50"/>
  <c r="AC240" i="50"/>
  <c r="EM240" i="50" s="1"/>
  <c r="AB240" i="50"/>
  <c r="EL240" i="50" s="1"/>
  <c r="U240" i="50"/>
  <c r="EE240" i="50" s="1"/>
  <c r="BW239" i="50"/>
  <c r="BV239" i="50"/>
  <c r="BU239" i="50"/>
  <c r="BT239" i="50"/>
  <c r="BS239" i="50"/>
  <c r="BR239" i="50"/>
  <c r="BQ239" i="50"/>
  <c r="BP239" i="50"/>
  <c r="BO239" i="50"/>
  <c r="BL239" i="50"/>
  <c r="BK239" i="50"/>
  <c r="BJ239" i="50"/>
  <c r="BI239" i="50"/>
  <c r="BH239" i="50"/>
  <c r="BE239" i="50"/>
  <c r="BD239" i="50"/>
  <c r="BC239" i="50"/>
  <c r="BB239" i="50"/>
  <c r="BA239" i="50"/>
  <c r="AZ239" i="50"/>
  <c r="AX239" i="50"/>
  <c r="AW239" i="50"/>
  <c r="AV239" i="50"/>
  <c r="AU239" i="50"/>
  <c r="AT239" i="50"/>
  <c r="AS239" i="50"/>
  <c r="AR239" i="50"/>
  <c r="AQ239" i="50"/>
  <c r="AL239" i="50"/>
  <c r="AK239" i="50"/>
  <c r="AJ239" i="50"/>
  <c r="AI239" i="50"/>
  <c r="AH239" i="50"/>
  <c r="AG239" i="50"/>
  <c r="AF239" i="50"/>
  <c r="AE239" i="50"/>
  <c r="AD239" i="50"/>
  <c r="Y239" i="50"/>
  <c r="X239" i="50"/>
  <c r="W239" i="50"/>
  <c r="V239" i="50"/>
  <c r="R239" i="50"/>
  <c r="Q239" i="50"/>
  <c r="P239" i="50"/>
  <c r="O239" i="50"/>
  <c r="N239" i="50"/>
  <c r="M239" i="50"/>
  <c r="J239" i="50"/>
  <c r="I239" i="50"/>
  <c r="H239" i="50"/>
  <c r="G239" i="50"/>
  <c r="F239" i="50"/>
  <c r="E239" i="50"/>
  <c r="D239" i="50"/>
  <c r="C239" i="50"/>
  <c r="EV238" i="50"/>
  <c r="EU238" i="50"/>
  <c r="ET238" i="50"/>
  <c r="ES238" i="50"/>
  <c r="ER238" i="50"/>
  <c r="EQ238" i="50"/>
  <c r="EP238" i="50"/>
  <c r="EO238" i="50"/>
  <c r="EN238" i="50"/>
  <c r="EK238" i="50"/>
  <c r="EJ238" i="50"/>
  <c r="EI238" i="50"/>
  <c r="EH238" i="50"/>
  <c r="EG238" i="50"/>
  <c r="EF238" i="50"/>
  <c r="ED238" i="50"/>
  <c r="EC238" i="50"/>
  <c r="EB238" i="50"/>
  <c r="EA238" i="50"/>
  <c r="DZ238" i="50"/>
  <c r="DY238" i="50"/>
  <c r="DX238" i="50"/>
  <c r="DW238" i="50"/>
  <c r="BN238" i="50"/>
  <c r="BG238" i="50"/>
  <c r="AR238" i="50"/>
  <c r="AQ238" i="50" s="1"/>
  <c r="AC238" i="50"/>
  <c r="EM238" i="50" s="1"/>
  <c r="AB238" i="50"/>
  <c r="EL238" i="50" s="1"/>
  <c r="U238" i="50"/>
  <c r="EE238" i="50" s="1"/>
  <c r="D238" i="50"/>
  <c r="C238" i="50" s="1"/>
  <c r="EV237" i="50"/>
  <c r="EU237" i="50"/>
  <c r="ET237" i="50"/>
  <c r="ES237" i="50"/>
  <c r="ER237" i="50"/>
  <c r="EQ237" i="50"/>
  <c r="EP237" i="50"/>
  <c r="EO237" i="50"/>
  <c r="EN237" i="50"/>
  <c r="EK237" i="50"/>
  <c r="EJ237" i="50"/>
  <c r="EI237" i="50"/>
  <c r="EH237" i="50"/>
  <c r="EG237" i="50"/>
  <c r="EF237" i="50"/>
  <c r="ED237" i="50"/>
  <c r="EC237" i="50"/>
  <c r="EB237" i="50"/>
  <c r="EA237" i="50"/>
  <c r="DZ237" i="50"/>
  <c r="DY237" i="50"/>
  <c r="DX237" i="50"/>
  <c r="DW237" i="50"/>
  <c r="BN237" i="50"/>
  <c r="AZ237" i="50"/>
  <c r="BG237" i="50" s="1"/>
  <c r="AR237" i="50"/>
  <c r="AQ237" i="50" s="1"/>
  <c r="AC237" i="50"/>
  <c r="AC236" i="50" s="1"/>
  <c r="AB237" i="50"/>
  <c r="U237" i="50"/>
  <c r="EE237" i="50" s="1"/>
  <c r="D237" i="50"/>
  <c r="C237" i="50" s="1"/>
  <c r="BW236" i="50"/>
  <c r="BV236" i="50"/>
  <c r="BU236" i="50"/>
  <c r="BT236" i="50"/>
  <c r="BS236" i="50"/>
  <c r="BR236" i="50"/>
  <c r="BQ236" i="50"/>
  <c r="BP236" i="50"/>
  <c r="BO236" i="50"/>
  <c r="BL236" i="50"/>
  <c r="BK236" i="50"/>
  <c r="BJ236" i="50"/>
  <c r="BI236" i="50"/>
  <c r="BH236" i="50"/>
  <c r="BE236" i="50"/>
  <c r="BD236" i="50"/>
  <c r="BC236" i="50"/>
  <c r="BB236" i="50"/>
  <c r="BA236" i="50"/>
  <c r="AX236" i="50"/>
  <c r="AW236" i="50"/>
  <c r="AV236" i="50"/>
  <c r="AU236" i="50"/>
  <c r="AT236" i="50"/>
  <c r="AS236" i="50"/>
  <c r="AL236" i="50"/>
  <c r="AK236" i="50"/>
  <c r="AJ236" i="50"/>
  <c r="AI236" i="50"/>
  <c r="AH236" i="50"/>
  <c r="AG236" i="50"/>
  <c r="AF236" i="50"/>
  <c r="AE236" i="50"/>
  <c r="AD236" i="50"/>
  <c r="Y236" i="50"/>
  <c r="X236" i="50"/>
  <c r="W236" i="50"/>
  <c r="V236" i="50"/>
  <c r="R236" i="50"/>
  <c r="Q236" i="50"/>
  <c r="P236" i="50"/>
  <c r="O236" i="50"/>
  <c r="N236" i="50"/>
  <c r="M236" i="50"/>
  <c r="J236" i="50"/>
  <c r="I236" i="50"/>
  <c r="H236" i="50"/>
  <c r="G236" i="50"/>
  <c r="F236" i="50"/>
  <c r="E236" i="50"/>
  <c r="BN235" i="50"/>
  <c r="BG235" i="50"/>
  <c r="AY235" i="50" s="1"/>
  <c r="AC235" i="50"/>
  <c r="AB235" i="50"/>
  <c r="U235" i="50"/>
  <c r="BN234" i="50"/>
  <c r="BG234" i="50"/>
  <c r="AC234" i="50"/>
  <c r="AB234" i="50"/>
  <c r="U234" i="50"/>
  <c r="EV233" i="50"/>
  <c r="EU233" i="50"/>
  <c r="ET233" i="50"/>
  <c r="ES233" i="50"/>
  <c r="ER233" i="50"/>
  <c r="EQ233" i="50"/>
  <c r="EP233" i="50"/>
  <c r="EO233" i="50"/>
  <c r="EN233" i="50"/>
  <c r="EK233" i="50"/>
  <c r="EJ233" i="50"/>
  <c r="EI233" i="50"/>
  <c r="EH233" i="50"/>
  <c r="EG233" i="50"/>
  <c r="EF233" i="50"/>
  <c r="ED233" i="50"/>
  <c r="EC233" i="50"/>
  <c r="EB233" i="50"/>
  <c r="EA233" i="50"/>
  <c r="DZ233" i="50"/>
  <c r="DY233" i="50"/>
  <c r="DX233" i="50"/>
  <c r="DW233" i="50"/>
  <c r="BH233" i="50"/>
  <c r="BN233" i="50" s="1"/>
  <c r="BG233" i="50"/>
  <c r="AC233" i="50"/>
  <c r="EM233" i="50" s="1"/>
  <c r="AB233" i="50"/>
  <c r="EL233" i="50" s="1"/>
  <c r="U233" i="50"/>
  <c r="EE233" i="50" s="1"/>
  <c r="EV232" i="50"/>
  <c r="EU232" i="50"/>
  <c r="ET232" i="50"/>
  <c r="ES232" i="50"/>
  <c r="ER232" i="50"/>
  <c r="EQ232" i="50"/>
  <c r="EP232" i="50"/>
  <c r="EO232" i="50"/>
  <c r="EN232" i="50"/>
  <c r="EK232" i="50"/>
  <c r="EJ232" i="50"/>
  <c r="EI232" i="50"/>
  <c r="EH232" i="50"/>
  <c r="EG232" i="50"/>
  <c r="EF232" i="50"/>
  <c r="ED232" i="50"/>
  <c r="EC232" i="50"/>
  <c r="EB232" i="50"/>
  <c r="EA232" i="50"/>
  <c r="DZ232" i="50"/>
  <c r="DY232" i="50"/>
  <c r="DX232" i="50"/>
  <c r="DW232" i="50"/>
  <c r="BN232" i="50"/>
  <c r="BG232" i="50"/>
  <c r="AC232" i="50"/>
  <c r="EM232" i="50" s="1"/>
  <c r="AB232" i="50"/>
  <c r="EL232" i="50" s="1"/>
  <c r="U232" i="50"/>
  <c r="EE232" i="50" s="1"/>
  <c r="EV231" i="50"/>
  <c r="EU231" i="50"/>
  <c r="ET231" i="50"/>
  <c r="ES231" i="50"/>
  <c r="ER231" i="50"/>
  <c r="EQ231" i="50"/>
  <c r="EP231" i="50"/>
  <c r="EO231" i="50"/>
  <c r="EN231" i="50"/>
  <c r="EK231" i="50"/>
  <c r="EJ231" i="50"/>
  <c r="EI231" i="50"/>
  <c r="EH231" i="50"/>
  <c r="EG231" i="50"/>
  <c r="EF231" i="50"/>
  <c r="ED231" i="50"/>
  <c r="EC231" i="50"/>
  <c r="EB231" i="50"/>
  <c r="EA231" i="50"/>
  <c r="DZ231" i="50"/>
  <c r="DY231" i="50"/>
  <c r="DX231" i="50"/>
  <c r="DW231" i="50"/>
  <c r="BN231" i="50"/>
  <c r="BG231" i="50"/>
  <c r="AC231" i="50"/>
  <c r="EM231" i="50" s="1"/>
  <c r="AB231" i="50"/>
  <c r="EL231" i="50" s="1"/>
  <c r="U231" i="50"/>
  <c r="EE231" i="50" s="1"/>
  <c r="EV230" i="50"/>
  <c r="EU230" i="50"/>
  <c r="ET230" i="50"/>
  <c r="ES230" i="50"/>
  <c r="ER230" i="50"/>
  <c r="EQ230" i="50"/>
  <c r="EP230" i="50"/>
  <c r="EO230" i="50"/>
  <c r="EN230" i="50"/>
  <c r="EK230" i="50"/>
  <c r="EJ230" i="50"/>
  <c r="EI230" i="50"/>
  <c r="EH230" i="50"/>
  <c r="EG230" i="50"/>
  <c r="EF230" i="50"/>
  <c r="ED230" i="50"/>
  <c r="EC230" i="50"/>
  <c r="EB230" i="50"/>
  <c r="EA230" i="50"/>
  <c r="DZ230" i="50"/>
  <c r="DY230" i="50"/>
  <c r="DX230" i="50"/>
  <c r="DW230" i="50"/>
  <c r="BN230" i="50"/>
  <c r="BG230" i="50"/>
  <c r="AC230" i="50"/>
  <c r="EM230" i="50" s="1"/>
  <c r="AB230" i="50"/>
  <c r="EL230" i="50" s="1"/>
  <c r="U230" i="50"/>
  <c r="EE230" i="50" s="1"/>
  <c r="EV223" i="50"/>
  <c r="EU223" i="50"/>
  <c r="ET223" i="50"/>
  <c r="ES223" i="50"/>
  <c r="ER223" i="50"/>
  <c r="EQ223" i="50"/>
  <c r="EP223" i="50"/>
  <c r="EO223" i="50"/>
  <c r="EN223" i="50"/>
  <c r="EK223" i="50"/>
  <c r="EJ223" i="50"/>
  <c r="EI223" i="50"/>
  <c r="EH223" i="50"/>
  <c r="EG223" i="50"/>
  <c r="EF223" i="50"/>
  <c r="ED223" i="50"/>
  <c r="EC223" i="50"/>
  <c r="EB223" i="50"/>
  <c r="EA223" i="50"/>
  <c r="DZ223" i="50"/>
  <c r="DY223" i="50"/>
  <c r="DX223" i="50"/>
  <c r="DW223" i="50"/>
  <c r="BN223" i="50"/>
  <c r="BG223" i="50"/>
  <c r="EM223" i="50"/>
  <c r="EL223" i="50"/>
  <c r="EE223" i="50"/>
  <c r="EV222" i="50"/>
  <c r="EU222" i="50"/>
  <c r="ET222" i="50"/>
  <c r="ES222" i="50"/>
  <c r="ER222" i="50"/>
  <c r="EQ222" i="50"/>
  <c r="EP222" i="50"/>
  <c r="EO222" i="50"/>
  <c r="EN222" i="50"/>
  <c r="EK222" i="50"/>
  <c r="EJ222" i="50"/>
  <c r="EI222" i="50"/>
  <c r="EH222" i="50"/>
  <c r="EG222" i="50"/>
  <c r="EF222" i="50"/>
  <c r="ED222" i="50"/>
  <c r="EC222" i="50"/>
  <c r="EB222" i="50"/>
  <c r="EA222" i="50"/>
  <c r="DZ222" i="50"/>
  <c r="DY222" i="50"/>
  <c r="DX222" i="50"/>
  <c r="DW222" i="50"/>
  <c r="BN222" i="50"/>
  <c r="BN221" i="50" s="1"/>
  <c r="BG222" i="50"/>
  <c r="BG221" i="50" s="1"/>
  <c r="BG220" i="50" s="1"/>
  <c r="AR222" i="50"/>
  <c r="AQ222" i="50" s="1"/>
  <c r="AQ221" i="50" s="1"/>
  <c r="AQ220" i="50" s="1"/>
  <c r="AC222" i="50"/>
  <c r="EM222" i="50" s="1"/>
  <c r="AB222" i="50"/>
  <c r="EL222" i="50" s="1"/>
  <c r="U222" i="50"/>
  <c r="EE222" i="50" s="1"/>
  <c r="D222" i="50"/>
  <c r="C222" i="50" s="1"/>
  <c r="C221" i="50" s="1"/>
  <c r="C220" i="50" s="1"/>
  <c r="BW221" i="50"/>
  <c r="BW220" i="50" s="1"/>
  <c r="BV221" i="50"/>
  <c r="BV220" i="50" s="1"/>
  <c r="BU221" i="50"/>
  <c r="BT221" i="50"/>
  <c r="BT220" i="50" s="1"/>
  <c r="BS221" i="50"/>
  <c r="BS220" i="50" s="1"/>
  <c r="BR221" i="50"/>
  <c r="BQ221" i="50"/>
  <c r="BP221" i="50"/>
  <c r="BP220" i="50" s="1"/>
  <c r="BO221" i="50"/>
  <c r="BO220" i="50" s="1"/>
  <c r="BM221" i="50"/>
  <c r="BL221" i="50"/>
  <c r="BL220" i="50" s="1"/>
  <c r="BK221" i="50"/>
  <c r="BJ221" i="50"/>
  <c r="BJ220" i="50" s="1"/>
  <c r="BI221" i="50"/>
  <c r="BI220" i="50" s="1"/>
  <c r="BH221" i="50"/>
  <c r="BF221" i="50"/>
  <c r="BE221" i="50"/>
  <c r="BD221" i="50"/>
  <c r="BD220" i="50" s="1"/>
  <c r="BC221" i="50"/>
  <c r="BC220" i="50" s="1"/>
  <c r="BB221" i="50"/>
  <c r="BB220" i="50" s="1"/>
  <c r="BA221" i="50"/>
  <c r="BA220" i="50" s="1"/>
  <c r="AZ221" i="50"/>
  <c r="AZ220" i="50" s="1"/>
  <c r="AV221" i="50"/>
  <c r="AV220" i="50" s="1"/>
  <c r="AU221" i="50"/>
  <c r="AU220" i="50" s="1"/>
  <c r="AM221" i="50"/>
  <c r="AM220" i="50" s="1"/>
  <c r="AL221" i="50"/>
  <c r="AL220" i="50" s="1"/>
  <c r="AK221" i="50"/>
  <c r="AK220" i="50" s="1"/>
  <c r="AJ221" i="50"/>
  <c r="AJ220" i="50" s="1"/>
  <c r="AI221" i="50"/>
  <c r="AI220" i="50" s="1"/>
  <c r="AH221" i="50"/>
  <c r="AH220" i="50" s="1"/>
  <c r="AG221" i="50"/>
  <c r="AF221" i="50"/>
  <c r="AE221" i="50"/>
  <c r="AE220" i="50" s="1"/>
  <c r="AD221" i="50"/>
  <c r="AD220" i="50" s="1"/>
  <c r="AA221" i="50"/>
  <c r="Y221" i="50"/>
  <c r="Y220" i="50" s="1"/>
  <c r="X221" i="50"/>
  <c r="X220" i="50" s="1"/>
  <c r="W221" i="50"/>
  <c r="W220" i="50" s="1"/>
  <c r="V221" i="50"/>
  <c r="V220" i="50" s="1"/>
  <c r="S221" i="50"/>
  <c r="R221" i="50"/>
  <c r="R220" i="50" s="1"/>
  <c r="Q221" i="50"/>
  <c r="Q220" i="50" s="1"/>
  <c r="P221" i="50"/>
  <c r="P220" i="50" s="1"/>
  <c r="O221" i="50"/>
  <c r="O220" i="50" s="1"/>
  <c r="N221" i="50"/>
  <c r="M221" i="50"/>
  <c r="M220" i="50" s="1"/>
  <c r="H221" i="50"/>
  <c r="H220" i="50" s="1"/>
  <c r="G221" i="50"/>
  <c r="G220" i="50" s="1"/>
  <c r="BU220" i="50"/>
  <c r="BR220" i="50"/>
  <c r="BQ220" i="50"/>
  <c r="BK220" i="50"/>
  <c r="BE220" i="50"/>
  <c r="AG220" i="50"/>
  <c r="AF220" i="50"/>
  <c r="N220" i="50"/>
  <c r="EV219" i="50"/>
  <c r="EU219" i="50"/>
  <c r="ET219" i="50"/>
  <c r="ES219" i="50"/>
  <c r="ER219" i="50"/>
  <c r="EQ219" i="50"/>
  <c r="EP219" i="50"/>
  <c r="EO219" i="50"/>
  <c r="EN219" i="50"/>
  <c r="EK219" i="50"/>
  <c r="EH219" i="50"/>
  <c r="EG219" i="50"/>
  <c r="EF219" i="50"/>
  <c r="EC219" i="50"/>
  <c r="EB219" i="50"/>
  <c r="EA219" i="50"/>
  <c r="DZ219" i="50"/>
  <c r="DY219" i="50"/>
  <c r="DX219" i="50"/>
  <c r="DW219" i="50"/>
  <c r="BL219" i="50"/>
  <c r="BM219" i="50" s="1"/>
  <c r="BE219" i="50"/>
  <c r="BF219" i="50" s="1"/>
  <c r="AZ219" i="50"/>
  <c r="AR219" i="50"/>
  <c r="AQ219" i="50" s="1"/>
  <c r="Z219" i="50"/>
  <c r="EJ219" i="50" s="1"/>
  <c r="T219" i="50"/>
  <c r="U219" i="50" s="1"/>
  <c r="D219" i="50"/>
  <c r="C219" i="50" s="1"/>
  <c r="EV218" i="50"/>
  <c r="EU218" i="50"/>
  <c r="ET218" i="50"/>
  <c r="ES218" i="50"/>
  <c r="ER218" i="50"/>
  <c r="EQ218" i="50"/>
  <c r="EP218" i="50"/>
  <c r="EO218" i="50"/>
  <c r="EN218" i="50"/>
  <c r="EK218" i="50"/>
  <c r="EH218" i="50"/>
  <c r="EG218" i="50"/>
  <c r="EF218" i="50"/>
  <c r="EC218" i="50"/>
  <c r="EA218" i="50"/>
  <c r="DZ218" i="50"/>
  <c r="DY218" i="50"/>
  <c r="DX218" i="50"/>
  <c r="DW218" i="50"/>
  <c r="BL218" i="50"/>
  <c r="BM218" i="50" s="1"/>
  <c r="BN218" i="50" s="1"/>
  <c r="BE218" i="50"/>
  <c r="BF218" i="50" s="1"/>
  <c r="AZ218" i="50"/>
  <c r="AR218" i="50"/>
  <c r="AQ218" i="50" s="1"/>
  <c r="Z218" i="50"/>
  <c r="EJ218" i="50" s="1"/>
  <c r="R218" i="50"/>
  <c r="T218" i="50" s="1"/>
  <c r="D218" i="50"/>
  <c r="C218" i="50" s="1"/>
  <c r="EV217" i="50"/>
  <c r="EU217" i="50"/>
  <c r="ET217" i="50"/>
  <c r="ES217" i="50"/>
  <c r="ER217" i="50"/>
  <c r="EQ217" i="50"/>
  <c r="EP217" i="50"/>
  <c r="EO217" i="50"/>
  <c r="EN217" i="50"/>
  <c r="EK217" i="50"/>
  <c r="EH217" i="50"/>
  <c r="EG217" i="50"/>
  <c r="EF217" i="50"/>
  <c r="EC217" i="50"/>
  <c r="EA217" i="50"/>
  <c r="DZ217" i="50"/>
  <c r="DY217" i="50"/>
  <c r="DX217" i="50"/>
  <c r="DW217" i="50"/>
  <c r="BL217" i="50"/>
  <c r="BM217" i="50" s="1"/>
  <c r="BE217" i="50"/>
  <c r="BF217" i="50" s="1"/>
  <c r="AZ217" i="50"/>
  <c r="AR217" i="50"/>
  <c r="AQ217" i="50" s="1"/>
  <c r="Z217" i="50"/>
  <c r="EJ217" i="50" s="1"/>
  <c r="R217" i="50"/>
  <c r="T217" i="50" s="1"/>
  <c r="D217" i="50"/>
  <c r="C217" i="50" s="1"/>
  <c r="EV216" i="50"/>
  <c r="EU216" i="50"/>
  <c r="ET216" i="50"/>
  <c r="ES216" i="50"/>
  <c r="ER216" i="50"/>
  <c r="EQ216" i="50"/>
  <c r="EP216" i="50"/>
  <c r="EO216" i="50"/>
  <c r="EN216" i="50"/>
  <c r="EK216" i="50"/>
  <c r="EH216" i="50"/>
  <c r="EG216" i="50"/>
  <c r="EF216" i="50"/>
  <c r="EC216" i="50"/>
  <c r="EB216" i="50"/>
  <c r="EA216" i="50"/>
  <c r="DZ216" i="50"/>
  <c r="DY216" i="50"/>
  <c r="DX216" i="50"/>
  <c r="DW216" i="50"/>
  <c r="BL216" i="50"/>
  <c r="BM216" i="50" s="1"/>
  <c r="BE216" i="50"/>
  <c r="BF216" i="50" s="1"/>
  <c r="AZ216" i="50"/>
  <c r="AR216" i="50"/>
  <c r="AQ216" i="50" s="1"/>
  <c r="Z216" i="50"/>
  <c r="EJ216" i="50" s="1"/>
  <c r="T216" i="50"/>
  <c r="U216" i="50" s="1"/>
  <c r="D216" i="50"/>
  <c r="C216" i="50" s="1"/>
  <c r="EV215" i="50"/>
  <c r="EU215" i="50"/>
  <c r="ET215" i="50"/>
  <c r="ES215" i="50"/>
  <c r="ER215" i="50"/>
  <c r="EQ215" i="50"/>
  <c r="EP215" i="50"/>
  <c r="EO215" i="50"/>
  <c r="EN215" i="50"/>
  <c r="EK215" i="50"/>
  <c r="EH215" i="50"/>
  <c r="EG215" i="50"/>
  <c r="EF215" i="50"/>
  <c r="EC215" i="50"/>
  <c r="EA215" i="50"/>
  <c r="DZ215" i="50"/>
  <c r="DY215" i="50"/>
  <c r="DW215" i="50"/>
  <c r="BL215" i="50"/>
  <c r="BM215" i="50" s="1"/>
  <c r="BN215" i="50" s="1"/>
  <c r="BA215" i="50"/>
  <c r="BE215" i="50" s="1"/>
  <c r="BF215" i="50" s="1"/>
  <c r="AZ215" i="50"/>
  <c r="AR215" i="50"/>
  <c r="AQ215" i="50" s="1"/>
  <c r="Z215" i="50"/>
  <c r="N215" i="50"/>
  <c r="DX215" i="50" s="1"/>
  <c r="D215" i="50"/>
  <c r="C215" i="50" s="1"/>
  <c r="EV214" i="50"/>
  <c r="EU214" i="50"/>
  <c r="ET214" i="50"/>
  <c r="ES214" i="50"/>
  <c r="ER214" i="50"/>
  <c r="EQ214" i="50"/>
  <c r="EP214" i="50"/>
  <c r="EO214" i="50"/>
  <c r="EN214" i="50"/>
  <c r="EK214" i="50"/>
  <c r="EH214" i="50"/>
  <c r="EG214" i="50"/>
  <c r="EF214" i="50"/>
  <c r="EC214" i="50"/>
  <c r="EA214" i="50"/>
  <c r="DZ214" i="50"/>
  <c r="DY214" i="50"/>
  <c r="DX214" i="50"/>
  <c r="DW214" i="50"/>
  <c r="BH214" i="50"/>
  <c r="BL214" i="50" s="1"/>
  <c r="BM214" i="50" s="1"/>
  <c r="BN214" i="50" s="1"/>
  <c r="BE214" i="50"/>
  <c r="BF214" i="50" s="1"/>
  <c r="BG214" i="50" s="1"/>
  <c r="AR214" i="50"/>
  <c r="AQ214" i="50" s="1"/>
  <c r="Z214" i="50"/>
  <c r="EJ214" i="50" s="1"/>
  <c r="R214" i="50"/>
  <c r="EB214" i="50" s="1"/>
  <c r="D214" i="50"/>
  <c r="C214" i="50" s="1"/>
  <c r="EV213" i="50"/>
  <c r="EU213" i="50"/>
  <c r="ET213" i="50"/>
  <c r="ES213" i="50"/>
  <c r="ER213" i="50"/>
  <c r="EQ213" i="50"/>
  <c r="EP213" i="50"/>
  <c r="EO213" i="50"/>
  <c r="EN213" i="50"/>
  <c r="EK213" i="50"/>
  <c r="EI213" i="50"/>
  <c r="EH213" i="50"/>
  <c r="EG213" i="50"/>
  <c r="EF213" i="50"/>
  <c r="EC213" i="50"/>
  <c r="EA213" i="50"/>
  <c r="DZ213" i="50"/>
  <c r="DY213" i="50"/>
  <c r="DX213" i="50"/>
  <c r="DW213" i="50"/>
  <c r="BL213" i="50"/>
  <c r="BM213" i="50" s="1"/>
  <c r="BN213" i="50" s="1"/>
  <c r="BA213" i="50"/>
  <c r="BE213" i="50" s="1"/>
  <c r="BF213" i="50" s="1"/>
  <c r="BG213" i="50" s="1"/>
  <c r="AR213" i="50"/>
  <c r="AQ213" i="50" s="1"/>
  <c r="AB213" i="50"/>
  <c r="AC213" i="50" s="1"/>
  <c r="EM213" i="50" s="1"/>
  <c r="Z213" i="50"/>
  <c r="EJ213" i="50" s="1"/>
  <c r="D213" i="50"/>
  <c r="C213" i="50" s="1"/>
  <c r="EV212" i="50"/>
  <c r="EU212" i="50"/>
  <c r="ET212" i="50"/>
  <c r="ES212" i="50"/>
  <c r="ER212" i="50"/>
  <c r="EQ212" i="50"/>
  <c r="EP212" i="50"/>
  <c r="EO212" i="50"/>
  <c r="EN212" i="50"/>
  <c r="EK212" i="50"/>
  <c r="EH212" i="50"/>
  <c r="EG212" i="50"/>
  <c r="EF212" i="50"/>
  <c r="EC212" i="50"/>
  <c r="EA212" i="50"/>
  <c r="DZ212" i="50"/>
  <c r="DY212" i="50"/>
  <c r="DX212" i="50"/>
  <c r="DW212" i="50"/>
  <c r="BL212" i="50"/>
  <c r="BM212" i="50" s="1"/>
  <c r="BN212" i="50" s="1"/>
  <c r="BE212" i="50"/>
  <c r="BF212" i="50" s="1"/>
  <c r="BG212" i="50" s="1"/>
  <c r="AR212" i="50"/>
  <c r="AQ212" i="50" s="1"/>
  <c r="Z212" i="50"/>
  <c r="R212" i="50"/>
  <c r="EB212" i="50" s="1"/>
  <c r="D212" i="50"/>
  <c r="C212" i="50" s="1"/>
  <c r="EV211" i="50"/>
  <c r="EU211" i="50"/>
  <c r="ET211" i="50"/>
  <c r="ES211" i="50"/>
  <c r="ER211" i="50"/>
  <c r="EQ211" i="50"/>
  <c r="EP211" i="50"/>
  <c r="EO211" i="50"/>
  <c r="EN211" i="50"/>
  <c r="EK211" i="50"/>
  <c r="EH211" i="50"/>
  <c r="EG211" i="50"/>
  <c r="EC211" i="50"/>
  <c r="EA211" i="50"/>
  <c r="DZ211" i="50"/>
  <c r="DY211" i="50"/>
  <c r="DX211" i="50"/>
  <c r="DW211" i="50"/>
  <c r="BL211" i="50"/>
  <c r="BM211" i="50" s="1"/>
  <c r="BN211" i="50" s="1"/>
  <c r="BA211" i="50"/>
  <c r="BE211" i="50" s="1"/>
  <c r="AZ211" i="50"/>
  <c r="AR211" i="50"/>
  <c r="AQ211" i="50" s="1"/>
  <c r="V211" i="50"/>
  <c r="EF211" i="50" s="1"/>
  <c r="D211" i="50"/>
  <c r="C211" i="50" s="1"/>
  <c r="EV210" i="50"/>
  <c r="EU210" i="50"/>
  <c r="ET210" i="50"/>
  <c r="ES210" i="50"/>
  <c r="ER210" i="50"/>
  <c r="EQ210" i="50"/>
  <c r="EP210" i="50"/>
  <c r="EO210" i="50"/>
  <c r="EN210" i="50"/>
  <c r="EK210" i="50"/>
  <c r="EI210" i="50"/>
  <c r="EH210" i="50"/>
  <c r="EG210" i="50"/>
  <c r="EF210" i="50"/>
  <c r="EC210" i="50"/>
  <c r="EA210" i="50"/>
  <c r="DZ210" i="50"/>
  <c r="DY210" i="50"/>
  <c r="DX210" i="50"/>
  <c r="DW210" i="50"/>
  <c r="BL210" i="50"/>
  <c r="BM210" i="50" s="1"/>
  <c r="BN210" i="50" s="1"/>
  <c r="BA210" i="50"/>
  <c r="BE210" i="50" s="1"/>
  <c r="BF210" i="50" s="1"/>
  <c r="AZ210" i="50"/>
  <c r="AR210" i="50"/>
  <c r="AQ210" i="50" s="1"/>
  <c r="AB210" i="50"/>
  <c r="EL210" i="50" s="1"/>
  <c r="Z210" i="50"/>
  <c r="EJ210" i="50" s="1"/>
  <c r="D210" i="50"/>
  <c r="C210" i="50" s="1"/>
  <c r="EV209" i="50"/>
  <c r="EU209" i="50"/>
  <c r="ET209" i="50"/>
  <c r="ES209" i="50"/>
  <c r="ER209" i="50"/>
  <c r="EQ209" i="50"/>
  <c r="EP209" i="50"/>
  <c r="EO209" i="50"/>
  <c r="EN209" i="50"/>
  <c r="EK209" i="50"/>
  <c r="EI209" i="50"/>
  <c r="EH209" i="50"/>
  <c r="EG209" i="50"/>
  <c r="EF209" i="50"/>
  <c r="EC209" i="50"/>
  <c r="EA209" i="50"/>
  <c r="DZ209" i="50"/>
  <c r="DY209" i="50"/>
  <c r="DX209" i="50"/>
  <c r="DW209" i="50"/>
  <c r="BL209" i="50"/>
  <c r="BM209" i="50" s="1"/>
  <c r="BN209" i="50" s="1"/>
  <c r="BE209" i="50"/>
  <c r="BF209" i="50" s="1"/>
  <c r="BG209" i="50" s="1"/>
  <c r="AR209" i="50"/>
  <c r="AQ209" i="50" s="1"/>
  <c r="AB209" i="50"/>
  <c r="AC209" i="50" s="1"/>
  <c r="EM209" i="50" s="1"/>
  <c r="Z209" i="50"/>
  <c r="EJ209" i="50" s="1"/>
  <c r="R209" i="50"/>
  <c r="T209" i="50" s="1"/>
  <c r="D209" i="50"/>
  <c r="C209" i="50" s="1"/>
  <c r="EV208" i="50"/>
  <c r="EU208" i="50"/>
  <c r="ET208" i="50"/>
  <c r="ES208" i="50"/>
  <c r="ER208" i="50"/>
  <c r="EQ208" i="50"/>
  <c r="EP208" i="50"/>
  <c r="EO208" i="50"/>
  <c r="EN208" i="50"/>
  <c r="EH208" i="50"/>
  <c r="EG208" i="50"/>
  <c r="EF208" i="50"/>
  <c r="EB208" i="50"/>
  <c r="EA208" i="50"/>
  <c r="DZ208" i="50"/>
  <c r="DY208" i="50"/>
  <c r="DX208" i="50"/>
  <c r="DW208" i="50"/>
  <c r="BL208" i="50"/>
  <c r="BM208" i="50" s="1"/>
  <c r="BN208" i="50" s="1"/>
  <c r="BE208" i="50"/>
  <c r="BF208" i="50" s="1"/>
  <c r="BG208" i="50" s="1"/>
  <c r="AR208" i="50"/>
  <c r="AQ208" i="50" s="1"/>
  <c r="AA208" i="50"/>
  <c r="EK208" i="50" s="1"/>
  <c r="Z208" i="50"/>
  <c r="EJ208" i="50" s="1"/>
  <c r="S208" i="50"/>
  <c r="T208" i="50" s="1"/>
  <c r="U208" i="50" s="1"/>
  <c r="D208" i="50"/>
  <c r="C208" i="50" s="1"/>
  <c r="EV207" i="50"/>
  <c r="EU207" i="50"/>
  <c r="ET207" i="50"/>
  <c r="ES207" i="50"/>
  <c r="ER207" i="50"/>
  <c r="EQ207" i="50"/>
  <c r="EP207" i="50"/>
  <c r="EO207" i="50"/>
  <c r="EN207" i="50"/>
  <c r="EK207" i="50"/>
  <c r="EI207" i="50"/>
  <c r="EH207" i="50"/>
  <c r="EG207" i="50"/>
  <c r="EF207" i="50"/>
  <c r="EC207" i="50"/>
  <c r="EB207" i="50"/>
  <c r="EA207" i="50"/>
  <c r="DZ207" i="50"/>
  <c r="DY207" i="50"/>
  <c r="DX207" i="50"/>
  <c r="DW207" i="50"/>
  <c r="BL207" i="50"/>
  <c r="BM207" i="50" s="1"/>
  <c r="BN207" i="50" s="1"/>
  <c r="BE207" i="50"/>
  <c r="BF207" i="50" s="1"/>
  <c r="AZ207" i="50"/>
  <c r="AR207" i="50"/>
  <c r="AQ207" i="50" s="1"/>
  <c r="AB207" i="50"/>
  <c r="EL207" i="50" s="1"/>
  <c r="Z207" i="50"/>
  <c r="EJ207" i="50" s="1"/>
  <c r="T207" i="50"/>
  <c r="U207" i="50" s="1"/>
  <c r="EE207" i="50" s="1"/>
  <c r="D207" i="50"/>
  <c r="C207" i="50" s="1"/>
  <c r="EV206" i="50"/>
  <c r="EU206" i="50"/>
  <c r="ET206" i="50"/>
  <c r="ES206" i="50"/>
  <c r="ER206" i="50"/>
  <c r="EQ206" i="50"/>
  <c r="EP206" i="50"/>
  <c r="EO206" i="50"/>
  <c r="EN206" i="50"/>
  <c r="EK206" i="50"/>
  <c r="EI206" i="50"/>
  <c r="EH206" i="50"/>
  <c r="EG206" i="50"/>
  <c r="EF206" i="50"/>
  <c r="EC206" i="50"/>
  <c r="EB206" i="50"/>
  <c r="EA206" i="50"/>
  <c r="DZ206" i="50"/>
  <c r="DY206" i="50"/>
  <c r="DX206" i="50"/>
  <c r="DW206" i="50"/>
  <c r="BL206" i="50"/>
  <c r="BM206" i="50" s="1"/>
  <c r="BN206" i="50" s="1"/>
  <c r="BE206" i="50"/>
  <c r="BF206" i="50" s="1"/>
  <c r="AZ206" i="50"/>
  <c r="AR206" i="50"/>
  <c r="AQ206" i="50" s="1"/>
  <c r="AB206" i="50"/>
  <c r="AC206" i="50" s="1"/>
  <c r="EM206" i="50" s="1"/>
  <c r="Z206" i="50"/>
  <c r="EJ206" i="50" s="1"/>
  <c r="T206" i="50"/>
  <c r="U206" i="50" s="1"/>
  <c r="D206" i="50"/>
  <c r="C206" i="50" s="1"/>
  <c r="EV205" i="50"/>
  <c r="EU205" i="50"/>
  <c r="ET205" i="50"/>
  <c r="ES205" i="50"/>
  <c r="ER205" i="50"/>
  <c r="EQ205" i="50"/>
  <c r="EP205" i="50"/>
  <c r="EO205" i="50"/>
  <c r="EN205" i="50"/>
  <c r="EK205" i="50"/>
  <c r="EH205" i="50"/>
  <c r="EG205" i="50"/>
  <c r="EF205" i="50"/>
  <c r="EC205" i="50"/>
  <c r="EA205" i="50"/>
  <c r="DZ205" i="50"/>
  <c r="DY205" i="50"/>
  <c r="DX205" i="50"/>
  <c r="DW205" i="50"/>
  <c r="BH205" i="50"/>
  <c r="BL205" i="50" s="1"/>
  <c r="BE205" i="50"/>
  <c r="BF205" i="50" s="1"/>
  <c r="AZ205" i="50"/>
  <c r="AR205" i="50"/>
  <c r="AQ205" i="50" s="1"/>
  <c r="Z205" i="50"/>
  <c r="R205" i="50"/>
  <c r="T205" i="50" s="1"/>
  <c r="D205" i="50"/>
  <c r="C205" i="50" s="1"/>
  <c r="EV204" i="50"/>
  <c r="EU204" i="50"/>
  <c r="ET204" i="50"/>
  <c r="ES204" i="50"/>
  <c r="ER204" i="50"/>
  <c r="EQ204" i="50"/>
  <c r="EP204" i="50"/>
  <c r="EO204" i="50"/>
  <c r="EN204" i="50"/>
  <c r="EK204" i="50"/>
  <c r="EH204" i="50"/>
  <c r="EG204" i="50"/>
  <c r="EF204" i="50"/>
  <c r="EC204" i="50"/>
  <c r="EB204" i="50"/>
  <c r="EA204" i="50"/>
  <c r="DZ204" i="50"/>
  <c r="DY204" i="50"/>
  <c r="DX204" i="50"/>
  <c r="DW204" i="50"/>
  <c r="DV204" i="50"/>
  <c r="BL204" i="50"/>
  <c r="BN204" i="50" s="1"/>
  <c r="BE204" i="50"/>
  <c r="Z204" i="50"/>
  <c r="EJ204" i="50" s="1"/>
  <c r="T204" i="50"/>
  <c r="ED204" i="50" s="1"/>
  <c r="EV203" i="50"/>
  <c r="EU203" i="50"/>
  <c r="ET203" i="50"/>
  <c r="ES203" i="50"/>
  <c r="ER203" i="50"/>
  <c r="EQ203" i="50"/>
  <c r="EP203" i="50"/>
  <c r="EO203" i="50"/>
  <c r="EN203" i="50"/>
  <c r="EK203" i="50"/>
  <c r="EH203" i="50"/>
  <c r="EF203" i="50"/>
  <c r="EC203" i="50"/>
  <c r="EB203" i="50"/>
  <c r="EA203" i="50"/>
  <c r="DZ203" i="50"/>
  <c r="DY203" i="50"/>
  <c r="DX203" i="50"/>
  <c r="DW203" i="50"/>
  <c r="BL203" i="50"/>
  <c r="BM203" i="50" s="1"/>
  <c r="BE203" i="50"/>
  <c r="BF203" i="50" s="1"/>
  <c r="AZ203" i="50"/>
  <c r="AR203" i="50"/>
  <c r="AQ203" i="50" s="1"/>
  <c r="Z203" i="50"/>
  <c r="EJ203" i="50" s="1"/>
  <c r="W203" i="50"/>
  <c r="EG203" i="50" s="1"/>
  <c r="T203" i="50"/>
  <c r="U203" i="50" s="1"/>
  <c r="EE203" i="50" s="1"/>
  <c r="D203" i="50"/>
  <c r="C203" i="50" s="1"/>
  <c r="BW202" i="50"/>
  <c r="BV202" i="50"/>
  <c r="BU202" i="50"/>
  <c r="BT202" i="50"/>
  <c r="BS202" i="50"/>
  <c r="BR202" i="50"/>
  <c r="BQ202" i="50"/>
  <c r="BP202" i="50"/>
  <c r="BO202" i="50"/>
  <c r="BK202" i="50"/>
  <c r="BJ202" i="50"/>
  <c r="BI202" i="50"/>
  <c r="BD202" i="50"/>
  <c r="BC202" i="50"/>
  <c r="BB202" i="50"/>
  <c r="AX202" i="50"/>
  <c r="AW202" i="50"/>
  <c r="AV202" i="50"/>
  <c r="AU202" i="50"/>
  <c r="AT202" i="50"/>
  <c r="AS202" i="50"/>
  <c r="AM202" i="50"/>
  <c r="AL202" i="50"/>
  <c r="AK202" i="50"/>
  <c r="AJ202" i="50"/>
  <c r="AI202" i="50"/>
  <c r="AH202" i="50"/>
  <c r="AG202" i="50"/>
  <c r="AF202" i="50"/>
  <c r="AE202" i="50"/>
  <c r="AD202" i="50"/>
  <c r="X202" i="50"/>
  <c r="V202" i="50"/>
  <c r="Q202" i="50"/>
  <c r="P202" i="50"/>
  <c r="O202" i="50"/>
  <c r="N202" i="50"/>
  <c r="M202" i="50"/>
  <c r="J202" i="50"/>
  <c r="I202" i="50"/>
  <c r="H202" i="50"/>
  <c r="G202" i="50"/>
  <c r="F202" i="50"/>
  <c r="E202" i="50"/>
  <c r="EV201" i="50"/>
  <c r="EU201" i="50"/>
  <c r="ET201" i="50"/>
  <c r="ES201" i="50"/>
  <c r="ER201" i="50"/>
  <c r="EQ201" i="50"/>
  <c r="EP201" i="50"/>
  <c r="EO201" i="50"/>
  <c r="EN201" i="50"/>
  <c r="EK201" i="50"/>
  <c r="EI201" i="50"/>
  <c r="EH201" i="50"/>
  <c r="EG201" i="50"/>
  <c r="EF201" i="50"/>
  <c r="EC201" i="50"/>
  <c r="EB201" i="50"/>
  <c r="EA201" i="50"/>
  <c r="DZ201" i="50"/>
  <c r="DY201" i="50"/>
  <c r="DX201" i="50"/>
  <c r="DW201" i="50"/>
  <c r="BL201" i="50"/>
  <c r="BM201" i="50" s="1"/>
  <c r="BN201" i="50" s="1"/>
  <c r="BB201" i="50"/>
  <c r="BE201" i="50" s="1"/>
  <c r="BF201" i="50" s="1"/>
  <c r="AZ201" i="50"/>
  <c r="AR201" i="50"/>
  <c r="AQ201" i="50" s="1"/>
  <c r="AB201" i="50"/>
  <c r="EL201" i="50" s="1"/>
  <c r="Z201" i="50"/>
  <c r="EJ201" i="50" s="1"/>
  <c r="T201" i="50"/>
  <c r="ED201" i="50" s="1"/>
  <c r="D201" i="50"/>
  <c r="C201" i="50" s="1"/>
  <c r="EV200" i="50"/>
  <c r="EU200" i="50"/>
  <c r="ET200" i="50"/>
  <c r="ES200" i="50"/>
  <c r="ER200" i="50"/>
  <c r="EQ200" i="50"/>
  <c r="EP200" i="50"/>
  <c r="EO200" i="50"/>
  <c r="EH200" i="50"/>
  <c r="EG200" i="50"/>
  <c r="EF200" i="50"/>
  <c r="EB200" i="50"/>
  <c r="EA200" i="50"/>
  <c r="DZ200" i="50"/>
  <c r="DW200" i="50"/>
  <c r="BO200" i="50"/>
  <c r="BO199" i="50" s="1"/>
  <c r="BJ200" i="50"/>
  <c r="BJ199" i="50" s="1"/>
  <c r="BI200" i="50"/>
  <c r="BI199" i="50" s="1"/>
  <c r="BH200" i="50"/>
  <c r="BL200" i="50" s="1"/>
  <c r="BM200" i="50" s="1"/>
  <c r="BB200" i="50"/>
  <c r="BA200" i="50"/>
  <c r="BA199" i="50" s="1"/>
  <c r="AZ200" i="50"/>
  <c r="AZ199" i="50" s="1"/>
  <c r="AR200" i="50"/>
  <c r="AQ200" i="50" s="1"/>
  <c r="AD200" i="50"/>
  <c r="EN200" i="50" s="1"/>
  <c r="AA200" i="50"/>
  <c r="EK200" i="50" s="1"/>
  <c r="Z200" i="50"/>
  <c r="S200" i="50"/>
  <c r="T200" i="50" s="1"/>
  <c r="ED200" i="50" s="1"/>
  <c r="O200" i="50"/>
  <c r="DY200" i="50" s="1"/>
  <c r="N200" i="50"/>
  <c r="DX200" i="50" s="1"/>
  <c r="G200" i="50"/>
  <c r="G317" i="50" s="1"/>
  <c r="E200" i="50"/>
  <c r="BV199" i="50"/>
  <c r="BU199" i="50"/>
  <c r="BT199" i="50"/>
  <c r="BS199" i="50"/>
  <c r="BR199" i="50"/>
  <c r="BQ199" i="50"/>
  <c r="BP199" i="50"/>
  <c r="BK199" i="50"/>
  <c r="BD199" i="50"/>
  <c r="BC199" i="50"/>
  <c r="AX199" i="50"/>
  <c r="AW199" i="50"/>
  <c r="AV199" i="50"/>
  <c r="AU199" i="50"/>
  <c r="AT199" i="50"/>
  <c r="AS199" i="50"/>
  <c r="AK199" i="50"/>
  <c r="AJ199" i="50"/>
  <c r="AI199" i="50"/>
  <c r="AH199" i="50"/>
  <c r="AG199" i="50"/>
  <c r="AF199" i="50"/>
  <c r="AE199" i="50"/>
  <c r="X199" i="50"/>
  <c r="W199" i="50"/>
  <c r="V199" i="50"/>
  <c r="S199" i="50"/>
  <c r="R199" i="50"/>
  <c r="Q199" i="50"/>
  <c r="P199" i="50"/>
  <c r="M199" i="50"/>
  <c r="J199" i="50"/>
  <c r="I199" i="50"/>
  <c r="H199" i="50"/>
  <c r="F199" i="50"/>
  <c r="EV198" i="50"/>
  <c r="EU198" i="50"/>
  <c r="ET198" i="50"/>
  <c r="ES198" i="50"/>
  <c r="ER198" i="50"/>
  <c r="EQ198" i="50"/>
  <c r="EP198" i="50"/>
  <c r="EO198" i="50"/>
  <c r="EN198" i="50"/>
  <c r="EK198" i="50"/>
  <c r="EH198" i="50"/>
  <c r="EG198" i="50"/>
  <c r="EF198" i="50"/>
  <c r="EC198" i="50"/>
  <c r="EA198" i="50"/>
  <c r="DZ198" i="50"/>
  <c r="DY198" i="50"/>
  <c r="DX198" i="50"/>
  <c r="DW198" i="50"/>
  <c r="BO198" i="50"/>
  <c r="BM198" i="50"/>
  <c r="BH198" i="50"/>
  <c r="BF198" i="50"/>
  <c r="AZ198" i="50"/>
  <c r="AR198" i="50"/>
  <c r="AQ198" i="50" s="1"/>
  <c r="Z198" i="50"/>
  <c r="EJ198" i="50" s="1"/>
  <c r="R198" i="50"/>
  <c r="T198" i="50" s="1"/>
  <c r="D198" i="50"/>
  <c r="C198" i="50" s="1"/>
  <c r="EV197" i="50"/>
  <c r="EU197" i="50"/>
  <c r="ET197" i="50"/>
  <c r="ES197" i="50"/>
  <c r="ER197" i="50"/>
  <c r="EQ197" i="50"/>
  <c r="EP197" i="50"/>
  <c r="EO197" i="50"/>
  <c r="EN197" i="50"/>
  <c r="EL197" i="50"/>
  <c r="EK197" i="50"/>
  <c r="EJ197" i="50"/>
  <c r="EI197" i="50"/>
  <c r="EH197" i="50"/>
  <c r="EG197" i="50"/>
  <c r="EF197" i="50"/>
  <c r="EC197" i="50"/>
  <c r="EB197" i="50"/>
  <c r="EA197" i="50"/>
  <c r="DZ197" i="50"/>
  <c r="DY197" i="50"/>
  <c r="DX197" i="50"/>
  <c r="DW197" i="50"/>
  <c r="AC197" i="50"/>
  <c r="EM197" i="50" s="1"/>
  <c r="U197" i="50"/>
  <c r="EE197" i="50" s="1"/>
  <c r="T197" i="50"/>
  <c r="ED197" i="50" s="1"/>
  <c r="D197" i="50"/>
  <c r="C197" i="50" s="1"/>
  <c r="EV196" i="50"/>
  <c r="EU196" i="50"/>
  <c r="ET196" i="50"/>
  <c r="ES196" i="50"/>
  <c r="ER196" i="50"/>
  <c r="EQ196" i="50"/>
  <c r="EP196" i="50"/>
  <c r="EO196" i="50"/>
  <c r="EN196" i="50"/>
  <c r="EK196" i="50"/>
  <c r="EH196" i="50"/>
  <c r="EG196" i="50"/>
  <c r="EC196" i="50"/>
  <c r="EB196" i="50"/>
  <c r="EA196" i="50"/>
  <c r="DZ196" i="50"/>
  <c r="DX196" i="50"/>
  <c r="DW196" i="50"/>
  <c r="BM196" i="50"/>
  <c r="BH196" i="50"/>
  <c r="BF196" i="50"/>
  <c r="BB196" i="50"/>
  <c r="AZ196" i="50"/>
  <c r="AR196" i="50"/>
  <c r="AQ196" i="50" s="1"/>
  <c r="EF196" i="50"/>
  <c r="T196" i="50"/>
  <c r="ED196" i="50" s="1"/>
  <c r="O196" i="50"/>
  <c r="DY196" i="50" s="1"/>
  <c r="D196" i="50"/>
  <c r="C196" i="50" s="1"/>
  <c r="EV195" i="50"/>
  <c r="EU195" i="50"/>
  <c r="ET195" i="50"/>
  <c r="ES195" i="50"/>
  <c r="ER195" i="50"/>
  <c r="EQ195" i="50"/>
  <c r="EP195" i="50"/>
  <c r="EO195" i="50"/>
  <c r="EN195" i="50"/>
  <c r="EL195" i="50"/>
  <c r="EK195" i="50"/>
  <c r="EJ195" i="50"/>
  <c r="EI195" i="50"/>
  <c r="EH195" i="50"/>
  <c r="EG195" i="50"/>
  <c r="EF195" i="50"/>
  <c r="EE195" i="50"/>
  <c r="EC195" i="50"/>
  <c r="EB195" i="50"/>
  <c r="EA195" i="50"/>
  <c r="DZ195" i="50"/>
  <c r="DY195" i="50"/>
  <c r="DX195" i="50"/>
  <c r="DW195" i="50"/>
  <c r="AC195" i="50"/>
  <c r="EM195" i="50" s="1"/>
  <c r="T195" i="50"/>
  <c r="ED195" i="50" s="1"/>
  <c r="EV194" i="50"/>
  <c r="EU194" i="50"/>
  <c r="ET194" i="50"/>
  <c r="ES194" i="50"/>
  <c r="ER194" i="50"/>
  <c r="EQ194" i="50"/>
  <c r="EP194" i="50"/>
  <c r="EO194" i="50"/>
  <c r="EN194" i="50"/>
  <c r="EL194" i="50"/>
  <c r="EK194" i="50"/>
  <c r="EJ194" i="50"/>
  <c r="EI194" i="50"/>
  <c r="EH194" i="50"/>
  <c r="EG194" i="50"/>
  <c r="EF194" i="50"/>
  <c r="EC194" i="50"/>
  <c r="EB194" i="50"/>
  <c r="EA194" i="50"/>
  <c r="DZ194" i="50"/>
  <c r="DY194" i="50"/>
  <c r="DX194" i="50"/>
  <c r="DW194" i="50"/>
  <c r="BN194" i="50"/>
  <c r="BG194" i="50"/>
  <c r="AC194" i="50"/>
  <c r="EM194" i="50" s="1"/>
  <c r="U194" i="50"/>
  <c r="EE194" i="50" s="1"/>
  <c r="T194" i="50"/>
  <c r="ED194" i="50" s="1"/>
  <c r="EV193" i="50"/>
  <c r="EU193" i="50"/>
  <c r="ET193" i="50"/>
  <c r="ES193" i="50"/>
  <c r="ER193" i="50"/>
  <c r="EQ193" i="50"/>
  <c r="EP193" i="50"/>
  <c r="EO193" i="50"/>
  <c r="EN193" i="50"/>
  <c r="EK193" i="50"/>
  <c r="EI193" i="50"/>
  <c r="EH193" i="50"/>
  <c r="EG193" i="50"/>
  <c r="EC193" i="50"/>
  <c r="EB193" i="50"/>
  <c r="EA193" i="50"/>
  <c r="DZ193" i="50"/>
  <c r="DX193" i="50"/>
  <c r="DW193" i="50"/>
  <c r="BM193" i="50"/>
  <c r="BH193" i="50"/>
  <c r="BF193" i="50"/>
  <c r="BB193" i="50"/>
  <c r="AZ193" i="50"/>
  <c r="AR193" i="50"/>
  <c r="AQ193" i="50" s="1"/>
  <c r="AM193" i="50"/>
  <c r="AB193" i="50"/>
  <c r="EL193" i="50" s="1"/>
  <c r="V193" i="50"/>
  <c r="EF193" i="50" s="1"/>
  <c r="T193" i="50"/>
  <c r="ED193" i="50" s="1"/>
  <c r="O193" i="50"/>
  <c r="DY193" i="50" s="1"/>
  <c r="D193" i="50"/>
  <c r="C193" i="50" s="1"/>
  <c r="EV192" i="50"/>
  <c r="EU192" i="50"/>
  <c r="ET192" i="50"/>
  <c r="ES192" i="50"/>
  <c r="ER192" i="50"/>
  <c r="EQ192" i="50"/>
  <c r="EP192" i="50"/>
  <c r="EO192" i="50"/>
  <c r="EN192" i="50"/>
  <c r="EL192" i="50"/>
  <c r="EK192" i="50"/>
  <c r="EJ192" i="50"/>
  <c r="EI192" i="50"/>
  <c r="EH192" i="50"/>
  <c r="EG192" i="50"/>
  <c r="EF192" i="50"/>
  <c r="EC192" i="50"/>
  <c r="EB192" i="50"/>
  <c r="EA192" i="50"/>
  <c r="DZ192" i="50"/>
  <c r="DY192" i="50"/>
  <c r="DX192" i="50"/>
  <c r="DW192" i="50"/>
  <c r="AC192" i="50"/>
  <c r="EM192" i="50" s="1"/>
  <c r="U192" i="50"/>
  <c r="EE192" i="50" s="1"/>
  <c r="T192" i="50"/>
  <c r="ED192" i="50" s="1"/>
  <c r="D192" i="50"/>
  <c r="C192" i="50" s="1"/>
  <c r="EV191" i="50"/>
  <c r="EU191" i="50"/>
  <c r="ET191" i="50"/>
  <c r="ES191" i="50"/>
  <c r="ER191" i="50"/>
  <c r="EQ191" i="50"/>
  <c r="EP191" i="50"/>
  <c r="EO191" i="50"/>
  <c r="EN191" i="50"/>
  <c r="EK191" i="50"/>
  <c r="EH191" i="50"/>
  <c r="EG191" i="50"/>
  <c r="EC191" i="50"/>
  <c r="EA191" i="50"/>
  <c r="DZ191" i="50"/>
  <c r="DY191" i="50"/>
  <c r="DX191" i="50"/>
  <c r="DW191" i="50"/>
  <c r="BO191" i="50"/>
  <c r="BM191" i="50"/>
  <c r="BJ191" i="50"/>
  <c r="BH191" i="50"/>
  <c r="BF191" i="50"/>
  <c r="AZ191" i="50"/>
  <c r="AR191" i="50"/>
  <c r="AQ191" i="50" s="1"/>
  <c r="V191" i="50"/>
  <c r="R191" i="50"/>
  <c r="EB191" i="50" s="1"/>
  <c r="D191" i="50"/>
  <c r="C191" i="50" s="1"/>
  <c r="EV190" i="50"/>
  <c r="EU190" i="50"/>
  <c r="ET190" i="50"/>
  <c r="ES190" i="50"/>
  <c r="ER190" i="50"/>
  <c r="EQ190" i="50"/>
  <c r="EP190" i="50"/>
  <c r="EO190" i="50"/>
  <c r="EN190" i="50"/>
  <c r="EL190" i="50"/>
  <c r="EK190" i="50"/>
  <c r="EJ190" i="50"/>
  <c r="EI190" i="50"/>
  <c r="EH190" i="50"/>
  <c r="EG190" i="50"/>
  <c r="EF190" i="50"/>
  <c r="EC190" i="50"/>
  <c r="EB190" i="50"/>
  <c r="EA190" i="50"/>
  <c r="DZ190" i="50"/>
  <c r="DY190" i="50"/>
  <c r="DX190" i="50"/>
  <c r="DW190" i="50"/>
  <c r="AC190" i="50"/>
  <c r="EM190" i="50" s="1"/>
  <c r="U190" i="50"/>
  <c r="EE190" i="50" s="1"/>
  <c r="T190" i="50"/>
  <c r="ED190" i="50" s="1"/>
  <c r="D190" i="50"/>
  <c r="C190" i="50" s="1"/>
  <c r="EV189" i="50"/>
  <c r="EU189" i="50"/>
  <c r="ET189" i="50"/>
  <c r="ES189" i="50"/>
  <c r="ER189" i="50"/>
  <c r="EQ189" i="50"/>
  <c r="EP189" i="50"/>
  <c r="EO189" i="50"/>
  <c r="EN189" i="50"/>
  <c r="EK189" i="50"/>
  <c r="EH189" i="50"/>
  <c r="EG189" i="50"/>
  <c r="EF189" i="50"/>
  <c r="EC189" i="50"/>
  <c r="EB189" i="50"/>
  <c r="EA189" i="50"/>
  <c r="DZ189" i="50"/>
  <c r="DY189" i="50"/>
  <c r="DX189" i="50"/>
  <c r="DW189" i="50"/>
  <c r="BM189" i="50"/>
  <c r="BN189" i="50" s="1"/>
  <c r="BF189" i="50"/>
  <c r="AZ189" i="50"/>
  <c r="AR189" i="50"/>
  <c r="AQ189" i="50" s="1"/>
  <c r="Z189" i="50"/>
  <c r="EJ189" i="50" s="1"/>
  <c r="T189" i="50"/>
  <c r="ED189" i="50" s="1"/>
  <c r="D189" i="50"/>
  <c r="C189" i="50" s="1"/>
  <c r="EV188" i="50"/>
  <c r="EU188" i="50"/>
  <c r="ET188" i="50"/>
  <c r="ES188" i="50"/>
  <c r="ER188" i="50"/>
  <c r="EQ188" i="50"/>
  <c r="EP188" i="50"/>
  <c r="EO188" i="50"/>
  <c r="EN188" i="50"/>
  <c r="EK188" i="50"/>
  <c r="EH188" i="50"/>
  <c r="EG188" i="50"/>
  <c r="EC188" i="50"/>
  <c r="EB188" i="50"/>
  <c r="EA188" i="50"/>
  <c r="DZ188" i="50"/>
  <c r="DX188" i="50"/>
  <c r="DW188" i="50"/>
  <c r="BM188" i="50"/>
  <c r="BH188" i="50"/>
  <c r="BH187" i="50" s="1"/>
  <c r="BF188" i="50"/>
  <c r="BB188" i="50"/>
  <c r="BB187" i="50" s="1"/>
  <c r="BB186" i="50" s="1"/>
  <c r="AZ188" i="50"/>
  <c r="AR188" i="50"/>
  <c r="AQ188" i="50" s="1"/>
  <c r="V188" i="50"/>
  <c r="EF188" i="50" s="1"/>
  <c r="T188" i="50"/>
  <c r="ED188" i="50" s="1"/>
  <c r="O188" i="50"/>
  <c r="O187" i="50" s="1"/>
  <c r="D188" i="50"/>
  <c r="BV187" i="50"/>
  <c r="BV186" i="50" s="1"/>
  <c r="BU187" i="50"/>
  <c r="BU186" i="50" s="1"/>
  <c r="BT187" i="50"/>
  <c r="BT186" i="50" s="1"/>
  <c r="BS187" i="50"/>
  <c r="BS186" i="50" s="1"/>
  <c r="BR187" i="50"/>
  <c r="BR186" i="50" s="1"/>
  <c r="BQ187" i="50"/>
  <c r="BQ186" i="50" s="1"/>
  <c r="BP187" i="50"/>
  <c r="BP186" i="50" s="1"/>
  <c r="BO187" i="50"/>
  <c r="BL187" i="50"/>
  <c r="BL186" i="50" s="1"/>
  <c r="BK187" i="50"/>
  <c r="BK186" i="50" s="1"/>
  <c r="BJ187" i="50"/>
  <c r="BI187" i="50"/>
  <c r="BI186" i="50" s="1"/>
  <c r="BE187" i="50"/>
  <c r="BE186" i="50" s="1"/>
  <c r="BD187" i="50"/>
  <c r="BD186" i="50" s="1"/>
  <c r="BC187" i="50"/>
  <c r="BC186" i="50" s="1"/>
  <c r="BA187" i="50"/>
  <c r="AX187" i="50"/>
  <c r="AX186" i="50" s="1"/>
  <c r="AW187" i="50"/>
  <c r="AW186" i="50" s="1"/>
  <c r="AV187" i="50"/>
  <c r="AV186" i="50" s="1"/>
  <c r="AU187" i="50"/>
  <c r="AT187" i="50"/>
  <c r="AT186" i="50" s="1"/>
  <c r="AS187" i="50"/>
  <c r="AS186" i="50" s="1"/>
  <c r="AJ187" i="50"/>
  <c r="AJ186" i="50" s="1"/>
  <c r="AI187" i="50"/>
  <c r="AI186" i="50" s="1"/>
  <c r="AH187" i="50"/>
  <c r="AH186" i="50" s="1"/>
  <c r="AG187" i="50"/>
  <c r="AG186" i="50" s="1"/>
  <c r="AF187" i="50"/>
  <c r="AE187" i="50"/>
  <c r="AE186" i="50" s="1"/>
  <c r="AD187" i="50"/>
  <c r="AD186" i="50" s="1"/>
  <c r="AA187" i="50"/>
  <c r="AA186" i="50" s="1"/>
  <c r="X187" i="50"/>
  <c r="X186" i="50" s="1"/>
  <c r="W187" i="50"/>
  <c r="W186" i="50" s="1"/>
  <c r="S187" i="50"/>
  <c r="S186" i="50" s="1"/>
  <c r="R187" i="50"/>
  <c r="R186" i="50" s="1"/>
  <c r="Q187" i="50"/>
  <c r="Q186" i="50" s="1"/>
  <c r="P187" i="50"/>
  <c r="P186" i="50" s="1"/>
  <c r="N187" i="50"/>
  <c r="N186" i="50" s="1"/>
  <c r="M187" i="50"/>
  <c r="M186" i="50" s="1"/>
  <c r="J187" i="50"/>
  <c r="J186" i="50" s="1"/>
  <c r="I187" i="50"/>
  <c r="I186" i="50" s="1"/>
  <c r="H187" i="50"/>
  <c r="H186" i="50" s="1"/>
  <c r="G187" i="50"/>
  <c r="G186" i="50" s="1"/>
  <c r="F187" i="50"/>
  <c r="F186" i="50" s="1"/>
  <c r="E187" i="50"/>
  <c r="E186" i="50" s="1"/>
  <c r="BJ186" i="50"/>
  <c r="BA186" i="50"/>
  <c r="AU186" i="50"/>
  <c r="AK186" i="50"/>
  <c r="AF186" i="50"/>
  <c r="EV185" i="50"/>
  <c r="EU185" i="50"/>
  <c r="ET185" i="50"/>
  <c r="ES185" i="50"/>
  <c r="ER185" i="50"/>
  <c r="EQ185" i="50"/>
  <c r="EP185" i="50"/>
  <c r="EO185" i="50"/>
  <c r="EN185" i="50"/>
  <c r="EK185" i="50"/>
  <c r="EH185" i="50"/>
  <c r="EG185" i="50"/>
  <c r="EC185" i="50"/>
  <c r="EB185" i="50"/>
  <c r="EA185" i="50"/>
  <c r="DZ185" i="50"/>
  <c r="DY185" i="50"/>
  <c r="DX185" i="50"/>
  <c r="DW185" i="50"/>
  <c r="BH185" i="50"/>
  <c r="BL185" i="50" s="1"/>
  <c r="BM185" i="50" s="1"/>
  <c r="BN185" i="50" s="1"/>
  <c r="BE185" i="50"/>
  <c r="BF185" i="50" s="1"/>
  <c r="BG185" i="50" s="1"/>
  <c r="AR185" i="50"/>
  <c r="AQ185" i="50" s="1"/>
  <c r="V185" i="50"/>
  <c r="EF185" i="50" s="1"/>
  <c r="T185" i="50"/>
  <c r="ED185" i="50" s="1"/>
  <c r="D185" i="50"/>
  <c r="C185" i="50" s="1"/>
  <c r="EV184" i="50"/>
  <c r="EU184" i="50"/>
  <c r="ET184" i="50"/>
  <c r="ES184" i="50"/>
  <c r="ER184" i="50"/>
  <c r="EQ184" i="50"/>
  <c r="EP184" i="50"/>
  <c r="EO184" i="50"/>
  <c r="EK184" i="50"/>
  <c r="EH184" i="50"/>
  <c r="EG184" i="50"/>
  <c r="EF184" i="50"/>
  <c r="EC184" i="50"/>
  <c r="EB184" i="50"/>
  <c r="EA184" i="50"/>
  <c r="DZ184" i="50"/>
  <c r="DY184" i="50"/>
  <c r="DX184" i="50"/>
  <c r="DW184" i="50"/>
  <c r="BH184" i="50"/>
  <c r="BL184" i="50" s="1"/>
  <c r="BM184" i="50" s="1"/>
  <c r="BE184" i="50"/>
  <c r="BF184" i="50" s="1"/>
  <c r="BG184" i="50" s="1"/>
  <c r="AR184" i="50"/>
  <c r="AQ184" i="50" s="1"/>
  <c r="AD184" i="50"/>
  <c r="EN184" i="50" s="1"/>
  <c r="Z184" i="50"/>
  <c r="T184" i="50"/>
  <c r="ED184" i="50" s="1"/>
  <c r="D184" i="50"/>
  <c r="C184" i="50" s="1"/>
  <c r="EV183" i="50"/>
  <c r="EU183" i="50"/>
  <c r="ET183" i="50"/>
  <c r="ES183" i="50"/>
  <c r="ER183" i="50"/>
  <c r="EQ183" i="50"/>
  <c r="EP183" i="50"/>
  <c r="EO183" i="50"/>
  <c r="EN183" i="50"/>
  <c r="EK183" i="50"/>
  <c r="EH183" i="50"/>
  <c r="EC183" i="50"/>
  <c r="EA183" i="50"/>
  <c r="DZ183" i="50"/>
  <c r="DY183" i="50"/>
  <c r="DX183" i="50"/>
  <c r="DW183" i="50"/>
  <c r="BH183" i="50"/>
  <c r="BL183" i="50" s="1"/>
  <c r="BM183" i="50" s="1"/>
  <c r="BN183" i="50" s="1"/>
  <c r="BA183" i="50"/>
  <c r="BE183" i="50" s="1"/>
  <c r="BF183" i="50" s="1"/>
  <c r="BG183" i="50" s="1"/>
  <c r="AR183" i="50"/>
  <c r="AQ183" i="50" s="1"/>
  <c r="W183" i="50"/>
  <c r="EG183" i="50" s="1"/>
  <c r="V183" i="50"/>
  <c r="R183" i="50"/>
  <c r="EB183" i="50" s="1"/>
  <c r="D183" i="50"/>
  <c r="C183" i="50" s="1"/>
  <c r="EV182" i="50"/>
  <c r="EU182" i="50"/>
  <c r="ET182" i="50"/>
  <c r="ES182" i="50"/>
  <c r="ER182" i="50"/>
  <c r="EQ182" i="50"/>
  <c r="EP182" i="50"/>
  <c r="EO182" i="50"/>
  <c r="EN182" i="50"/>
  <c r="EK182" i="50"/>
  <c r="EJ182" i="50"/>
  <c r="EH182" i="50"/>
  <c r="EG182" i="50"/>
  <c r="EF182" i="50"/>
  <c r="EC182" i="50"/>
  <c r="EB182" i="50"/>
  <c r="EA182" i="50"/>
  <c r="DZ182" i="50"/>
  <c r="DY182" i="50"/>
  <c r="DX182" i="50"/>
  <c r="DW182" i="50"/>
  <c r="BN182" i="50"/>
  <c r="AY182" i="50" s="1"/>
  <c r="Y182" i="50"/>
  <c r="AB182" i="50" s="1"/>
  <c r="EL182" i="50" s="1"/>
  <c r="T182" i="50"/>
  <c r="U182" i="50" s="1"/>
  <c r="EV181" i="50"/>
  <c r="EU181" i="50"/>
  <c r="ET181" i="50"/>
  <c r="ES181" i="50"/>
  <c r="ER181" i="50"/>
  <c r="EQ181" i="50"/>
  <c r="EP181" i="50"/>
  <c r="EO181" i="50"/>
  <c r="EN181" i="50"/>
  <c r="EK181" i="50"/>
  <c r="EH181" i="50"/>
  <c r="EC181" i="50"/>
  <c r="EA181" i="50"/>
  <c r="DZ181" i="50"/>
  <c r="DY181" i="50"/>
  <c r="BH181" i="50"/>
  <c r="BL181" i="50" s="1"/>
  <c r="BM181" i="50" s="1"/>
  <c r="BE181" i="50"/>
  <c r="BF181" i="50" s="1"/>
  <c r="AZ181" i="50"/>
  <c r="AR181" i="50"/>
  <c r="AQ181" i="50" s="1"/>
  <c r="W181" i="50"/>
  <c r="V181" i="50"/>
  <c r="EF181" i="50" s="1"/>
  <c r="N181" i="50"/>
  <c r="DX181" i="50" s="1"/>
  <c r="M181" i="50"/>
  <c r="D181" i="50"/>
  <c r="C181" i="50" s="1"/>
  <c r="EV180" i="50"/>
  <c r="EU180" i="50"/>
  <c r="ET180" i="50"/>
  <c r="ES180" i="50"/>
  <c r="ER180" i="50"/>
  <c r="EQ180" i="50"/>
  <c r="EP180" i="50"/>
  <c r="EO180" i="50"/>
  <c r="EN180" i="50"/>
  <c r="EK180" i="50"/>
  <c r="EH180" i="50"/>
  <c r="EF180" i="50"/>
  <c r="EC180" i="50"/>
  <c r="EB180" i="50"/>
  <c r="EA180" i="50"/>
  <c r="DZ180" i="50"/>
  <c r="DY180" i="50"/>
  <c r="BI180" i="50"/>
  <c r="BH180" i="50"/>
  <c r="BL180" i="50" s="1"/>
  <c r="BM180" i="50" s="1"/>
  <c r="BE180" i="50"/>
  <c r="BF180" i="50" s="1"/>
  <c r="BG180" i="50" s="1"/>
  <c r="AR180" i="50"/>
  <c r="AQ180" i="50" s="1"/>
  <c r="Z180" i="50"/>
  <c r="EJ180" i="50" s="1"/>
  <c r="W180" i="50"/>
  <c r="T180" i="50"/>
  <c r="ED180" i="50" s="1"/>
  <c r="N180" i="50"/>
  <c r="DX180" i="50" s="1"/>
  <c r="M180" i="50"/>
  <c r="DW180" i="50" s="1"/>
  <c r="D180" i="50"/>
  <c r="C180" i="50" s="1"/>
  <c r="EV179" i="50"/>
  <c r="EU179" i="50"/>
  <c r="ET179" i="50"/>
  <c r="ES179" i="50"/>
  <c r="ER179" i="50"/>
  <c r="EQ179" i="50"/>
  <c r="EP179" i="50"/>
  <c r="EO179" i="50"/>
  <c r="EN179" i="50"/>
  <c r="EK179" i="50"/>
  <c r="EH179" i="50"/>
  <c r="EC179" i="50"/>
  <c r="EA179" i="50"/>
  <c r="DZ179" i="50"/>
  <c r="DY179" i="50"/>
  <c r="BL179" i="50"/>
  <c r="BM179" i="50" s="1"/>
  <c r="BN179" i="50" s="1"/>
  <c r="BB179" i="50"/>
  <c r="BE179" i="50" s="1"/>
  <c r="BF179" i="50" s="1"/>
  <c r="AR179" i="50"/>
  <c r="AQ179" i="50" s="1"/>
  <c r="W179" i="50"/>
  <c r="EG179" i="50" s="1"/>
  <c r="EF179" i="50"/>
  <c r="N179" i="50"/>
  <c r="M179" i="50"/>
  <c r="J179" i="50"/>
  <c r="I179" i="50"/>
  <c r="E179" i="50"/>
  <c r="D179" i="50" s="1"/>
  <c r="EV178" i="50"/>
  <c r="EU178" i="50"/>
  <c r="ET178" i="50"/>
  <c r="ES178" i="50"/>
  <c r="ER178" i="50"/>
  <c r="EQ178" i="50"/>
  <c r="EP178" i="50"/>
  <c r="EO178" i="50"/>
  <c r="EN178" i="50"/>
  <c r="EK178" i="50"/>
  <c r="EH178" i="50"/>
  <c r="EG178" i="50"/>
  <c r="EF178" i="50"/>
  <c r="EC178" i="50"/>
  <c r="EB178" i="50"/>
  <c r="EA178" i="50"/>
  <c r="DZ178" i="50"/>
  <c r="DY178" i="50"/>
  <c r="BP178" i="50"/>
  <c r="BI178" i="50"/>
  <c r="BH178" i="50"/>
  <c r="BL178" i="50" s="1"/>
  <c r="BM178" i="50" s="1"/>
  <c r="BA178" i="50"/>
  <c r="BE178" i="50" s="1"/>
  <c r="BF178" i="50" s="1"/>
  <c r="AZ178" i="50"/>
  <c r="AR178" i="50"/>
  <c r="AQ178" i="50" s="1"/>
  <c r="EJ178" i="50"/>
  <c r="T178" i="50"/>
  <c r="N178" i="50"/>
  <c r="DX178" i="50" s="1"/>
  <c r="DW178" i="50"/>
  <c r="D178" i="50"/>
  <c r="C178" i="50" s="1"/>
  <c r="EV177" i="50"/>
  <c r="EU177" i="50"/>
  <c r="ET177" i="50"/>
  <c r="ES177" i="50"/>
  <c r="EQ177" i="50"/>
  <c r="EP177" i="50"/>
  <c r="EO177" i="50"/>
  <c r="EN177" i="50"/>
  <c r="EK177" i="50"/>
  <c r="EH177" i="50"/>
  <c r="EG177" i="50"/>
  <c r="EF177" i="50"/>
  <c r="EC177" i="50"/>
  <c r="EB177" i="50"/>
  <c r="EA177" i="50"/>
  <c r="DZ177" i="50"/>
  <c r="DY177" i="50"/>
  <c r="DX177" i="50"/>
  <c r="DW177" i="50"/>
  <c r="BH177" i="50"/>
  <c r="BL177" i="50" s="1"/>
  <c r="BM177" i="50" s="1"/>
  <c r="BE177" i="50"/>
  <c r="BF177" i="50" s="1"/>
  <c r="AZ177" i="50"/>
  <c r="AR177" i="50"/>
  <c r="AQ177" i="50" s="1"/>
  <c r="AM177" i="50"/>
  <c r="AH177" i="50"/>
  <c r="AH317" i="50" s="1"/>
  <c r="Z177" i="50"/>
  <c r="T177" i="50"/>
  <c r="U177" i="50" s="1"/>
  <c r="D177" i="50"/>
  <c r="C177" i="50" s="1"/>
  <c r="EV176" i="50"/>
  <c r="EU176" i="50"/>
  <c r="ET176" i="50"/>
  <c r="ES176" i="50"/>
  <c r="ER176" i="50"/>
  <c r="EQ176" i="50"/>
  <c r="EP176" i="50"/>
  <c r="EO176" i="50"/>
  <c r="EN176" i="50"/>
  <c r="EK176" i="50"/>
  <c r="EI176" i="50"/>
  <c r="EH176" i="50"/>
  <c r="EG176" i="50"/>
  <c r="EC176" i="50"/>
  <c r="EB176" i="50"/>
  <c r="EA176" i="50"/>
  <c r="DZ176" i="50"/>
  <c r="DY176" i="50"/>
  <c r="DX176" i="50"/>
  <c r="DW176" i="50"/>
  <c r="BL176" i="50"/>
  <c r="BM176" i="50" s="1"/>
  <c r="BN176" i="50" s="1"/>
  <c r="BE176" i="50"/>
  <c r="BF176" i="50" s="1"/>
  <c r="BG176" i="50" s="1"/>
  <c r="AR176" i="50"/>
  <c r="AQ176" i="50" s="1"/>
  <c r="AB176" i="50"/>
  <c r="V176" i="50"/>
  <c r="EF176" i="50" s="1"/>
  <c r="T176" i="50"/>
  <c r="U176" i="50" s="1"/>
  <c r="D176" i="50"/>
  <c r="C176" i="50" s="1"/>
  <c r="EV175" i="50"/>
  <c r="EU175" i="50"/>
  <c r="ET175" i="50"/>
  <c r="ES175" i="50"/>
  <c r="ER175" i="50"/>
  <c r="EQ175" i="50"/>
  <c r="EP175" i="50"/>
  <c r="EO175" i="50"/>
  <c r="EN175" i="50"/>
  <c r="EK175" i="50"/>
  <c r="EH175" i="50"/>
  <c r="EG175" i="50"/>
  <c r="EF175" i="50"/>
  <c r="EC175" i="50"/>
  <c r="EB175" i="50"/>
  <c r="EA175" i="50"/>
  <c r="DZ175" i="50"/>
  <c r="DY175" i="50"/>
  <c r="DW175" i="50"/>
  <c r="BL175" i="50"/>
  <c r="BM175" i="50" s="1"/>
  <c r="BA175" i="50"/>
  <c r="BE175" i="50" s="1"/>
  <c r="AZ175" i="50"/>
  <c r="AR175" i="50"/>
  <c r="AQ175" i="50" s="1"/>
  <c r="Z175" i="50"/>
  <c r="EJ175" i="50" s="1"/>
  <c r="T175" i="50"/>
  <c r="ED175" i="50" s="1"/>
  <c r="N175" i="50"/>
  <c r="DX175" i="50" s="1"/>
  <c r="D175" i="50"/>
  <c r="C175" i="50" s="1"/>
  <c r="EV174" i="50"/>
  <c r="EU174" i="50"/>
  <c r="ET174" i="50"/>
  <c r="ES174" i="50"/>
  <c r="ER174" i="50"/>
  <c r="EQ174" i="50"/>
  <c r="EP174" i="50"/>
  <c r="EO174" i="50"/>
  <c r="EN174" i="50"/>
  <c r="EK174" i="50"/>
  <c r="EH174" i="50"/>
  <c r="EG174" i="50"/>
  <c r="EF174" i="50"/>
  <c r="EC174" i="50"/>
  <c r="EB174" i="50"/>
  <c r="EA174" i="50"/>
  <c r="DZ174" i="50"/>
  <c r="DY174" i="50"/>
  <c r="BL174" i="50"/>
  <c r="BM174" i="50" s="1"/>
  <c r="BJ174" i="50"/>
  <c r="BJ173" i="50" s="1"/>
  <c r="BA174" i="50"/>
  <c r="BE174" i="50" s="1"/>
  <c r="BF174" i="50" s="1"/>
  <c r="AZ174" i="50"/>
  <c r="AS174" i="50"/>
  <c r="AR174" i="50" s="1"/>
  <c r="Z174" i="50"/>
  <c r="EJ174" i="50" s="1"/>
  <c r="T174" i="50"/>
  <c r="ED174" i="50" s="1"/>
  <c r="N174" i="50"/>
  <c r="DX174" i="50" s="1"/>
  <c r="M174" i="50"/>
  <c r="DW174" i="50" s="1"/>
  <c r="D174" i="50"/>
  <c r="BW173" i="50"/>
  <c r="BV173" i="50"/>
  <c r="BU173" i="50"/>
  <c r="BT173" i="50"/>
  <c r="BS173" i="50"/>
  <c r="BR173" i="50"/>
  <c r="BQ173" i="50"/>
  <c r="BP173" i="50"/>
  <c r="BO173" i="50"/>
  <c r="BK173" i="50"/>
  <c r="BI173" i="50"/>
  <c r="BH173" i="50"/>
  <c r="BD173" i="50"/>
  <c r="BC173" i="50"/>
  <c r="BB173" i="50"/>
  <c r="AX173" i="50"/>
  <c r="AW173" i="50"/>
  <c r="AV173" i="50"/>
  <c r="AU173" i="50"/>
  <c r="AT173" i="50"/>
  <c r="AL173" i="50"/>
  <c r="AK173" i="50"/>
  <c r="AJ173" i="50"/>
  <c r="AI173" i="50"/>
  <c r="AH173" i="50"/>
  <c r="AG173" i="50"/>
  <c r="AF173" i="50"/>
  <c r="AE173" i="50"/>
  <c r="AD173" i="50"/>
  <c r="AA173" i="50"/>
  <c r="X173" i="50"/>
  <c r="W173" i="50"/>
  <c r="V173" i="50"/>
  <c r="S173" i="50"/>
  <c r="R173" i="50"/>
  <c r="Q173" i="50"/>
  <c r="P173" i="50"/>
  <c r="O173" i="50"/>
  <c r="J173" i="50"/>
  <c r="I173" i="50"/>
  <c r="H173" i="50"/>
  <c r="G173" i="50"/>
  <c r="F173" i="50"/>
  <c r="E173" i="50"/>
  <c r="EV172" i="50"/>
  <c r="EU172" i="50"/>
  <c r="ET172" i="50"/>
  <c r="ES172" i="50"/>
  <c r="ER172" i="50"/>
  <c r="EQ172" i="50"/>
  <c r="EP172" i="50"/>
  <c r="EO172" i="50"/>
  <c r="EN172" i="50"/>
  <c r="EK172" i="50"/>
  <c r="EI172" i="50"/>
  <c r="EH172" i="50"/>
  <c r="EG172" i="50"/>
  <c r="EF172" i="50"/>
  <c r="EC172" i="50"/>
  <c r="EB172" i="50"/>
  <c r="EA172" i="50"/>
  <c r="DZ172" i="50"/>
  <c r="DY172" i="50"/>
  <c r="DX172" i="50"/>
  <c r="DW172" i="50"/>
  <c r="BL172" i="50"/>
  <c r="BM172" i="50" s="1"/>
  <c r="BN172" i="50" s="1"/>
  <c r="BA172" i="50"/>
  <c r="BE172" i="50" s="1"/>
  <c r="BF172" i="50" s="1"/>
  <c r="AZ172" i="50"/>
  <c r="AZ170" i="50" s="1"/>
  <c r="AR172" i="50"/>
  <c r="AQ172" i="50" s="1"/>
  <c r="AB172" i="50"/>
  <c r="EL172" i="50" s="1"/>
  <c r="Z172" i="50"/>
  <c r="EJ172" i="50" s="1"/>
  <c r="T172" i="50"/>
  <c r="U172" i="50" s="1"/>
  <c r="D172" i="50"/>
  <c r="C172" i="50" s="1"/>
  <c r="EV171" i="50"/>
  <c r="EU171" i="50"/>
  <c r="ET171" i="50"/>
  <c r="ES171" i="50"/>
  <c r="ER171" i="50"/>
  <c r="EQ171" i="50"/>
  <c r="EP171" i="50"/>
  <c r="EO171" i="50"/>
  <c r="EN171" i="50"/>
  <c r="EK171" i="50"/>
  <c r="EI171" i="50"/>
  <c r="EH171" i="50"/>
  <c r="EG171" i="50"/>
  <c r="EF171" i="50"/>
  <c r="EC171" i="50"/>
  <c r="EB171" i="50"/>
  <c r="EA171" i="50"/>
  <c r="DZ171" i="50"/>
  <c r="DY171" i="50"/>
  <c r="DW171" i="50"/>
  <c r="BL171" i="50"/>
  <c r="BM171" i="50" s="1"/>
  <c r="BN171" i="50" s="1"/>
  <c r="BE171" i="50"/>
  <c r="BF171" i="50" s="1"/>
  <c r="AR171" i="50"/>
  <c r="AQ171" i="50" s="1"/>
  <c r="AB171" i="50"/>
  <c r="EL171" i="50" s="1"/>
  <c r="Z171" i="50"/>
  <c r="T171" i="50"/>
  <c r="N171" i="50"/>
  <c r="DX171" i="50" s="1"/>
  <c r="D171" i="50"/>
  <c r="C171" i="50" s="1"/>
  <c r="BW170" i="50"/>
  <c r="BV170" i="50"/>
  <c r="BU170" i="50"/>
  <c r="BT170" i="50"/>
  <c r="BS170" i="50"/>
  <c r="BR170" i="50"/>
  <c r="BQ170" i="50"/>
  <c r="BP170" i="50"/>
  <c r="BO170" i="50"/>
  <c r="BK170" i="50"/>
  <c r="BJ170" i="50"/>
  <c r="BI170" i="50"/>
  <c r="BH170" i="50"/>
  <c r="BD170" i="50"/>
  <c r="BC170" i="50"/>
  <c r="BB170" i="50"/>
  <c r="AX170" i="50"/>
  <c r="AW170" i="50"/>
  <c r="AV170" i="50"/>
  <c r="AU170" i="50"/>
  <c r="AT170" i="50"/>
  <c r="AS170" i="50"/>
  <c r="AM170" i="50"/>
  <c r="AL170" i="50"/>
  <c r="AK170" i="50"/>
  <c r="AJ170" i="50"/>
  <c r="AI170" i="50"/>
  <c r="AH170" i="50"/>
  <c r="AG170" i="50"/>
  <c r="AF170" i="50"/>
  <c r="AE170" i="50"/>
  <c r="AD170" i="50"/>
  <c r="AA170" i="50"/>
  <c r="Y170" i="50"/>
  <c r="X170" i="50"/>
  <c r="W170" i="50"/>
  <c r="V170" i="50"/>
  <c r="S170" i="50"/>
  <c r="R170" i="50"/>
  <c r="Q170" i="50"/>
  <c r="P170" i="50"/>
  <c r="O170" i="50"/>
  <c r="M170" i="50"/>
  <c r="J170" i="50"/>
  <c r="I170" i="50"/>
  <c r="H170" i="50"/>
  <c r="G170" i="50"/>
  <c r="F170" i="50"/>
  <c r="E170" i="50"/>
  <c r="EV169" i="50"/>
  <c r="EU169" i="50"/>
  <c r="ET169" i="50"/>
  <c r="ES169" i="50"/>
  <c r="ER169" i="50"/>
  <c r="EQ169" i="50"/>
  <c r="EP169" i="50"/>
  <c r="EO169" i="50"/>
  <c r="EN169" i="50"/>
  <c r="EK169" i="50"/>
  <c r="EH169" i="50"/>
  <c r="EG169" i="50"/>
  <c r="EF169" i="50"/>
  <c r="EC169" i="50"/>
  <c r="EB169" i="50"/>
  <c r="EA169" i="50"/>
  <c r="DZ169" i="50"/>
  <c r="DY169" i="50"/>
  <c r="BL169" i="50"/>
  <c r="BM169" i="50" s="1"/>
  <c r="BN169" i="50" s="1"/>
  <c r="BA169" i="50"/>
  <c r="BE169" i="50" s="1"/>
  <c r="BF169" i="50" s="1"/>
  <c r="AZ169" i="50"/>
  <c r="AR169" i="50"/>
  <c r="AQ169" i="50" s="1"/>
  <c r="Z169" i="50"/>
  <c r="EJ169" i="50" s="1"/>
  <c r="T169" i="50"/>
  <c r="ED169" i="50" s="1"/>
  <c r="N169" i="50"/>
  <c r="DX169" i="50" s="1"/>
  <c r="M169" i="50"/>
  <c r="DW169" i="50" s="1"/>
  <c r="D169" i="50"/>
  <c r="C169" i="50" s="1"/>
  <c r="EV168" i="50"/>
  <c r="EU168" i="50"/>
  <c r="ET168" i="50"/>
  <c r="ES168" i="50"/>
  <c r="ER168" i="50"/>
  <c r="EQ168" i="50"/>
  <c r="EP168" i="50"/>
  <c r="EO168" i="50"/>
  <c r="EN168" i="50"/>
  <c r="EK168" i="50"/>
  <c r="EH168" i="50"/>
  <c r="EG168" i="50"/>
  <c r="EF168" i="50"/>
  <c r="EC168" i="50"/>
  <c r="EB168" i="50"/>
  <c r="EA168" i="50"/>
  <c r="DZ168" i="50"/>
  <c r="DY168" i="50"/>
  <c r="DX168" i="50"/>
  <c r="DW168" i="50"/>
  <c r="BL168" i="50"/>
  <c r="BM168" i="50" s="1"/>
  <c r="BJ168" i="50"/>
  <c r="BJ166" i="50" s="1"/>
  <c r="BA168" i="50"/>
  <c r="BE168" i="50" s="1"/>
  <c r="BF168" i="50" s="1"/>
  <c r="AZ168" i="50"/>
  <c r="AR168" i="50"/>
  <c r="AQ168" i="50" s="1"/>
  <c r="Z168" i="50"/>
  <c r="EJ168" i="50" s="1"/>
  <c r="T168" i="50"/>
  <c r="ED168" i="50" s="1"/>
  <c r="D168" i="50"/>
  <c r="C168" i="50" s="1"/>
  <c r="EV167" i="50"/>
  <c r="EV166" i="50" s="1"/>
  <c r="EU167" i="50"/>
  <c r="EU166" i="50" s="1"/>
  <c r="ET167" i="50"/>
  <c r="ET166" i="50" s="1"/>
  <c r="ES167" i="50"/>
  <c r="ES166" i="50" s="1"/>
  <c r="ER167" i="50"/>
  <c r="ER166" i="50" s="1"/>
  <c r="EQ167" i="50"/>
  <c r="EQ166" i="50" s="1"/>
  <c r="EP167" i="50"/>
  <c r="EP166" i="50" s="1"/>
  <c r="EO167" i="50"/>
  <c r="EO166" i="50" s="1"/>
  <c r="EN167" i="50"/>
  <c r="EN166" i="50" s="1"/>
  <c r="EK167" i="50"/>
  <c r="EK166" i="50" s="1"/>
  <c r="EI167" i="50"/>
  <c r="EH167" i="50"/>
  <c r="EG167" i="50"/>
  <c r="EF167" i="50"/>
  <c r="EC167" i="50"/>
  <c r="EA167" i="50"/>
  <c r="EA166" i="50" s="1"/>
  <c r="DZ167" i="50"/>
  <c r="DZ166" i="50" s="1"/>
  <c r="DY167" i="50"/>
  <c r="DY166" i="50" s="1"/>
  <c r="DX167" i="50"/>
  <c r="DX166" i="50" s="1"/>
  <c r="DW167" i="50"/>
  <c r="DW166" i="50" s="1"/>
  <c r="BH167" i="50"/>
  <c r="BL167" i="50" s="1"/>
  <c r="BA167" i="50"/>
  <c r="BE167" i="50" s="1"/>
  <c r="AR167" i="50"/>
  <c r="AQ167" i="50" s="1"/>
  <c r="AB167" i="50"/>
  <c r="EL167" i="50" s="1"/>
  <c r="Z167" i="50"/>
  <c r="EJ167" i="50" s="1"/>
  <c r="D167" i="50"/>
  <c r="C167" i="50" s="1"/>
  <c r="BV166" i="50"/>
  <c r="BU166" i="50"/>
  <c r="BT166" i="50"/>
  <c r="BS166" i="50"/>
  <c r="BR166" i="50"/>
  <c r="BQ166" i="50"/>
  <c r="BP166" i="50"/>
  <c r="BO166" i="50"/>
  <c r="BK166" i="50"/>
  <c r="BI166" i="50"/>
  <c r="BD166" i="50"/>
  <c r="BC166" i="50"/>
  <c r="BB166" i="50"/>
  <c r="AZ166" i="50"/>
  <c r="AX166" i="50"/>
  <c r="AW166" i="50"/>
  <c r="AV166" i="50"/>
  <c r="AU166" i="50"/>
  <c r="AT166" i="50"/>
  <c r="AS166" i="50"/>
  <c r="AK166" i="50"/>
  <c r="AJ166" i="50"/>
  <c r="AI166" i="50"/>
  <c r="AH166" i="50"/>
  <c r="AG166" i="50"/>
  <c r="AF166" i="50"/>
  <c r="AE166" i="50"/>
  <c r="AD166" i="50"/>
  <c r="AA166" i="50"/>
  <c r="X166" i="50"/>
  <c r="W166" i="50"/>
  <c r="V166" i="50"/>
  <c r="S166" i="50"/>
  <c r="Q166" i="50"/>
  <c r="P166" i="50"/>
  <c r="O166" i="50"/>
  <c r="N166" i="50"/>
  <c r="M166" i="50"/>
  <c r="J166" i="50"/>
  <c r="I166" i="50"/>
  <c r="H166" i="50"/>
  <c r="G166" i="50"/>
  <c r="F166" i="50"/>
  <c r="E166" i="50"/>
  <c r="EV165" i="50"/>
  <c r="EU165" i="50"/>
  <c r="ET165" i="50"/>
  <c r="ES165" i="50"/>
  <c r="ER165" i="50"/>
  <c r="EQ165" i="50"/>
  <c r="EP165" i="50"/>
  <c r="EO165" i="50"/>
  <c r="EN165" i="50"/>
  <c r="EK165" i="50"/>
  <c r="EI165" i="50"/>
  <c r="EH165" i="50"/>
  <c r="EG165" i="50"/>
  <c r="EF165" i="50"/>
  <c r="EC165" i="50"/>
  <c r="EB165" i="50"/>
  <c r="EA165" i="50"/>
  <c r="DY165" i="50"/>
  <c r="BH165" i="50"/>
  <c r="BL165" i="50" s="1"/>
  <c r="BM165" i="50" s="1"/>
  <c r="BA165" i="50"/>
  <c r="BE165" i="50" s="1"/>
  <c r="BF165" i="50" s="1"/>
  <c r="AZ165" i="50"/>
  <c r="AR165" i="50"/>
  <c r="AQ165" i="50" s="1"/>
  <c r="AB165" i="50"/>
  <c r="AC165" i="50" s="1"/>
  <c r="EM165" i="50" s="1"/>
  <c r="Z165" i="50"/>
  <c r="EJ165" i="50" s="1"/>
  <c r="T165" i="50"/>
  <c r="ED165" i="50" s="1"/>
  <c r="P165" i="50"/>
  <c r="DZ165" i="50" s="1"/>
  <c r="N165" i="50"/>
  <c r="DX165" i="50" s="1"/>
  <c r="M165" i="50"/>
  <c r="DW165" i="50" s="1"/>
  <c r="D165" i="50"/>
  <c r="C165" i="50" s="1"/>
  <c r="EV164" i="50"/>
  <c r="EU164" i="50"/>
  <c r="ET164" i="50"/>
  <c r="ES164" i="50"/>
  <c r="ER164" i="50"/>
  <c r="EQ164" i="50"/>
  <c r="EP164" i="50"/>
  <c r="EO164" i="50"/>
  <c r="EN164" i="50"/>
  <c r="EK164" i="50"/>
  <c r="EI164" i="50"/>
  <c r="EH164" i="50"/>
  <c r="EC164" i="50"/>
  <c r="EB164" i="50"/>
  <c r="EA164" i="50"/>
  <c r="DY164" i="50"/>
  <c r="BL164" i="50"/>
  <c r="BM164" i="50" s="1"/>
  <c r="BI164" i="50"/>
  <c r="BE164" i="50"/>
  <c r="BF164" i="50" s="1"/>
  <c r="BG164" i="50" s="1"/>
  <c r="AR164" i="50"/>
  <c r="AQ164" i="50" s="1"/>
  <c r="AB164" i="50"/>
  <c r="EL164" i="50" s="1"/>
  <c r="EG164" i="50"/>
  <c r="T164" i="50"/>
  <c r="ED164" i="50" s="1"/>
  <c r="P164" i="50"/>
  <c r="N164" i="50"/>
  <c r="DX164" i="50" s="1"/>
  <c r="M164" i="50"/>
  <c r="DW164" i="50" s="1"/>
  <c r="D164" i="50"/>
  <c r="C164" i="50" s="1"/>
  <c r="EV163" i="50"/>
  <c r="EU163" i="50"/>
  <c r="ET163" i="50"/>
  <c r="ES163" i="50"/>
  <c r="ER163" i="50"/>
  <c r="EQ163" i="50"/>
  <c r="EP163" i="50"/>
  <c r="EO163" i="50"/>
  <c r="EN163" i="50"/>
  <c r="EK163" i="50"/>
  <c r="EH163" i="50"/>
  <c r="EG163" i="50"/>
  <c r="EF163" i="50"/>
  <c r="EC163" i="50"/>
  <c r="EB163" i="50"/>
  <c r="EA163" i="50"/>
  <c r="DZ163" i="50"/>
  <c r="DY163" i="50"/>
  <c r="BH163" i="50"/>
  <c r="BL163" i="50" s="1"/>
  <c r="BM163" i="50" s="1"/>
  <c r="BA163" i="50"/>
  <c r="BE163" i="50" s="1"/>
  <c r="BF163" i="50" s="1"/>
  <c r="AZ163" i="50"/>
  <c r="AR163" i="50"/>
  <c r="AQ163" i="50" s="1"/>
  <c r="Z163" i="50"/>
  <c r="EJ163" i="50" s="1"/>
  <c r="T163" i="50"/>
  <c r="ED163" i="50" s="1"/>
  <c r="N163" i="50"/>
  <c r="DX163" i="50" s="1"/>
  <c r="M163" i="50"/>
  <c r="DW163" i="50" s="1"/>
  <c r="D163" i="50"/>
  <c r="C163" i="50" s="1"/>
  <c r="EV162" i="50"/>
  <c r="EU162" i="50"/>
  <c r="ET162" i="50"/>
  <c r="ES162" i="50"/>
  <c r="ER162" i="50"/>
  <c r="EQ162" i="50"/>
  <c r="EP162" i="50"/>
  <c r="EO162" i="50"/>
  <c r="EN162" i="50"/>
  <c r="EK162" i="50"/>
  <c r="EH162" i="50"/>
  <c r="EG162" i="50"/>
  <c r="EF162" i="50"/>
  <c r="EC162" i="50"/>
  <c r="EB162" i="50"/>
  <c r="EA162" i="50"/>
  <c r="DZ162" i="50"/>
  <c r="DY162" i="50"/>
  <c r="DX162" i="50"/>
  <c r="DW162" i="50"/>
  <c r="BN162" i="50"/>
  <c r="BA162" i="50"/>
  <c r="BE162" i="50" s="1"/>
  <c r="BF162" i="50" s="1"/>
  <c r="BG162" i="50" s="1"/>
  <c r="AR162" i="50"/>
  <c r="AQ162" i="50" s="1"/>
  <c r="Z162" i="50"/>
  <c r="Y162" i="50" s="1"/>
  <c r="T162" i="50"/>
  <c r="U162" i="50" s="1"/>
  <c r="D162" i="50"/>
  <c r="C162" i="50" s="1"/>
  <c r="EV161" i="50"/>
  <c r="EU161" i="50"/>
  <c r="ET161" i="50"/>
  <c r="ES161" i="50"/>
  <c r="ER161" i="50"/>
  <c r="EQ161" i="50"/>
  <c r="EP161" i="50"/>
  <c r="EO161" i="50"/>
  <c r="EN161" i="50"/>
  <c r="EK161" i="50"/>
  <c r="EH161" i="50"/>
  <c r="EG161" i="50"/>
  <c r="EF161" i="50"/>
  <c r="EC161" i="50"/>
  <c r="EB161" i="50"/>
  <c r="EA161" i="50"/>
  <c r="DZ161" i="50"/>
  <c r="DY161" i="50"/>
  <c r="DW161" i="50"/>
  <c r="BM161" i="50"/>
  <c r="BN161" i="50" s="1"/>
  <c r="BA161" i="50"/>
  <c r="BE161" i="50" s="1"/>
  <c r="BF161" i="50" s="1"/>
  <c r="AZ161" i="50"/>
  <c r="AR161" i="50"/>
  <c r="AQ161" i="50" s="1"/>
  <c r="Z161" i="50"/>
  <c r="Y161" i="50" s="1"/>
  <c r="EI161" i="50" s="1"/>
  <c r="T161" i="50"/>
  <c r="ED161" i="50" s="1"/>
  <c r="N161" i="50"/>
  <c r="D161" i="50"/>
  <c r="C161" i="50" s="1"/>
  <c r="EV160" i="50"/>
  <c r="EU160" i="50"/>
  <c r="ET160" i="50"/>
  <c r="ES160" i="50"/>
  <c r="ER160" i="50"/>
  <c r="EQ160" i="50"/>
  <c r="EP160" i="50"/>
  <c r="EO160" i="50"/>
  <c r="EN160" i="50"/>
  <c r="EK160" i="50"/>
  <c r="EH160" i="50"/>
  <c r="EG160" i="50"/>
  <c r="EF160" i="50"/>
  <c r="EC160" i="50"/>
  <c r="EA160" i="50"/>
  <c r="DZ160" i="50"/>
  <c r="DY160" i="50"/>
  <c r="DX160" i="50"/>
  <c r="DW160" i="50"/>
  <c r="Z160" i="50"/>
  <c r="EJ160" i="50" s="1"/>
  <c r="R160" i="50"/>
  <c r="EB160" i="50" s="1"/>
  <c r="D160" i="50"/>
  <c r="C160" i="50" s="1"/>
  <c r="EV159" i="50"/>
  <c r="EU159" i="50"/>
  <c r="ET159" i="50"/>
  <c r="ES159" i="50"/>
  <c r="ER159" i="50"/>
  <c r="EQ159" i="50"/>
  <c r="EP159" i="50"/>
  <c r="EO159" i="50"/>
  <c r="EN159" i="50"/>
  <c r="EK159" i="50"/>
  <c r="EH159" i="50"/>
  <c r="EG159" i="50"/>
  <c r="EF159" i="50"/>
  <c r="EC159" i="50"/>
  <c r="EB159" i="50"/>
  <c r="EA159" i="50"/>
  <c r="DZ159" i="50"/>
  <c r="DY159" i="50"/>
  <c r="DX159" i="50"/>
  <c r="DW159" i="50"/>
  <c r="BM159" i="50"/>
  <c r="BN159" i="50" s="1"/>
  <c r="BA159" i="50"/>
  <c r="BE159" i="50" s="1"/>
  <c r="BF159" i="50" s="1"/>
  <c r="AZ159" i="50"/>
  <c r="AR159" i="50"/>
  <c r="AQ159" i="50" s="1"/>
  <c r="Z159" i="50"/>
  <c r="EJ159" i="50" s="1"/>
  <c r="T159" i="50"/>
  <c r="U159" i="50" s="1"/>
  <c r="D159" i="50"/>
  <c r="EV158" i="50"/>
  <c r="EU158" i="50"/>
  <c r="ET158" i="50"/>
  <c r="ES158" i="50"/>
  <c r="ER158" i="50"/>
  <c r="EQ158" i="50"/>
  <c r="EP158" i="50"/>
  <c r="EO158" i="50"/>
  <c r="EN158" i="50"/>
  <c r="EK158" i="50"/>
  <c r="EH158" i="50"/>
  <c r="EG158" i="50"/>
  <c r="EF158" i="50"/>
  <c r="EC158" i="50"/>
  <c r="EB158" i="50"/>
  <c r="EA158" i="50"/>
  <c r="DZ158" i="50"/>
  <c r="DY158" i="50"/>
  <c r="DX158" i="50"/>
  <c r="DW158" i="50"/>
  <c r="BM158" i="50"/>
  <c r="BN158" i="50" s="1"/>
  <c r="BA158" i="50"/>
  <c r="BE158" i="50" s="1"/>
  <c r="BF158" i="50" s="1"/>
  <c r="AZ158" i="50"/>
  <c r="AR158" i="50"/>
  <c r="AQ158" i="50" s="1"/>
  <c r="Z158" i="50"/>
  <c r="EJ158" i="50" s="1"/>
  <c r="T158" i="50"/>
  <c r="D158" i="50"/>
  <c r="C158" i="50" s="1"/>
  <c r="EV157" i="50"/>
  <c r="EU157" i="50"/>
  <c r="ET157" i="50"/>
  <c r="ES157" i="50"/>
  <c r="ER157" i="50"/>
  <c r="EQ157" i="50"/>
  <c r="EP157" i="50"/>
  <c r="EO157" i="50"/>
  <c r="EN157" i="50"/>
  <c r="EK157" i="50"/>
  <c r="EI157" i="50"/>
  <c r="EH157" i="50"/>
  <c r="EG157" i="50"/>
  <c r="EF157" i="50"/>
  <c r="EC157" i="50"/>
  <c r="EA157" i="50"/>
  <c r="DZ157" i="50"/>
  <c r="DY157" i="50"/>
  <c r="BO157" i="50"/>
  <c r="BO156" i="50" s="1"/>
  <c r="BM157" i="50"/>
  <c r="BN157" i="50" s="1"/>
  <c r="BA157" i="50"/>
  <c r="BE157" i="50" s="1"/>
  <c r="AZ157" i="50"/>
  <c r="AR157" i="50"/>
  <c r="AB157" i="50"/>
  <c r="EL157" i="50" s="1"/>
  <c r="Z157" i="50"/>
  <c r="N157" i="50"/>
  <c r="DX157" i="50" s="1"/>
  <c r="M157" i="50"/>
  <c r="DW157" i="50" s="1"/>
  <c r="D157" i="50"/>
  <c r="C157" i="50" s="1"/>
  <c r="BV156" i="50"/>
  <c r="BU156" i="50"/>
  <c r="BT156" i="50"/>
  <c r="BS156" i="50"/>
  <c r="BR156" i="50"/>
  <c r="BQ156" i="50"/>
  <c r="BP156" i="50"/>
  <c r="BL156" i="50"/>
  <c r="BK156" i="50"/>
  <c r="BJ156" i="50"/>
  <c r="BI156" i="50"/>
  <c r="BH156" i="50"/>
  <c r="BD156" i="50"/>
  <c r="BC156" i="50"/>
  <c r="BB156" i="50"/>
  <c r="AX156" i="50"/>
  <c r="AW156" i="50"/>
  <c r="AV156" i="50"/>
  <c r="AU156" i="50"/>
  <c r="AT156" i="50"/>
  <c r="AS156" i="50"/>
  <c r="AH156" i="50"/>
  <c r="AG156" i="50"/>
  <c r="AE156" i="50"/>
  <c r="AD156" i="50"/>
  <c r="AA156" i="50"/>
  <c r="X156" i="50"/>
  <c r="W156" i="50"/>
  <c r="V156" i="50"/>
  <c r="S156" i="50"/>
  <c r="Q156" i="50"/>
  <c r="P156" i="50"/>
  <c r="O156" i="50"/>
  <c r="J156" i="50"/>
  <c r="I156" i="50"/>
  <c r="H156" i="50"/>
  <c r="G156" i="50"/>
  <c r="F156" i="50"/>
  <c r="E156" i="50"/>
  <c r="EV155" i="50"/>
  <c r="EU155" i="50"/>
  <c r="ET155" i="50"/>
  <c r="ES155" i="50"/>
  <c r="ER155" i="50"/>
  <c r="EQ155" i="50"/>
  <c r="EP155" i="50"/>
  <c r="EO155" i="50"/>
  <c r="EN155" i="50"/>
  <c r="EK155" i="50"/>
  <c r="EH155" i="50"/>
  <c r="EG155" i="50"/>
  <c r="EF155" i="50"/>
  <c r="EC155" i="50"/>
  <c r="EA155" i="50"/>
  <c r="DZ155" i="50"/>
  <c r="DY155" i="50"/>
  <c r="BL155" i="50"/>
  <c r="BM155" i="50" s="1"/>
  <c r="BN155" i="50" s="1"/>
  <c r="BA155" i="50"/>
  <c r="BE155" i="50" s="1"/>
  <c r="BF155" i="50" s="1"/>
  <c r="AZ155" i="50"/>
  <c r="AR155" i="50"/>
  <c r="AQ155" i="50" s="1"/>
  <c r="Z155" i="50"/>
  <c r="N155" i="50"/>
  <c r="DX155" i="50" s="1"/>
  <c r="DW155" i="50"/>
  <c r="D155" i="50"/>
  <c r="C155" i="50" s="1"/>
  <c r="EV154" i="50"/>
  <c r="EU154" i="50"/>
  <c r="ET154" i="50"/>
  <c r="ES154" i="50"/>
  <c r="ER154" i="50"/>
  <c r="EQ154" i="50"/>
  <c r="EP154" i="50"/>
  <c r="EO154" i="50"/>
  <c r="EN154" i="50"/>
  <c r="EK154" i="50"/>
  <c r="EH154" i="50"/>
  <c r="EG154" i="50"/>
  <c r="EC154" i="50"/>
  <c r="EB154" i="50"/>
  <c r="EA154" i="50"/>
  <c r="DZ154" i="50"/>
  <c r="DX154" i="50"/>
  <c r="DW154" i="50"/>
  <c r="BL154" i="50"/>
  <c r="BM154" i="50" s="1"/>
  <c r="BJ154" i="50"/>
  <c r="BB154" i="50"/>
  <c r="BE154" i="50" s="1"/>
  <c r="BF154" i="50" s="1"/>
  <c r="AZ154" i="50"/>
  <c r="AR154" i="50"/>
  <c r="AQ154" i="50" s="1"/>
  <c r="V154" i="50"/>
  <c r="Z154" i="50" s="1"/>
  <c r="EJ154" i="50" s="1"/>
  <c r="T154" i="50"/>
  <c r="ED154" i="50" s="1"/>
  <c r="O154" i="50"/>
  <c r="DY154" i="50" s="1"/>
  <c r="D154" i="50"/>
  <c r="C154" i="50" s="1"/>
  <c r="EV153" i="50"/>
  <c r="EU153" i="50"/>
  <c r="ET153" i="50"/>
  <c r="ES153" i="50"/>
  <c r="ER153" i="50"/>
  <c r="EQ153" i="50"/>
  <c r="EP153" i="50"/>
  <c r="EO153" i="50"/>
  <c r="EN153" i="50"/>
  <c r="EK153" i="50"/>
  <c r="EI153" i="50"/>
  <c r="EH153" i="50"/>
  <c r="EG153" i="50"/>
  <c r="EF153" i="50"/>
  <c r="EC153" i="50"/>
  <c r="EB153" i="50"/>
  <c r="EA153" i="50"/>
  <c r="DZ153" i="50"/>
  <c r="DY153" i="50"/>
  <c r="DX153" i="50"/>
  <c r="DW153" i="50"/>
  <c r="BL153" i="50"/>
  <c r="BM153" i="50" s="1"/>
  <c r="BN153" i="50" s="1"/>
  <c r="BE153" i="50"/>
  <c r="BF153" i="50" s="1"/>
  <c r="AZ153" i="50"/>
  <c r="AR153" i="50"/>
  <c r="AQ153" i="50" s="1"/>
  <c r="AB153" i="50"/>
  <c r="AC153" i="50" s="1"/>
  <c r="EM153" i="50" s="1"/>
  <c r="Z153" i="50"/>
  <c r="EJ153" i="50" s="1"/>
  <c r="T153" i="50"/>
  <c r="ED153" i="50" s="1"/>
  <c r="D153" i="50"/>
  <c r="C153" i="50" s="1"/>
  <c r="EV152" i="50"/>
  <c r="EU152" i="50"/>
  <c r="ET152" i="50"/>
  <c r="ES152" i="50"/>
  <c r="ER152" i="50"/>
  <c r="EQ152" i="50"/>
  <c r="EP152" i="50"/>
  <c r="EO152" i="50"/>
  <c r="EN152" i="50"/>
  <c r="EK152" i="50"/>
  <c r="EH152" i="50"/>
  <c r="EH151" i="50" s="1"/>
  <c r="EG152" i="50"/>
  <c r="EF152" i="50"/>
  <c r="EC152" i="50"/>
  <c r="EC151" i="50" s="1"/>
  <c r="EB152" i="50"/>
  <c r="EB151" i="50" s="1"/>
  <c r="EA152" i="50"/>
  <c r="DZ152" i="50"/>
  <c r="DX152" i="50"/>
  <c r="DW152" i="50"/>
  <c r="BL152" i="50"/>
  <c r="BM152" i="50" s="1"/>
  <c r="BB152" i="50"/>
  <c r="BB151" i="50" s="1"/>
  <c r="BA152" i="50"/>
  <c r="BA151" i="50" s="1"/>
  <c r="AZ152" i="50"/>
  <c r="AS152" i="50"/>
  <c r="AR152" i="50" s="1"/>
  <c r="Z152" i="50"/>
  <c r="EJ152" i="50" s="1"/>
  <c r="T152" i="50"/>
  <c r="ED152" i="50" s="1"/>
  <c r="O152" i="50"/>
  <c r="D152" i="50"/>
  <c r="C152" i="50" s="1"/>
  <c r="BW151" i="50"/>
  <c r="BV151" i="50"/>
  <c r="BV150" i="50" s="1"/>
  <c r="BV149" i="50" s="1"/>
  <c r="BU151" i="50"/>
  <c r="BT151" i="50"/>
  <c r="BS151" i="50"/>
  <c r="BR151" i="50"/>
  <c r="BR150" i="50" s="1"/>
  <c r="BQ151" i="50"/>
  <c r="BP151" i="50"/>
  <c r="BO151" i="50"/>
  <c r="BK151" i="50"/>
  <c r="BK150" i="50" s="1"/>
  <c r="BJ151" i="50"/>
  <c r="BI151" i="50"/>
  <c r="BH151" i="50"/>
  <c r="BD151" i="50"/>
  <c r="BC151" i="50"/>
  <c r="AX151" i="50"/>
  <c r="AW151" i="50"/>
  <c r="AV151" i="50"/>
  <c r="AU151" i="50"/>
  <c r="AT151" i="50"/>
  <c r="AM151" i="50"/>
  <c r="AL151" i="50"/>
  <c r="AK151" i="50"/>
  <c r="AJ151" i="50"/>
  <c r="AI151" i="50"/>
  <c r="AH151" i="50"/>
  <c r="AG151" i="50"/>
  <c r="AF151" i="50"/>
  <c r="AE151" i="50"/>
  <c r="AD151" i="50"/>
  <c r="AD150" i="50" s="1"/>
  <c r="AA151" i="50"/>
  <c r="X151" i="50"/>
  <c r="W151" i="50"/>
  <c r="V151" i="50"/>
  <c r="S151" i="50"/>
  <c r="R151" i="50"/>
  <c r="Q151" i="50"/>
  <c r="P151" i="50"/>
  <c r="O151" i="50"/>
  <c r="N151" i="50"/>
  <c r="M151" i="50"/>
  <c r="J151" i="50"/>
  <c r="J150" i="50" s="1"/>
  <c r="J149" i="50" s="1"/>
  <c r="I151" i="50"/>
  <c r="H151" i="50"/>
  <c r="G151" i="50"/>
  <c r="F151" i="50"/>
  <c r="F150" i="50" s="1"/>
  <c r="F149" i="50" s="1"/>
  <c r="E151" i="50"/>
  <c r="EV148" i="50"/>
  <c r="EU148" i="50"/>
  <c r="ET148" i="50"/>
  <c r="ES148" i="50"/>
  <c r="ER148" i="50"/>
  <c r="EQ148" i="50"/>
  <c r="EP148" i="50"/>
  <c r="EO148" i="50"/>
  <c r="EN148" i="50"/>
  <c r="EK148" i="50"/>
  <c r="EH148" i="50"/>
  <c r="EG148" i="50"/>
  <c r="EF148" i="50"/>
  <c r="EC148" i="50"/>
  <c r="EA148" i="50"/>
  <c r="DZ148" i="50"/>
  <c r="DY148" i="50"/>
  <c r="DX148" i="50"/>
  <c r="DW148" i="50"/>
  <c r="BM148" i="50"/>
  <c r="BH148" i="50"/>
  <c r="BN148" i="50" s="1"/>
  <c r="BG148" i="50"/>
  <c r="Z148" i="50"/>
  <c r="R148" i="50"/>
  <c r="EB148" i="50" s="1"/>
  <c r="EV147" i="50"/>
  <c r="EU147" i="50"/>
  <c r="ET147" i="50"/>
  <c r="ES147" i="50"/>
  <c r="ER147" i="50"/>
  <c r="EQ147" i="50"/>
  <c r="EP147" i="50"/>
  <c r="EO147" i="50"/>
  <c r="EN147" i="50"/>
  <c r="EK147" i="50"/>
  <c r="EH147" i="50"/>
  <c r="EG147" i="50"/>
  <c r="EC147" i="50"/>
  <c r="EA147" i="50"/>
  <c r="DZ147" i="50"/>
  <c r="DY147" i="50"/>
  <c r="DX147" i="50"/>
  <c r="DW147" i="50"/>
  <c r="BL147" i="50"/>
  <c r="BM147" i="50" s="1"/>
  <c r="BN147" i="50" s="1"/>
  <c r="BE147" i="50"/>
  <c r="BF147" i="50" s="1"/>
  <c r="BG147" i="50" s="1"/>
  <c r="AR147" i="50"/>
  <c r="AQ147" i="50" s="1"/>
  <c r="V147" i="50"/>
  <c r="EF147" i="50" s="1"/>
  <c r="R147" i="50"/>
  <c r="EB147" i="50" s="1"/>
  <c r="D147" i="50"/>
  <c r="C147" i="50" s="1"/>
  <c r="EV146" i="50"/>
  <c r="EU146" i="50"/>
  <c r="ET146" i="50"/>
  <c r="ES146" i="50"/>
  <c r="ER146" i="50"/>
  <c r="EQ146" i="50"/>
  <c r="EP146" i="50"/>
  <c r="EO146" i="50"/>
  <c r="EN146" i="50"/>
  <c r="EK146" i="50"/>
  <c r="EH146" i="50"/>
  <c r="EG146" i="50"/>
  <c r="EF146" i="50"/>
  <c r="EC146" i="50"/>
  <c r="EB146" i="50"/>
  <c r="EA146" i="50"/>
  <c r="DZ146" i="50"/>
  <c r="DY146" i="50"/>
  <c r="DX146" i="50"/>
  <c r="DW146" i="50"/>
  <c r="BQ146" i="50"/>
  <c r="BL146" i="50"/>
  <c r="BM146" i="50" s="1"/>
  <c r="BN146" i="50" s="1"/>
  <c r="BE146" i="50"/>
  <c r="BF146" i="50" s="1"/>
  <c r="BG146" i="50" s="1"/>
  <c r="AR146" i="50"/>
  <c r="AQ146" i="50" s="1"/>
  <c r="Z146" i="50"/>
  <c r="EJ146" i="50" s="1"/>
  <c r="T146" i="50"/>
  <c r="U146" i="50" s="1"/>
  <c r="D146" i="50"/>
  <c r="C146" i="50" s="1"/>
  <c r="EV145" i="50"/>
  <c r="EU145" i="50"/>
  <c r="ET145" i="50"/>
  <c r="ES145" i="50"/>
  <c r="ER145" i="50"/>
  <c r="EQ145" i="50"/>
  <c r="EP145" i="50"/>
  <c r="EO145" i="50"/>
  <c r="EN145" i="50"/>
  <c r="EK145" i="50"/>
  <c r="EH145" i="50"/>
  <c r="EG145" i="50"/>
  <c r="EF145" i="50"/>
  <c r="EC145" i="50"/>
  <c r="EB145" i="50"/>
  <c r="EA145" i="50"/>
  <c r="DZ145" i="50"/>
  <c r="DY145" i="50"/>
  <c r="DX145" i="50"/>
  <c r="DW145" i="50"/>
  <c r="BQ145" i="50"/>
  <c r="BL145" i="50"/>
  <c r="BM145" i="50" s="1"/>
  <c r="BN145" i="50" s="1"/>
  <c r="BE145" i="50"/>
  <c r="BF145" i="50" s="1"/>
  <c r="BG145" i="50" s="1"/>
  <c r="AR145" i="50"/>
  <c r="AQ145" i="50" s="1"/>
  <c r="Z145" i="50"/>
  <c r="EJ145" i="50" s="1"/>
  <c r="T145" i="50"/>
  <c r="ED145" i="50" s="1"/>
  <c r="D145" i="50"/>
  <c r="C145" i="50" s="1"/>
  <c r="EV144" i="50"/>
  <c r="EU144" i="50"/>
  <c r="ET144" i="50"/>
  <c r="ES144" i="50"/>
  <c r="ER144" i="50"/>
  <c r="EQ144" i="50"/>
  <c r="EP144" i="50"/>
  <c r="EO144" i="50"/>
  <c r="EN144" i="50"/>
  <c r="EK144" i="50"/>
  <c r="EI144" i="50"/>
  <c r="EH144" i="50"/>
  <c r="EG144" i="50"/>
  <c r="EF144" i="50"/>
  <c r="EC144" i="50"/>
  <c r="EB144" i="50"/>
  <c r="EA144" i="50"/>
  <c r="DZ144" i="50"/>
  <c r="DY144" i="50"/>
  <c r="DX144" i="50"/>
  <c r="DW144" i="50"/>
  <c r="BL144" i="50"/>
  <c r="BM144" i="50" s="1"/>
  <c r="BN144" i="50" s="1"/>
  <c r="BE144" i="50"/>
  <c r="BF144" i="50" s="1"/>
  <c r="BG144" i="50" s="1"/>
  <c r="AR144" i="50"/>
  <c r="AQ144" i="50" s="1"/>
  <c r="AB144" i="50"/>
  <c r="EL144" i="50" s="1"/>
  <c r="Z144" i="50"/>
  <c r="EJ144" i="50" s="1"/>
  <c r="T144" i="50"/>
  <c r="ED144" i="50" s="1"/>
  <c r="D144" i="50"/>
  <c r="C144" i="50" s="1"/>
  <c r="EV143" i="50"/>
  <c r="EU143" i="50"/>
  <c r="ET143" i="50"/>
  <c r="ES143" i="50"/>
  <c r="ER143" i="50"/>
  <c r="EQ143" i="50"/>
  <c r="EP143" i="50"/>
  <c r="EO143" i="50"/>
  <c r="EN143" i="50"/>
  <c r="EK143" i="50"/>
  <c r="EH143" i="50"/>
  <c r="EG143" i="50"/>
  <c r="EF143" i="50"/>
  <c r="EC143" i="50"/>
  <c r="EA143" i="50"/>
  <c r="DZ143" i="50"/>
  <c r="DY143" i="50"/>
  <c r="DX143" i="50"/>
  <c r="DW143" i="50"/>
  <c r="BH143" i="50"/>
  <c r="BL143" i="50" s="1"/>
  <c r="BE143" i="50"/>
  <c r="AR143" i="50"/>
  <c r="AQ143" i="50" s="1"/>
  <c r="Z143" i="50"/>
  <c r="R143" i="50"/>
  <c r="EB143" i="50" s="1"/>
  <c r="D143" i="50"/>
  <c r="C143" i="50" s="1"/>
  <c r="EV142" i="50"/>
  <c r="EU142" i="50"/>
  <c r="ET142" i="50"/>
  <c r="ES142" i="50"/>
  <c r="ER142" i="50"/>
  <c r="EQ142" i="50"/>
  <c r="EP142" i="50"/>
  <c r="EO142" i="50"/>
  <c r="EN142" i="50"/>
  <c r="EK142" i="50"/>
  <c r="EH142" i="50"/>
  <c r="EG142" i="50"/>
  <c r="EC142" i="50"/>
  <c r="EA142" i="50"/>
  <c r="DZ142" i="50"/>
  <c r="DY142" i="50"/>
  <c r="DX142" i="50"/>
  <c r="DW142" i="50"/>
  <c r="BL142" i="50"/>
  <c r="BM142" i="50" s="1"/>
  <c r="BN142" i="50" s="1"/>
  <c r="BE142" i="50"/>
  <c r="BF142" i="50" s="1"/>
  <c r="BG142" i="50" s="1"/>
  <c r="V142" i="50"/>
  <c r="R142" i="50"/>
  <c r="BW141" i="50"/>
  <c r="BW140" i="50" s="1"/>
  <c r="BV141" i="50"/>
  <c r="BV140" i="50" s="1"/>
  <c r="BU141" i="50"/>
  <c r="BU140" i="50" s="1"/>
  <c r="BT141" i="50"/>
  <c r="BT140" i="50" s="1"/>
  <c r="BS141" i="50"/>
  <c r="BS140" i="50" s="1"/>
  <c r="BR141" i="50"/>
  <c r="BR140" i="50" s="1"/>
  <c r="BP141" i="50"/>
  <c r="BP140" i="50" s="1"/>
  <c r="BO141" i="50"/>
  <c r="BO140" i="50" s="1"/>
  <c r="BK141" i="50"/>
  <c r="BK140" i="50" s="1"/>
  <c r="BJ141" i="50"/>
  <c r="BJ140" i="50" s="1"/>
  <c r="BI141" i="50"/>
  <c r="BI140" i="50" s="1"/>
  <c r="BD141" i="50"/>
  <c r="BD140" i="50" s="1"/>
  <c r="BC141" i="50"/>
  <c r="BC140" i="50" s="1"/>
  <c r="BB141" i="50"/>
  <c r="BB140" i="50" s="1"/>
  <c r="BA141" i="50"/>
  <c r="BA140" i="50" s="1"/>
  <c r="AZ141" i="50"/>
  <c r="AZ140" i="50" s="1"/>
  <c r="AX141" i="50"/>
  <c r="AW141" i="50"/>
  <c r="AV141" i="50"/>
  <c r="AU141" i="50"/>
  <c r="AT141" i="50"/>
  <c r="AS141" i="50"/>
  <c r="AL141" i="50"/>
  <c r="AL140" i="50" s="1"/>
  <c r="J141" i="50"/>
  <c r="J140" i="50" s="1"/>
  <c r="I141" i="50"/>
  <c r="I140" i="50" s="1"/>
  <c r="H141" i="50"/>
  <c r="H140" i="50" s="1"/>
  <c r="G141" i="50"/>
  <c r="G140" i="50" s="1"/>
  <c r="F141" i="50"/>
  <c r="F140" i="50" s="1"/>
  <c r="E141" i="50"/>
  <c r="E140" i="50" s="1"/>
  <c r="AX140" i="50"/>
  <c r="AW140" i="50"/>
  <c r="AV140" i="50"/>
  <c r="AU140" i="50"/>
  <c r="AT140" i="50"/>
  <c r="AS140" i="50"/>
  <c r="AM140" i="50"/>
  <c r="EV139" i="50"/>
  <c r="EU139" i="50"/>
  <c r="ET139" i="50"/>
  <c r="ES139" i="50"/>
  <c r="ER139" i="50"/>
  <c r="EQ139" i="50"/>
  <c r="EP139" i="50"/>
  <c r="EO139" i="50"/>
  <c r="EN139" i="50"/>
  <c r="EK139" i="50"/>
  <c r="EI139" i="50"/>
  <c r="EH139" i="50"/>
  <c r="EG139" i="50"/>
  <c r="EF139" i="50"/>
  <c r="EC139" i="50"/>
  <c r="EB139" i="50"/>
  <c r="EA139" i="50"/>
  <c r="DZ139" i="50"/>
  <c r="DY139" i="50"/>
  <c r="DW139" i="50"/>
  <c r="BL139" i="50"/>
  <c r="BM139" i="50" s="1"/>
  <c r="BN139" i="50" s="1"/>
  <c r="BE139" i="50"/>
  <c r="BF139" i="50" s="1"/>
  <c r="AZ139" i="50"/>
  <c r="AR139" i="50"/>
  <c r="AQ139" i="50" s="1"/>
  <c r="AB139" i="50"/>
  <c r="EL139" i="50" s="1"/>
  <c r="Z139" i="50"/>
  <c r="EJ139" i="50" s="1"/>
  <c r="T139" i="50"/>
  <c r="N139" i="50"/>
  <c r="DX139" i="50" s="1"/>
  <c r="D139" i="50"/>
  <c r="C139" i="50" s="1"/>
  <c r="EV138" i="50"/>
  <c r="EU138" i="50"/>
  <c r="ET138" i="50"/>
  <c r="ES138" i="50"/>
  <c r="ER138" i="50"/>
  <c r="EQ138" i="50"/>
  <c r="EP138" i="50"/>
  <c r="EO138" i="50"/>
  <c r="EN138" i="50"/>
  <c r="EK138" i="50"/>
  <c r="EH138" i="50"/>
  <c r="EG138" i="50"/>
  <c r="EF138" i="50"/>
  <c r="EC138" i="50"/>
  <c r="EA138" i="50"/>
  <c r="DZ138" i="50"/>
  <c r="DY138" i="50"/>
  <c r="DX138" i="50"/>
  <c r="DW138" i="50"/>
  <c r="BL138" i="50"/>
  <c r="BM138" i="50" s="1"/>
  <c r="BN138" i="50" s="1"/>
  <c r="BE138" i="50"/>
  <c r="BF138" i="50" s="1"/>
  <c r="AZ138" i="50"/>
  <c r="AR138" i="50"/>
  <c r="AQ138" i="50" s="1"/>
  <c r="Z138" i="50"/>
  <c r="EJ138" i="50" s="1"/>
  <c r="R138" i="50"/>
  <c r="T138" i="50" s="1"/>
  <c r="D138" i="50"/>
  <c r="C138" i="50" s="1"/>
  <c r="EV137" i="50"/>
  <c r="EU137" i="50"/>
  <c r="ET137" i="50"/>
  <c r="ES137" i="50"/>
  <c r="ER137" i="50"/>
  <c r="EQ137" i="50"/>
  <c r="EP137" i="50"/>
  <c r="EO137" i="50"/>
  <c r="EN137" i="50"/>
  <c r="EK137" i="50"/>
  <c r="EI137" i="50"/>
  <c r="EH137" i="50"/>
  <c r="EG137" i="50"/>
  <c r="EF137" i="50"/>
  <c r="EC137" i="50"/>
  <c r="EB137" i="50"/>
  <c r="EA137" i="50"/>
  <c r="DZ137" i="50"/>
  <c r="DY137" i="50"/>
  <c r="DW137" i="50"/>
  <c r="BJ137" i="50"/>
  <c r="BJ133" i="50" s="1"/>
  <c r="BJ132" i="50" s="1"/>
  <c r="BH137" i="50"/>
  <c r="BE137" i="50"/>
  <c r="BF137" i="50" s="1"/>
  <c r="AZ137" i="50"/>
  <c r="AR137" i="50"/>
  <c r="AQ137" i="50" s="1"/>
  <c r="AB137" i="50"/>
  <c r="AC137" i="50" s="1"/>
  <c r="EM137" i="50" s="1"/>
  <c r="Z137" i="50"/>
  <c r="EJ137" i="50" s="1"/>
  <c r="T137" i="50"/>
  <c r="ED137" i="50" s="1"/>
  <c r="N137" i="50"/>
  <c r="D137" i="50"/>
  <c r="C137" i="50" s="1"/>
  <c r="EV136" i="50"/>
  <c r="EU136" i="50"/>
  <c r="ET136" i="50"/>
  <c r="ES136" i="50"/>
  <c r="ER136" i="50"/>
  <c r="EQ136" i="50"/>
  <c r="EP136" i="50"/>
  <c r="EO136" i="50"/>
  <c r="EN136" i="50"/>
  <c r="EK136" i="50"/>
  <c r="EI136" i="50"/>
  <c r="EH136" i="50"/>
  <c r="EG136" i="50"/>
  <c r="EF136" i="50"/>
  <c r="EC136" i="50"/>
  <c r="EB136" i="50"/>
  <c r="EA136" i="50"/>
  <c r="DZ136" i="50"/>
  <c r="DY136" i="50"/>
  <c r="DW136" i="50"/>
  <c r="BH136" i="50"/>
  <c r="BL136" i="50" s="1"/>
  <c r="BM136" i="50" s="1"/>
  <c r="BE136" i="50"/>
  <c r="BF136" i="50" s="1"/>
  <c r="AZ136" i="50"/>
  <c r="AR136" i="50"/>
  <c r="AQ136" i="50" s="1"/>
  <c r="AB136" i="50"/>
  <c r="EL136" i="50" s="1"/>
  <c r="Z136" i="50"/>
  <c r="EJ136" i="50" s="1"/>
  <c r="T136" i="50"/>
  <c r="ED136" i="50" s="1"/>
  <c r="N136" i="50"/>
  <c r="D136" i="50"/>
  <c r="C136" i="50" s="1"/>
  <c r="EV135" i="50"/>
  <c r="EU135" i="50"/>
  <c r="ET135" i="50"/>
  <c r="ES135" i="50"/>
  <c r="ER135" i="50"/>
  <c r="EQ135" i="50"/>
  <c r="EP135" i="50"/>
  <c r="EO135" i="50"/>
  <c r="EN135" i="50"/>
  <c r="EK135" i="50"/>
  <c r="EH135" i="50"/>
  <c r="EG135" i="50"/>
  <c r="EF135" i="50"/>
  <c r="EC135" i="50"/>
  <c r="EB135" i="50"/>
  <c r="EA135" i="50"/>
  <c r="DZ135" i="50"/>
  <c r="DY135" i="50"/>
  <c r="DX135" i="50"/>
  <c r="DW135" i="50"/>
  <c r="BL135" i="50"/>
  <c r="BM135" i="50" s="1"/>
  <c r="BE135" i="50"/>
  <c r="BF135" i="50" s="1"/>
  <c r="BG135" i="50" s="1"/>
  <c r="AR135" i="50"/>
  <c r="AQ135" i="50" s="1"/>
  <c r="Z135" i="50"/>
  <c r="EJ135" i="50" s="1"/>
  <c r="T135" i="50"/>
  <c r="J135" i="50"/>
  <c r="J133" i="50" s="1"/>
  <c r="J132" i="50" s="1"/>
  <c r="I135" i="50"/>
  <c r="I133" i="50" s="1"/>
  <c r="I132" i="50" s="1"/>
  <c r="H317" i="50"/>
  <c r="F317" i="50"/>
  <c r="EV134" i="50"/>
  <c r="EU134" i="50"/>
  <c r="ET134" i="50"/>
  <c r="ES134" i="50"/>
  <c r="ER134" i="50"/>
  <c r="EQ134" i="50"/>
  <c r="EP134" i="50"/>
  <c r="EO134" i="50"/>
  <c r="EN134" i="50"/>
  <c r="EK134" i="50"/>
  <c r="EI134" i="50"/>
  <c r="EH134" i="50"/>
  <c r="EG134" i="50"/>
  <c r="EF134" i="50"/>
  <c r="EC134" i="50"/>
  <c r="EA134" i="50"/>
  <c r="DZ134" i="50"/>
  <c r="DY134" i="50"/>
  <c r="DX134" i="50"/>
  <c r="DW134" i="50"/>
  <c r="BH134" i="50"/>
  <c r="BE134" i="50"/>
  <c r="AR134" i="50"/>
  <c r="AB134" i="50"/>
  <c r="Z134" i="50"/>
  <c r="R134" i="50"/>
  <c r="D134" i="50"/>
  <c r="C134" i="50" s="1"/>
  <c r="BW133" i="50"/>
  <c r="BW132" i="50" s="1"/>
  <c r="BV133" i="50"/>
  <c r="BV132" i="50" s="1"/>
  <c r="BU133" i="50"/>
  <c r="BU132" i="50" s="1"/>
  <c r="BT133" i="50"/>
  <c r="BT132" i="50" s="1"/>
  <c r="BS133" i="50"/>
  <c r="BS132" i="50" s="1"/>
  <c r="BR133" i="50"/>
  <c r="BR132" i="50" s="1"/>
  <c r="BQ133" i="50"/>
  <c r="BQ132" i="50" s="1"/>
  <c r="BP133" i="50"/>
  <c r="BP132" i="50" s="1"/>
  <c r="BO133" i="50"/>
  <c r="BO132" i="50" s="1"/>
  <c r="BK133" i="50"/>
  <c r="BK132" i="50" s="1"/>
  <c r="BI133" i="50"/>
  <c r="BI132" i="50" s="1"/>
  <c r="BD133" i="50"/>
  <c r="BD132" i="50" s="1"/>
  <c r="BC133" i="50"/>
  <c r="BC132" i="50" s="1"/>
  <c r="BB133" i="50"/>
  <c r="BB132" i="50" s="1"/>
  <c r="BA133" i="50"/>
  <c r="BA132" i="50" s="1"/>
  <c r="AX133" i="50"/>
  <c r="AX132" i="50" s="1"/>
  <c r="AW133" i="50"/>
  <c r="AW132" i="50" s="1"/>
  <c r="AV133" i="50"/>
  <c r="AV132" i="50" s="1"/>
  <c r="AU133" i="50"/>
  <c r="AU132" i="50" s="1"/>
  <c r="AT133" i="50"/>
  <c r="AT132" i="50" s="1"/>
  <c r="AS133" i="50"/>
  <c r="AS132" i="50" s="1"/>
  <c r="AM133" i="50"/>
  <c r="AL132" i="50"/>
  <c r="H133" i="50"/>
  <c r="H132" i="50" s="1"/>
  <c r="G133" i="50"/>
  <c r="G132" i="50" s="1"/>
  <c r="E133" i="50"/>
  <c r="E132" i="50" s="1"/>
  <c r="EV131" i="50"/>
  <c r="EV130" i="50" s="1"/>
  <c r="EU131" i="50"/>
  <c r="ET131" i="50"/>
  <c r="ET130" i="50" s="1"/>
  <c r="ES131" i="50"/>
  <c r="ES130" i="50" s="1"/>
  <c r="ER131" i="50"/>
  <c r="ER130" i="50" s="1"/>
  <c r="EQ131" i="50"/>
  <c r="EQ130" i="50" s="1"/>
  <c r="EP131" i="50"/>
  <c r="EP130" i="50" s="1"/>
  <c r="EO131" i="50"/>
  <c r="EO130" i="50" s="1"/>
  <c r="EN131" i="50"/>
  <c r="EN130" i="50" s="1"/>
  <c r="EK131" i="50"/>
  <c r="EK130" i="50" s="1"/>
  <c r="EI131" i="50"/>
  <c r="EI130" i="50" s="1"/>
  <c r="EH131" i="50"/>
  <c r="EH130" i="50" s="1"/>
  <c r="EG131" i="50"/>
  <c r="EG130" i="50" s="1"/>
  <c r="EF131" i="50"/>
  <c r="EF130" i="50" s="1"/>
  <c r="EC131" i="50"/>
  <c r="EC130" i="50" s="1"/>
  <c r="EB131" i="50"/>
  <c r="EB130" i="50" s="1"/>
  <c r="EA131" i="50"/>
  <c r="EA130" i="50" s="1"/>
  <c r="DZ131" i="50"/>
  <c r="DZ130" i="50" s="1"/>
  <c r="DY131" i="50"/>
  <c r="DY130" i="50" s="1"/>
  <c r="DX131" i="50"/>
  <c r="DX130" i="50" s="1"/>
  <c r="DW131" i="50"/>
  <c r="DW130" i="50" s="1"/>
  <c r="BQ131" i="50"/>
  <c r="BQ130" i="50" s="1"/>
  <c r="BH131" i="50"/>
  <c r="BL131" i="50" s="1"/>
  <c r="BM131" i="50" s="1"/>
  <c r="BM130" i="50" s="1"/>
  <c r="BE131" i="50"/>
  <c r="BF131" i="50" s="1"/>
  <c r="BG131" i="50" s="1"/>
  <c r="BG130" i="50" s="1"/>
  <c r="AR131" i="50"/>
  <c r="AQ131" i="50" s="1"/>
  <c r="AQ130" i="50" s="1"/>
  <c r="AB131" i="50"/>
  <c r="AC131" i="50" s="1"/>
  <c r="AC130" i="50" s="1"/>
  <c r="Z131" i="50"/>
  <c r="Z130" i="50" s="1"/>
  <c r="T131" i="50"/>
  <c r="T130" i="50" s="1"/>
  <c r="D131" i="50"/>
  <c r="D130" i="50" s="1"/>
  <c r="EU130" i="50"/>
  <c r="BW130" i="50"/>
  <c r="BV130" i="50"/>
  <c r="BU130" i="50"/>
  <c r="BT130" i="50"/>
  <c r="BS130" i="50"/>
  <c r="BR130" i="50"/>
  <c r="BP130" i="50"/>
  <c r="BO130" i="50"/>
  <c r="BK130" i="50"/>
  <c r="BJ130" i="50"/>
  <c r="BI130" i="50"/>
  <c r="BD130" i="50"/>
  <c r="BC130" i="50"/>
  <c r="BB130" i="50"/>
  <c r="BA130" i="50"/>
  <c r="AZ130" i="50"/>
  <c r="AX130" i="50"/>
  <c r="AW130" i="50"/>
  <c r="AV130" i="50"/>
  <c r="AU130" i="50"/>
  <c r="AT130" i="50"/>
  <c r="AS130" i="50"/>
  <c r="AL130" i="50"/>
  <c r="AK130" i="50"/>
  <c r="AJ130" i="50"/>
  <c r="AI130" i="50"/>
  <c r="AH130" i="50"/>
  <c r="AG130" i="50"/>
  <c r="AF130" i="50"/>
  <c r="AE130" i="50"/>
  <c r="AD130" i="50"/>
  <c r="AA130" i="50"/>
  <c r="Y130" i="50"/>
  <c r="X130" i="50"/>
  <c r="W130" i="50"/>
  <c r="V130" i="50"/>
  <c r="S130" i="50"/>
  <c r="R130" i="50"/>
  <c r="Q130" i="50"/>
  <c r="P130" i="50"/>
  <c r="O130" i="50"/>
  <c r="N130" i="50"/>
  <c r="M130" i="50"/>
  <c r="J130" i="50"/>
  <c r="I130" i="50"/>
  <c r="H130" i="50"/>
  <c r="G130" i="50"/>
  <c r="F130" i="50"/>
  <c r="E130" i="50"/>
  <c r="EV129" i="50"/>
  <c r="EU129" i="50"/>
  <c r="ET129" i="50"/>
  <c r="ES129" i="50"/>
  <c r="ER129" i="50"/>
  <c r="EQ129" i="50"/>
  <c r="EP129" i="50"/>
  <c r="EO129" i="50"/>
  <c r="EN129" i="50"/>
  <c r="EH129" i="50"/>
  <c r="EF129" i="50"/>
  <c r="EB129" i="50"/>
  <c r="EA129" i="50"/>
  <c r="DZ129" i="50"/>
  <c r="DY129" i="50"/>
  <c r="DW129" i="50"/>
  <c r="BH129" i="50"/>
  <c r="BL129" i="50" s="1"/>
  <c r="BM129" i="50" s="1"/>
  <c r="BA129" i="50"/>
  <c r="BE129" i="50" s="1"/>
  <c r="AR129" i="50"/>
  <c r="AQ129" i="50" s="1"/>
  <c r="AA129" i="50"/>
  <c r="EK129" i="50" s="1"/>
  <c r="Z129" i="50"/>
  <c r="EJ129" i="50" s="1"/>
  <c r="W129" i="50"/>
  <c r="S129" i="50"/>
  <c r="T129" i="50" s="1"/>
  <c r="ED129" i="50" s="1"/>
  <c r="N129" i="50"/>
  <c r="DX129" i="50" s="1"/>
  <c r="D129" i="50"/>
  <c r="C129" i="50" s="1"/>
  <c r="EV128" i="50"/>
  <c r="EU128" i="50"/>
  <c r="ET128" i="50"/>
  <c r="ES128" i="50"/>
  <c r="ER128" i="50"/>
  <c r="EQ128" i="50"/>
  <c r="EP128" i="50"/>
  <c r="EO128" i="50"/>
  <c r="EN128" i="50"/>
  <c r="EK128" i="50"/>
  <c r="EI128" i="50"/>
  <c r="EH128" i="50"/>
  <c r="EG128" i="50"/>
  <c r="EF128" i="50"/>
  <c r="EC128" i="50"/>
  <c r="EB128" i="50"/>
  <c r="EA128" i="50"/>
  <c r="DZ128" i="50"/>
  <c r="DY128" i="50"/>
  <c r="DW128" i="50"/>
  <c r="BJ128" i="50"/>
  <c r="BH128" i="50"/>
  <c r="BE128" i="50"/>
  <c r="BF128" i="50" s="1"/>
  <c r="BG128" i="50" s="1"/>
  <c r="AR128" i="50"/>
  <c r="AQ128" i="50" s="1"/>
  <c r="AB128" i="50"/>
  <c r="EL128" i="50" s="1"/>
  <c r="Z128" i="50"/>
  <c r="EJ128" i="50" s="1"/>
  <c r="T128" i="50"/>
  <c r="ED128" i="50" s="1"/>
  <c r="N128" i="50"/>
  <c r="DX128" i="50" s="1"/>
  <c r="D128" i="50"/>
  <c r="C128" i="50" s="1"/>
  <c r="EV127" i="50"/>
  <c r="EU127" i="50"/>
  <c r="ET127" i="50"/>
  <c r="ES127" i="50"/>
  <c r="ER127" i="50"/>
  <c r="EQ127" i="50"/>
  <c r="EP127" i="50"/>
  <c r="EO127" i="50"/>
  <c r="EN127" i="50"/>
  <c r="EI127" i="50"/>
  <c r="EH127" i="50"/>
  <c r="EG127" i="50"/>
  <c r="EF127" i="50"/>
  <c r="EA127" i="50"/>
  <c r="DZ127" i="50"/>
  <c r="DY127" i="50"/>
  <c r="DW127" i="50"/>
  <c r="BL127" i="50"/>
  <c r="BM127" i="50" s="1"/>
  <c r="BN127" i="50" s="1"/>
  <c r="BE127" i="50"/>
  <c r="BF127" i="50" s="1"/>
  <c r="BG127" i="50" s="1"/>
  <c r="AR127" i="50"/>
  <c r="AQ127" i="50" s="1"/>
  <c r="AA127" i="50"/>
  <c r="Z127" i="50"/>
  <c r="EJ127" i="50" s="1"/>
  <c r="S127" i="50"/>
  <c r="EC127" i="50" s="1"/>
  <c r="R127" i="50"/>
  <c r="D127" i="50"/>
  <c r="C127" i="50" s="1"/>
  <c r="EV126" i="50"/>
  <c r="EU126" i="50"/>
  <c r="ET126" i="50"/>
  <c r="ES126" i="50"/>
  <c r="ER126" i="50"/>
  <c r="EQ126" i="50"/>
  <c r="EP126" i="50"/>
  <c r="EO126" i="50"/>
  <c r="EN126" i="50"/>
  <c r="EK126" i="50"/>
  <c r="EH126" i="50"/>
  <c r="EG126" i="50"/>
  <c r="EF126" i="50"/>
  <c r="EC126" i="50"/>
  <c r="EA126" i="50"/>
  <c r="DZ126" i="50"/>
  <c r="DY126" i="50"/>
  <c r="DX126" i="50"/>
  <c r="DW126" i="50"/>
  <c r="BL126" i="50"/>
  <c r="BM126" i="50" s="1"/>
  <c r="BN126" i="50" s="1"/>
  <c r="BE126" i="50"/>
  <c r="BF126" i="50" s="1"/>
  <c r="BG126" i="50" s="1"/>
  <c r="AR126" i="50"/>
  <c r="AQ126" i="50" s="1"/>
  <c r="Z126" i="50"/>
  <c r="EJ126" i="50" s="1"/>
  <c r="R126" i="50"/>
  <c r="EB126" i="50" s="1"/>
  <c r="D126" i="50"/>
  <c r="C126" i="50" s="1"/>
  <c r="EV125" i="50"/>
  <c r="EU125" i="50"/>
  <c r="ET125" i="50"/>
  <c r="ES125" i="50"/>
  <c r="ER125" i="50"/>
  <c r="EQ125" i="50"/>
  <c r="EP125" i="50"/>
  <c r="EO125" i="50"/>
  <c r="EN125" i="50"/>
  <c r="EK125" i="50"/>
  <c r="EH125" i="50"/>
  <c r="EG125" i="50"/>
  <c r="EF125" i="50"/>
  <c r="EC125" i="50"/>
  <c r="EB125" i="50"/>
  <c r="EA125" i="50"/>
  <c r="DZ125" i="50"/>
  <c r="DY125" i="50"/>
  <c r="DW125" i="50"/>
  <c r="BJ125" i="50"/>
  <c r="BH125" i="50"/>
  <c r="BL125" i="50" s="1"/>
  <c r="BM125" i="50" s="1"/>
  <c r="BE125" i="50"/>
  <c r="BF125" i="50" s="1"/>
  <c r="BG125" i="50" s="1"/>
  <c r="AR125" i="50"/>
  <c r="AQ125" i="50" s="1"/>
  <c r="Z125" i="50"/>
  <c r="EJ125" i="50" s="1"/>
  <c r="T125" i="50"/>
  <c r="ED125" i="50" s="1"/>
  <c r="N125" i="50"/>
  <c r="DX125" i="50" s="1"/>
  <c r="D125" i="50"/>
  <c r="C125" i="50" s="1"/>
  <c r="EV124" i="50"/>
  <c r="EU124" i="50"/>
  <c r="ET124" i="50"/>
  <c r="ES124" i="50"/>
  <c r="ER124" i="50"/>
  <c r="EQ124" i="50"/>
  <c r="EP124" i="50"/>
  <c r="EO124" i="50"/>
  <c r="EN124" i="50"/>
  <c r="EK124" i="50"/>
  <c r="EH124" i="50"/>
  <c r="EG124" i="50"/>
  <c r="EF124" i="50"/>
  <c r="EC124" i="50"/>
  <c r="EB124" i="50"/>
  <c r="EA124" i="50"/>
  <c r="DZ124" i="50"/>
  <c r="DY124" i="50"/>
  <c r="DW124" i="50"/>
  <c r="BL124" i="50"/>
  <c r="BM124" i="50" s="1"/>
  <c r="BE124" i="50"/>
  <c r="BF124" i="50" s="1"/>
  <c r="BG124" i="50" s="1"/>
  <c r="AR124" i="50"/>
  <c r="AQ124" i="50" s="1"/>
  <c r="Z124" i="50"/>
  <c r="T124" i="50"/>
  <c r="ED124" i="50" s="1"/>
  <c r="DX124" i="50"/>
  <c r="D124" i="50"/>
  <c r="C124" i="50" s="1"/>
  <c r="EV123" i="50"/>
  <c r="EU123" i="50"/>
  <c r="ET123" i="50"/>
  <c r="ES123" i="50"/>
  <c r="ER123" i="50"/>
  <c r="EQ123" i="50"/>
  <c r="EP123" i="50"/>
  <c r="EO123" i="50"/>
  <c r="EN123" i="50"/>
  <c r="EK123" i="50"/>
  <c r="EH123" i="50"/>
  <c r="EG123" i="50"/>
  <c r="EF123" i="50"/>
  <c r="EC123" i="50"/>
  <c r="EA123" i="50"/>
  <c r="DZ123" i="50"/>
  <c r="DY123" i="50"/>
  <c r="DX123" i="50"/>
  <c r="DW123" i="50"/>
  <c r="BH123" i="50"/>
  <c r="BL123" i="50" s="1"/>
  <c r="BM123" i="50" s="1"/>
  <c r="BE123" i="50"/>
  <c r="BF123" i="50" s="1"/>
  <c r="BG123" i="50" s="1"/>
  <c r="AR123" i="50"/>
  <c r="AQ123" i="50" s="1"/>
  <c r="Z123" i="50"/>
  <c r="EJ123" i="50" s="1"/>
  <c r="R123" i="50"/>
  <c r="T123" i="50" s="1"/>
  <c r="D123" i="50"/>
  <c r="C123" i="50" s="1"/>
  <c r="BW122" i="50"/>
  <c r="BW121" i="50" s="1"/>
  <c r="BV122" i="50"/>
  <c r="BV121" i="50" s="1"/>
  <c r="BU122" i="50"/>
  <c r="BU121" i="50" s="1"/>
  <c r="BT122" i="50"/>
  <c r="BT121" i="50" s="1"/>
  <c r="BS122" i="50"/>
  <c r="BR122" i="50"/>
  <c r="BR121" i="50" s="1"/>
  <c r="BQ122" i="50"/>
  <c r="BQ121" i="50" s="1"/>
  <c r="BP122" i="50"/>
  <c r="BP121" i="50" s="1"/>
  <c r="BO122" i="50"/>
  <c r="BO121" i="50" s="1"/>
  <c r="BK122" i="50"/>
  <c r="BK121" i="50" s="1"/>
  <c r="BI122" i="50"/>
  <c r="BI121" i="50" s="1"/>
  <c r="BD122" i="50"/>
  <c r="BD121" i="50" s="1"/>
  <c r="BC122" i="50"/>
  <c r="BC121" i="50" s="1"/>
  <c r="BB122" i="50"/>
  <c r="BB121" i="50" s="1"/>
  <c r="AZ122" i="50"/>
  <c r="AZ121" i="50" s="1"/>
  <c r="AX122" i="50"/>
  <c r="AX121" i="50" s="1"/>
  <c r="AW122" i="50"/>
  <c r="AW121" i="50" s="1"/>
  <c r="AV122" i="50"/>
  <c r="AV121" i="50" s="1"/>
  <c r="AU122" i="50"/>
  <c r="AU121" i="50" s="1"/>
  <c r="AT122" i="50"/>
  <c r="AT121" i="50" s="1"/>
  <c r="AS122" i="50"/>
  <c r="AS121" i="50" s="1"/>
  <c r="AM122" i="50"/>
  <c r="AL122" i="50"/>
  <c r="AL121" i="50" s="1"/>
  <c r="AK122" i="50"/>
  <c r="AK121" i="50" s="1"/>
  <c r="AJ122" i="50"/>
  <c r="AJ121" i="50" s="1"/>
  <c r="AI122" i="50"/>
  <c r="AI121" i="50" s="1"/>
  <c r="AH122" i="50"/>
  <c r="AH121" i="50" s="1"/>
  <c r="AG122" i="50"/>
  <c r="AG121" i="50" s="1"/>
  <c r="AF122" i="50"/>
  <c r="AF121" i="50" s="1"/>
  <c r="AE122" i="50"/>
  <c r="AE121" i="50" s="1"/>
  <c r="AD122" i="50"/>
  <c r="AD121" i="50" s="1"/>
  <c r="X122" i="50"/>
  <c r="X121" i="50" s="1"/>
  <c r="W122" i="50"/>
  <c r="W121" i="50" s="1"/>
  <c r="V122" i="50"/>
  <c r="V121" i="50" s="1"/>
  <c r="Q122" i="50"/>
  <c r="Q121" i="50" s="1"/>
  <c r="P122" i="50"/>
  <c r="P121" i="50" s="1"/>
  <c r="O122" i="50"/>
  <c r="O121" i="50" s="1"/>
  <c r="M122" i="50"/>
  <c r="M121" i="50" s="1"/>
  <c r="J122" i="50"/>
  <c r="J121" i="50" s="1"/>
  <c r="I122" i="50"/>
  <c r="I121" i="50" s="1"/>
  <c r="H122" i="50"/>
  <c r="H121" i="50" s="1"/>
  <c r="G122" i="50"/>
  <c r="G121" i="50" s="1"/>
  <c r="F122" i="50"/>
  <c r="F121" i="50" s="1"/>
  <c r="E122" i="50"/>
  <c r="E121" i="50" s="1"/>
  <c r="BS121" i="50"/>
  <c r="BN120" i="50"/>
  <c r="BG120" i="50"/>
  <c r="BF120" i="50"/>
  <c r="Z120" i="50"/>
  <c r="Y120" i="50" s="1"/>
  <c r="AC120" i="50" s="1"/>
  <c r="U120" i="50"/>
  <c r="T120" i="50"/>
  <c r="BN119" i="50"/>
  <c r="BG119" i="50"/>
  <c r="BF119" i="50"/>
  <c r="Z119" i="50"/>
  <c r="Y119" i="50" s="1"/>
  <c r="AC119" i="50" s="1"/>
  <c r="U119" i="50"/>
  <c r="T119" i="50"/>
  <c r="BN118" i="50"/>
  <c r="AY118" i="50" s="1"/>
  <c r="Z118" i="50"/>
  <c r="Y118" i="50" s="1"/>
  <c r="AC118" i="50" s="1"/>
  <c r="L118" i="50" s="1"/>
  <c r="K118" i="50" s="1"/>
  <c r="F54" i="43" s="1"/>
  <c r="T118" i="50"/>
  <c r="BN117" i="50"/>
  <c r="BG117" i="50"/>
  <c r="BF117" i="50"/>
  <c r="Z117" i="50"/>
  <c r="Y117" i="50" s="1"/>
  <c r="AC117" i="50" s="1"/>
  <c r="U117" i="50"/>
  <c r="T117" i="50"/>
  <c r="BN116" i="50"/>
  <c r="BG116" i="50"/>
  <c r="BF116" i="50"/>
  <c r="Z116" i="50"/>
  <c r="Y116" i="50" s="1"/>
  <c r="AC116" i="50" s="1"/>
  <c r="U116" i="50"/>
  <c r="T116" i="50"/>
  <c r="BN115" i="50"/>
  <c r="BG115" i="50"/>
  <c r="BF115" i="50"/>
  <c r="Z115" i="50"/>
  <c r="Y115" i="50" s="1"/>
  <c r="AC115" i="50" s="1"/>
  <c r="U115" i="50"/>
  <c r="T115" i="50"/>
  <c r="EV114" i="50"/>
  <c r="EU114" i="50"/>
  <c r="ET114" i="50"/>
  <c r="ES114" i="50"/>
  <c r="ER114" i="50"/>
  <c r="EQ114" i="50"/>
  <c r="EP114" i="50"/>
  <c r="EO114" i="50"/>
  <c r="EN114" i="50"/>
  <c r="EK114" i="50"/>
  <c r="EH114" i="50"/>
  <c r="EG114" i="50"/>
  <c r="EF114" i="50"/>
  <c r="EC114" i="50"/>
  <c r="EB114" i="50"/>
  <c r="EA114" i="50"/>
  <c r="DZ114" i="50"/>
  <c r="DY114" i="50"/>
  <c r="DX114" i="50"/>
  <c r="DW114" i="50"/>
  <c r="BL114" i="50"/>
  <c r="BM114" i="50" s="1"/>
  <c r="BE114" i="50"/>
  <c r="BF114" i="50" s="1"/>
  <c r="AZ114" i="50"/>
  <c r="AR114" i="50"/>
  <c r="AQ114" i="50" s="1"/>
  <c r="Z114" i="50"/>
  <c r="EJ114" i="50" s="1"/>
  <c r="T114" i="50"/>
  <c r="ED114" i="50" s="1"/>
  <c r="D114" i="50"/>
  <c r="C114" i="50" s="1"/>
  <c r="EV113" i="50"/>
  <c r="EU113" i="50"/>
  <c r="ET113" i="50"/>
  <c r="ES113" i="50"/>
  <c r="ER113" i="50"/>
  <c r="EQ113" i="50"/>
  <c r="EP113" i="50"/>
  <c r="EO113" i="50"/>
  <c r="EN113" i="50"/>
  <c r="EK113" i="50"/>
  <c r="EH113" i="50"/>
  <c r="EG113" i="50"/>
  <c r="EF113" i="50"/>
  <c r="EC113" i="50"/>
  <c r="EA113" i="50"/>
  <c r="DZ113" i="50"/>
  <c r="DY113" i="50"/>
  <c r="DX113" i="50"/>
  <c r="DW113" i="50"/>
  <c r="BL113" i="50"/>
  <c r="BM113" i="50" s="1"/>
  <c r="BE113" i="50"/>
  <c r="BF113" i="50" s="1"/>
  <c r="AZ113" i="50"/>
  <c r="AR113" i="50"/>
  <c r="AQ113" i="50" s="1"/>
  <c r="Z113" i="50"/>
  <c r="EJ113" i="50" s="1"/>
  <c r="R113" i="50"/>
  <c r="EB113" i="50" s="1"/>
  <c r="D113" i="50"/>
  <c r="C113" i="50" s="1"/>
  <c r="EV112" i="50"/>
  <c r="EU112" i="50"/>
  <c r="ET112" i="50"/>
  <c r="ES112" i="50"/>
  <c r="ER112" i="50"/>
  <c r="EQ112" i="50"/>
  <c r="EP112" i="50"/>
  <c r="EO112" i="50"/>
  <c r="EN112" i="50"/>
  <c r="EK112" i="50"/>
  <c r="EH112" i="50"/>
  <c r="EG112" i="50"/>
  <c r="EF112" i="50"/>
  <c r="EC112" i="50"/>
  <c r="EA112" i="50"/>
  <c r="DZ112" i="50"/>
  <c r="DY112" i="50"/>
  <c r="DX112" i="50"/>
  <c r="DW112" i="50"/>
  <c r="BQ112" i="50"/>
  <c r="BL112" i="50"/>
  <c r="BM112" i="50" s="1"/>
  <c r="BE112" i="50"/>
  <c r="BF112" i="50" s="1"/>
  <c r="AZ112" i="50"/>
  <c r="AR112" i="50"/>
  <c r="AQ112" i="50" s="1"/>
  <c r="Z112" i="50"/>
  <c r="EJ112" i="50" s="1"/>
  <c r="R112" i="50"/>
  <c r="T112" i="50" s="1"/>
  <c r="D112" i="50"/>
  <c r="C112" i="50" s="1"/>
  <c r="EV109" i="50"/>
  <c r="EU109" i="50"/>
  <c r="ET109" i="50"/>
  <c r="ES109" i="50"/>
  <c r="ER109" i="50"/>
  <c r="EQ109" i="50"/>
  <c r="EP109" i="50"/>
  <c r="EO109" i="50"/>
  <c r="EN109" i="50"/>
  <c r="EK109" i="50"/>
  <c r="EH109" i="50"/>
  <c r="EG109" i="50"/>
  <c r="EF109" i="50"/>
  <c r="EC109" i="50"/>
  <c r="EA109" i="50"/>
  <c r="DZ109" i="50"/>
  <c r="DY109" i="50"/>
  <c r="DX109" i="50"/>
  <c r="DW109" i="50"/>
  <c r="BQ109" i="50"/>
  <c r="BL109" i="50"/>
  <c r="BM109" i="50" s="1"/>
  <c r="BE109" i="50"/>
  <c r="BF109" i="50" s="1"/>
  <c r="BG109" i="50" s="1"/>
  <c r="AR109" i="50"/>
  <c r="AQ109" i="50" s="1"/>
  <c r="Z109" i="50"/>
  <c r="EJ109" i="50" s="1"/>
  <c r="R109" i="50"/>
  <c r="J109" i="50"/>
  <c r="I109" i="50"/>
  <c r="H109" i="50"/>
  <c r="F109" i="50"/>
  <c r="D109" i="50" s="1"/>
  <c r="EV108" i="50"/>
  <c r="EU108" i="50"/>
  <c r="ET108" i="50"/>
  <c r="ES108" i="50"/>
  <c r="ER108" i="50"/>
  <c r="EQ108" i="50"/>
  <c r="EP108" i="50"/>
  <c r="EO108" i="50"/>
  <c r="EN108" i="50"/>
  <c r="EK108" i="50"/>
  <c r="EH108" i="50"/>
  <c r="EG108" i="50"/>
  <c r="EF108" i="50"/>
  <c r="EC108" i="50"/>
  <c r="EA108" i="50"/>
  <c r="DZ108" i="50"/>
  <c r="DY108" i="50"/>
  <c r="DX108" i="50"/>
  <c r="DW108" i="50"/>
  <c r="BQ108" i="50"/>
  <c r="BL108" i="50"/>
  <c r="BM108" i="50" s="1"/>
  <c r="BN108" i="50" s="1"/>
  <c r="BE108" i="50"/>
  <c r="BF108" i="50" s="1"/>
  <c r="BG108" i="50" s="1"/>
  <c r="AR108" i="50"/>
  <c r="AQ108" i="50" s="1"/>
  <c r="Z108" i="50"/>
  <c r="EJ108" i="50" s="1"/>
  <c r="R108" i="50"/>
  <c r="T108" i="50" s="1"/>
  <c r="U108" i="50" s="1"/>
  <c r="J108" i="50"/>
  <c r="I108" i="50"/>
  <c r="H108" i="50"/>
  <c r="D108" i="50"/>
  <c r="EV107" i="50"/>
  <c r="EU107" i="50"/>
  <c r="ET107" i="50"/>
  <c r="ES107" i="50"/>
  <c r="ER107" i="50"/>
  <c r="EQ107" i="50"/>
  <c r="EP107" i="50"/>
  <c r="EO107" i="50"/>
  <c r="EN107" i="50"/>
  <c r="EK107" i="50"/>
  <c r="EH107" i="50"/>
  <c r="EG107" i="50"/>
  <c r="EF107" i="50"/>
  <c r="EC107" i="50"/>
  <c r="EA107" i="50"/>
  <c r="DZ107" i="50"/>
  <c r="DY107" i="50"/>
  <c r="DX107" i="50"/>
  <c r="DW107" i="50"/>
  <c r="BL107" i="50"/>
  <c r="BM107" i="50" s="1"/>
  <c r="BN107" i="50" s="1"/>
  <c r="BE107" i="50"/>
  <c r="BF107" i="50" s="1"/>
  <c r="AZ107" i="50"/>
  <c r="AR107" i="50"/>
  <c r="AQ107" i="50" s="1"/>
  <c r="Z107" i="50"/>
  <c r="EJ107" i="50" s="1"/>
  <c r="R107" i="50"/>
  <c r="T107" i="50" s="1"/>
  <c r="D107" i="50"/>
  <c r="C107" i="50" s="1"/>
  <c r="EV106" i="50"/>
  <c r="EU106" i="50"/>
  <c r="ET106" i="50"/>
  <c r="ES106" i="50"/>
  <c r="ER106" i="50"/>
  <c r="EQ106" i="50"/>
  <c r="EP106" i="50"/>
  <c r="EO106" i="50"/>
  <c r="EN106" i="50"/>
  <c r="EK106" i="50"/>
  <c r="EH106" i="50"/>
  <c r="EG106" i="50"/>
  <c r="EF106" i="50"/>
  <c r="EC106" i="50"/>
  <c r="EA106" i="50"/>
  <c r="DZ106" i="50"/>
  <c r="DY106" i="50"/>
  <c r="DX106" i="50"/>
  <c r="DW106" i="50"/>
  <c r="BL106" i="50"/>
  <c r="BM106" i="50" s="1"/>
  <c r="BN106" i="50" s="1"/>
  <c r="BE106" i="50"/>
  <c r="BF106" i="50" s="1"/>
  <c r="BG106" i="50" s="1"/>
  <c r="AR106" i="50"/>
  <c r="AQ106" i="50" s="1"/>
  <c r="Z106" i="50"/>
  <c r="R106" i="50"/>
  <c r="EB106" i="50" s="1"/>
  <c r="D106" i="50"/>
  <c r="C106" i="50" s="1"/>
  <c r="EV105" i="50"/>
  <c r="EU105" i="50"/>
  <c r="ET105" i="50"/>
  <c r="ES105" i="50"/>
  <c r="ER105" i="50"/>
  <c r="EQ105" i="50"/>
  <c r="EP105" i="50"/>
  <c r="EO105" i="50"/>
  <c r="EN105" i="50"/>
  <c r="EK105" i="50"/>
  <c r="EH105" i="50"/>
  <c r="EG105" i="50"/>
  <c r="EF105" i="50"/>
  <c r="EC105" i="50"/>
  <c r="EA105" i="50"/>
  <c r="DZ105" i="50"/>
  <c r="DY105" i="50"/>
  <c r="DX105" i="50"/>
  <c r="DW105" i="50"/>
  <c r="BL105" i="50"/>
  <c r="BM105" i="50" s="1"/>
  <c r="BE105" i="50"/>
  <c r="BF105" i="50" s="1"/>
  <c r="BG105" i="50" s="1"/>
  <c r="AR105" i="50"/>
  <c r="AQ105" i="50" s="1"/>
  <c r="Z105" i="50"/>
  <c r="EJ105" i="50" s="1"/>
  <c r="R105" i="50"/>
  <c r="EB105" i="50" s="1"/>
  <c r="D105" i="50"/>
  <c r="C105" i="50" s="1"/>
  <c r="EV104" i="50"/>
  <c r="EU104" i="50"/>
  <c r="ET104" i="50"/>
  <c r="ES104" i="50"/>
  <c r="ER104" i="50"/>
  <c r="EQ104" i="50"/>
  <c r="EP104" i="50"/>
  <c r="EO104" i="50"/>
  <c r="EN104" i="50"/>
  <c r="EK104" i="50"/>
  <c r="EH104" i="50"/>
  <c r="EG104" i="50"/>
  <c r="EF104" i="50"/>
  <c r="EC104" i="50"/>
  <c r="EA104" i="50"/>
  <c r="DZ104" i="50"/>
  <c r="DY104" i="50"/>
  <c r="DX104" i="50"/>
  <c r="DW104" i="50"/>
  <c r="BL104" i="50"/>
  <c r="BM104" i="50" s="1"/>
  <c r="BE104" i="50"/>
  <c r="BF104" i="50" s="1"/>
  <c r="AZ104" i="50"/>
  <c r="AZ102" i="50" s="1"/>
  <c r="AR104" i="50"/>
  <c r="AQ104" i="50" s="1"/>
  <c r="Z104" i="50"/>
  <c r="EJ104" i="50" s="1"/>
  <c r="R104" i="50"/>
  <c r="T104" i="50" s="1"/>
  <c r="ED104" i="50" s="1"/>
  <c r="D104" i="50"/>
  <c r="EV103" i="50"/>
  <c r="EU103" i="50"/>
  <c r="ET103" i="50"/>
  <c r="ES103" i="50"/>
  <c r="ER103" i="50"/>
  <c r="EQ103" i="50"/>
  <c r="EP103" i="50"/>
  <c r="EO103" i="50"/>
  <c r="EN103" i="50"/>
  <c r="EK103" i="50"/>
  <c r="EH103" i="50"/>
  <c r="EG103" i="50"/>
  <c r="EF103" i="50"/>
  <c r="EC103" i="50"/>
  <c r="EA103" i="50"/>
  <c r="DZ103" i="50"/>
  <c r="DY103" i="50"/>
  <c r="DX103" i="50"/>
  <c r="DW103" i="50"/>
  <c r="BL103" i="50"/>
  <c r="BM103" i="50" s="1"/>
  <c r="BN103" i="50" s="1"/>
  <c r="BE103" i="50"/>
  <c r="BF103" i="50" s="1"/>
  <c r="BG103" i="50" s="1"/>
  <c r="AR103" i="50"/>
  <c r="AQ103" i="50" s="1"/>
  <c r="Z103" i="50"/>
  <c r="R103" i="50"/>
  <c r="D103" i="50"/>
  <c r="C103" i="50" s="1"/>
  <c r="EW102" i="50"/>
  <c r="BQ102" i="50"/>
  <c r="BP102" i="50"/>
  <c r="BO102" i="50"/>
  <c r="BK102" i="50"/>
  <c r="BJ102" i="50"/>
  <c r="BI102" i="50"/>
  <c r="BH102" i="50"/>
  <c r="BD102" i="50"/>
  <c r="BC102" i="50"/>
  <c r="BB102" i="50"/>
  <c r="BA102" i="50"/>
  <c r="AX102" i="50"/>
  <c r="AW102" i="50"/>
  <c r="AV102" i="50"/>
  <c r="AU102" i="50"/>
  <c r="AT102" i="50"/>
  <c r="AS102" i="50"/>
  <c r="AE102" i="50"/>
  <c r="AD102" i="50"/>
  <c r="Z102" i="50"/>
  <c r="Y102" i="50" s="1"/>
  <c r="AB102" i="50" s="1"/>
  <c r="AC102" i="50" s="1"/>
  <c r="Q102" i="50"/>
  <c r="P102" i="50"/>
  <c r="O102" i="50"/>
  <c r="N102" i="50"/>
  <c r="M102" i="50"/>
  <c r="J102" i="50"/>
  <c r="I102" i="50"/>
  <c r="H102" i="50"/>
  <c r="G102" i="50"/>
  <c r="F102" i="50"/>
  <c r="E102" i="50"/>
  <c r="EV101" i="50"/>
  <c r="EU101" i="50"/>
  <c r="ET101" i="50"/>
  <c r="ES101" i="50"/>
  <c r="ER101" i="50"/>
  <c r="EQ101" i="50"/>
  <c r="EP101" i="50"/>
  <c r="EO101" i="50"/>
  <c r="EN101" i="50"/>
  <c r="EK101" i="50"/>
  <c r="EH101" i="50"/>
  <c r="EG101" i="50"/>
  <c r="EF101" i="50"/>
  <c r="EC101" i="50"/>
  <c r="EA101" i="50"/>
  <c r="DZ101" i="50"/>
  <c r="DY101" i="50"/>
  <c r="DX101" i="50"/>
  <c r="DW101" i="50"/>
  <c r="BL101" i="50"/>
  <c r="BM101" i="50" s="1"/>
  <c r="BN101" i="50" s="1"/>
  <c r="BE101" i="50"/>
  <c r="BF101" i="50" s="1"/>
  <c r="BG101" i="50" s="1"/>
  <c r="AT101" i="50"/>
  <c r="AR101" i="50" s="1"/>
  <c r="Z101" i="50"/>
  <c r="R101" i="50"/>
  <c r="J101" i="50"/>
  <c r="I101" i="50"/>
  <c r="H101" i="50"/>
  <c r="F101" i="50"/>
  <c r="D101" i="50" s="1"/>
  <c r="EV100" i="50"/>
  <c r="EU100" i="50"/>
  <c r="ET100" i="50"/>
  <c r="ES100" i="50"/>
  <c r="ER100" i="50"/>
  <c r="EQ100" i="50"/>
  <c r="EP100" i="50"/>
  <c r="EO100" i="50"/>
  <c r="EN100" i="50"/>
  <c r="EK100" i="50"/>
  <c r="EH100" i="50"/>
  <c r="EG100" i="50"/>
  <c r="EF100" i="50"/>
  <c r="EC100" i="50"/>
  <c r="EA100" i="50"/>
  <c r="DZ100" i="50"/>
  <c r="DY100" i="50"/>
  <c r="DX100" i="50"/>
  <c r="DW100" i="50"/>
  <c r="BL100" i="50"/>
  <c r="BM100" i="50" s="1"/>
  <c r="BE100" i="50"/>
  <c r="AR100" i="50"/>
  <c r="AQ100" i="50" s="1"/>
  <c r="Z100" i="50"/>
  <c r="EJ100" i="50" s="1"/>
  <c r="R100" i="50"/>
  <c r="T100" i="50" s="1"/>
  <c r="ED100" i="50" s="1"/>
  <c r="J100" i="50"/>
  <c r="J99" i="50" s="1"/>
  <c r="I100" i="50"/>
  <c r="I99" i="50" s="1"/>
  <c r="H100" i="50"/>
  <c r="D100" i="50"/>
  <c r="BQ99" i="50"/>
  <c r="BP99" i="50"/>
  <c r="BO99" i="50"/>
  <c r="BK99" i="50"/>
  <c r="BJ99" i="50"/>
  <c r="BI99" i="50"/>
  <c r="BH99" i="50"/>
  <c r="BD99" i="50"/>
  <c r="BC99" i="50"/>
  <c r="BB99" i="50"/>
  <c r="BA99" i="50"/>
  <c r="AZ99" i="50"/>
  <c r="AX99" i="50"/>
  <c r="AX97" i="50" s="1"/>
  <c r="AX95" i="50" s="1"/>
  <c r="AW99" i="50"/>
  <c r="AW97" i="50" s="1"/>
  <c r="AW95" i="50" s="1"/>
  <c r="AV99" i="50"/>
  <c r="AU99" i="50"/>
  <c r="AS99" i="50"/>
  <c r="AE99" i="50"/>
  <c r="AD99" i="50"/>
  <c r="Z99" i="50"/>
  <c r="Y99" i="50" s="1"/>
  <c r="AB99" i="50" s="1"/>
  <c r="AC99" i="50" s="1"/>
  <c r="S99" i="50"/>
  <c r="S97" i="50" s="1"/>
  <c r="S95" i="50" s="1"/>
  <c r="Q99" i="50"/>
  <c r="Q97" i="50" s="1"/>
  <c r="Q95" i="50" s="1"/>
  <c r="P99" i="50"/>
  <c r="O99" i="50"/>
  <c r="N99" i="50"/>
  <c r="N97" i="50" s="1"/>
  <c r="N95" i="50" s="1"/>
  <c r="M99" i="50"/>
  <c r="M97" i="50" s="1"/>
  <c r="M95" i="50" s="1"/>
  <c r="G99" i="50"/>
  <c r="E99" i="50"/>
  <c r="EV98" i="50"/>
  <c r="EU98" i="50"/>
  <c r="ET98" i="50"/>
  <c r="ES98" i="50"/>
  <c r="ER98" i="50"/>
  <c r="EQ98" i="50"/>
  <c r="EP98" i="50"/>
  <c r="EO98" i="50"/>
  <c r="EN98" i="50"/>
  <c r="EK98" i="50"/>
  <c r="EH98" i="50"/>
  <c r="EG98" i="50"/>
  <c r="EF98" i="50"/>
  <c r="ED98" i="50"/>
  <c r="EC98" i="50"/>
  <c r="EA98" i="50"/>
  <c r="DZ98" i="50"/>
  <c r="DY98" i="50"/>
  <c r="DX98" i="50"/>
  <c r="DW98" i="50"/>
  <c r="BQ98" i="50"/>
  <c r="BL98" i="50"/>
  <c r="BM98" i="50" s="1"/>
  <c r="BJ98" i="50"/>
  <c r="BE98" i="50"/>
  <c r="BF98" i="50" s="1"/>
  <c r="BG98" i="50" s="1"/>
  <c r="AR98" i="50"/>
  <c r="AQ98" i="50" s="1"/>
  <c r="Z98" i="50"/>
  <c r="Y98" i="50" s="1"/>
  <c r="U98" i="50"/>
  <c r="EE98" i="50" s="1"/>
  <c r="R98" i="50"/>
  <c r="EB98" i="50" s="1"/>
  <c r="D98" i="50"/>
  <c r="C98" i="50" s="1"/>
  <c r="BW97" i="50"/>
  <c r="BW95" i="50" s="1"/>
  <c r="BV97" i="50"/>
  <c r="BV95" i="50" s="1"/>
  <c r="BU97" i="50"/>
  <c r="BU95" i="50" s="1"/>
  <c r="BT97" i="50"/>
  <c r="BT95" i="50" s="1"/>
  <c r="BS97" i="50"/>
  <c r="BS95" i="50" s="1"/>
  <c r="BR97" i="50"/>
  <c r="BR95" i="50" s="1"/>
  <c r="AM97" i="50"/>
  <c r="AM95" i="50" s="1"/>
  <c r="AL97" i="50"/>
  <c r="AL95" i="50" s="1"/>
  <c r="AK97" i="50"/>
  <c r="AK95" i="50" s="1"/>
  <c r="AK80" i="50" s="1"/>
  <c r="AJ97" i="50"/>
  <c r="AJ95" i="50" s="1"/>
  <c r="AJ80" i="50" s="1"/>
  <c r="AI97" i="50"/>
  <c r="AI95" i="50" s="1"/>
  <c r="AH97" i="50"/>
  <c r="AH95" i="50" s="1"/>
  <c r="AG97" i="50"/>
  <c r="AG95" i="50" s="1"/>
  <c r="AF97" i="50"/>
  <c r="AF95" i="50" s="1"/>
  <c r="AA97" i="50"/>
  <c r="AA95" i="50" s="1"/>
  <c r="X97" i="50"/>
  <c r="X95" i="50" s="1"/>
  <c r="W97" i="50"/>
  <c r="W95" i="50" s="1"/>
  <c r="V97" i="50"/>
  <c r="V95" i="50" s="1"/>
  <c r="BQ96" i="50"/>
  <c r="BL96" i="50"/>
  <c r="BM96" i="50" s="1"/>
  <c r="BJ96" i="50"/>
  <c r="BE96" i="50"/>
  <c r="BF96" i="50" s="1"/>
  <c r="AZ96" i="50"/>
  <c r="AR96" i="50"/>
  <c r="AQ96" i="50" s="1"/>
  <c r="AC96" i="50"/>
  <c r="Z96" i="50"/>
  <c r="R96" i="50"/>
  <c r="T96" i="50" s="1"/>
  <c r="D96" i="50"/>
  <c r="C96" i="50" s="1"/>
  <c r="AD95" i="50"/>
  <c r="EV94" i="50"/>
  <c r="EU94" i="50"/>
  <c r="ET94" i="50"/>
  <c r="ES94" i="50"/>
  <c r="ER94" i="50"/>
  <c r="EQ94" i="50"/>
  <c r="EP94" i="50"/>
  <c r="EO94" i="50"/>
  <c r="EN94" i="50"/>
  <c r="EK94" i="50"/>
  <c r="EJ94" i="50"/>
  <c r="EH94" i="50"/>
  <c r="EG94" i="50"/>
  <c r="EF94" i="50"/>
  <c r="EC94" i="50"/>
  <c r="EA94" i="50"/>
  <c r="DZ94" i="50"/>
  <c r="DY94" i="50"/>
  <c r="DX94" i="50"/>
  <c r="DW94" i="50"/>
  <c r="Y94" i="50"/>
  <c r="AB94" i="50" s="1"/>
  <c r="R94" i="50"/>
  <c r="EB94" i="50" s="1"/>
  <c r="D94" i="50"/>
  <c r="C94" i="50" s="1"/>
  <c r="EV93" i="50"/>
  <c r="EU93" i="50"/>
  <c r="ET93" i="50"/>
  <c r="ES93" i="50"/>
  <c r="ER93" i="50"/>
  <c r="EQ93" i="50"/>
  <c r="EP93" i="50"/>
  <c r="EO93" i="50"/>
  <c r="EN93" i="50"/>
  <c r="EK93" i="50"/>
  <c r="EH93" i="50"/>
  <c r="EG93" i="50"/>
  <c r="EF93" i="50"/>
  <c r="EC93" i="50"/>
  <c r="EB93" i="50"/>
  <c r="EA93" i="50"/>
  <c r="DZ93" i="50"/>
  <c r="DY93" i="50"/>
  <c r="DX93" i="50"/>
  <c r="DW93" i="50"/>
  <c r="BN93" i="50"/>
  <c r="BL93" i="50"/>
  <c r="BE93" i="50"/>
  <c r="BF93" i="50" s="1"/>
  <c r="AZ93" i="50"/>
  <c r="AR93" i="50"/>
  <c r="AQ93" i="50" s="1"/>
  <c r="Z93" i="50"/>
  <c r="EJ93" i="50" s="1"/>
  <c r="T93" i="50"/>
  <c r="U93" i="50" s="1"/>
  <c r="D93" i="50"/>
  <c r="C93" i="50" s="1"/>
  <c r="EV92" i="50"/>
  <c r="EU92" i="50"/>
  <c r="ET92" i="50"/>
  <c r="ES92" i="50"/>
  <c r="ER92" i="50"/>
  <c r="EQ92" i="50"/>
  <c r="EP92" i="50"/>
  <c r="EO92" i="50"/>
  <c r="EN92" i="50"/>
  <c r="EK92" i="50"/>
  <c r="EH92" i="50"/>
  <c r="EG92" i="50"/>
  <c r="EF92" i="50"/>
  <c r="EA92" i="50"/>
  <c r="DZ92" i="50"/>
  <c r="DY92" i="50"/>
  <c r="DX92" i="50"/>
  <c r="DW92" i="50"/>
  <c r="BQ92" i="50"/>
  <c r="BL92" i="50"/>
  <c r="BM92" i="50" s="1"/>
  <c r="BN92" i="50" s="1"/>
  <c r="BE92" i="50"/>
  <c r="BF92" i="50" s="1"/>
  <c r="AZ92" i="50"/>
  <c r="AW92" i="50"/>
  <c r="AW82" i="50" s="1"/>
  <c r="AW81" i="50" s="1"/>
  <c r="AR92" i="50"/>
  <c r="Z92" i="50"/>
  <c r="EJ92" i="50" s="1"/>
  <c r="S92" i="50"/>
  <c r="EC92" i="50" s="1"/>
  <c r="R92" i="50"/>
  <c r="EB92" i="50" s="1"/>
  <c r="D92" i="50"/>
  <c r="C92" i="50" s="1"/>
  <c r="EV91" i="50"/>
  <c r="EU91" i="50"/>
  <c r="ET91" i="50"/>
  <c r="ES91" i="50"/>
  <c r="ER91" i="50"/>
  <c r="EQ91" i="50"/>
  <c r="EP91" i="50"/>
  <c r="EO91" i="50"/>
  <c r="EN91" i="50"/>
  <c r="EK91" i="50"/>
  <c r="EH91" i="50"/>
  <c r="EG91" i="50"/>
  <c r="EC91" i="50"/>
  <c r="EA91" i="50"/>
  <c r="DZ91" i="50"/>
  <c r="DY91" i="50"/>
  <c r="DX91" i="50"/>
  <c r="DW91" i="50"/>
  <c r="BQ91" i="50"/>
  <c r="BH91" i="50"/>
  <c r="BL91" i="50" s="1"/>
  <c r="BM91" i="50" s="1"/>
  <c r="BE91" i="50"/>
  <c r="BF91" i="50" s="1"/>
  <c r="AZ91" i="50"/>
  <c r="AR91" i="50"/>
  <c r="AQ91" i="50" s="1"/>
  <c r="V91" i="50"/>
  <c r="Z91" i="50" s="1"/>
  <c r="R91" i="50"/>
  <c r="T91" i="50" s="1"/>
  <c r="D91" i="50"/>
  <c r="C91" i="50" s="1"/>
  <c r="EV90" i="50"/>
  <c r="EU90" i="50"/>
  <c r="ET90" i="50"/>
  <c r="ES90" i="50"/>
  <c r="ER90" i="50"/>
  <c r="EQ90" i="50"/>
  <c r="EP90" i="50"/>
  <c r="EO90" i="50"/>
  <c r="EN90" i="50"/>
  <c r="EK90" i="50"/>
  <c r="EI90" i="50"/>
  <c r="EH90" i="50"/>
  <c r="EG90" i="50"/>
  <c r="EF90" i="50"/>
  <c r="EC90" i="50"/>
  <c r="EB90" i="50"/>
  <c r="EA90" i="50"/>
  <c r="DZ90" i="50"/>
  <c r="DY90" i="50"/>
  <c r="DX90" i="50"/>
  <c r="DW90" i="50"/>
  <c r="BQ90" i="50"/>
  <c r="BH90" i="50"/>
  <c r="BL90" i="50" s="1"/>
  <c r="BM90" i="50" s="1"/>
  <c r="BN90" i="50" s="1"/>
  <c r="BE90" i="50"/>
  <c r="BF90" i="50" s="1"/>
  <c r="AZ90" i="50"/>
  <c r="AR90" i="50"/>
  <c r="AQ90" i="50" s="1"/>
  <c r="AB90" i="50"/>
  <c r="AC90" i="50" s="1"/>
  <c r="EM90" i="50" s="1"/>
  <c r="Z90" i="50"/>
  <c r="EJ90" i="50" s="1"/>
  <c r="T90" i="50"/>
  <c r="ED90" i="50" s="1"/>
  <c r="D90" i="50"/>
  <c r="C90" i="50" s="1"/>
  <c r="EV89" i="50"/>
  <c r="EU89" i="50"/>
  <c r="ET89" i="50"/>
  <c r="ES89" i="50"/>
  <c r="ER89" i="50"/>
  <c r="EQ89" i="50"/>
  <c r="EP89" i="50"/>
  <c r="EO89" i="50"/>
  <c r="EN89" i="50"/>
  <c r="EK89" i="50"/>
  <c r="EI89" i="50"/>
  <c r="EH89" i="50"/>
  <c r="EG89" i="50"/>
  <c r="EF89" i="50"/>
  <c r="EC89" i="50"/>
  <c r="EB89" i="50"/>
  <c r="EA89" i="50"/>
  <c r="DZ89" i="50"/>
  <c r="DY89" i="50"/>
  <c r="DX89" i="50"/>
  <c r="DW89" i="50"/>
  <c r="BO89" i="50"/>
  <c r="BO82" i="50" s="1"/>
  <c r="BO81" i="50" s="1"/>
  <c r="BH89" i="50"/>
  <c r="BL89" i="50" s="1"/>
  <c r="BM89" i="50" s="1"/>
  <c r="BN89" i="50" s="1"/>
  <c r="BE89" i="50"/>
  <c r="BF89" i="50" s="1"/>
  <c r="AZ89" i="50"/>
  <c r="AR89" i="50"/>
  <c r="AQ89" i="50" s="1"/>
  <c r="AB89" i="50"/>
  <c r="AC89" i="50" s="1"/>
  <c r="EM89" i="50" s="1"/>
  <c r="Z89" i="50"/>
  <c r="EJ89" i="50" s="1"/>
  <c r="T89" i="50"/>
  <c r="ED89" i="50" s="1"/>
  <c r="D89" i="50"/>
  <c r="C89" i="50" s="1"/>
  <c r="EV88" i="50"/>
  <c r="EU88" i="50"/>
  <c r="ET88" i="50"/>
  <c r="ES88" i="50"/>
  <c r="ER88" i="50"/>
  <c r="EQ88" i="50"/>
  <c r="EP88" i="50"/>
  <c r="EO88" i="50"/>
  <c r="EN88" i="50"/>
  <c r="EK88" i="50"/>
  <c r="EI88" i="50"/>
  <c r="EH88" i="50"/>
  <c r="EG88" i="50"/>
  <c r="EC88" i="50"/>
  <c r="EB88" i="50"/>
  <c r="EA88" i="50"/>
  <c r="DZ88" i="50"/>
  <c r="DY88" i="50"/>
  <c r="BQ88" i="50"/>
  <c r="BJ88" i="50"/>
  <c r="BJ82" i="50" s="1"/>
  <c r="BJ81" i="50" s="1"/>
  <c r="BH88" i="50"/>
  <c r="BL88" i="50" s="1"/>
  <c r="BM88" i="50" s="1"/>
  <c r="BA88" i="50"/>
  <c r="BE88" i="50" s="1"/>
  <c r="BF88" i="50" s="1"/>
  <c r="AZ88" i="50"/>
  <c r="AR88" i="50"/>
  <c r="AQ88" i="50" s="1"/>
  <c r="AB88" i="50"/>
  <c r="V88" i="50"/>
  <c r="EF88" i="50" s="1"/>
  <c r="T88" i="50"/>
  <c r="ED88" i="50" s="1"/>
  <c r="N88" i="50"/>
  <c r="M88" i="50"/>
  <c r="DW88" i="50" s="1"/>
  <c r="D88" i="50"/>
  <c r="C88" i="50" s="1"/>
  <c r="EV87" i="50"/>
  <c r="EU87" i="50"/>
  <c r="ET87" i="50"/>
  <c r="ES87" i="50"/>
  <c r="ER87" i="50"/>
  <c r="EQ87" i="50"/>
  <c r="EP87" i="50"/>
  <c r="EO87" i="50"/>
  <c r="EN87" i="50"/>
  <c r="EK87" i="50"/>
  <c r="EH87" i="50"/>
  <c r="EG87" i="50"/>
  <c r="EF87" i="50"/>
  <c r="EC87" i="50"/>
  <c r="EB87" i="50"/>
  <c r="EA87" i="50"/>
  <c r="DZ87" i="50"/>
  <c r="DY87" i="50"/>
  <c r="DX87" i="50"/>
  <c r="DW87" i="50"/>
  <c r="BL87" i="50"/>
  <c r="BM87" i="50" s="1"/>
  <c r="BN87" i="50" s="1"/>
  <c r="BE87" i="50"/>
  <c r="BF87" i="50" s="1"/>
  <c r="AZ87" i="50"/>
  <c r="AR87" i="50"/>
  <c r="AQ87" i="50" s="1"/>
  <c r="Z87" i="50"/>
  <c r="EJ87" i="50" s="1"/>
  <c r="T87" i="50"/>
  <c r="U87" i="50" s="1"/>
  <c r="D87" i="50"/>
  <c r="C87" i="50" s="1"/>
  <c r="EV86" i="50"/>
  <c r="EU86" i="50"/>
  <c r="ET86" i="50"/>
  <c r="ES86" i="50"/>
  <c r="ER86" i="50"/>
  <c r="EQ86" i="50"/>
  <c r="EP86" i="50"/>
  <c r="EO86" i="50"/>
  <c r="EN86" i="50"/>
  <c r="EH86" i="50"/>
  <c r="EG86" i="50"/>
  <c r="EB86" i="50"/>
  <c r="EA86" i="50"/>
  <c r="DZ86" i="50"/>
  <c r="DY86" i="50"/>
  <c r="DX86" i="50"/>
  <c r="BQ86" i="50"/>
  <c r="BH86" i="50"/>
  <c r="BL86" i="50" s="1"/>
  <c r="BM86" i="50" s="1"/>
  <c r="BN86" i="50" s="1"/>
  <c r="BE86" i="50"/>
  <c r="BF86" i="50" s="1"/>
  <c r="AZ86" i="50"/>
  <c r="AR86" i="50"/>
  <c r="AQ86" i="50" s="1"/>
  <c r="AA86" i="50"/>
  <c r="EK86" i="50" s="1"/>
  <c r="V86" i="50"/>
  <c r="S86" i="50"/>
  <c r="EC86" i="50" s="1"/>
  <c r="M86" i="50"/>
  <c r="DW86" i="50" s="1"/>
  <c r="D86" i="50"/>
  <c r="C86" i="50" s="1"/>
  <c r="EV85" i="50"/>
  <c r="EU85" i="50"/>
  <c r="ET85" i="50"/>
  <c r="ES85" i="50"/>
  <c r="ER85" i="50"/>
  <c r="EQ85" i="50"/>
  <c r="EP85" i="50"/>
  <c r="EO85" i="50"/>
  <c r="EN85" i="50"/>
  <c r="EK85" i="50"/>
  <c r="EI85" i="50"/>
  <c r="EH85" i="50"/>
  <c r="EG85" i="50"/>
  <c r="EF85" i="50"/>
  <c r="EC85" i="50"/>
  <c r="EB85" i="50"/>
  <c r="EA85" i="50"/>
  <c r="DZ85" i="50"/>
  <c r="DY85" i="50"/>
  <c r="DX85" i="50"/>
  <c r="DW85" i="50"/>
  <c r="BQ85" i="50"/>
  <c r="BH85" i="50"/>
  <c r="BL85" i="50" s="1"/>
  <c r="BM85" i="50" s="1"/>
  <c r="BN85" i="50" s="1"/>
  <c r="BE85" i="50"/>
  <c r="BF85" i="50" s="1"/>
  <c r="AZ85" i="50"/>
  <c r="AR85" i="50"/>
  <c r="AQ85" i="50" s="1"/>
  <c r="AB85" i="50"/>
  <c r="AC85" i="50" s="1"/>
  <c r="EM85" i="50" s="1"/>
  <c r="Z85" i="50"/>
  <c r="EJ85" i="50" s="1"/>
  <c r="T85" i="50"/>
  <c r="ED85" i="50" s="1"/>
  <c r="D85" i="50"/>
  <c r="C85" i="50" s="1"/>
  <c r="EV84" i="50"/>
  <c r="EU84" i="50"/>
  <c r="ET84" i="50"/>
  <c r="ES84" i="50"/>
  <c r="ER84" i="50"/>
  <c r="EQ84" i="50"/>
  <c r="EP84" i="50"/>
  <c r="EO84" i="50"/>
  <c r="EN84" i="50"/>
  <c r="EK84" i="50"/>
  <c r="EH84" i="50"/>
  <c r="EG84" i="50"/>
  <c r="EF84" i="50"/>
  <c r="EC84" i="50"/>
  <c r="EB84" i="50"/>
  <c r="EA84" i="50"/>
  <c r="DZ84" i="50"/>
  <c r="DY84" i="50"/>
  <c r="DX84" i="50"/>
  <c r="DW84" i="50"/>
  <c r="BH84" i="50"/>
  <c r="BL84" i="50" s="1"/>
  <c r="BM84" i="50" s="1"/>
  <c r="BE84" i="50"/>
  <c r="BF84" i="50" s="1"/>
  <c r="AZ84" i="50"/>
  <c r="AR84" i="50"/>
  <c r="AQ84" i="50" s="1"/>
  <c r="Z84" i="50"/>
  <c r="EJ84" i="50" s="1"/>
  <c r="T84" i="50"/>
  <c r="ED84" i="50" s="1"/>
  <c r="D84" i="50"/>
  <c r="C84" i="50" s="1"/>
  <c r="EV83" i="50"/>
  <c r="EU83" i="50"/>
  <c r="ET83" i="50"/>
  <c r="ES83" i="50"/>
  <c r="ER83" i="50"/>
  <c r="EQ83" i="50"/>
  <c r="EP83" i="50"/>
  <c r="EO83" i="50"/>
  <c r="EN83" i="50"/>
  <c r="EK83" i="50"/>
  <c r="EH83" i="50"/>
  <c r="EG83" i="50"/>
  <c r="EC83" i="50"/>
  <c r="EA83" i="50"/>
  <c r="DZ83" i="50"/>
  <c r="DY83" i="50"/>
  <c r="DX83" i="50"/>
  <c r="DW83" i="50"/>
  <c r="BH83" i="50"/>
  <c r="BL83" i="50" s="1"/>
  <c r="BE83" i="50"/>
  <c r="BF83" i="50" s="1"/>
  <c r="AR83" i="50"/>
  <c r="AQ83" i="50" s="1"/>
  <c r="V83" i="50"/>
  <c r="EF83" i="50" s="1"/>
  <c r="R83" i="50"/>
  <c r="EB83" i="50" s="1"/>
  <c r="D83" i="50"/>
  <c r="BW82" i="50"/>
  <c r="BW81" i="50" s="1"/>
  <c r="BV82" i="50"/>
  <c r="BV81" i="50" s="1"/>
  <c r="BU82" i="50"/>
  <c r="BU81" i="50" s="1"/>
  <c r="BT82" i="50"/>
  <c r="BT81" i="50" s="1"/>
  <c r="BS82" i="50"/>
  <c r="BS81" i="50" s="1"/>
  <c r="BR82" i="50"/>
  <c r="BR81" i="50" s="1"/>
  <c r="BP82" i="50"/>
  <c r="BP81" i="50" s="1"/>
  <c r="BK82" i="50"/>
  <c r="BK81" i="50" s="1"/>
  <c r="BI82" i="50"/>
  <c r="BI81" i="50" s="1"/>
  <c r="BD82" i="50"/>
  <c r="BD81" i="50" s="1"/>
  <c r="BC82" i="50"/>
  <c r="BC81" i="50" s="1"/>
  <c r="BB82" i="50"/>
  <c r="BB81" i="50" s="1"/>
  <c r="AX82" i="50"/>
  <c r="AX81" i="50" s="1"/>
  <c r="AV82" i="50"/>
  <c r="AV81" i="50" s="1"/>
  <c r="AU82" i="50"/>
  <c r="AU81" i="50" s="1"/>
  <c r="AT82" i="50"/>
  <c r="AT81" i="50" s="1"/>
  <c r="AS82" i="50"/>
  <c r="AS81" i="50" s="1"/>
  <c r="AL82" i="50"/>
  <c r="AL81" i="50" s="1"/>
  <c r="AI82" i="50"/>
  <c r="AI81" i="50" s="1"/>
  <c r="AH82" i="50"/>
  <c r="AH81" i="50" s="1"/>
  <c r="AG82" i="50"/>
  <c r="AG81" i="50" s="1"/>
  <c r="AF82" i="50"/>
  <c r="AF81" i="50" s="1"/>
  <c r="AE82" i="50"/>
  <c r="AE81" i="50" s="1"/>
  <c r="AD82" i="50"/>
  <c r="AD81" i="50" s="1"/>
  <c r="X82" i="50"/>
  <c r="X81" i="50" s="1"/>
  <c r="W82" i="50"/>
  <c r="W81" i="50" s="1"/>
  <c r="Q82" i="50"/>
  <c r="Q81" i="50" s="1"/>
  <c r="P82" i="50"/>
  <c r="P81" i="50" s="1"/>
  <c r="O82" i="50"/>
  <c r="O81" i="50" s="1"/>
  <c r="N82" i="50"/>
  <c r="N81" i="50" s="1"/>
  <c r="J82" i="50"/>
  <c r="J81" i="50" s="1"/>
  <c r="I82" i="50"/>
  <c r="I81" i="50" s="1"/>
  <c r="H82" i="50"/>
  <c r="H81" i="50" s="1"/>
  <c r="G82" i="50"/>
  <c r="G81" i="50" s="1"/>
  <c r="F82" i="50"/>
  <c r="F81" i="50" s="1"/>
  <c r="E82" i="50"/>
  <c r="E81" i="50" s="1"/>
  <c r="AM81" i="50"/>
  <c r="EV77" i="50"/>
  <c r="EU77" i="50"/>
  <c r="ET77" i="50"/>
  <c r="ES77" i="50"/>
  <c r="ER77" i="50"/>
  <c r="EQ77" i="50"/>
  <c r="EP77" i="50"/>
  <c r="EO77" i="50"/>
  <c r="EN77" i="50"/>
  <c r="EK77" i="50"/>
  <c r="EH77" i="50"/>
  <c r="EG77" i="50"/>
  <c r="EF77" i="50"/>
  <c r="EC77" i="50"/>
  <c r="EB77" i="50"/>
  <c r="EA77" i="50"/>
  <c r="DZ77" i="50"/>
  <c r="DY77" i="50"/>
  <c r="DX77" i="50"/>
  <c r="DW77" i="50"/>
  <c r="BM77" i="50"/>
  <c r="BN77" i="50" s="1"/>
  <c r="BF77" i="50"/>
  <c r="BG77" i="50" s="1"/>
  <c r="Z77" i="50"/>
  <c r="EJ77" i="50" s="1"/>
  <c r="T77" i="50"/>
  <c r="EV76" i="50"/>
  <c r="EU76" i="50"/>
  <c r="ET76" i="50"/>
  <c r="ES76" i="50"/>
  <c r="ER76" i="50"/>
  <c r="EQ76" i="50"/>
  <c r="EP76" i="50"/>
  <c r="EO76" i="50"/>
  <c r="EN76" i="50"/>
  <c r="EK76" i="50"/>
  <c r="EH76" i="50"/>
  <c r="EG76" i="50"/>
  <c r="EF76" i="50"/>
  <c r="EC76" i="50"/>
  <c r="EB76" i="50"/>
  <c r="EA76" i="50"/>
  <c r="DZ76" i="50"/>
  <c r="DY76" i="50"/>
  <c r="DX76" i="50"/>
  <c r="DW76" i="50"/>
  <c r="BM76" i="50"/>
  <c r="BN76" i="50" s="1"/>
  <c r="BF76" i="50"/>
  <c r="BG76" i="50" s="1"/>
  <c r="Z76" i="50"/>
  <c r="EJ76" i="50" s="1"/>
  <c r="T76" i="50"/>
  <c r="U76" i="50" s="1"/>
  <c r="EV75" i="50"/>
  <c r="EU75" i="50"/>
  <c r="ET75" i="50"/>
  <c r="ES75" i="50"/>
  <c r="ER75" i="50"/>
  <c r="EQ75" i="50"/>
  <c r="EP75" i="50"/>
  <c r="EO75" i="50"/>
  <c r="EN75" i="50"/>
  <c r="EK75" i="50"/>
  <c r="EH75" i="50"/>
  <c r="EG75" i="50"/>
  <c r="EF75" i="50"/>
  <c r="EC75" i="50"/>
  <c r="EB75" i="50"/>
  <c r="EA75" i="50"/>
  <c r="DZ75" i="50"/>
  <c r="DY75" i="50"/>
  <c r="DX75" i="50"/>
  <c r="DW75" i="50"/>
  <c r="BM75" i="50"/>
  <c r="BN75" i="50" s="1"/>
  <c r="BF75" i="50"/>
  <c r="BG75" i="50" s="1"/>
  <c r="Z75" i="50"/>
  <c r="T75" i="50"/>
  <c r="U75" i="50" s="1"/>
  <c r="EK74" i="50"/>
  <c r="EC74" i="50"/>
  <c r="BW74" i="50"/>
  <c r="BW62" i="50" s="1"/>
  <c r="BV74" i="50"/>
  <c r="BU74" i="50"/>
  <c r="BU62" i="50" s="1"/>
  <c r="BT74" i="50"/>
  <c r="BT62" i="50" s="1"/>
  <c r="BS74" i="50"/>
  <c r="BR74" i="50"/>
  <c r="BQ74" i="50"/>
  <c r="BQ62" i="50" s="1"/>
  <c r="BP74" i="50"/>
  <c r="BP62" i="50" s="1"/>
  <c r="BO74" i="50"/>
  <c r="BO62" i="50" s="1"/>
  <c r="BL74" i="50"/>
  <c r="BM74" i="50" s="1"/>
  <c r="BK74" i="50"/>
  <c r="BJ74" i="50"/>
  <c r="BI74" i="50"/>
  <c r="BI62" i="50" s="1"/>
  <c r="BH74" i="50"/>
  <c r="BE74" i="50"/>
  <c r="BD74" i="50"/>
  <c r="BD62" i="50" s="1"/>
  <c r="BC74" i="50"/>
  <c r="BC62" i="50" s="1"/>
  <c r="BB74" i="50"/>
  <c r="BB62" i="50" s="1"/>
  <c r="BA74" i="50"/>
  <c r="AZ74" i="50"/>
  <c r="AX74" i="50"/>
  <c r="AW74" i="50"/>
  <c r="AW62" i="50" s="1"/>
  <c r="AV74" i="50"/>
  <c r="AV62" i="50" s="1"/>
  <c r="AU74" i="50"/>
  <c r="AU62" i="50" s="1"/>
  <c r="AT74" i="50"/>
  <c r="AT62" i="50" s="1"/>
  <c r="AS74" i="50"/>
  <c r="AS62" i="50" s="1"/>
  <c r="AR74" i="50"/>
  <c r="AQ74" i="50"/>
  <c r="AL74" i="50"/>
  <c r="EV74" i="50" s="1"/>
  <c r="EU74" i="50"/>
  <c r="ET74" i="50"/>
  <c r="ES74" i="50"/>
  <c r="ER74" i="50"/>
  <c r="EQ74" i="50"/>
  <c r="EP74" i="50"/>
  <c r="EO74" i="50"/>
  <c r="X74" i="50"/>
  <c r="EH74" i="50" s="1"/>
  <c r="W74" i="50"/>
  <c r="EG74" i="50" s="1"/>
  <c r="V74" i="50"/>
  <c r="Z74" i="50" s="1"/>
  <c r="R74" i="50"/>
  <c r="EB74" i="50" s="1"/>
  <c r="Q74" i="50"/>
  <c r="EA74" i="50" s="1"/>
  <c r="P74" i="50"/>
  <c r="DZ74" i="50" s="1"/>
  <c r="O74" i="50"/>
  <c r="DY74" i="50" s="1"/>
  <c r="N74" i="50"/>
  <c r="DX74" i="50" s="1"/>
  <c r="M74" i="50"/>
  <c r="D74" i="50"/>
  <c r="C74" i="50"/>
  <c r="EV73" i="50"/>
  <c r="EU73" i="50"/>
  <c r="ET73" i="50"/>
  <c r="ES73" i="50"/>
  <c r="ER73" i="50"/>
  <c r="EQ73" i="50"/>
  <c r="EP73" i="50"/>
  <c r="EO73" i="50"/>
  <c r="EN73" i="50"/>
  <c r="EK73" i="50"/>
  <c r="EH73" i="50"/>
  <c r="EG73" i="50"/>
  <c r="EF73" i="50"/>
  <c r="EC73" i="50"/>
  <c r="EB73" i="50"/>
  <c r="EA73" i="50"/>
  <c r="DZ73" i="50"/>
  <c r="DY73" i="50"/>
  <c r="DX73" i="50"/>
  <c r="DW73" i="50"/>
  <c r="BN73" i="50"/>
  <c r="BL73" i="50"/>
  <c r="BF73" i="50"/>
  <c r="BG73" i="50" s="1"/>
  <c r="Z73" i="50"/>
  <c r="Y73" i="50" s="1"/>
  <c r="T73" i="50"/>
  <c r="U73" i="50" s="1"/>
  <c r="EV72" i="50"/>
  <c r="EU72" i="50"/>
  <c r="ET72" i="50"/>
  <c r="ES72" i="50"/>
  <c r="ER72" i="50"/>
  <c r="EQ72" i="50"/>
  <c r="EP72" i="50"/>
  <c r="EO72" i="50"/>
  <c r="EN72" i="50"/>
  <c r="EK72" i="50"/>
  <c r="EH72" i="50"/>
  <c r="EG72" i="50"/>
  <c r="EF72" i="50"/>
  <c r="EA72" i="50"/>
  <c r="DZ72" i="50"/>
  <c r="DY72" i="50"/>
  <c r="DX72" i="50"/>
  <c r="DW72" i="50"/>
  <c r="BL72" i="50"/>
  <c r="BM72" i="50" s="1"/>
  <c r="BN72" i="50" s="1"/>
  <c r="BE72" i="50"/>
  <c r="BF72" i="50" s="1"/>
  <c r="BG72" i="50" s="1"/>
  <c r="Z72" i="50"/>
  <c r="EJ72" i="50" s="1"/>
  <c r="R72" i="50"/>
  <c r="S72" i="50" s="1"/>
  <c r="EV71" i="50"/>
  <c r="EU71" i="50"/>
  <c r="ET71" i="50"/>
  <c r="ES71" i="50"/>
  <c r="ER71" i="50"/>
  <c r="EQ71" i="50"/>
  <c r="EP71" i="50"/>
  <c r="EO71" i="50"/>
  <c r="EN71" i="50"/>
  <c r="EK71" i="50"/>
  <c r="EH71" i="50"/>
  <c r="EG71" i="50"/>
  <c r="EF71" i="50"/>
  <c r="EA71" i="50"/>
  <c r="DZ71" i="50"/>
  <c r="DY71" i="50"/>
  <c r="DX71" i="50"/>
  <c r="DW71" i="50"/>
  <c r="BL71" i="50"/>
  <c r="BM71" i="50" s="1"/>
  <c r="BN71" i="50" s="1"/>
  <c r="BE71" i="50"/>
  <c r="BF71" i="50" s="1"/>
  <c r="BG71" i="50" s="1"/>
  <c r="Z71" i="50"/>
  <c r="EJ71" i="50" s="1"/>
  <c r="R71" i="50"/>
  <c r="EB71" i="50" s="1"/>
  <c r="EV70" i="50"/>
  <c r="EU70" i="50"/>
  <c r="ET70" i="50"/>
  <c r="ES70" i="50"/>
  <c r="ER70" i="50"/>
  <c r="EQ70" i="50"/>
  <c r="EP70" i="50"/>
  <c r="EO70" i="50"/>
  <c r="EN70" i="50"/>
  <c r="EK70" i="50"/>
  <c r="EH70" i="50"/>
  <c r="EG70" i="50"/>
  <c r="EF70" i="50"/>
  <c r="EC70" i="50"/>
  <c r="EB70" i="50"/>
  <c r="EA70" i="50"/>
  <c r="DZ70" i="50"/>
  <c r="DY70" i="50"/>
  <c r="DX70" i="50"/>
  <c r="DW70" i="50"/>
  <c r="BL70" i="50"/>
  <c r="BM70" i="50" s="1"/>
  <c r="BN70" i="50" s="1"/>
  <c r="BE70" i="50"/>
  <c r="BF70" i="50" s="1"/>
  <c r="BG70" i="50" s="1"/>
  <c r="AR70" i="50"/>
  <c r="AQ70" i="50" s="1"/>
  <c r="Z70" i="50"/>
  <c r="EJ70" i="50" s="1"/>
  <c r="T70" i="50"/>
  <c r="U70" i="50" s="1"/>
  <c r="D70" i="50"/>
  <c r="C70" i="50" s="1"/>
  <c r="EV69" i="50"/>
  <c r="EU69" i="50"/>
  <c r="ET69" i="50"/>
  <c r="ES69" i="50"/>
  <c r="ER69" i="50"/>
  <c r="EQ69" i="50"/>
  <c r="EP69" i="50"/>
  <c r="EO69" i="50"/>
  <c r="EN69" i="50"/>
  <c r="EK69" i="50"/>
  <c r="EH69" i="50"/>
  <c r="EG69" i="50"/>
  <c r="EF69" i="50"/>
  <c r="EC69" i="50"/>
  <c r="EB69" i="50"/>
  <c r="EA69" i="50"/>
  <c r="DZ69" i="50"/>
  <c r="DY69" i="50"/>
  <c r="DX69" i="50"/>
  <c r="BL69" i="50"/>
  <c r="BM69" i="50" s="1"/>
  <c r="BE69" i="50"/>
  <c r="BF69" i="50" s="1"/>
  <c r="AZ69" i="50"/>
  <c r="AZ62" i="50" s="1"/>
  <c r="AR69" i="50"/>
  <c r="AQ69" i="50" s="1"/>
  <c r="Z69" i="50"/>
  <c r="EJ69" i="50" s="1"/>
  <c r="T69" i="50"/>
  <c r="ED69" i="50" s="1"/>
  <c r="M69" i="50"/>
  <c r="H69" i="50"/>
  <c r="F69" i="50"/>
  <c r="D69" i="50" s="1"/>
  <c r="EV68" i="50"/>
  <c r="EU68" i="50"/>
  <c r="ET68" i="50"/>
  <c r="ES68" i="50"/>
  <c r="ER68" i="50"/>
  <c r="EQ68" i="50"/>
  <c r="EP68" i="50"/>
  <c r="EO68" i="50"/>
  <c r="EN68" i="50"/>
  <c r="EK68" i="50"/>
  <c r="EI68" i="50"/>
  <c r="EH68" i="50"/>
  <c r="EG68" i="50"/>
  <c r="EF68" i="50"/>
  <c r="EC68" i="50"/>
  <c r="EA68" i="50"/>
  <c r="DZ68" i="50"/>
  <c r="DY68" i="50"/>
  <c r="DX68" i="50"/>
  <c r="DW68" i="50"/>
  <c r="BL68" i="50"/>
  <c r="BM68" i="50" s="1"/>
  <c r="BN68" i="50" s="1"/>
  <c r="BE68" i="50"/>
  <c r="BF68" i="50" s="1"/>
  <c r="BG68" i="50" s="1"/>
  <c r="AR68" i="50"/>
  <c r="AQ68" i="50" s="1"/>
  <c r="AB68" i="50"/>
  <c r="EL68" i="50" s="1"/>
  <c r="Z68" i="50"/>
  <c r="EJ68" i="50" s="1"/>
  <c r="T68" i="50"/>
  <c r="D68" i="50"/>
  <c r="C68" i="50" s="1"/>
  <c r="EV67" i="50"/>
  <c r="EU67" i="50"/>
  <c r="ET67" i="50"/>
  <c r="ES67" i="50"/>
  <c r="ER67" i="50"/>
  <c r="EQ67" i="50"/>
  <c r="EP67" i="50"/>
  <c r="EO67" i="50"/>
  <c r="EN67" i="50"/>
  <c r="EK67" i="50"/>
  <c r="EH67" i="50"/>
  <c r="EG67" i="50"/>
  <c r="EF67" i="50"/>
  <c r="EC67" i="50"/>
  <c r="EA67" i="50"/>
  <c r="DZ67" i="50"/>
  <c r="DY67" i="50"/>
  <c r="DX67" i="50"/>
  <c r="DW67" i="50"/>
  <c r="BH67" i="50"/>
  <c r="BL67" i="50" s="1"/>
  <c r="BE67" i="50"/>
  <c r="BF67" i="50" s="1"/>
  <c r="BG67" i="50" s="1"/>
  <c r="AR67" i="50"/>
  <c r="AQ67" i="50" s="1"/>
  <c r="Z67" i="50"/>
  <c r="EJ67" i="50" s="1"/>
  <c r="R67" i="50"/>
  <c r="EB67" i="50" s="1"/>
  <c r="D67" i="50"/>
  <c r="C67" i="50" s="1"/>
  <c r="EV66" i="50"/>
  <c r="EU66" i="50"/>
  <c r="ET66" i="50"/>
  <c r="ES66" i="50"/>
  <c r="ER66" i="50"/>
  <c r="EQ66" i="50"/>
  <c r="EP66" i="50"/>
  <c r="EO66" i="50"/>
  <c r="EN66" i="50"/>
  <c r="EK66" i="50"/>
  <c r="EH66" i="50"/>
  <c r="EG66" i="50"/>
  <c r="EF66" i="50"/>
  <c r="EC66" i="50"/>
  <c r="EA66" i="50"/>
  <c r="DZ66" i="50"/>
  <c r="DY66" i="50"/>
  <c r="DX66" i="50"/>
  <c r="DW66" i="50"/>
  <c r="BH66" i="50"/>
  <c r="BL66" i="50" s="1"/>
  <c r="BM66" i="50" s="1"/>
  <c r="BN66" i="50" s="1"/>
  <c r="BE66" i="50"/>
  <c r="BF66" i="50" s="1"/>
  <c r="BG66" i="50" s="1"/>
  <c r="AR66" i="50"/>
  <c r="AQ66" i="50" s="1"/>
  <c r="Z66" i="50"/>
  <c r="EJ66" i="50" s="1"/>
  <c r="R66" i="50"/>
  <c r="T66" i="50" s="1"/>
  <c r="D66" i="50"/>
  <c r="C66" i="50" s="1"/>
  <c r="EV65" i="50"/>
  <c r="EU65" i="50"/>
  <c r="ET65" i="50"/>
  <c r="ES65" i="50"/>
  <c r="ER65" i="50"/>
  <c r="EQ65" i="50"/>
  <c r="EP65" i="50"/>
  <c r="EO65" i="50"/>
  <c r="EN65" i="50"/>
  <c r="EH65" i="50"/>
  <c r="EG65" i="50"/>
  <c r="EF65" i="50"/>
  <c r="EB65" i="50"/>
  <c r="EA65" i="50"/>
  <c r="DZ65" i="50"/>
  <c r="DY65" i="50"/>
  <c r="DX65" i="50"/>
  <c r="BL65" i="50"/>
  <c r="BM65" i="50" s="1"/>
  <c r="BJ65" i="50"/>
  <c r="BA65" i="50"/>
  <c r="BE65" i="50" s="1"/>
  <c r="BF65" i="50" s="1"/>
  <c r="AR65" i="50"/>
  <c r="AQ65" i="50" s="1"/>
  <c r="AA65" i="50"/>
  <c r="EK65" i="50" s="1"/>
  <c r="Z65" i="50"/>
  <c r="S65" i="50"/>
  <c r="EC65" i="50" s="1"/>
  <c r="D65" i="50"/>
  <c r="C65" i="50" s="1"/>
  <c r="EV64" i="50"/>
  <c r="EU64" i="50"/>
  <c r="ET64" i="50"/>
  <c r="ES64" i="50"/>
  <c r="ER64" i="50"/>
  <c r="EQ64" i="50"/>
  <c r="EP64" i="50"/>
  <c r="EO64" i="50"/>
  <c r="EN64" i="50"/>
  <c r="EK64" i="50"/>
  <c r="EH64" i="50"/>
  <c r="EG64" i="50"/>
  <c r="EF64" i="50"/>
  <c r="EC64" i="50"/>
  <c r="EB64" i="50"/>
  <c r="EA64" i="50"/>
  <c r="DZ64" i="50"/>
  <c r="DY64" i="50"/>
  <c r="DX64" i="50"/>
  <c r="DW64" i="50"/>
  <c r="BL64" i="50"/>
  <c r="BM64" i="50" s="1"/>
  <c r="BN64" i="50" s="1"/>
  <c r="BE64" i="50"/>
  <c r="BF64" i="50" s="1"/>
  <c r="BG64" i="50" s="1"/>
  <c r="AR64" i="50"/>
  <c r="AQ64" i="50" s="1"/>
  <c r="Z64" i="50"/>
  <c r="T64" i="50"/>
  <c r="ED64" i="50" s="1"/>
  <c r="D64" i="50"/>
  <c r="C64" i="50" s="1"/>
  <c r="EV63" i="50"/>
  <c r="EU63" i="50"/>
  <c r="ET63" i="50"/>
  <c r="ES63" i="50"/>
  <c r="ER63" i="50"/>
  <c r="EQ63" i="50"/>
  <c r="EP63" i="50"/>
  <c r="EO63" i="50"/>
  <c r="EN63" i="50"/>
  <c r="EK63" i="50"/>
  <c r="EH63" i="50"/>
  <c r="EG63" i="50"/>
  <c r="EF63" i="50"/>
  <c r="EC63" i="50"/>
  <c r="EA63" i="50"/>
  <c r="DZ63" i="50"/>
  <c r="DY63" i="50"/>
  <c r="DX63" i="50"/>
  <c r="DW63" i="50"/>
  <c r="BH63" i="50"/>
  <c r="BL63" i="50" s="1"/>
  <c r="BM63" i="50" s="1"/>
  <c r="BE63" i="50"/>
  <c r="BF63" i="50" s="1"/>
  <c r="AR63" i="50"/>
  <c r="AQ63" i="50" s="1"/>
  <c r="Z63" i="50"/>
  <c r="EJ63" i="50" s="1"/>
  <c r="R63" i="50"/>
  <c r="EB63" i="50" s="1"/>
  <c r="D63" i="50"/>
  <c r="C63" i="50" s="1"/>
  <c r="BV62" i="50"/>
  <c r="BS62" i="50"/>
  <c r="BR62" i="50"/>
  <c r="BK62" i="50"/>
  <c r="AX62" i="50"/>
  <c r="AM62" i="50"/>
  <c r="AI62" i="50"/>
  <c r="AH62" i="50"/>
  <c r="AE62" i="50"/>
  <c r="J62" i="50"/>
  <c r="I62" i="50"/>
  <c r="H62" i="50"/>
  <c r="G62" i="50"/>
  <c r="F62" i="50"/>
  <c r="E62" i="50"/>
  <c r="EV59" i="50"/>
  <c r="EV58" i="50" s="1"/>
  <c r="EU59" i="50"/>
  <c r="EU58" i="50" s="1"/>
  <c r="ET59" i="50"/>
  <c r="ES59" i="50"/>
  <c r="ES58" i="50" s="1"/>
  <c r="ER59" i="50"/>
  <c r="ER58" i="50" s="1"/>
  <c r="EQ59" i="50"/>
  <c r="EQ58" i="50" s="1"/>
  <c r="EP59" i="50"/>
  <c r="EO59" i="50"/>
  <c r="EO58" i="50" s="1"/>
  <c r="EK59" i="50"/>
  <c r="EH59" i="50"/>
  <c r="EF59" i="50"/>
  <c r="EB59" i="50"/>
  <c r="EB58" i="50" s="1"/>
  <c r="EA59" i="50"/>
  <c r="EA58" i="50" s="1"/>
  <c r="DZ59" i="50"/>
  <c r="DZ58" i="50" s="1"/>
  <c r="DY59" i="50"/>
  <c r="DX59" i="50"/>
  <c r="DX58" i="50" s="1"/>
  <c r="DW59" i="50"/>
  <c r="DW58" i="50" s="1"/>
  <c r="BO59" i="50"/>
  <c r="BO58" i="50" s="1"/>
  <c r="BH59" i="50"/>
  <c r="BL59" i="50" s="1"/>
  <c r="BM59" i="50" s="1"/>
  <c r="BE59" i="50"/>
  <c r="BF59" i="50" s="1"/>
  <c r="AR59" i="50"/>
  <c r="AQ59" i="50" s="1"/>
  <c r="EN59" i="50"/>
  <c r="Z59" i="50"/>
  <c r="EJ59" i="50" s="1"/>
  <c r="W58" i="50"/>
  <c r="S59" i="50"/>
  <c r="T59" i="50" s="1"/>
  <c r="D59" i="50"/>
  <c r="C59" i="50" s="1"/>
  <c r="C58" i="50" s="1"/>
  <c r="BW58" i="50"/>
  <c r="BV58" i="50"/>
  <c r="BU58" i="50"/>
  <c r="BT58" i="50"/>
  <c r="BS58" i="50"/>
  <c r="BR58" i="50"/>
  <c r="BQ58" i="50"/>
  <c r="BP58" i="50"/>
  <c r="BK58" i="50"/>
  <c r="BJ58" i="50"/>
  <c r="BI58" i="50"/>
  <c r="BD58" i="50"/>
  <c r="BC58" i="50"/>
  <c r="BB58" i="50"/>
  <c r="BA58" i="50"/>
  <c r="AZ58" i="50"/>
  <c r="AX58" i="50"/>
  <c r="AW58" i="50"/>
  <c r="AV58" i="50"/>
  <c r="AU58" i="50"/>
  <c r="AT58" i="50"/>
  <c r="AS58" i="50"/>
  <c r="AL58" i="50"/>
  <c r="AK58" i="50"/>
  <c r="AJ58" i="50"/>
  <c r="AI58" i="50"/>
  <c r="AH58" i="50"/>
  <c r="AG58" i="50"/>
  <c r="AF58" i="50"/>
  <c r="AE58" i="50"/>
  <c r="AD58" i="50"/>
  <c r="AA58" i="50"/>
  <c r="Z58" i="50"/>
  <c r="X58" i="50"/>
  <c r="V58" i="50"/>
  <c r="R58" i="50"/>
  <c r="Q58" i="50"/>
  <c r="P58" i="50"/>
  <c r="O58" i="50"/>
  <c r="N58" i="50"/>
  <c r="M58" i="50"/>
  <c r="J58" i="50"/>
  <c r="I58" i="50"/>
  <c r="H58" i="50"/>
  <c r="G58" i="50"/>
  <c r="F58" i="50"/>
  <c r="E58" i="50"/>
  <c r="EV56" i="50"/>
  <c r="EU56" i="50"/>
  <c r="ET56" i="50"/>
  <c r="ES56" i="50"/>
  <c r="ER56" i="50"/>
  <c r="EQ56" i="50"/>
  <c r="EP56" i="50"/>
  <c r="EO56" i="50"/>
  <c r="EN56" i="50"/>
  <c r="EK56" i="50"/>
  <c r="EH56" i="50"/>
  <c r="EG56" i="50"/>
  <c r="EF56" i="50"/>
  <c r="EC56" i="50"/>
  <c r="EA56" i="50"/>
  <c r="DZ56" i="50"/>
  <c r="DY56" i="50"/>
  <c r="DX56" i="50"/>
  <c r="DW56" i="50"/>
  <c r="BN56" i="50"/>
  <c r="AY56" i="50" s="1"/>
  <c r="Z56" i="50"/>
  <c r="EJ56" i="50" s="1"/>
  <c r="R56" i="50"/>
  <c r="EB56" i="50" s="1"/>
  <c r="EV55" i="50"/>
  <c r="EU55" i="50"/>
  <c r="ET55" i="50"/>
  <c r="ES55" i="50"/>
  <c r="ER55" i="50"/>
  <c r="EQ55" i="50"/>
  <c r="EP55" i="50"/>
  <c r="EO55" i="50"/>
  <c r="EN55" i="50"/>
  <c r="EK55" i="50"/>
  <c r="EH55" i="50"/>
  <c r="EG55" i="50"/>
  <c r="EF55" i="50"/>
  <c r="EC55" i="50"/>
  <c r="EA55" i="50"/>
  <c r="DZ55" i="50"/>
  <c r="DY55" i="50"/>
  <c r="DX55" i="50"/>
  <c r="DW55" i="50"/>
  <c r="BN55" i="50"/>
  <c r="BG55" i="50"/>
  <c r="BE55" i="50"/>
  <c r="Z55" i="50"/>
  <c r="EJ55" i="50" s="1"/>
  <c r="R55" i="50"/>
  <c r="EB55" i="50" s="1"/>
  <c r="EV54" i="50"/>
  <c r="EU54" i="50"/>
  <c r="ET54" i="50"/>
  <c r="ES54" i="50"/>
  <c r="ER54" i="50"/>
  <c r="EQ54" i="50"/>
  <c r="EP54" i="50"/>
  <c r="EO54" i="50"/>
  <c r="EN54" i="50"/>
  <c r="EK54" i="50"/>
  <c r="EH54" i="50"/>
  <c r="EG54" i="50"/>
  <c r="EF54" i="50"/>
  <c r="EC54" i="50"/>
  <c r="EA54" i="50"/>
  <c r="DZ54" i="50"/>
  <c r="DY54" i="50"/>
  <c r="DX54" i="50"/>
  <c r="DW54" i="50"/>
  <c r="BM54" i="50"/>
  <c r="BN54" i="50" s="1"/>
  <c r="BE54" i="50"/>
  <c r="BF54" i="50" s="1"/>
  <c r="BG54" i="50" s="1"/>
  <c r="Z54" i="50"/>
  <c r="EJ54" i="50" s="1"/>
  <c r="R54" i="50"/>
  <c r="EB54" i="50" s="1"/>
  <c r="EV53" i="50"/>
  <c r="EU53" i="50"/>
  <c r="ET53" i="50"/>
  <c r="ES53" i="50"/>
  <c r="ER53" i="50"/>
  <c r="EQ53" i="50"/>
  <c r="EP53" i="50"/>
  <c r="EO53" i="50"/>
  <c r="EN53" i="50"/>
  <c r="EK53" i="50"/>
  <c r="EI53" i="50"/>
  <c r="EH53" i="50"/>
  <c r="EG53" i="50"/>
  <c r="EF53" i="50"/>
  <c r="EC53" i="50"/>
  <c r="EB53" i="50"/>
  <c r="EA53" i="50"/>
  <c r="DZ53" i="50"/>
  <c r="DY53" i="50"/>
  <c r="DX53" i="50"/>
  <c r="DW53" i="50"/>
  <c r="BL53" i="50"/>
  <c r="BM53" i="50" s="1"/>
  <c r="BN53" i="50" s="1"/>
  <c r="BE53" i="50"/>
  <c r="BF53" i="50" s="1"/>
  <c r="BG53" i="50" s="1"/>
  <c r="AR53" i="50"/>
  <c r="AQ53" i="50" s="1"/>
  <c r="AB53" i="50"/>
  <c r="Z53" i="50"/>
  <c r="EJ53" i="50" s="1"/>
  <c r="T53" i="50"/>
  <c r="ED53" i="50" s="1"/>
  <c r="D53" i="50"/>
  <c r="C53" i="50" s="1"/>
  <c r="EV52" i="50"/>
  <c r="EU52" i="50"/>
  <c r="ET52" i="50"/>
  <c r="ES52" i="50"/>
  <c r="ER52" i="50"/>
  <c r="EQ52" i="50"/>
  <c r="EP52" i="50"/>
  <c r="EO52" i="50"/>
  <c r="EN52" i="50"/>
  <c r="EH52" i="50"/>
  <c r="EG52" i="50"/>
  <c r="EF52" i="50"/>
  <c r="EB52" i="50"/>
  <c r="EA52" i="50"/>
  <c r="DZ52" i="50"/>
  <c r="DY52" i="50"/>
  <c r="DX52" i="50"/>
  <c r="DW52" i="50"/>
  <c r="BQ52" i="50"/>
  <c r="BQ43" i="50" s="1"/>
  <c r="BL52" i="50"/>
  <c r="BM52" i="50" s="1"/>
  <c r="BN52" i="50" s="1"/>
  <c r="BE52" i="50"/>
  <c r="BF52" i="50" s="1"/>
  <c r="BG52" i="50" s="1"/>
  <c r="AR52" i="50"/>
  <c r="AQ52" i="50" s="1"/>
  <c r="AA52" i="50"/>
  <c r="EK52" i="50" s="1"/>
  <c r="Z52" i="50"/>
  <c r="EJ52" i="50" s="1"/>
  <c r="S52" i="50"/>
  <c r="EC52" i="50" s="1"/>
  <c r="D52" i="50"/>
  <c r="C52" i="50" s="1"/>
  <c r="EV51" i="50"/>
  <c r="EU51" i="50"/>
  <c r="ET51" i="50"/>
  <c r="ES51" i="50"/>
  <c r="ER51" i="50"/>
  <c r="EQ51" i="50"/>
  <c r="EP51" i="50"/>
  <c r="EO51" i="50"/>
  <c r="EN51" i="50"/>
  <c r="EK51" i="50"/>
  <c r="EH51" i="50"/>
  <c r="EG51" i="50"/>
  <c r="EF51" i="50"/>
  <c r="EC51" i="50"/>
  <c r="EA51" i="50"/>
  <c r="DZ51" i="50"/>
  <c r="DY51" i="50"/>
  <c r="DX51" i="50"/>
  <c r="DW51" i="50"/>
  <c r="BH51" i="50"/>
  <c r="BL51" i="50" s="1"/>
  <c r="BM51" i="50" s="1"/>
  <c r="BE51" i="50"/>
  <c r="BF51" i="50" s="1"/>
  <c r="BG51" i="50" s="1"/>
  <c r="AT51" i="50"/>
  <c r="AR51" i="50" s="1"/>
  <c r="AQ51" i="50" s="1"/>
  <c r="Z51" i="50"/>
  <c r="EJ51" i="50" s="1"/>
  <c r="R51" i="50"/>
  <c r="EB51" i="50" s="1"/>
  <c r="D51" i="50"/>
  <c r="C51" i="50" s="1"/>
  <c r="EV50" i="50"/>
  <c r="EU50" i="50"/>
  <c r="ET50" i="50"/>
  <c r="ES50" i="50"/>
  <c r="ER50" i="50"/>
  <c r="EQ50" i="50"/>
  <c r="EP50" i="50"/>
  <c r="EO50" i="50"/>
  <c r="EN50" i="50"/>
  <c r="EK50" i="50"/>
  <c r="EH50" i="50"/>
  <c r="EG50" i="50"/>
  <c r="EF50" i="50"/>
  <c r="EC50" i="50"/>
  <c r="EA50" i="50"/>
  <c r="DZ50" i="50"/>
  <c r="DY50" i="50"/>
  <c r="DX50" i="50"/>
  <c r="DW50" i="50"/>
  <c r="BL50" i="50"/>
  <c r="BM50" i="50" s="1"/>
  <c r="BN50" i="50" s="1"/>
  <c r="BA50" i="50"/>
  <c r="AT50" i="50"/>
  <c r="AR50" i="50" s="1"/>
  <c r="AQ50" i="50" s="1"/>
  <c r="Z50" i="50"/>
  <c r="EJ50" i="50" s="1"/>
  <c r="D50" i="50"/>
  <c r="C50" i="50" s="1"/>
  <c r="EV49" i="50"/>
  <c r="EU49" i="50"/>
  <c r="ET49" i="50"/>
  <c r="ES49" i="50"/>
  <c r="ER49" i="50"/>
  <c r="EQ49" i="50"/>
  <c r="EP49" i="50"/>
  <c r="EO49" i="50"/>
  <c r="EN49" i="50"/>
  <c r="EK49" i="50"/>
  <c r="EH49" i="50"/>
  <c r="EG49" i="50"/>
  <c r="EF49" i="50"/>
  <c r="EC49" i="50"/>
  <c r="EA49" i="50"/>
  <c r="DZ49" i="50"/>
  <c r="DY49" i="50"/>
  <c r="DX49" i="50"/>
  <c r="DW49" i="50"/>
  <c r="BL49" i="50"/>
  <c r="BM49" i="50" s="1"/>
  <c r="BN49" i="50" s="1"/>
  <c r="BA49" i="50"/>
  <c r="AZ49" i="50"/>
  <c r="AR49" i="50"/>
  <c r="AQ49" i="50" s="1"/>
  <c r="Z49" i="50"/>
  <c r="EJ49" i="50" s="1"/>
  <c r="D49" i="50"/>
  <c r="C49" i="50" s="1"/>
  <c r="EV48" i="50"/>
  <c r="EU48" i="50"/>
  <c r="ET48" i="50"/>
  <c r="ES48" i="50"/>
  <c r="ER48" i="50"/>
  <c r="EQ48" i="50"/>
  <c r="EP48" i="50"/>
  <c r="EO48" i="50"/>
  <c r="EN48" i="50"/>
  <c r="EK48" i="50"/>
  <c r="EH48" i="50"/>
  <c r="EG48" i="50"/>
  <c r="EF48" i="50"/>
  <c r="EC48" i="50"/>
  <c r="EA48" i="50"/>
  <c r="DZ48" i="50"/>
  <c r="DY48" i="50"/>
  <c r="DX48" i="50"/>
  <c r="DW48" i="50"/>
  <c r="BM48" i="50"/>
  <c r="Y48" i="50" s="1"/>
  <c r="AB48" i="50" s="1"/>
  <c r="AC48" i="50" s="1"/>
  <c r="BH48" i="50"/>
  <c r="BG48" i="50"/>
  <c r="BE48" i="50"/>
  <c r="R48" i="50"/>
  <c r="EV47" i="50"/>
  <c r="EU47" i="50"/>
  <c r="ET47" i="50"/>
  <c r="ES47" i="50"/>
  <c r="ER47" i="50"/>
  <c r="EQ47" i="50"/>
  <c r="EP47" i="50"/>
  <c r="EO47" i="50"/>
  <c r="EN47" i="50"/>
  <c r="EK47" i="50"/>
  <c r="EI47" i="50"/>
  <c r="EH47" i="50"/>
  <c r="EG47" i="50"/>
  <c r="EF47" i="50"/>
  <c r="EC47" i="50"/>
  <c r="EB47" i="50"/>
  <c r="EA47" i="50"/>
  <c r="DZ47" i="50"/>
  <c r="DY47" i="50"/>
  <c r="DW47" i="50"/>
  <c r="BL47" i="50"/>
  <c r="BM47" i="50" s="1"/>
  <c r="BN47" i="50" s="1"/>
  <c r="BE47" i="50"/>
  <c r="BF47" i="50" s="1"/>
  <c r="BG47" i="50" s="1"/>
  <c r="AR47" i="50"/>
  <c r="AQ47" i="50" s="1"/>
  <c r="AB47" i="50"/>
  <c r="EL47" i="50" s="1"/>
  <c r="Z47" i="50"/>
  <c r="EJ47" i="50" s="1"/>
  <c r="T47" i="50"/>
  <c r="ED47" i="50" s="1"/>
  <c r="N47" i="50"/>
  <c r="DX47" i="50" s="1"/>
  <c r="D47" i="50"/>
  <c r="C47" i="50" s="1"/>
  <c r="EV46" i="50"/>
  <c r="EU46" i="50"/>
  <c r="ET46" i="50"/>
  <c r="ES46" i="50"/>
  <c r="ER46" i="50"/>
  <c r="EQ46" i="50"/>
  <c r="EP46" i="50"/>
  <c r="EO46" i="50"/>
  <c r="EN46" i="50"/>
  <c r="EK46" i="50"/>
  <c r="EI46" i="50"/>
  <c r="EH46" i="50"/>
  <c r="EG46" i="50"/>
  <c r="EF46" i="50"/>
  <c r="EC46" i="50"/>
  <c r="EB46" i="50"/>
  <c r="EA46" i="50"/>
  <c r="DZ46" i="50"/>
  <c r="DY46" i="50"/>
  <c r="DX46" i="50"/>
  <c r="DW46" i="50"/>
  <c r="BH46" i="50"/>
  <c r="BL46" i="50" s="1"/>
  <c r="BM46" i="50" s="1"/>
  <c r="BN46" i="50" s="1"/>
  <c r="BA46" i="50"/>
  <c r="AR46" i="50"/>
  <c r="AQ46" i="50" s="1"/>
  <c r="AB46" i="50"/>
  <c r="EL46" i="50" s="1"/>
  <c r="Z46" i="50"/>
  <c r="EJ46" i="50" s="1"/>
  <c r="T46" i="50"/>
  <c r="ED46" i="50" s="1"/>
  <c r="D46" i="50"/>
  <c r="C46" i="50" s="1"/>
  <c r="EV45" i="50"/>
  <c r="EU45" i="50"/>
  <c r="ET45" i="50"/>
  <c r="ES45" i="50"/>
  <c r="ER45" i="50"/>
  <c r="EQ45" i="50"/>
  <c r="EP45" i="50"/>
  <c r="EO45" i="50"/>
  <c r="EN45" i="50"/>
  <c r="EH45" i="50"/>
  <c r="EG45" i="50"/>
  <c r="EF45" i="50"/>
  <c r="EB45" i="50"/>
  <c r="EA45" i="50"/>
  <c r="DZ45" i="50"/>
  <c r="DY45" i="50"/>
  <c r="DX45" i="50"/>
  <c r="DW45" i="50"/>
  <c r="BH45" i="50"/>
  <c r="BL45" i="50" s="1"/>
  <c r="BM45" i="50" s="1"/>
  <c r="BN45" i="50" s="1"/>
  <c r="BE45" i="50"/>
  <c r="BF45" i="50" s="1"/>
  <c r="AZ45" i="50"/>
  <c r="AR45" i="50"/>
  <c r="AQ45" i="50" s="1"/>
  <c r="AA45" i="50"/>
  <c r="AA43" i="50" s="1"/>
  <c r="Z45" i="50"/>
  <c r="EJ45" i="50" s="1"/>
  <c r="S45" i="50"/>
  <c r="EC45" i="50" s="1"/>
  <c r="D45" i="50"/>
  <c r="C45" i="50" s="1"/>
  <c r="EV44" i="50"/>
  <c r="EU44" i="50"/>
  <c r="ET44" i="50"/>
  <c r="ES44" i="50"/>
  <c r="ER44" i="50"/>
  <c r="EQ44" i="50"/>
  <c r="EP44" i="50"/>
  <c r="EO44" i="50"/>
  <c r="EN44" i="50"/>
  <c r="EK44" i="50"/>
  <c r="EH44" i="50"/>
  <c r="EG44" i="50"/>
  <c r="EF44" i="50"/>
  <c r="EC44" i="50"/>
  <c r="EB44" i="50"/>
  <c r="EA44" i="50"/>
  <c r="DZ44" i="50"/>
  <c r="DY44" i="50"/>
  <c r="DX44" i="50"/>
  <c r="DW44" i="50"/>
  <c r="BL44" i="50"/>
  <c r="BM44" i="50" s="1"/>
  <c r="BE44" i="50"/>
  <c r="BF44" i="50" s="1"/>
  <c r="AZ44" i="50"/>
  <c r="AZ43" i="50" s="1"/>
  <c r="AR44" i="50"/>
  <c r="AQ44" i="50" s="1"/>
  <c r="Z44" i="50"/>
  <c r="EJ44" i="50" s="1"/>
  <c r="T44" i="50"/>
  <c r="ED44" i="50" s="1"/>
  <c r="D44" i="50"/>
  <c r="C44" i="50" s="1"/>
  <c r="BW43" i="50"/>
  <c r="BV43" i="50"/>
  <c r="BU43" i="50"/>
  <c r="BT43" i="50"/>
  <c r="BS43" i="50"/>
  <c r="BR43" i="50"/>
  <c r="BP43" i="50"/>
  <c r="BO43" i="50"/>
  <c r="BK43" i="50"/>
  <c r="BJ43" i="50"/>
  <c r="BI43" i="50"/>
  <c r="BD43" i="50"/>
  <c r="BC43" i="50"/>
  <c r="BB43" i="50"/>
  <c r="AX43" i="50"/>
  <c r="AW43" i="50"/>
  <c r="AV43" i="50"/>
  <c r="AU43" i="50"/>
  <c r="AS43" i="50"/>
  <c r="AM43" i="50"/>
  <c r="AL43" i="50"/>
  <c r="AK43" i="50"/>
  <c r="AJ43" i="50"/>
  <c r="AI43" i="50"/>
  <c r="AH43" i="50"/>
  <c r="AG43" i="50"/>
  <c r="AF43" i="50"/>
  <c r="AE43" i="50"/>
  <c r="AD43" i="50"/>
  <c r="X43" i="50"/>
  <c r="W43" i="50"/>
  <c r="V43" i="50"/>
  <c r="Q43" i="50"/>
  <c r="P43" i="50"/>
  <c r="O43" i="50"/>
  <c r="M43" i="50"/>
  <c r="J43" i="50"/>
  <c r="I43" i="50"/>
  <c r="H43" i="50"/>
  <c r="G43" i="50"/>
  <c r="F43" i="50"/>
  <c r="E43" i="50"/>
  <c r="EV42" i="50"/>
  <c r="EU42" i="50"/>
  <c r="ET42" i="50"/>
  <c r="ES42" i="50"/>
  <c r="ER42" i="50"/>
  <c r="EQ42" i="50"/>
  <c r="EP42" i="50"/>
  <c r="EO42" i="50"/>
  <c r="EN42" i="50"/>
  <c r="EK42" i="50"/>
  <c r="EI42" i="50"/>
  <c r="EH42" i="50"/>
  <c r="EG42" i="50"/>
  <c r="EF42" i="50"/>
  <c r="EC42" i="50"/>
  <c r="EA42" i="50"/>
  <c r="DZ42" i="50"/>
  <c r="DY42" i="50"/>
  <c r="DX42" i="50"/>
  <c r="DW42" i="50"/>
  <c r="BH42" i="50"/>
  <c r="BN42" i="50" s="1"/>
  <c r="BG42" i="50"/>
  <c r="AB42" i="50"/>
  <c r="AC42" i="50" s="1"/>
  <c r="EM42" i="50" s="1"/>
  <c r="Z42" i="50"/>
  <c r="EJ42" i="50" s="1"/>
  <c r="R42" i="50"/>
  <c r="EB42" i="50" s="1"/>
  <c r="EV40" i="50"/>
  <c r="EU40" i="50"/>
  <c r="ET40" i="50"/>
  <c r="ES40" i="50"/>
  <c r="ER40" i="50"/>
  <c r="EQ40" i="50"/>
  <c r="EP40" i="50"/>
  <c r="EO40" i="50"/>
  <c r="EN40" i="50"/>
  <c r="EK40" i="50"/>
  <c r="EI40" i="50"/>
  <c r="EH40" i="50"/>
  <c r="EG40" i="50"/>
  <c r="EF40" i="50"/>
  <c r="EC40" i="50"/>
  <c r="EA40" i="50"/>
  <c r="DZ40" i="50"/>
  <c r="DY40" i="50"/>
  <c r="DW40" i="50"/>
  <c r="BL40" i="50"/>
  <c r="BM40" i="50" s="1"/>
  <c r="BN40" i="50" s="1"/>
  <c r="BE40" i="50"/>
  <c r="BF40" i="50" s="1"/>
  <c r="BG40" i="50" s="1"/>
  <c r="AT40" i="50"/>
  <c r="AR40" i="50" s="1"/>
  <c r="AQ40" i="50" s="1"/>
  <c r="AB40" i="50"/>
  <c r="EL40" i="50" s="1"/>
  <c r="Z40" i="50"/>
  <c r="EJ40" i="50" s="1"/>
  <c r="N40" i="50"/>
  <c r="R40" i="50" s="1"/>
  <c r="D40" i="50"/>
  <c r="C40" i="50" s="1"/>
  <c r="EV39" i="50"/>
  <c r="EU39" i="50"/>
  <c r="ET39" i="50"/>
  <c r="ES39" i="50"/>
  <c r="ER39" i="50"/>
  <c r="EQ39" i="50"/>
  <c r="EP39" i="50"/>
  <c r="EO39" i="50"/>
  <c r="EN39" i="50"/>
  <c r="EK39" i="50"/>
  <c r="EI39" i="50"/>
  <c r="EH39" i="50"/>
  <c r="EG39" i="50"/>
  <c r="EF39" i="50"/>
  <c r="EC39" i="50"/>
  <c r="EA39" i="50"/>
  <c r="DZ39" i="50"/>
  <c r="DY39" i="50"/>
  <c r="BL39" i="50"/>
  <c r="BM39" i="50" s="1"/>
  <c r="BN39" i="50" s="1"/>
  <c r="BE39" i="50"/>
  <c r="BF39" i="50" s="1"/>
  <c r="BG39" i="50" s="1"/>
  <c r="AR39" i="50"/>
  <c r="AQ39" i="50" s="1"/>
  <c r="AB39" i="50"/>
  <c r="AC39" i="50" s="1"/>
  <c r="EM39" i="50" s="1"/>
  <c r="Z39" i="50"/>
  <c r="EJ39" i="50" s="1"/>
  <c r="N39" i="50"/>
  <c r="M39" i="50"/>
  <c r="DW39" i="50" s="1"/>
  <c r="E39" i="50"/>
  <c r="E318" i="50" s="1"/>
  <c r="EV38" i="50"/>
  <c r="EU38" i="50"/>
  <c r="ET38" i="50"/>
  <c r="ES38" i="50"/>
  <c r="ER38" i="50"/>
  <c r="EQ38" i="50"/>
  <c r="EP38" i="50"/>
  <c r="EO38" i="50"/>
  <c r="EN38" i="50"/>
  <c r="EI38" i="50"/>
  <c r="EH38" i="50"/>
  <c r="EC38" i="50"/>
  <c r="EB38" i="50"/>
  <c r="EA38" i="50"/>
  <c r="DZ38" i="50"/>
  <c r="DY38" i="50"/>
  <c r="DX38" i="50"/>
  <c r="BH38" i="50"/>
  <c r="BE38" i="50"/>
  <c r="BF38" i="50" s="1"/>
  <c r="BG38" i="50" s="1"/>
  <c r="AR38" i="50"/>
  <c r="AQ38" i="50" s="1"/>
  <c r="AA38" i="50"/>
  <c r="W38" i="50"/>
  <c r="EG38" i="50" s="1"/>
  <c r="V38" i="50"/>
  <c r="EF38" i="50" s="1"/>
  <c r="T38" i="50"/>
  <c r="ED38" i="50" s="1"/>
  <c r="M38" i="50"/>
  <c r="D38" i="50"/>
  <c r="C38" i="50" s="1"/>
  <c r="EV37" i="50"/>
  <c r="EU37" i="50"/>
  <c r="ET37" i="50"/>
  <c r="ES37" i="50"/>
  <c r="ER37" i="50"/>
  <c r="EQ37" i="50"/>
  <c r="EP37" i="50"/>
  <c r="EO37" i="50"/>
  <c r="EN37" i="50"/>
  <c r="EK37" i="50"/>
  <c r="EH37" i="50"/>
  <c r="EG37" i="50"/>
  <c r="EF37" i="50"/>
  <c r="EC37" i="50"/>
  <c r="EB37" i="50"/>
  <c r="EA37" i="50"/>
  <c r="DZ37" i="50"/>
  <c r="DY37" i="50"/>
  <c r="DX37" i="50"/>
  <c r="DW37" i="50"/>
  <c r="BL37" i="50"/>
  <c r="BM37" i="50" s="1"/>
  <c r="BN37" i="50" s="1"/>
  <c r="BE37" i="50"/>
  <c r="BF37" i="50" s="1"/>
  <c r="BG37" i="50" s="1"/>
  <c r="AR37" i="50"/>
  <c r="AQ37" i="50" s="1"/>
  <c r="Z37" i="50"/>
  <c r="EJ37" i="50" s="1"/>
  <c r="T37" i="50"/>
  <c r="ED37" i="50" s="1"/>
  <c r="D37" i="50"/>
  <c r="C37" i="50" s="1"/>
  <c r="EV36" i="50"/>
  <c r="EU36" i="50"/>
  <c r="ET36" i="50"/>
  <c r="ES36" i="50"/>
  <c r="ER36" i="50"/>
  <c r="EQ36" i="50"/>
  <c r="EP36" i="50"/>
  <c r="EO36" i="50"/>
  <c r="EN36" i="50"/>
  <c r="EK36" i="50"/>
  <c r="EH36" i="50"/>
  <c r="EC36" i="50"/>
  <c r="EA36" i="50"/>
  <c r="DZ36" i="50"/>
  <c r="DY36" i="50"/>
  <c r="DX36" i="50"/>
  <c r="DW36" i="50"/>
  <c r="BH36" i="50"/>
  <c r="BL36" i="50" s="1"/>
  <c r="BE36" i="50"/>
  <c r="BF36" i="50" s="1"/>
  <c r="BG36" i="50" s="1"/>
  <c r="W36" i="50"/>
  <c r="V36" i="50"/>
  <c r="R36" i="50"/>
  <c r="BW35" i="50"/>
  <c r="BW34" i="50" s="1"/>
  <c r="BV35" i="50"/>
  <c r="BV34" i="50" s="1"/>
  <c r="BU35" i="50"/>
  <c r="BU34" i="50" s="1"/>
  <c r="BT35" i="50"/>
  <c r="BT34" i="50" s="1"/>
  <c r="BS35" i="50"/>
  <c r="BS34" i="50" s="1"/>
  <c r="BR35" i="50"/>
  <c r="BR34" i="50" s="1"/>
  <c r="BQ35" i="50"/>
  <c r="BQ34" i="50" s="1"/>
  <c r="BP35" i="50"/>
  <c r="BP34" i="50" s="1"/>
  <c r="BO35" i="50"/>
  <c r="BO34" i="50" s="1"/>
  <c r="BK35" i="50"/>
  <c r="BK34" i="50" s="1"/>
  <c r="BJ35" i="50"/>
  <c r="BJ34" i="50" s="1"/>
  <c r="BI35" i="50"/>
  <c r="BI34" i="50" s="1"/>
  <c r="BD35" i="50"/>
  <c r="BD34" i="50" s="1"/>
  <c r="BC35" i="50"/>
  <c r="BC34" i="50" s="1"/>
  <c r="BB35" i="50"/>
  <c r="BB34" i="50" s="1"/>
  <c r="BA35" i="50"/>
  <c r="BA34" i="50" s="1"/>
  <c r="AZ35" i="50"/>
  <c r="AZ34" i="50" s="1"/>
  <c r="AX35" i="50"/>
  <c r="AX34" i="50" s="1"/>
  <c r="AW35" i="50"/>
  <c r="AW34" i="50" s="1"/>
  <c r="AV35" i="50"/>
  <c r="AV34" i="50" s="1"/>
  <c r="AU35" i="50"/>
  <c r="AU34" i="50" s="1"/>
  <c r="AS35" i="50"/>
  <c r="AS34" i="50" s="1"/>
  <c r="AL35" i="50"/>
  <c r="AL34" i="50" s="1"/>
  <c r="AG34" i="50"/>
  <c r="AF34" i="50"/>
  <c r="AE34" i="50"/>
  <c r="AD34" i="50"/>
  <c r="X34" i="50"/>
  <c r="S34" i="50"/>
  <c r="Q34" i="50"/>
  <c r="P34" i="50"/>
  <c r="O34" i="50"/>
  <c r="J35" i="50"/>
  <c r="J34" i="50" s="1"/>
  <c r="I35" i="50"/>
  <c r="I34" i="50" s="1"/>
  <c r="H35" i="50"/>
  <c r="H34" i="50" s="1"/>
  <c r="G35" i="50"/>
  <c r="G34" i="50" s="1"/>
  <c r="F35" i="50"/>
  <c r="F34" i="50" s="1"/>
  <c r="E35" i="50"/>
  <c r="E34" i="50" s="1"/>
  <c r="EV32" i="50"/>
  <c r="EU32" i="50"/>
  <c r="ET32" i="50"/>
  <c r="ES32" i="50"/>
  <c r="ER32" i="50"/>
  <c r="EQ32" i="50"/>
  <c r="EP32" i="50"/>
  <c r="EO32" i="50"/>
  <c r="EN32" i="50"/>
  <c r="EK32" i="50"/>
  <c r="EI32" i="50"/>
  <c r="EH32" i="50"/>
  <c r="EG32" i="50"/>
  <c r="EF32" i="50"/>
  <c r="EC32" i="50"/>
  <c r="EB32" i="50"/>
  <c r="EA32" i="50"/>
  <c r="DZ32" i="50"/>
  <c r="DY32" i="50"/>
  <c r="DW32" i="50"/>
  <c r="BL32" i="50"/>
  <c r="BM32" i="50" s="1"/>
  <c r="BN32" i="50" s="1"/>
  <c r="BA32" i="50"/>
  <c r="BE32" i="50" s="1"/>
  <c r="BF32" i="50" s="1"/>
  <c r="AR32" i="50"/>
  <c r="AQ32" i="50" s="1"/>
  <c r="AB32" i="50"/>
  <c r="EL32" i="50" s="1"/>
  <c r="Z32" i="50"/>
  <c r="EJ32" i="50" s="1"/>
  <c r="T32" i="50"/>
  <c r="ED32" i="50" s="1"/>
  <c r="DX32" i="50"/>
  <c r="D32" i="50"/>
  <c r="C32" i="50" s="1"/>
  <c r="EV31" i="50"/>
  <c r="EV30" i="50" s="1"/>
  <c r="EU31" i="50"/>
  <c r="ET31" i="50"/>
  <c r="ET30" i="50" s="1"/>
  <c r="ES31" i="50"/>
  <c r="ER31" i="50"/>
  <c r="ER30" i="50" s="1"/>
  <c r="EQ31" i="50"/>
  <c r="EP31" i="50"/>
  <c r="EO31" i="50"/>
  <c r="EN31" i="50"/>
  <c r="EN30" i="50" s="1"/>
  <c r="EK31" i="50"/>
  <c r="EH31" i="50"/>
  <c r="EG31" i="50"/>
  <c r="EF31" i="50"/>
  <c r="EC31" i="50"/>
  <c r="EA31" i="50"/>
  <c r="DZ31" i="50"/>
  <c r="DY31" i="50"/>
  <c r="DX31" i="50"/>
  <c r="DW31" i="50"/>
  <c r="BH31" i="50"/>
  <c r="BL31" i="50" s="1"/>
  <c r="BA31" i="50"/>
  <c r="BE31" i="50" s="1"/>
  <c r="AZ31" i="50"/>
  <c r="AZ30" i="50" s="1"/>
  <c r="AR31" i="50"/>
  <c r="AQ31" i="50" s="1"/>
  <c r="Z31" i="50"/>
  <c r="D31" i="50"/>
  <c r="C31" i="50" s="1"/>
  <c r="BW30" i="50"/>
  <c r="BV30" i="50"/>
  <c r="BU30" i="50"/>
  <c r="BT30" i="50"/>
  <c r="BS30" i="50"/>
  <c r="BR30" i="50"/>
  <c r="BQ30" i="50"/>
  <c r="BP30" i="50"/>
  <c r="BO30" i="50"/>
  <c r="BK30" i="50"/>
  <c r="BJ30" i="50"/>
  <c r="BI30" i="50"/>
  <c r="BD30" i="50"/>
  <c r="BC30" i="50"/>
  <c r="BB30" i="50"/>
  <c r="AX30" i="50"/>
  <c r="AW30" i="50"/>
  <c r="AV30" i="50"/>
  <c r="AU30" i="50"/>
  <c r="AT30" i="50"/>
  <c r="AS30" i="50"/>
  <c r="AM30" i="50"/>
  <c r="AL30" i="50"/>
  <c r="AK8" i="50"/>
  <c r="AI8" i="50"/>
  <c r="AH8" i="50"/>
  <c r="J30" i="50"/>
  <c r="I30" i="50"/>
  <c r="H30" i="50"/>
  <c r="G30" i="50"/>
  <c r="F30" i="50"/>
  <c r="E30" i="50"/>
  <c r="EV29" i="50"/>
  <c r="EU29" i="50"/>
  <c r="ET29" i="50"/>
  <c r="ES29" i="50"/>
  <c r="ER29" i="50"/>
  <c r="EQ29" i="50"/>
  <c r="EP29" i="50"/>
  <c r="EO29" i="50"/>
  <c r="EN29" i="50"/>
  <c r="EK29" i="50"/>
  <c r="EH29" i="50"/>
  <c r="EG29" i="50"/>
  <c r="EF29" i="50"/>
  <c r="EC29" i="50"/>
  <c r="EA29" i="50"/>
  <c r="DZ29" i="50"/>
  <c r="DY29" i="50"/>
  <c r="DX29" i="50"/>
  <c r="DW29" i="50"/>
  <c r="BN29" i="50"/>
  <c r="BL29" i="50"/>
  <c r="BE29" i="50"/>
  <c r="BF29" i="50" s="1"/>
  <c r="BG29" i="50" s="1"/>
  <c r="Z29" i="50"/>
  <c r="EJ29" i="50" s="1"/>
  <c r="R29" i="50"/>
  <c r="EB29" i="50" s="1"/>
  <c r="EV28" i="50"/>
  <c r="EU28" i="50"/>
  <c r="ET28" i="50"/>
  <c r="ES28" i="50"/>
  <c r="ER28" i="50"/>
  <c r="EQ28" i="50"/>
  <c r="EP28" i="50"/>
  <c r="EO28" i="50"/>
  <c r="EN28" i="50"/>
  <c r="EK28" i="50"/>
  <c r="EH28" i="50"/>
  <c r="EG28" i="50"/>
  <c r="EF28" i="50"/>
  <c r="EC28" i="50"/>
  <c r="EA28" i="50"/>
  <c r="DZ28" i="50"/>
  <c r="DY28" i="50"/>
  <c r="DX28" i="50"/>
  <c r="DW28" i="50"/>
  <c r="BL28" i="50"/>
  <c r="BI28" i="50"/>
  <c r="BN28" i="50" s="1"/>
  <c r="BE28" i="50"/>
  <c r="BF28" i="50" s="1"/>
  <c r="BG28" i="50" s="1"/>
  <c r="AR28" i="50"/>
  <c r="AQ28" i="50" s="1"/>
  <c r="Z28" i="50"/>
  <c r="Y28" i="50" s="1"/>
  <c r="R28" i="50"/>
  <c r="EB28" i="50" s="1"/>
  <c r="D28" i="50"/>
  <c r="C28" i="50" s="1"/>
  <c r="EV27" i="50"/>
  <c r="EU27" i="50"/>
  <c r="ET27" i="50"/>
  <c r="ES27" i="50"/>
  <c r="ER27" i="50"/>
  <c r="EQ27" i="50"/>
  <c r="EP27" i="50"/>
  <c r="EO27" i="50"/>
  <c r="EK27" i="50"/>
  <c r="EH27" i="50"/>
  <c r="EG27" i="50"/>
  <c r="EF27" i="50"/>
  <c r="EC27" i="50"/>
  <c r="EB27" i="50"/>
  <c r="EA27" i="50"/>
  <c r="DZ27" i="50"/>
  <c r="DY27" i="50"/>
  <c r="DX27" i="50"/>
  <c r="BN27" i="50"/>
  <c r="BL27" i="50"/>
  <c r="BA27" i="50"/>
  <c r="BE27" i="50" s="1"/>
  <c r="BF27" i="50" s="1"/>
  <c r="AZ27" i="50"/>
  <c r="AR27" i="50"/>
  <c r="AQ27" i="50" s="1"/>
  <c r="Z27" i="50"/>
  <c r="Y27" i="50" s="1"/>
  <c r="T27" i="50"/>
  <c r="ED27" i="50" s="1"/>
  <c r="DW27" i="50"/>
  <c r="D27" i="50"/>
  <c r="C27" i="50" s="1"/>
  <c r="EV26" i="50"/>
  <c r="EU26" i="50"/>
  <c r="ET26" i="50"/>
  <c r="ES26" i="50"/>
  <c r="ER26" i="50"/>
  <c r="EQ26" i="50"/>
  <c r="EP26" i="50"/>
  <c r="EO26" i="50"/>
  <c r="EN26" i="50"/>
  <c r="EK26" i="50"/>
  <c r="EI26" i="50"/>
  <c r="EH26" i="50"/>
  <c r="EG26" i="50"/>
  <c r="EF26" i="50"/>
  <c r="EC26" i="50"/>
  <c r="EA26" i="50"/>
  <c r="DZ26" i="50"/>
  <c r="DY26" i="50"/>
  <c r="DX26" i="50"/>
  <c r="DW26" i="50"/>
  <c r="BL26" i="50"/>
  <c r="BM26" i="50" s="1"/>
  <c r="BN26" i="50" s="1"/>
  <c r="BG26" i="50"/>
  <c r="BE26" i="50"/>
  <c r="AR26" i="50"/>
  <c r="AQ26" i="50" s="1"/>
  <c r="AB26" i="50"/>
  <c r="EL26" i="50" s="1"/>
  <c r="Z26" i="50"/>
  <c r="EJ26" i="50" s="1"/>
  <c r="R26" i="50"/>
  <c r="EB26" i="50" s="1"/>
  <c r="D26" i="50"/>
  <c r="C26" i="50" s="1"/>
  <c r="EV25" i="50"/>
  <c r="EU25" i="50"/>
  <c r="ET25" i="50"/>
  <c r="ES25" i="50"/>
  <c r="ER25" i="50"/>
  <c r="EQ25" i="50"/>
  <c r="EP25" i="50"/>
  <c r="EO25" i="50"/>
  <c r="EN25" i="50"/>
  <c r="EH25" i="50"/>
  <c r="EG25" i="50"/>
  <c r="EB25" i="50"/>
  <c r="EA25" i="50"/>
  <c r="DZ25" i="50"/>
  <c r="DY25" i="50"/>
  <c r="DX25" i="50"/>
  <c r="DW25" i="50"/>
  <c r="BL25" i="50"/>
  <c r="BM25" i="50" s="1"/>
  <c r="BN25" i="50" s="1"/>
  <c r="BA25" i="50"/>
  <c r="BE25" i="50" s="1"/>
  <c r="BF25" i="50" s="1"/>
  <c r="AZ25" i="50"/>
  <c r="AR25" i="50"/>
  <c r="AQ25" i="50" s="1"/>
  <c r="AA25" i="50"/>
  <c r="EK25" i="50" s="1"/>
  <c r="V25" i="50"/>
  <c r="Z25" i="50" s="1"/>
  <c r="S25" i="50"/>
  <c r="T25" i="50" s="1"/>
  <c r="D25" i="50"/>
  <c r="C25" i="50" s="1"/>
  <c r="EV24" i="50"/>
  <c r="EU24" i="50"/>
  <c r="ET24" i="50"/>
  <c r="ES24" i="50"/>
  <c r="ER24" i="50"/>
  <c r="EQ24" i="50"/>
  <c r="EP24" i="50"/>
  <c r="EO24" i="50"/>
  <c r="EN24" i="50"/>
  <c r="EK24" i="50"/>
  <c r="EH24" i="50"/>
  <c r="EG24" i="50"/>
  <c r="EF24" i="50"/>
  <c r="EC24" i="50"/>
  <c r="EA24" i="50"/>
  <c r="DZ24" i="50"/>
  <c r="DY24" i="50"/>
  <c r="DX24" i="50"/>
  <c r="DW24" i="50"/>
  <c r="BL24" i="50"/>
  <c r="BM24" i="50" s="1"/>
  <c r="BN24" i="50" s="1"/>
  <c r="BE24" i="50"/>
  <c r="BF24" i="50" s="1"/>
  <c r="BG24" i="50" s="1"/>
  <c r="AR24" i="50"/>
  <c r="AQ24" i="50" s="1"/>
  <c r="Z24" i="50"/>
  <c r="R24" i="50"/>
  <c r="EB24" i="50" s="1"/>
  <c r="D24" i="50"/>
  <c r="C24" i="50" s="1"/>
  <c r="EV23" i="50"/>
  <c r="EU23" i="50"/>
  <c r="ET23" i="50"/>
  <c r="ES23" i="50"/>
  <c r="ER23" i="50"/>
  <c r="EQ23" i="50"/>
  <c r="EP23" i="50"/>
  <c r="EO23" i="50"/>
  <c r="EK23" i="50"/>
  <c r="EH23" i="50"/>
  <c r="EG23" i="50"/>
  <c r="EF23" i="50"/>
  <c r="EC23" i="50"/>
  <c r="EB23" i="50"/>
  <c r="EA23" i="50"/>
  <c r="DZ23" i="50"/>
  <c r="DY23" i="50"/>
  <c r="DX23" i="50"/>
  <c r="DW23" i="50"/>
  <c r="BL23" i="50"/>
  <c r="BM23" i="50" s="1"/>
  <c r="BJ23" i="50"/>
  <c r="BA23" i="50"/>
  <c r="BE23" i="50" s="1"/>
  <c r="BF23" i="50" s="1"/>
  <c r="AZ23" i="50"/>
  <c r="AR23" i="50"/>
  <c r="AQ23" i="50" s="1"/>
  <c r="Z23" i="50"/>
  <c r="EJ23" i="50" s="1"/>
  <c r="T23" i="50"/>
  <c r="ED23" i="50" s="1"/>
  <c r="J23" i="50"/>
  <c r="I23" i="50"/>
  <c r="H23" i="50"/>
  <c r="F23" i="50"/>
  <c r="D23" i="50" s="1"/>
  <c r="EV22" i="50"/>
  <c r="EU22" i="50"/>
  <c r="ET22" i="50"/>
  <c r="ES22" i="50"/>
  <c r="ER22" i="50"/>
  <c r="EQ22" i="50"/>
  <c r="EP22" i="50"/>
  <c r="EO22" i="50"/>
  <c r="EN22" i="50"/>
  <c r="EK22" i="50"/>
  <c r="EH22" i="50"/>
  <c r="EG22" i="50"/>
  <c r="EF22" i="50"/>
  <c r="EC22" i="50"/>
  <c r="EA22" i="50"/>
  <c r="DZ22" i="50"/>
  <c r="DY22" i="50"/>
  <c r="DX22" i="50"/>
  <c r="DW22" i="50"/>
  <c r="BL22" i="50"/>
  <c r="BM22" i="50" s="1"/>
  <c r="BN22" i="50" s="1"/>
  <c r="BE22" i="50"/>
  <c r="BF22" i="50" s="1"/>
  <c r="BG22" i="50" s="1"/>
  <c r="AR22" i="50"/>
  <c r="AQ22" i="50" s="1"/>
  <c r="Z22" i="50"/>
  <c r="EJ22" i="50" s="1"/>
  <c r="R22" i="50"/>
  <c r="EB22" i="50" s="1"/>
  <c r="D22" i="50"/>
  <c r="C22" i="50" s="1"/>
  <c r="EV21" i="50"/>
  <c r="EU21" i="50"/>
  <c r="ET21" i="50"/>
  <c r="ES21" i="50"/>
  <c r="ER21" i="50"/>
  <c r="EQ21" i="50"/>
  <c r="EP21" i="50"/>
  <c r="EO21" i="50"/>
  <c r="EN21" i="50"/>
  <c r="EK21" i="50"/>
  <c r="EI21" i="50"/>
  <c r="EH21" i="50"/>
  <c r="EG21" i="50"/>
  <c r="EF21" i="50"/>
  <c r="EC21" i="50"/>
  <c r="EA21" i="50"/>
  <c r="DZ21" i="50"/>
  <c r="DY21" i="50"/>
  <c r="DX21" i="50"/>
  <c r="DW21" i="50"/>
  <c r="BJ21" i="50"/>
  <c r="BH21" i="50"/>
  <c r="BE21" i="50"/>
  <c r="BF21" i="50" s="1"/>
  <c r="AZ21" i="50"/>
  <c r="AR21" i="50"/>
  <c r="AQ21" i="50" s="1"/>
  <c r="AB21" i="50"/>
  <c r="EL21" i="50" s="1"/>
  <c r="Z21" i="50"/>
  <c r="EJ21" i="50" s="1"/>
  <c r="R21" i="50"/>
  <c r="T21" i="50" s="1"/>
  <c r="D21" i="50"/>
  <c r="C21" i="50" s="1"/>
  <c r="EV20" i="50"/>
  <c r="EU20" i="50"/>
  <c r="ET20" i="50"/>
  <c r="ES20" i="50"/>
  <c r="ER20" i="50"/>
  <c r="EQ20" i="50"/>
  <c r="EP20" i="50"/>
  <c r="EO20" i="50"/>
  <c r="EN20" i="50"/>
  <c r="EK20" i="50"/>
  <c r="EH20" i="50"/>
  <c r="EG20" i="50"/>
  <c r="EF20" i="50"/>
  <c r="EC20" i="50"/>
  <c r="EA20" i="50"/>
  <c r="DZ20" i="50"/>
  <c r="DY20" i="50"/>
  <c r="DX20" i="50"/>
  <c r="DW20" i="50"/>
  <c r="BL20" i="50"/>
  <c r="BM20" i="50" s="1"/>
  <c r="BN20" i="50" s="1"/>
  <c r="BE20" i="50"/>
  <c r="BF20" i="50" s="1"/>
  <c r="BG20" i="50" s="1"/>
  <c r="AR20" i="50"/>
  <c r="AQ20" i="50" s="1"/>
  <c r="Z20" i="50"/>
  <c r="EJ20" i="50" s="1"/>
  <c r="R20" i="50"/>
  <c r="T20" i="50" s="1"/>
  <c r="D20" i="50"/>
  <c r="C20" i="50" s="1"/>
  <c r="EV19" i="50"/>
  <c r="EU19" i="50"/>
  <c r="ET19" i="50"/>
  <c r="ES19" i="50"/>
  <c r="ER19" i="50"/>
  <c r="EQ19" i="50"/>
  <c r="EP19" i="50"/>
  <c r="EO19" i="50"/>
  <c r="EK19" i="50"/>
  <c r="EI19" i="50"/>
  <c r="EH19" i="50"/>
  <c r="EG19" i="50"/>
  <c r="EF19" i="50"/>
  <c r="EC19" i="50"/>
  <c r="EB19" i="50"/>
  <c r="EA19" i="50"/>
  <c r="DZ19" i="50"/>
  <c r="DY19" i="50"/>
  <c r="DX19" i="50"/>
  <c r="DW19" i="50"/>
  <c r="BH19" i="50"/>
  <c r="BL19" i="50" s="1"/>
  <c r="BM19" i="50" s="1"/>
  <c r="BE19" i="50"/>
  <c r="BF19" i="50" s="1"/>
  <c r="AZ19" i="50"/>
  <c r="AR19" i="50"/>
  <c r="AQ19" i="50" s="1"/>
  <c r="AB19" i="50"/>
  <c r="EL19" i="50" s="1"/>
  <c r="Z19" i="50"/>
  <c r="EJ19" i="50" s="1"/>
  <c r="T19" i="50"/>
  <c r="ED19" i="50" s="1"/>
  <c r="J19" i="50"/>
  <c r="I19" i="50"/>
  <c r="H19" i="50"/>
  <c r="F19" i="50"/>
  <c r="D19" i="50" s="1"/>
  <c r="EV18" i="50"/>
  <c r="EU18" i="50"/>
  <c r="ET18" i="50"/>
  <c r="ES18" i="50"/>
  <c r="ER18" i="50"/>
  <c r="EQ18" i="50"/>
  <c r="EP18" i="50"/>
  <c r="EO18" i="50"/>
  <c r="EN18" i="50"/>
  <c r="EK18" i="50"/>
  <c r="EH18" i="50"/>
  <c r="EG18" i="50"/>
  <c r="EF18" i="50"/>
  <c r="EC18" i="50"/>
  <c r="EA18" i="50"/>
  <c r="DZ18" i="50"/>
  <c r="DY18" i="50"/>
  <c r="DX18" i="50"/>
  <c r="DW18" i="50"/>
  <c r="BH18" i="50"/>
  <c r="BL18" i="50" s="1"/>
  <c r="BM18" i="50" s="1"/>
  <c r="BA18" i="50"/>
  <c r="BE18" i="50" s="1"/>
  <c r="BF18" i="50" s="1"/>
  <c r="AZ18" i="50"/>
  <c r="AR18" i="50"/>
  <c r="AQ18" i="50" s="1"/>
  <c r="Z18" i="50"/>
  <c r="EJ18" i="50" s="1"/>
  <c r="D18" i="50"/>
  <c r="C18" i="50" s="1"/>
  <c r="EV17" i="50"/>
  <c r="EU17" i="50"/>
  <c r="ET17" i="50"/>
  <c r="ES17" i="50"/>
  <c r="ER17" i="50"/>
  <c r="EQ17" i="50"/>
  <c r="EP17" i="50"/>
  <c r="EO17" i="50"/>
  <c r="EN17" i="50"/>
  <c r="EK17" i="50"/>
  <c r="EH17" i="50"/>
  <c r="EG17" i="50"/>
  <c r="EF17" i="50"/>
  <c r="EC17" i="50"/>
  <c r="EB17" i="50"/>
  <c r="EA17" i="50"/>
  <c r="DZ17" i="50"/>
  <c r="BI17" i="50"/>
  <c r="BI10" i="50" s="1"/>
  <c r="BI9" i="50" s="1"/>
  <c r="BH17" i="50"/>
  <c r="BL17" i="50" s="1"/>
  <c r="BM17" i="50" s="1"/>
  <c r="BA17" i="50"/>
  <c r="BE17" i="50" s="1"/>
  <c r="BF17" i="50" s="1"/>
  <c r="AZ17" i="50"/>
  <c r="AR17" i="50"/>
  <c r="AQ17" i="50" s="1"/>
  <c r="Z17" i="50"/>
  <c r="EJ17" i="50" s="1"/>
  <c r="T17" i="50"/>
  <c r="ED17" i="50" s="1"/>
  <c r="O17" i="50"/>
  <c r="O318" i="50" s="1"/>
  <c r="N17" i="50"/>
  <c r="DX17" i="50" s="1"/>
  <c r="M17" i="50"/>
  <c r="D17" i="50"/>
  <c r="C17" i="50" s="1"/>
  <c r="EV16" i="50"/>
  <c r="EU16" i="50"/>
  <c r="ET16" i="50"/>
  <c r="ES16" i="50"/>
  <c r="ER16" i="50"/>
  <c r="EQ16" i="50"/>
  <c r="EP16" i="50"/>
  <c r="EO16" i="50"/>
  <c r="EN16" i="50"/>
  <c r="EK16" i="50"/>
  <c r="EH16" i="50"/>
  <c r="EF16" i="50"/>
  <c r="EC16" i="50"/>
  <c r="EB16" i="50"/>
  <c r="EA16" i="50"/>
  <c r="DZ16" i="50"/>
  <c r="DY16" i="50"/>
  <c r="BL16" i="50"/>
  <c r="BM16" i="50" s="1"/>
  <c r="BA16" i="50"/>
  <c r="BE16" i="50" s="1"/>
  <c r="BF16" i="50" s="1"/>
  <c r="AZ16" i="50"/>
  <c r="AR16" i="50"/>
  <c r="AQ16" i="50" s="1"/>
  <c r="Z16" i="50"/>
  <c r="EJ16" i="50" s="1"/>
  <c r="W16" i="50"/>
  <c r="W10" i="50" s="1"/>
  <c r="W9" i="50" s="1"/>
  <c r="T16" i="50"/>
  <c r="ED16" i="50" s="1"/>
  <c r="N16" i="50"/>
  <c r="DX16" i="50" s="1"/>
  <c r="M16" i="50"/>
  <c r="DW16" i="50" s="1"/>
  <c r="D16" i="50"/>
  <c r="C16" i="50" s="1"/>
  <c r="EV15" i="50"/>
  <c r="EU15" i="50"/>
  <c r="ET15" i="50"/>
  <c r="ES15" i="50"/>
  <c r="ER15" i="50"/>
  <c r="EQ15" i="50"/>
  <c r="EP15" i="50"/>
  <c r="EO15" i="50"/>
  <c r="EN15" i="50"/>
  <c r="EK15" i="50"/>
  <c r="EH15" i="50"/>
  <c r="EG15" i="50"/>
  <c r="EF15" i="50"/>
  <c r="EC15" i="50"/>
  <c r="EA15" i="50"/>
  <c r="DZ15" i="50"/>
  <c r="DY15" i="50"/>
  <c r="DX15" i="50"/>
  <c r="DW15" i="50"/>
  <c r="BN15" i="50"/>
  <c r="BG15" i="50"/>
  <c r="BE15" i="50"/>
  <c r="Z15" i="50"/>
  <c r="Y15" i="50" s="1"/>
  <c r="R15" i="50"/>
  <c r="EB15" i="50" s="1"/>
  <c r="EV14" i="50"/>
  <c r="EU14" i="50"/>
  <c r="ET14" i="50"/>
  <c r="ES14" i="50"/>
  <c r="ER14" i="50"/>
  <c r="EQ14" i="50"/>
  <c r="EP14" i="50"/>
  <c r="EO14" i="50"/>
  <c r="EN14" i="50"/>
  <c r="EK14" i="50"/>
  <c r="EI14" i="50"/>
  <c r="EH14" i="50"/>
  <c r="EG14" i="50"/>
  <c r="EC14" i="50"/>
  <c r="EA14" i="50"/>
  <c r="DZ14" i="50"/>
  <c r="DY14" i="50"/>
  <c r="DX14" i="50"/>
  <c r="DW14" i="50"/>
  <c r="BH14" i="50"/>
  <c r="BL14" i="50" s="1"/>
  <c r="BM14" i="50" s="1"/>
  <c r="BA14" i="50"/>
  <c r="EB14" i="50" s="1"/>
  <c r="AZ14" i="50"/>
  <c r="AR14" i="50"/>
  <c r="AQ14" i="50" s="1"/>
  <c r="AB14" i="50"/>
  <c r="EL14" i="50" s="1"/>
  <c r="V14" i="50"/>
  <c r="Z14" i="50" s="1"/>
  <c r="EJ14" i="50" s="1"/>
  <c r="D14" i="50"/>
  <c r="C14" i="50" s="1"/>
  <c r="EV13" i="50"/>
  <c r="EU13" i="50"/>
  <c r="ET13" i="50"/>
  <c r="ES13" i="50"/>
  <c r="ER13" i="50"/>
  <c r="EQ13" i="50"/>
  <c r="EP13" i="50"/>
  <c r="EO13" i="50"/>
  <c r="EN13" i="50"/>
  <c r="EK13" i="50"/>
  <c r="EH13" i="50"/>
  <c r="EG13" i="50"/>
  <c r="EC13" i="50"/>
  <c r="EB13" i="50"/>
  <c r="EA13" i="50"/>
  <c r="DZ13" i="50"/>
  <c r="DY13" i="50"/>
  <c r="DX13" i="50"/>
  <c r="DW13" i="50"/>
  <c r="BH13" i="50"/>
  <c r="BL13" i="50" s="1"/>
  <c r="BM13" i="50" s="1"/>
  <c r="BN13" i="50" s="1"/>
  <c r="BA13" i="50"/>
  <c r="BE13" i="50" s="1"/>
  <c r="BF13" i="50" s="1"/>
  <c r="AZ13" i="50"/>
  <c r="AR13" i="50"/>
  <c r="AQ13" i="50" s="1"/>
  <c r="V13" i="50"/>
  <c r="EF13" i="50" s="1"/>
  <c r="T13" i="50"/>
  <c r="ED13" i="50" s="1"/>
  <c r="D13" i="50"/>
  <c r="C13" i="50" s="1"/>
  <c r="EV12" i="50"/>
  <c r="EU12" i="50"/>
  <c r="ET12" i="50"/>
  <c r="ES12" i="50"/>
  <c r="ER12" i="50"/>
  <c r="EQ12" i="50"/>
  <c r="EP12" i="50"/>
  <c r="EO12" i="50"/>
  <c r="EN12" i="50"/>
  <c r="EK12" i="50"/>
  <c r="EI12" i="50"/>
  <c r="EH12" i="50"/>
  <c r="EG12" i="50"/>
  <c r="EC12" i="50"/>
  <c r="EB12" i="50"/>
  <c r="EA12" i="50"/>
  <c r="DZ12" i="50"/>
  <c r="DY12" i="50"/>
  <c r="BH12" i="50"/>
  <c r="BL12" i="50" s="1"/>
  <c r="BA12" i="50"/>
  <c r="BE12" i="50" s="1"/>
  <c r="BF12" i="50" s="1"/>
  <c r="AZ12" i="50"/>
  <c r="AR12" i="50"/>
  <c r="AQ12" i="50" s="1"/>
  <c r="AB12" i="50"/>
  <c r="EL12" i="50" s="1"/>
  <c r="V12" i="50"/>
  <c r="Z12" i="50" s="1"/>
  <c r="T12" i="50"/>
  <c r="ED12" i="50" s="1"/>
  <c r="D12" i="50"/>
  <c r="C12" i="50" s="1"/>
  <c r="EV11" i="50"/>
  <c r="EU11" i="50"/>
  <c r="ET11" i="50"/>
  <c r="ES11" i="50"/>
  <c r="ER11" i="50"/>
  <c r="EQ11" i="50"/>
  <c r="EP11" i="50"/>
  <c r="EO11" i="50"/>
  <c r="EN11" i="50"/>
  <c r="EK11" i="50"/>
  <c r="EH11" i="50"/>
  <c r="EG11" i="50"/>
  <c r="EC11" i="50"/>
  <c r="EB11" i="50"/>
  <c r="EA11" i="50"/>
  <c r="DZ11" i="50"/>
  <c r="DY11" i="50"/>
  <c r="DW11" i="50"/>
  <c r="BO11" i="50"/>
  <c r="BO10" i="50" s="1"/>
  <c r="BO9" i="50" s="1"/>
  <c r="BH11" i="50"/>
  <c r="BL11" i="50" s="1"/>
  <c r="BM11" i="50" s="1"/>
  <c r="BN11" i="50" s="1"/>
  <c r="BA11" i="50"/>
  <c r="BE11" i="50" s="1"/>
  <c r="AZ11" i="50"/>
  <c r="AR11" i="50"/>
  <c r="AQ11" i="50" s="1"/>
  <c r="V11" i="50"/>
  <c r="EF11" i="50" s="1"/>
  <c r="T11" i="50"/>
  <c r="ED11" i="50" s="1"/>
  <c r="N11" i="50"/>
  <c r="D11" i="50"/>
  <c r="C11" i="50" s="1"/>
  <c r="BW10" i="50"/>
  <c r="BW9" i="50" s="1"/>
  <c r="BV10" i="50"/>
  <c r="BV9" i="50" s="1"/>
  <c r="BU10" i="50"/>
  <c r="BU9" i="50" s="1"/>
  <c r="BT10" i="50"/>
  <c r="BT9" i="50" s="1"/>
  <c r="BS10" i="50"/>
  <c r="BS9" i="50" s="1"/>
  <c r="BR10" i="50"/>
  <c r="BR9" i="50" s="1"/>
  <c r="BQ10" i="50"/>
  <c r="BQ9" i="50" s="1"/>
  <c r="BP10" i="50"/>
  <c r="BP9" i="50" s="1"/>
  <c r="BK10" i="50"/>
  <c r="BK9" i="50" s="1"/>
  <c r="BJ10" i="50"/>
  <c r="BJ9" i="50" s="1"/>
  <c r="BD10" i="50"/>
  <c r="BD9" i="50" s="1"/>
  <c r="BC10" i="50"/>
  <c r="BC9" i="50" s="1"/>
  <c r="BB10" i="50"/>
  <c r="BB9" i="50" s="1"/>
  <c r="AX10" i="50"/>
  <c r="AX9" i="50" s="1"/>
  <c r="AW10" i="50"/>
  <c r="AW9" i="50" s="1"/>
  <c r="AV10" i="50"/>
  <c r="AV9" i="50" s="1"/>
  <c r="AU10" i="50"/>
  <c r="AU9" i="50" s="1"/>
  <c r="AT10" i="50"/>
  <c r="AT9" i="50" s="1"/>
  <c r="AS10" i="50"/>
  <c r="AS9" i="50" s="1"/>
  <c r="AM10" i="50"/>
  <c r="AM9" i="50" s="1"/>
  <c r="AL10" i="50"/>
  <c r="AL9" i="50" s="1"/>
  <c r="AG10" i="50"/>
  <c r="AG9" i="50" s="1"/>
  <c r="AF10" i="50"/>
  <c r="AF9" i="50" s="1"/>
  <c r="AA10" i="50"/>
  <c r="AA9" i="50" s="1"/>
  <c r="X10" i="50"/>
  <c r="X9" i="50" s="1"/>
  <c r="Q10" i="50"/>
  <c r="Q9" i="50" s="1"/>
  <c r="P10" i="50"/>
  <c r="P9" i="50" s="1"/>
  <c r="I10" i="50"/>
  <c r="I9" i="50" s="1"/>
  <c r="G10" i="50"/>
  <c r="G9" i="50" s="1"/>
  <c r="E10" i="50"/>
  <c r="E9" i="50" s="1"/>
  <c r="AE9" i="50"/>
  <c r="D66" i="22"/>
  <c r="C66" i="22"/>
  <c r="D51" i="22"/>
  <c r="C51" i="22"/>
  <c r="D50" i="22"/>
  <c r="C50" i="22"/>
  <c r="C66" i="20"/>
  <c r="D51" i="20"/>
  <c r="C51" i="20"/>
  <c r="D48" i="21"/>
  <c r="C50" i="21"/>
  <c r="D50" i="21" s="1"/>
  <c r="C49" i="21"/>
  <c r="C48" i="21"/>
  <c r="C66" i="19"/>
  <c r="E66" i="19" s="1"/>
  <c r="D51" i="19"/>
  <c r="C51" i="19"/>
  <c r="D50" i="19"/>
  <c r="C50" i="19"/>
  <c r="D66" i="17"/>
  <c r="C66" i="17"/>
  <c r="D51" i="17"/>
  <c r="C51" i="17"/>
  <c r="H46" i="17" s="1"/>
  <c r="D50" i="17"/>
  <c r="C50" i="17"/>
  <c r="D66" i="16"/>
  <c r="C66" i="16"/>
  <c r="D51" i="16"/>
  <c r="C51" i="16"/>
  <c r="D50" i="16"/>
  <c r="C50" i="16"/>
  <c r="D66" i="15"/>
  <c r="C66" i="15"/>
  <c r="D51" i="15"/>
  <c r="C51" i="15"/>
  <c r="D50" i="15"/>
  <c r="C50" i="15"/>
  <c r="C66" i="14"/>
  <c r="D66" i="14" s="1"/>
  <c r="C62" i="14"/>
  <c r="D51" i="14"/>
  <c r="C51" i="14"/>
  <c r="D50" i="14"/>
  <c r="C50" i="14"/>
  <c r="D48" i="14"/>
  <c r="C48" i="14"/>
  <c r="D49" i="9"/>
  <c r="D50" i="9"/>
  <c r="C51" i="9"/>
  <c r="D51" i="9" s="1"/>
  <c r="C59" i="9"/>
  <c r="D59" i="9" s="1"/>
  <c r="D52" i="9" s="1"/>
  <c r="C52" i="9"/>
  <c r="C66" i="9"/>
  <c r="D66" i="9" s="1"/>
  <c r="E66" i="9" s="1"/>
  <c r="C60" i="9"/>
  <c r="C62" i="9" s="1"/>
  <c r="D62" i="9" s="1"/>
  <c r="D60" i="9" s="1"/>
  <c r="C50" i="9"/>
  <c r="D41" i="9"/>
  <c r="H46" i="20"/>
  <c r="E76" i="36"/>
  <c r="F76" i="36"/>
  <c r="G76" i="36"/>
  <c r="D43" i="15"/>
  <c r="D43" i="9"/>
  <c r="H48" i="22"/>
  <c r="H49" i="22" s="1"/>
  <c r="D50" i="20"/>
  <c r="F67" i="21"/>
  <c r="E67" i="21"/>
  <c r="E66" i="16"/>
  <c r="D74" i="21"/>
  <c r="D79" i="19"/>
  <c r="C11" i="17"/>
  <c r="E67" i="16"/>
  <c r="F67" i="16"/>
  <c r="E68" i="16"/>
  <c r="F68" i="16"/>
  <c r="E66" i="15"/>
  <c r="E67" i="15"/>
  <c r="I48" i="22"/>
  <c r="E26" i="22"/>
  <c r="F26" i="22"/>
  <c r="C40" i="22"/>
  <c r="E48" i="22"/>
  <c r="F48" i="22"/>
  <c r="E49" i="22"/>
  <c r="F49" i="22"/>
  <c r="E50" i="22"/>
  <c r="F50" i="22"/>
  <c r="E51" i="22"/>
  <c r="F51" i="22"/>
  <c r="E52" i="22"/>
  <c r="F52" i="22"/>
  <c r="E53" i="22"/>
  <c r="E54" i="22"/>
  <c r="F54" i="22"/>
  <c r="E55" i="22"/>
  <c r="F55" i="22"/>
  <c r="E56" i="22"/>
  <c r="F56" i="22"/>
  <c r="E57" i="22"/>
  <c r="F57" i="22"/>
  <c r="E58" i="22"/>
  <c r="F58" i="22"/>
  <c r="E59" i="22"/>
  <c r="F59" i="22"/>
  <c r="E60" i="22"/>
  <c r="F60" i="22"/>
  <c r="E61" i="22"/>
  <c r="E62" i="22"/>
  <c r="F62" i="22"/>
  <c r="E63" i="22"/>
  <c r="F63" i="22"/>
  <c r="E64" i="22"/>
  <c r="F64" i="22"/>
  <c r="E65" i="22"/>
  <c r="E66" i="22"/>
  <c r="F66" i="22"/>
  <c r="E67" i="22"/>
  <c r="F67" i="22"/>
  <c r="E68" i="22"/>
  <c r="E35" i="22"/>
  <c r="F35" i="22"/>
  <c r="E36" i="22"/>
  <c r="E37" i="22"/>
  <c r="F37" i="22"/>
  <c r="E38" i="22"/>
  <c r="F38" i="22"/>
  <c r="E39" i="22"/>
  <c r="C11" i="22"/>
  <c r="D45" i="22"/>
  <c r="D44" i="22"/>
  <c r="D41" i="22"/>
  <c r="D42" i="22" s="1"/>
  <c r="D13" i="22"/>
  <c r="D45" i="20"/>
  <c r="D44" i="20"/>
  <c r="D41" i="20"/>
  <c r="C11" i="20"/>
  <c r="AA82" i="50" l="1"/>
  <c r="AA81" i="50" s="1"/>
  <c r="BC97" i="50"/>
  <c r="BC95" i="50" s="1"/>
  <c r="AZ173" i="50"/>
  <c r="V35" i="50"/>
  <c r="J10" i="50"/>
  <c r="J9" i="50" s="1"/>
  <c r="BB97" i="50"/>
  <c r="BB95" i="50" s="1"/>
  <c r="BI97" i="50"/>
  <c r="BI95" i="50" s="1"/>
  <c r="C101" i="50"/>
  <c r="C108" i="50"/>
  <c r="BQ8" i="50"/>
  <c r="BA202" i="50"/>
  <c r="BK149" i="50"/>
  <c r="F10" i="50"/>
  <c r="F9" i="50" s="1"/>
  <c r="M35" i="50"/>
  <c r="BJ62" i="50"/>
  <c r="AM150" i="50"/>
  <c r="P317" i="50"/>
  <c r="L234" i="50"/>
  <c r="U236" i="50"/>
  <c r="BI57" i="50"/>
  <c r="BC57" i="50"/>
  <c r="EQ199" i="50"/>
  <c r="EJ31" i="50"/>
  <c r="Z30" i="50"/>
  <c r="F99" i="50"/>
  <c r="BL199" i="50"/>
  <c r="AZ10" i="50"/>
  <c r="AZ9" i="50" s="1"/>
  <c r="AZ8" i="50" s="1"/>
  <c r="EF12" i="50"/>
  <c r="BG96" i="50"/>
  <c r="N170" i="50"/>
  <c r="T170" i="50"/>
  <c r="AR170" i="50"/>
  <c r="AG150" i="50"/>
  <c r="AG149" i="50" s="1"/>
  <c r="AK150" i="50"/>
  <c r="AK149" i="50" s="1"/>
  <c r="Y180" i="50"/>
  <c r="DX199" i="50"/>
  <c r="C19" i="50"/>
  <c r="G57" i="50"/>
  <c r="N199" i="50"/>
  <c r="AE150" i="50"/>
  <c r="AE149" i="50" s="1"/>
  <c r="BB150" i="50"/>
  <c r="Q150" i="50"/>
  <c r="Q149" i="50" s="1"/>
  <c r="BW150" i="50"/>
  <c r="BW149" i="50" s="1"/>
  <c r="BG138" i="50"/>
  <c r="AY138" i="50" s="1"/>
  <c r="EG166" i="50"/>
  <c r="G199" i="50"/>
  <c r="AZ133" i="50"/>
  <c r="AZ132" i="50" s="1"/>
  <c r="O199" i="50"/>
  <c r="AZ202" i="50"/>
  <c r="BG207" i="50"/>
  <c r="AY207" i="50" s="1"/>
  <c r="R215" i="50"/>
  <c r="T215" i="50" s="1"/>
  <c r="U215" i="50" s="1"/>
  <c r="AZ236" i="50"/>
  <c r="BR149" i="50"/>
  <c r="EA187" i="50"/>
  <c r="EA186" i="50" s="1"/>
  <c r="C166" i="50"/>
  <c r="T36" i="50"/>
  <c r="U36" i="50" s="1"/>
  <c r="DX39" i="50"/>
  <c r="N35" i="50"/>
  <c r="N34" i="50" s="1"/>
  <c r="BQ97" i="50"/>
  <c r="BQ95" i="50" s="1"/>
  <c r="N133" i="50"/>
  <c r="N132" i="50" s="1"/>
  <c r="Z36" i="50"/>
  <c r="V34" i="50"/>
  <c r="EK38" i="50"/>
  <c r="EK35" i="50" s="1"/>
  <c r="EK34" i="50" s="1"/>
  <c r="AA35" i="50"/>
  <c r="AA34" i="50" s="1"/>
  <c r="EG36" i="50"/>
  <c r="W35" i="50"/>
  <c r="W34" i="50" s="1"/>
  <c r="W8" i="50" s="1"/>
  <c r="M156" i="50"/>
  <c r="AZ156" i="50"/>
  <c r="T199" i="50"/>
  <c r="EA199" i="50"/>
  <c r="ER199" i="50"/>
  <c r="EV199" i="50"/>
  <c r="DZ173" i="50"/>
  <c r="EN173" i="50"/>
  <c r="ER173" i="50"/>
  <c r="H10" i="50"/>
  <c r="H9" i="50" s="1"/>
  <c r="AS151" i="50"/>
  <c r="H57" i="50"/>
  <c r="BW57" i="50"/>
  <c r="BI150" i="50"/>
  <c r="BI149" i="50" s="1"/>
  <c r="BT150" i="50"/>
  <c r="BT149" i="50" s="1"/>
  <c r="AY26" i="50"/>
  <c r="BP57" i="50"/>
  <c r="AR130" i="50"/>
  <c r="W150" i="50"/>
  <c r="AB170" i="50"/>
  <c r="EH173" i="50"/>
  <c r="AZ187" i="50"/>
  <c r="EK199" i="50"/>
  <c r="BN236" i="50"/>
  <c r="C23" i="50"/>
  <c r="EP30" i="50"/>
  <c r="EJ30" i="50"/>
  <c r="DZ30" i="50"/>
  <c r="S10" i="50"/>
  <c r="S9" i="50" s="1"/>
  <c r="AH57" i="50"/>
  <c r="BE58" i="50"/>
  <c r="BT57" i="50"/>
  <c r="AE57" i="50"/>
  <c r="S82" i="50"/>
  <c r="S81" i="50" s="1"/>
  <c r="BA122" i="50"/>
  <c r="BA121" i="50" s="1"/>
  <c r="BH122" i="50"/>
  <c r="BH121" i="50" s="1"/>
  <c r="U152" i="50"/>
  <c r="DW151" i="50"/>
  <c r="EP151" i="50"/>
  <c r="ET151" i="50"/>
  <c r="AQ170" i="50"/>
  <c r="BA170" i="50"/>
  <c r="EQ170" i="50"/>
  <c r="EO170" i="50"/>
  <c r="P150" i="50"/>
  <c r="P149" i="50" s="1"/>
  <c r="Z185" i="50"/>
  <c r="BN188" i="50"/>
  <c r="BG196" i="50"/>
  <c r="BH220" i="50"/>
  <c r="D236" i="50"/>
  <c r="AY240" i="50"/>
  <c r="AY234" i="50"/>
  <c r="BA43" i="50"/>
  <c r="AT57" i="50"/>
  <c r="AX57" i="50"/>
  <c r="BQ82" i="50"/>
  <c r="BQ81" i="50" s="1"/>
  <c r="Z88" i="50"/>
  <c r="EJ88" i="50" s="1"/>
  <c r="BE130" i="50"/>
  <c r="EF133" i="50"/>
  <c r="EF132" i="50" s="1"/>
  <c r="BH133" i="50"/>
  <c r="BH132" i="50" s="1"/>
  <c r="AT150" i="50"/>
  <c r="AT149" i="50" s="1"/>
  <c r="AX150" i="50"/>
  <c r="AX149" i="50" s="1"/>
  <c r="M173" i="50"/>
  <c r="M150" i="50" s="1"/>
  <c r="M149" i="50" s="1"/>
  <c r="T26" i="50"/>
  <c r="ED26" i="50" s="1"/>
  <c r="AQ30" i="50"/>
  <c r="AC32" i="50"/>
  <c r="EM32" i="50" s="1"/>
  <c r="BH35" i="50"/>
  <c r="BH34" i="50" s="1"/>
  <c r="AB38" i="50"/>
  <c r="EL38" i="50" s="1"/>
  <c r="BG45" i="50"/>
  <c r="AY45" i="50" s="1"/>
  <c r="D58" i="50"/>
  <c r="BH62" i="50"/>
  <c r="M82" i="50"/>
  <c r="M81" i="50" s="1"/>
  <c r="M80" i="50" s="1"/>
  <c r="BG86" i="50"/>
  <c r="AY86" i="50" s="1"/>
  <c r="C109" i="50"/>
  <c r="S122" i="50"/>
  <c r="S121" i="50" s="1"/>
  <c r="EB123" i="50"/>
  <c r="BJ122" i="50"/>
  <c r="BJ121" i="50" s="1"/>
  <c r="V141" i="50"/>
  <c r="V140" i="50" s="1"/>
  <c r="BQ141" i="50"/>
  <c r="BQ140" i="50" s="1"/>
  <c r="AI150" i="50"/>
  <c r="AI149" i="50" s="1"/>
  <c r="AV150" i="50"/>
  <c r="AV149" i="50" s="1"/>
  <c r="BP150" i="50"/>
  <c r="BP149" i="50" s="1"/>
  <c r="D166" i="50"/>
  <c r="Z166" i="50"/>
  <c r="DY170" i="50"/>
  <c r="EC170" i="50"/>
  <c r="EI170" i="50"/>
  <c r="EP170" i="50"/>
  <c r="ET170" i="50"/>
  <c r="EJ179" i="50"/>
  <c r="D186" i="50"/>
  <c r="BH186" i="50"/>
  <c r="EF187" i="50"/>
  <c r="BF187" i="50"/>
  <c r="BF186" i="50" s="1"/>
  <c r="EN187" i="50"/>
  <c r="EN186" i="50" s="1"/>
  <c r="ER187" i="50"/>
  <c r="ER186" i="50" s="1"/>
  <c r="EV187" i="50"/>
  <c r="EV186" i="50" s="1"/>
  <c r="BN193" i="50"/>
  <c r="AY194" i="50"/>
  <c r="BN196" i="50"/>
  <c r="AA199" i="50"/>
  <c r="AR199" i="50"/>
  <c r="AQ199" i="50" s="1"/>
  <c r="EF199" i="50"/>
  <c r="BG218" i="50"/>
  <c r="AY218" i="50" s="1"/>
  <c r="EH187" i="50"/>
  <c r="EH186" i="50" s="1"/>
  <c r="EP187" i="50"/>
  <c r="EP186" i="50" s="1"/>
  <c r="ET187" i="50"/>
  <c r="ET186" i="50" s="1"/>
  <c r="DX187" i="50"/>
  <c r="DX186" i="50" s="1"/>
  <c r="V150" i="50"/>
  <c r="E150" i="50"/>
  <c r="AL150" i="50"/>
  <c r="AL149" i="50" s="1"/>
  <c r="AH150" i="50"/>
  <c r="AH149" i="50" s="1"/>
  <c r="X150" i="50"/>
  <c r="X149" i="50" s="1"/>
  <c r="BC150" i="50"/>
  <c r="BC149" i="50" s="1"/>
  <c r="BQ150" i="50"/>
  <c r="BQ149" i="50" s="1"/>
  <c r="BU150" i="50"/>
  <c r="BU149" i="50" s="1"/>
  <c r="AC171" i="50"/>
  <c r="I150" i="50"/>
  <c r="I149" i="50" s="1"/>
  <c r="O150" i="50"/>
  <c r="EA170" i="50"/>
  <c r="EG170" i="50"/>
  <c r="BD150" i="50"/>
  <c r="BD149" i="50" s="1"/>
  <c r="AR166" i="50"/>
  <c r="BS150" i="50"/>
  <c r="BS149" i="50" s="1"/>
  <c r="Z156" i="50"/>
  <c r="BO150" i="50"/>
  <c r="EO156" i="50"/>
  <c r="T151" i="50"/>
  <c r="AW150" i="50"/>
  <c r="AW149" i="50" s="1"/>
  <c r="BJ150" i="50"/>
  <c r="BJ149" i="50" s="1"/>
  <c r="AJ150" i="50"/>
  <c r="AJ149" i="50" s="1"/>
  <c r="AU150" i="50"/>
  <c r="AU149" i="50" s="1"/>
  <c r="EB142" i="50"/>
  <c r="EB141" i="50" s="1"/>
  <c r="EB140" i="50" s="1"/>
  <c r="R141" i="50"/>
  <c r="R140" i="50" s="1"/>
  <c r="EB134" i="50"/>
  <c r="R133" i="50"/>
  <c r="R132" i="50" s="1"/>
  <c r="AS97" i="50"/>
  <c r="AS95" i="50" s="1"/>
  <c r="AS80" i="50" s="1"/>
  <c r="AA80" i="50"/>
  <c r="G97" i="50"/>
  <c r="G95" i="50" s="1"/>
  <c r="G80" i="50" s="1"/>
  <c r="P97" i="50"/>
  <c r="P95" i="50" s="1"/>
  <c r="P80" i="50" s="1"/>
  <c r="BR80" i="50"/>
  <c r="BV80" i="50"/>
  <c r="AE97" i="50"/>
  <c r="AE95" i="50" s="1"/>
  <c r="AE80" i="50" s="1"/>
  <c r="EC102" i="50"/>
  <c r="EC97" i="50" s="1"/>
  <c r="EC95" i="50" s="1"/>
  <c r="EK102" i="50"/>
  <c r="EK97" i="50" s="1"/>
  <c r="EK95" i="50" s="1"/>
  <c r="F97" i="50"/>
  <c r="F95" i="50" s="1"/>
  <c r="BA97" i="50"/>
  <c r="BA95" i="50" s="1"/>
  <c r="I97" i="50"/>
  <c r="I95" i="50" s="1"/>
  <c r="I80" i="50" s="1"/>
  <c r="BK97" i="50"/>
  <c r="BK95" i="50" s="1"/>
  <c r="AX8" i="50"/>
  <c r="AJ8" i="50"/>
  <c r="BU8" i="50"/>
  <c r="BW8" i="50"/>
  <c r="BC8" i="50"/>
  <c r="BJ8" i="50"/>
  <c r="DY30" i="50"/>
  <c r="DY141" i="50"/>
  <c r="DY140" i="50" s="1"/>
  <c r="EA151" i="50"/>
  <c r="EN151" i="50"/>
  <c r="ER151" i="50"/>
  <c r="EV151" i="50"/>
  <c r="ED187" i="50"/>
  <c r="DW187" i="50"/>
  <c r="DW186" i="50" s="1"/>
  <c r="EK187" i="50"/>
  <c r="EK186" i="50" s="1"/>
  <c r="EQ187" i="50"/>
  <c r="EQ186" i="50" s="1"/>
  <c r="EU187" i="50"/>
  <c r="EU186" i="50" s="1"/>
  <c r="DW202" i="50"/>
  <c r="EH202" i="50"/>
  <c r="BG206" i="50"/>
  <c r="DZ202" i="50"/>
  <c r="DX151" i="50"/>
  <c r="EH30" i="50"/>
  <c r="EK133" i="50"/>
  <c r="EK132" i="50" s="1"/>
  <c r="EQ133" i="50"/>
  <c r="EQ132" i="50" s="1"/>
  <c r="EU133" i="50"/>
  <c r="EU132" i="50" s="1"/>
  <c r="EN141" i="50"/>
  <c r="EN140" i="50" s="1"/>
  <c r="ER141" i="50"/>
  <c r="ER140" i="50" s="1"/>
  <c r="EV141" i="50"/>
  <c r="EV140" i="50" s="1"/>
  <c r="DZ151" i="50"/>
  <c r="EF151" i="50"/>
  <c r="AY162" i="50"/>
  <c r="EC166" i="50"/>
  <c r="DX170" i="50"/>
  <c r="EB170" i="50"/>
  <c r="EH170" i="50"/>
  <c r="ES170" i="50"/>
  <c r="EA173" i="50"/>
  <c r="EG187" i="50"/>
  <c r="EG186" i="50" s="1"/>
  <c r="EO187" i="50"/>
  <c r="EO186" i="50" s="1"/>
  <c r="ES187" i="50"/>
  <c r="ES186" i="50" s="1"/>
  <c r="EU202" i="50"/>
  <c r="D121" i="50"/>
  <c r="C121" i="50" s="1"/>
  <c r="D30" i="50"/>
  <c r="DW122" i="50"/>
  <c r="DW121" i="50" s="1"/>
  <c r="DY173" i="50"/>
  <c r="EC173" i="50"/>
  <c r="EK173" i="50"/>
  <c r="EQ173" i="50"/>
  <c r="EU173" i="50"/>
  <c r="D187" i="50"/>
  <c r="DZ187" i="50"/>
  <c r="DZ186" i="50" s="1"/>
  <c r="DY199" i="50"/>
  <c r="EN199" i="50"/>
  <c r="DY202" i="50"/>
  <c r="P62" i="50"/>
  <c r="P57" i="50" s="1"/>
  <c r="ES156" i="50"/>
  <c r="EC156" i="50"/>
  <c r="DZ82" i="50"/>
  <c r="DZ81" i="50" s="1"/>
  <c r="DW170" i="50"/>
  <c r="EU170" i="50"/>
  <c r="ET173" i="50"/>
  <c r="EB187" i="50"/>
  <c r="EG199" i="50"/>
  <c r="EA202" i="50"/>
  <c r="U204" i="50"/>
  <c r="EE204" i="50" s="1"/>
  <c r="EK58" i="50"/>
  <c r="ET35" i="50"/>
  <c r="ET34" i="50" s="1"/>
  <c r="N80" i="50"/>
  <c r="E8" i="50"/>
  <c r="I8" i="50"/>
  <c r="EJ134" i="50"/>
  <c r="EJ133" i="50" s="1"/>
  <c r="EJ132" i="50" s="1"/>
  <c r="Z133" i="50"/>
  <c r="Z132" i="50" s="1"/>
  <c r="DZ133" i="50"/>
  <c r="DZ132" i="50" s="1"/>
  <c r="EJ143" i="50"/>
  <c r="ED151" i="50"/>
  <c r="EG156" i="50"/>
  <c r="EN156" i="50"/>
  <c r="ER156" i="50"/>
  <c r="EV156" i="50"/>
  <c r="DW173" i="50"/>
  <c r="T187" i="50"/>
  <c r="C188" i="50"/>
  <c r="C187" i="50" s="1"/>
  <c r="EC187" i="50"/>
  <c r="EC186" i="50" s="1"/>
  <c r="EB199" i="50"/>
  <c r="EO199" i="50"/>
  <c r="ES199" i="50"/>
  <c r="BG217" i="50"/>
  <c r="BG239" i="50"/>
  <c r="EO30" i="50"/>
  <c r="ES30" i="50"/>
  <c r="EL134" i="50"/>
  <c r="EA133" i="50"/>
  <c r="EA132" i="50" s="1"/>
  <c r="EH133" i="50"/>
  <c r="EH132" i="50" s="1"/>
  <c r="EO133" i="50"/>
  <c r="EO132" i="50" s="1"/>
  <c r="ES133" i="50"/>
  <c r="ES132" i="50" s="1"/>
  <c r="EG141" i="50"/>
  <c r="EG140" i="50" s="1"/>
  <c r="EO141" i="50"/>
  <c r="EO140" i="50" s="1"/>
  <c r="ES141" i="50"/>
  <c r="ES140" i="50" s="1"/>
  <c r="DX141" i="50"/>
  <c r="DX140" i="50" s="1"/>
  <c r="S150" i="50"/>
  <c r="DY156" i="50"/>
  <c r="DZ170" i="50"/>
  <c r="AR82" i="50"/>
  <c r="AR81" i="50" s="1"/>
  <c r="EQ122" i="50"/>
  <c r="EQ121" i="50" s="1"/>
  <c r="AR133" i="50"/>
  <c r="EG151" i="50"/>
  <c r="EQ151" i="50"/>
  <c r="EU151" i="50"/>
  <c r="DW156" i="50"/>
  <c r="EB173" i="50"/>
  <c r="EP173" i="50"/>
  <c r="EQ202" i="50"/>
  <c r="U221" i="50"/>
  <c r="U220" i="50" s="1"/>
  <c r="ET133" i="50"/>
  <c r="ET132" i="50" s="1"/>
  <c r="AC164" i="50"/>
  <c r="EM164" i="50" s="1"/>
  <c r="AR132" i="50"/>
  <c r="AQ132" i="50" s="1"/>
  <c r="T134" i="50"/>
  <c r="U134" i="50" s="1"/>
  <c r="BE133" i="50"/>
  <c r="BE132" i="50" s="1"/>
  <c r="EP133" i="50"/>
  <c r="EP132" i="50" s="1"/>
  <c r="BF134" i="50"/>
  <c r="BG134" i="50" s="1"/>
  <c r="DY133" i="50"/>
  <c r="DY132" i="50" s="1"/>
  <c r="E97" i="50"/>
  <c r="E95" i="50" s="1"/>
  <c r="E80" i="50" s="1"/>
  <c r="EA102" i="50"/>
  <c r="EA97" i="50" s="1"/>
  <c r="EA95" i="50" s="1"/>
  <c r="EH102" i="50"/>
  <c r="EH97" i="50" s="1"/>
  <c r="EH95" i="50" s="1"/>
  <c r="EP102" i="50"/>
  <c r="EP97" i="50" s="1"/>
  <c r="EP95" i="50" s="1"/>
  <c r="AG80" i="50"/>
  <c r="BK80" i="50"/>
  <c r="O97" i="50"/>
  <c r="O95" i="50" s="1"/>
  <c r="O80" i="50" s="1"/>
  <c r="AU97" i="50"/>
  <c r="AU95" i="50" s="1"/>
  <c r="AU80" i="50" s="1"/>
  <c r="R102" i="50"/>
  <c r="T102" i="50" s="1"/>
  <c r="EF58" i="50"/>
  <c r="EP82" i="50"/>
  <c r="EP81" i="50" s="1"/>
  <c r="U89" i="50"/>
  <c r="EE89" i="50" s="1"/>
  <c r="ES102" i="50"/>
  <c r="ES97" i="50" s="1"/>
  <c r="ES95" i="50" s="1"/>
  <c r="EC35" i="50"/>
  <c r="EC34" i="50" s="1"/>
  <c r="U64" i="50"/>
  <c r="EE64" i="50" s="1"/>
  <c r="EO35" i="50"/>
  <c r="EO34" i="50" s="1"/>
  <c r="DZ35" i="50"/>
  <c r="DZ34" i="50" s="1"/>
  <c r="EO82" i="50"/>
  <c r="EO81" i="50" s="1"/>
  <c r="ES82" i="50"/>
  <c r="ES81" i="50" s="1"/>
  <c r="Y106" i="50"/>
  <c r="EI106" i="50" s="1"/>
  <c r="EP10" i="50"/>
  <c r="EP9" i="50" s="1"/>
  <c r="DZ10" i="50"/>
  <c r="DZ9" i="50" s="1"/>
  <c r="EG35" i="50"/>
  <c r="EG34" i="50" s="1"/>
  <c r="AC40" i="50"/>
  <c r="EM40" i="50" s="1"/>
  <c r="EH58" i="50"/>
  <c r="AY15" i="50"/>
  <c r="BG18" i="50"/>
  <c r="EQ35" i="50"/>
  <c r="EQ34" i="50" s="1"/>
  <c r="Y50" i="50"/>
  <c r="AB50" i="50" s="1"/>
  <c r="AC50" i="50" s="1"/>
  <c r="EM50" i="50" s="1"/>
  <c r="EH82" i="50"/>
  <c r="EH81" i="50" s="1"/>
  <c r="ET82" i="50"/>
  <c r="ET81" i="50" s="1"/>
  <c r="AY106" i="50"/>
  <c r="DW102" i="50"/>
  <c r="DW97" i="50" s="1"/>
  <c r="DW95" i="50" s="1"/>
  <c r="BI80" i="50"/>
  <c r="BB80" i="50"/>
  <c r="AX80" i="50"/>
  <c r="BT80" i="50"/>
  <c r="DW12" i="50"/>
  <c r="M10" i="50"/>
  <c r="M9" i="50" s="1"/>
  <c r="EH10" i="50"/>
  <c r="EH9" i="50" s="1"/>
  <c r="BH10" i="50"/>
  <c r="BH9" i="50" s="1"/>
  <c r="U11" i="50"/>
  <c r="BE14" i="50"/>
  <c r="BF14" i="50" s="1"/>
  <c r="BG14" i="50" s="1"/>
  <c r="U17" i="50"/>
  <c r="EE17" i="50" s="1"/>
  <c r="BN23" i="50"/>
  <c r="T24" i="50"/>
  <c r="U24" i="50" s="1"/>
  <c r="EE24" i="50" s="1"/>
  <c r="EF30" i="50"/>
  <c r="AT35" i="50"/>
  <c r="AT34" i="50" s="1"/>
  <c r="ES35" i="50"/>
  <c r="ES34" i="50" s="1"/>
  <c r="EP35" i="50"/>
  <c r="EP34" i="50" s="1"/>
  <c r="AY39" i="50"/>
  <c r="AT43" i="50"/>
  <c r="AT8" i="50" s="1"/>
  <c r="BG44" i="50"/>
  <c r="EN58" i="50"/>
  <c r="BO57" i="50"/>
  <c r="V62" i="50"/>
  <c r="T63" i="50"/>
  <c r="ED63" i="50" s="1"/>
  <c r="AY68" i="50"/>
  <c r="U69" i="50"/>
  <c r="EE69" i="50" s="1"/>
  <c r="DW69" i="50"/>
  <c r="S71" i="50"/>
  <c r="EC71" i="50" s="1"/>
  <c r="AY72" i="50"/>
  <c r="Y75" i="50"/>
  <c r="EI75" i="50" s="1"/>
  <c r="S80" i="50"/>
  <c r="BA82" i="50"/>
  <c r="BA81" i="50" s="1"/>
  <c r="BH82" i="50"/>
  <c r="BH81" i="50" s="1"/>
  <c r="Z83" i="50"/>
  <c r="EJ83" i="50" s="1"/>
  <c r="EG82" i="50"/>
  <c r="EG81" i="50" s="1"/>
  <c r="BG87" i="50"/>
  <c r="AQ92" i="50"/>
  <c r="AQ82" i="50" s="1"/>
  <c r="AQ81" i="50" s="1"/>
  <c r="BG93" i="50"/>
  <c r="AY93" i="50" s="1"/>
  <c r="BL99" i="50"/>
  <c r="J97" i="50"/>
  <c r="J95" i="50" s="1"/>
  <c r="J80" i="50" s="1"/>
  <c r="EF122" i="50"/>
  <c r="EF121" i="50" s="1"/>
  <c r="DY35" i="50"/>
  <c r="DY34" i="50" s="1"/>
  <c r="V57" i="50"/>
  <c r="Y65" i="50"/>
  <c r="EI65" i="50" s="1"/>
  <c r="EO62" i="50"/>
  <c r="EO57" i="50" s="1"/>
  <c r="V82" i="50"/>
  <c r="V81" i="50" s="1"/>
  <c r="V80" i="50" s="1"/>
  <c r="DX11" i="50"/>
  <c r="EQ10" i="50"/>
  <c r="EQ9" i="50" s="1"/>
  <c r="EU10" i="50"/>
  <c r="EU9" i="50" s="1"/>
  <c r="N10" i="50"/>
  <c r="N9" i="50" s="1"/>
  <c r="ET10" i="50"/>
  <c r="ET9" i="50" s="1"/>
  <c r="BG16" i="50"/>
  <c r="U19" i="50"/>
  <c r="EE19" i="50" s="1"/>
  <c r="BG21" i="50"/>
  <c r="Y23" i="50"/>
  <c r="EI23" i="50" s="1"/>
  <c r="AY28" i="50"/>
  <c r="BE35" i="50"/>
  <c r="BE34" i="50" s="1"/>
  <c r="EU35" i="50"/>
  <c r="EU34" i="50" s="1"/>
  <c r="T42" i="50"/>
  <c r="ED42" i="50" s="1"/>
  <c r="N43" i="50"/>
  <c r="BH43" i="50"/>
  <c r="BN48" i="50"/>
  <c r="AY48" i="50" s="1"/>
  <c r="T52" i="50"/>
  <c r="U52" i="50" s="1"/>
  <c r="EE52" i="50" s="1"/>
  <c r="O62" i="50"/>
  <c r="O57" i="50" s="1"/>
  <c r="BN65" i="50"/>
  <c r="AY66" i="50"/>
  <c r="DY82" i="50"/>
  <c r="DY81" i="50" s="1"/>
  <c r="BG90" i="50"/>
  <c r="AY90" i="50" s="1"/>
  <c r="AT99" i="50"/>
  <c r="AT97" i="50" s="1"/>
  <c r="AT95" i="50" s="1"/>
  <c r="AT80" i="50" s="1"/>
  <c r="BJ97" i="50"/>
  <c r="BJ95" i="50" s="1"/>
  <c r="BJ80" i="50" s="1"/>
  <c r="BP97" i="50"/>
  <c r="BP95" i="50" s="1"/>
  <c r="BP80" i="50" s="1"/>
  <c r="EA122" i="50"/>
  <c r="EA121" i="50" s="1"/>
  <c r="EC25" i="50"/>
  <c r="EC10" i="50" s="1"/>
  <c r="EC9" i="50" s="1"/>
  <c r="AY29" i="50"/>
  <c r="BH30" i="50"/>
  <c r="EK30" i="50"/>
  <c r="EA35" i="50"/>
  <c r="EA34" i="50" s="1"/>
  <c r="EH35" i="50"/>
  <c r="EH34" i="50" s="1"/>
  <c r="C43" i="50"/>
  <c r="BJ57" i="50"/>
  <c r="DY58" i="50"/>
  <c r="EP58" i="50"/>
  <c r="ET58" i="50"/>
  <c r="AF80" i="50"/>
  <c r="BG85" i="50"/>
  <c r="AY85" i="50" s="1"/>
  <c r="Y96" i="50"/>
  <c r="AB96" i="50" s="1"/>
  <c r="AB95" i="50" s="1"/>
  <c r="AZ97" i="50"/>
  <c r="AZ95" i="50" s="1"/>
  <c r="BD97" i="50"/>
  <c r="BD95" i="50" s="1"/>
  <c r="BD80" i="50" s="1"/>
  <c r="EB109" i="50"/>
  <c r="T109" i="50"/>
  <c r="U109" i="50" s="1"/>
  <c r="EE109" i="50" s="1"/>
  <c r="EK127" i="50"/>
  <c r="EK122" i="50" s="1"/>
  <c r="EK121" i="50" s="1"/>
  <c r="AA122" i="50"/>
  <c r="AA121" i="50" s="1"/>
  <c r="AB127" i="50"/>
  <c r="EL127" i="50" s="1"/>
  <c r="DY102" i="50"/>
  <c r="DY97" i="50" s="1"/>
  <c r="DY95" i="50" s="1"/>
  <c r="EO102" i="50"/>
  <c r="EO97" i="50" s="1"/>
  <c r="EO95" i="50" s="1"/>
  <c r="AY115" i="50"/>
  <c r="EU122" i="50"/>
  <c r="EU121" i="50" s="1"/>
  <c r="Y125" i="50"/>
  <c r="EI125" i="50" s="1"/>
  <c r="EL131" i="50"/>
  <c r="EL130" i="50" s="1"/>
  <c r="F133" i="50"/>
  <c r="F132" i="50" s="1"/>
  <c r="D132" i="50" s="1"/>
  <c r="C132" i="50" s="1"/>
  <c r="EC133" i="50"/>
  <c r="EC132" i="50" s="1"/>
  <c r="BG137" i="50"/>
  <c r="AC139" i="50"/>
  <c r="EM139" i="50" s="1"/>
  <c r="EC141" i="50"/>
  <c r="EC140" i="50" s="1"/>
  <c r="BL151" i="50"/>
  <c r="C151" i="50"/>
  <c r="EO151" i="50"/>
  <c r="ES151" i="50"/>
  <c r="R155" i="50"/>
  <c r="EB155" i="50" s="1"/>
  <c r="EF156" i="50"/>
  <c r="EK156" i="50"/>
  <c r="Y159" i="50"/>
  <c r="EI159" i="50" s="1"/>
  <c r="EF166" i="50"/>
  <c r="BN168" i="50"/>
  <c r="EF173" i="50"/>
  <c r="EV173" i="50"/>
  <c r="AQ166" i="50"/>
  <c r="D170" i="50"/>
  <c r="BL170" i="50"/>
  <c r="C170" i="50"/>
  <c r="EJ171" i="50"/>
  <c r="EJ170" i="50" s="1"/>
  <c r="Z170" i="50"/>
  <c r="EF170" i="50"/>
  <c r="EK170" i="50"/>
  <c r="T173" i="50"/>
  <c r="Z173" i="50"/>
  <c r="ET102" i="50"/>
  <c r="ET97" i="50" s="1"/>
  <c r="ET95" i="50" s="1"/>
  <c r="BG104" i="50"/>
  <c r="DX102" i="50"/>
  <c r="DX97" i="50" s="1"/>
  <c r="DX95" i="50" s="1"/>
  <c r="EG102" i="50"/>
  <c r="EG97" i="50" s="1"/>
  <c r="EG95" i="50" s="1"/>
  <c r="BG114" i="50"/>
  <c r="EO122" i="50"/>
  <c r="EO121" i="50" s="1"/>
  <c r="ES122" i="50"/>
  <c r="ES121" i="50" s="1"/>
  <c r="Y124" i="50"/>
  <c r="EI124" i="50" s="1"/>
  <c r="AB130" i="50"/>
  <c r="BH130" i="50"/>
  <c r="AC134" i="50"/>
  <c r="EG133" i="50"/>
  <c r="EG132" i="50" s="1"/>
  <c r="DZ141" i="50"/>
  <c r="DZ140" i="50" s="1"/>
  <c r="EH141" i="50"/>
  <c r="EH140" i="50" s="1"/>
  <c r="EP141" i="50"/>
  <c r="EP140" i="50" s="1"/>
  <c r="D141" i="50"/>
  <c r="D140" i="50" s="1"/>
  <c r="U145" i="50"/>
  <c r="EE145" i="50" s="1"/>
  <c r="Y148" i="50"/>
  <c r="AB148" i="50" s="1"/>
  <c r="Z151" i="50"/>
  <c r="BE152" i="50"/>
  <c r="BF152" i="50" s="1"/>
  <c r="BF151" i="50" s="1"/>
  <c r="EK151" i="50"/>
  <c r="BG154" i="50"/>
  <c r="BN156" i="50"/>
  <c r="BG165" i="50"/>
  <c r="BA173" i="50"/>
  <c r="EK141" i="50"/>
  <c r="EK140" i="50" s="1"/>
  <c r="EL165" i="50"/>
  <c r="C174" i="50"/>
  <c r="C173" i="50" s="1"/>
  <c r="D173" i="50"/>
  <c r="AS173" i="50"/>
  <c r="AS150" i="50" s="1"/>
  <c r="AS149" i="50" s="1"/>
  <c r="ED173" i="50"/>
  <c r="EI182" i="50"/>
  <c r="AR187" i="50"/>
  <c r="L190" i="50"/>
  <c r="DV190" i="50" s="1"/>
  <c r="Y196" i="50"/>
  <c r="AB196" i="50" s="1"/>
  <c r="BN198" i="50"/>
  <c r="BH199" i="50"/>
  <c r="BE200" i="50"/>
  <c r="BG201" i="50"/>
  <c r="AY201" i="50" s="1"/>
  <c r="D202" i="50"/>
  <c r="C202" i="50" s="1"/>
  <c r="S202" i="50"/>
  <c r="EG202" i="50"/>
  <c r="BG203" i="50"/>
  <c r="EP202" i="50"/>
  <c r="ET202" i="50"/>
  <c r="AY222" i="50"/>
  <c r="AY223" i="50"/>
  <c r="AY230" i="50"/>
  <c r="AY231" i="50"/>
  <c r="AY232" i="50"/>
  <c r="AR236" i="50"/>
  <c r="AY238" i="50"/>
  <c r="BG210" i="50"/>
  <c r="AY210" i="50" s="1"/>
  <c r="R308" i="50"/>
  <c r="U184" i="50"/>
  <c r="EE184" i="50" s="1"/>
  <c r="BM187" i="50"/>
  <c r="BM186" i="50" s="1"/>
  <c r="BN187" i="50"/>
  <c r="AR202" i="50"/>
  <c r="AQ202" i="50" s="1"/>
  <c r="BH202" i="50"/>
  <c r="EN202" i="50"/>
  <c r="ER202" i="50"/>
  <c r="EV202" i="50"/>
  <c r="BG216" i="50"/>
  <c r="L222" i="50"/>
  <c r="DV222" i="50" s="1"/>
  <c r="EH166" i="50"/>
  <c r="BN170" i="50"/>
  <c r="EN170" i="50"/>
  <c r="ER170" i="50"/>
  <c r="EV170" i="50"/>
  <c r="N173" i="50"/>
  <c r="BL173" i="50"/>
  <c r="EG173" i="50"/>
  <c r="EO173" i="50"/>
  <c r="ES173" i="50"/>
  <c r="AY176" i="50"/>
  <c r="BG178" i="50"/>
  <c r="C179" i="50"/>
  <c r="R179" i="50"/>
  <c r="R181" i="50"/>
  <c r="T181" i="50" s="1"/>
  <c r="ED181" i="50" s="1"/>
  <c r="U185" i="50"/>
  <c r="EE185" i="50" s="1"/>
  <c r="AY185" i="50"/>
  <c r="O186" i="50"/>
  <c r="AZ186" i="50"/>
  <c r="U188" i="50"/>
  <c r="EE188" i="50" s="1"/>
  <c r="BG189" i="50"/>
  <c r="BG193" i="50"/>
  <c r="L197" i="50"/>
  <c r="DV197" i="50" s="1"/>
  <c r="Z199" i="50"/>
  <c r="AA202" i="50"/>
  <c r="BG205" i="50"/>
  <c r="R210" i="50"/>
  <c r="AC221" i="50"/>
  <c r="AC220" i="50" s="1"/>
  <c r="L235" i="50"/>
  <c r="K235" i="50" s="1"/>
  <c r="F83" i="43" s="1"/>
  <c r="U239" i="50"/>
  <c r="AY244" i="50"/>
  <c r="AY245" i="50"/>
  <c r="AY246" i="50"/>
  <c r="K234" i="50"/>
  <c r="BF11" i="50"/>
  <c r="ED68" i="50"/>
  <c r="U68" i="50"/>
  <c r="BN69" i="50"/>
  <c r="Y69" i="50"/>
  <c r="EI69" i="50" s="1"/>
  <c r="AY64" i="50"/>
  <c r="ED20" i="50"/>
  <c r="U20" i="50"/>
  <c r="EE20" i="50" s="1"/>
  <c r="EC72" i="50"/>
  <c r="S62" i="50"/>
  <c r="ED77" i="50"/>
  <c r="U77" i="50"/>
  <c r="EE77" i="50" s="1"/>
  <c r="BN105" i="50"/>
  <c r="Y105" i="50"/>
  <c r="EI105" i="50" s="1"/>
  <c r="AR151" i="50"/>
  <c r="AQ152" i="50"/>
  <c r="AQ151" i="50" s="1"/>
  <c r="BM151" i="50"/>
  <c r="BN152" i="50"/>
  <c r="BN151" i="50" s="1"/>
  <c r="Y152" i="50"/>
  <c r="Y151" i="50" s="1"/>
  <c r="AQ10" i="50"/>
  <c r="AQ9" i="50" s="1"/>
  <c r="U12" i="50"/>
  <c r="EE12" i="50" s="1"/>
  <c r="DX12" i="50"/>
  <c r="EK10" i="50"/>
  <c r="EK9" i="50" s="1"/>
  <c r="EO10" i="50"/>
  <c r="EO9" i="50" s="1"/>
  <c r="ES10" i="50"/>
  <c r="ES9" i="50" s="1"/>
  <c r="EJ15" i="50"/>
  <c r="EB20" i="50"/>
  <c r="BL21" i="50"/>
  <c r="BM21" i="50" s="1"/>
  <c r="BN21" i="50" s="1"/>
  <c r="EA30" i="50"/>
  <c r="EQ30" i="50"/>
  <c r="EU30" i="50"/>
  <c r="EL39" i="50"/>
  <c r="AY42" i="50"/>
  <c r="EL42" i="50"/>
  <c r="AS8" i="50"/>
  <c r="AU8" i="50"/>
  <c r="AW8" i="50"/>
  <c r="BB8" i="50"/>
  <c r="BI8" i="50"/>
  <c r="BK8" i="50"/>
  <c r="BR8" i="50"/>
  <c r="BV8" i="50"/>
  <c r="AY47" i="50"/>
  <c r="EJ58" i="50"/>
  <c r="AU57" i="50"/>
  <c r="AZ57" i="50"/>
  <c r="BD57" i="50"/>
  <c r="BK57" i="50"/>
  <c r="BK248" i="50" s="1"/>
  <c r="BS57" i="50"/>
  <c r="EJ65" i="50"/>
  <c r="EB68" i="50"/>
  <c r="AY70" i="50"/>
  <c r="AY71" i="50"/>
  <c r="T72" i="50"/>
  <c r="ED72" i="50" s="1"/>
  <c r="EB72" i="50"/>
  <c r="EH62" i="50"/>
  <c r="ES62" i="50"/>
  <c r="ES57" i="50" s="1"/>
  <c r="AS57" i="50"/>
  <c r="AW57" i="50"/>
  <c r="EN74" i="50"/>
  <c r="EN62" i="50" s="1"/>
  <c r="F40" i="43"/>
  <c r="M37" i="43" s="1"/>
  <c r="BN123" i="50"/>
  <c r="AY123" i="50" s="1"/>
  <c r="Y123" i="50"/>
  <c r="EI123" i="50" s="1"/>
  <c r="D10" i="50"/>
  <c r="D9" i="50" s="1"/>
  <c r="V10" i="50"/>
  <c r="V9" i="50" s="1"/>
  <c r="AR10" i="50"/>
  <c r="AR9" i="50" s="1"/>
  <c r="BA10" i="50"/>
  <c r="BA9" i="50" s="1"/>
  <c r="Z11" i="50"/>
  <c r="Y11" i="50" s="1"/>
  <c r="BG11" i="50"/>
  <c r="AY11" i="50" s="1"/>
  <c r="EA10" i="50"/>
  <c r="EA9" i="50" s="1"/>
  <c r="ER10" i="50"/>
  <c r="ER9" i="50" s="1"/>
  <c r="EV10" i="50"/>
  <c r="EV9" i="50" s="1"/>
  <c r="BG12" i="50"/>
  <c r="U13" i="50"/>
  <c r="EE13" i="50" s="1"/>
  <c r="Z13" i="50"/>
  <c r="BG13" i="50"/>
  <c r="AY13" i="50" s="1"/>
  <c r="BN14" i="50"/>
  <c r="T15" i="50"/>
  <c r="ED15" i="50" s="1"/>
  <c r="DW17" i="50"/>
  <c r="U23" i="50"/>
  <c r="EE23" i="50" s="1"/>
  <c r="Y24" i="50"/>
  <c r="EI24" i="50" s="1"/>
  <c r="AY24" i="50"/>
  <c r="BG25" i="50"/>
  <c r="AY25" i="50" s="1"/>
  <c r="T28" i="50"/>
  <c r="U28" i="50" s="1"/>
  <c r="EE28" i="50" s="1"/>
  <c r="T29" i="50"/>
  <c r="U29" i="50" s="1"/>
  <c r="EE29" i="50" s="1"/>
  <c r="AR30" i="50"/>
  <c r="C30" i="50"/>
  <c r="EC30" i="50"/>
  <c r="EG30" i="50"/>
  <c r="DW30" i="50"/>
  <c r="AR35" i="50"/>
  <c r="AR34" i="50" s="1"/>
  <c r="AV8" i="50"/>
  <c r="EN35" i="50"/>
  <c r="EN34" i="50" s="1"/>
  <c r="ER35" i="50"/>
  <c r="ER34" i="50" s="1"/>
  <c r="EV35" i="50"/>
  <c r="EV34" i="50" s="1"/>
  <c r="U37" i="50"/>
  <c r="EE37" i="50" s="1"/>
  <c r="U38" i="50"/>
  <c r="EE38" i="50" s="1"/>
  <c r="D39" i="50"/>
  <c r="C39" i="50" s="1"/>
  <c r="C35" i="50" s="1"/>
  <c r="C34" i="50" s="1"/>
  <c r="AQ35" i="50"/>
  <c r="AQ34" i="50" s="1"/>
  <c r="BO8" i="50"/>
  <c r="BS8" i="50"/>
  <c r="U44" i="50"/>
  <c r="EE44" i="50" s="1"/>
  <c r="AQ43" i="50"/>
  <c r="AC46" i="50"/>
  <c r="EM46" i="50" s="1"/>
  <c r="AC47" i="50"/>
  <c r="EM47" i="50" s="1"/>
  <c r="Y49" i="50"/>
  <c r="AB49" i="50" s="1"/>
  <c r="EL49" i="50" s="1"/>
  <c r="T51" i="50"/>
  <c r="Y51" i="50"/>
  <c r="AB51" i="50" s="1"/>
  <c r="EL51" i="50" s="1"/>
  <c r="EG43" i="50"/>
  <c r="AI57" i="50"/>
  <c r="AQ62" i="50"/>
  <c r="BN63" i="50"/>
  <c r="Z62" i="50"/>
  <c r="Z57" i="50" s="1"/>
  <c r="T65" i="50"/>
  <c r="ED65" i="50" s="1"/>
  <c r="BG65" i="50"/>
  <c r="DW65" i="50"/>
  <c r="ER62" i="50"/>
  <c r="ER57" i="50" s="1"/>
  <c r="T67" i="50"/>
  <c r="U67" i="50" s="1"/>
  <c r="EE67" i="50" s="1"/>
  <c r="AC68" i="50"/>
  <c r="EM68" i="50" s="1"/>
  <c r="T71" i="50"/>
  <c r="ED71" i="50" s="1"/>
  <c r="EG62" i="50"/>
  <c r="EP62" i="50"/>
  <c r="ET62" i="50"/>
  <c r="AR62" i="50"/>
  <c r="AV57" i="50"/>
  <c r="BA62" i="50"/>
  <c r="BA57" i="50" s="1"/>
  <c r="BQ57" i="50"/>
  <c r="BU57" i="50"/>
  <c r="BU80" i="50"/>
  <c r="BC80" i="50"/>
  <c r="BF175" i="50"/>
  <c r="BF173" i="50" s="1"/>
  <c r="BE173" i="50"/>
  <c r="BM205" i="50"/>
  <c r="Y205" i="50" s="1"/>
  <c r="EI205" i="50" s="1"/>
  <c r="BL202" i="50"/>
  <c r="ED209" i="50"/>
  <c r="U209" i="50"/>
  <c r="BF211" i="50"/>
  <c r="BG211" i="50" s="1"/>
  <c r="AY211" i="50" s="1"/>
  <c r="BE202" i="50"/>
  <c r="R82" i="50"/>
  <c r="R81" i="50" s="1"/>
  <c r="AZ82" i="50"/>
  <c r="AZ81" i="50" s="1"/>
  <c r="D82" i="50"/>
  <c r="D81" i="50" s="1"/>
  <c r="T83" i="50"/>
  <c r="U84" i="50"/>
  <c r="EE84" i="50" s="1"/>
  <c r="BG84" i="50"/>
  <c r="BN84" i="50"/>
  <c r="DW82" i="50"/>
  <c r="DW81" i="50" s="1"/>
  <c r="EA82" i="50"/>
  <c r="EA81" i="50" s="1"/>
  <c r="EQ82" i="50"/>
  <c r="EQ81" i="50" s="1"/>
  <c r="EU82" i="50"/>
  <c r="EU81" i="50" s="1"/>
  <c r="EN82" i="50"/>
  <c r="EN81" i="50" s="1"/>
  <c r="ER82" i="50"/>
  <c r="ER81" i="50" s="1"/>
  <c r="EV82" i="50"/>
  <c r="EV81" i="50" s="1"/>
  <c r="EC82" i="50"/>
  <c r="EC81" i="50" s="1"/>
  <c r="EK82" i="50"/>
  <c r="EK81" i="50" s="1"/>
  <c r="U88" i="50"/>
  <c r="EE88" i="50" s="1"/>
  <c r="AC88" i="50"/>
  <c r="EM88" i="50" s="1"/>
  <c r="BG88" i="50"/>
  <c r="EL89" i="50"/>
  <c r="Y92" i="50"/>
  <c r="AB92" i="50" s="1"/>
  <c r="AW80" i="50"/>
  <c r="BN98" i="50"/>
  <c r="AY98" i="50" s="1"/>
  <c r="BO97" i="50"/>
  <c r="BO95" i="50" s="1"/>
  <c r="BO80" i="50" s="1"/>
  <c r="EB100" i="50"/>
  <c r="AV97" i="50"/>
  <c r="AV95" i="50" s="1"/>
  <c r="AV80" i="50" s="1"/>
  <c r="BH97" i="50"/>
  <c r="BH95" i="50" s="1"/>
  <c r="BH80" i="50" s="1"/>
  <c r="BL102" i="50"/>
  <c r="DZ102" i="50"/>
  <c r="DZ97" i="50" s="1"/>
  <c r="DZ95" i="50" s="1"/>
  <c r="EQ102" i="50"/>
  <c r="EQ97" i="50" s="1"/>
  <c r="EQ95" i="50" s="1"/>
  <c r="EU102" i="50"/>
  <c r="EU97" i="50" s="1"/>
  <c r="EU95" i="50" s="1"/>
  <c r="EN102" i="50"/>
  <c r="EN97" i="50" s="1"/>
  <c r="EN95" i="50" s="1"/>
  <c r="ER102" i="50"/>
  <c r="ER97" i="50" s="1"/>
  <c r="ER95" i="50" s="1"/>
  <c r="EV102" i="50"/>
  <c r="EV97" i="50" s="1"/>
  <c r="EV95" i="50" s="1"/>
  <c r="T106" i="50"/>
  <c r="U106" i="50" s="1"/>
  <c r="EE106" i="50" s="1"/>
  <c r="Y107" i="50"/>
  <c r="EI107" i="50" s="1"/>
  <c r="AY108" i="50"/>
  <c r="BG112" i="50"/>
  <c r="AY119" i="50"/>
  <c r="AR121" i="50"/>
  <c r="AQ121" i="50" s="1"/>
  <c r="N122" i="50"/>
  <c r="N121" i="50" s="1"/>
  <c r="Z122" i="50"/>
  <c r="Z121" i="50" s="1"/>
  <c r="AR122" i="50"/>
  <c r="DY122" i="50"/>
  <c r="DY121" i="50" s="1"/>
  <c r="EN122" i="50"/>
  <c r="EN121" i="50" s="1"/>
  <c r="ER122" i="50"/>
  <c r="ER121" i="50" s="1"/>
  <c r="EV122" i="50"/>
  <c r="EV121" i="50" s="1"/>
  <c r="EH122" i="50"/>
  <c r="EH121" i="50" s="1"/>
  <c r="EP122" i="50"/>
  <c r="EP121" i="50" s="1"/>
  <c r="ET122" i="50"/>
  <c r="ET121" i="50" s="1"/>
  <c r="U125" i="50"/>
  <c r="EE125" i="50" s="1"/>
  <c r="T126" i="50"/>
  <c r="Y129" i="50"/>
  <c r="AB129" i="50" s="1"/>
  <c r="BF130" i="50"/>
  <c r="AQ134" i="50"/>
  <c r="AQ133" i="50" s="1"/>
  <c r="BL134" i="50"/>
  <c r="BM134" i="50" s="1"/>
  <c r="BN134" i="50" s="1"/>
  <c r="D135" i="50"/>
  <c r="C135" i="50" s="1"/>
  <c r="C133" i="50" s="1"/>
  <c r="U136" i="50"/>
  <c r="EE136" i="50" s="1"/>
  <c r="DX136" i="50"/>
  <c r="U139" i="50"/>
  <c r="EE139" i="50" s="1"/>
  <c r="AR140" i="50"/>
  <c r="AQ140" i="50" s="1"/>
  <c r="T142" i="50"/>
  <c r="ET141" i="50"/>
  <c r="ET140" i="50" s="1"/>
  <c r="T143" i="50"/>
  <c r="U143" i="50" s="1"/>
  <c r="EE143" i="50" s="1"/>
  <c r="EQ141" i="50"/>
  <c r="EQ140" i="50" s="1"/>
  <c r="EU141" i="50"/>
  <c r="EU140" i="50" s="1"/>
  <c r="U144" i="50"/>
  <c r="EE144" i="50" s="1"/>
  <c r="Y145" i="50"/>
  <c r="EI145" i="50" s="1"/>
  <c r="T147" i="50"/>
  <c r="T148" i="50"/>
  <c r="U148" i="50" s="1"/>
  <c r="EE148" i="50" s="1"/>
  <c r="D156" i="50"/>
  <c r="EA156" i="50"/>
  <c r="EJ161" i="50"/>
  <c r="EJ162" i="50"/>
  <c r="Z164" i="50"/>
  <c r="EJ164" i="50" s="1"/>
  <c r="BN164" i="50"/>
  <c r="AY164" i="50" s="1"/>
  <c r="EF164" i="50"/>
  <c r="BN175" i="50"/>
  <c r="BM173" i="50"/>
  <c r="BE199" i="50"/>
  <c r="BF200" i="50"/>
  <c r="BF199" i="50" s="1"/>
  <c r="AY237" i="50"/>
  <c r="BG236" i="50"/>
  <c r="Y84" i="50"/>
  <c r="EI84" i="50" s="1"/>
  <c r="AY87" i="50"/>
  <c r="BG89" i="50"/>
  <c r="AY89" i="50" s="1"/>
  <c r="T92" i="50"/>
  <c r="U92" i="50" s="1"/>
  <c r="EE92" i="50" s="1"/>
  <c r="BG92" i="50"/>
  <c r="AY92" i="50" s="1"/>
  <c r="BN96" i="50"/>
  <c r="BS80" i="50"/>
  <c r="BW80" i="50"/>
  <c r="H99" i="50"/>
  <c r="H97" i="50" s="1"/>
  <c r="H95" i="50" s="1"/>
  <c r="H80" i="50" s="1"/>
  <c r="AQ102" i="50"/>
  <c r="EB104" i="50"/>
  <c r="EF102" i="50"/>
  <c r="EF97" i="50" s="1"/>
  <c r="EF95" i="50" s="1"/>
  <c r="EJ106" i="50"/>
  <c r="EB107" i="50"/>
  <c r="C122" i="50"/>
  <c r="AQ122" i="50"/>
  <c r="DZ122" i="50"/>
  <c r="DZ121" i="50" s="1"/>
  <c r="DW133" i="50"/>
  <c r="DW132" i="50" s="1"/>
  <c r="BG136" i="50"/>
  <c r="C141" i="50"/>
  <c r="C140" i="50" s="1"/>
  <c r="BE141" i="50"/>
  <c r="BE140" i="50" s="1"/>
  <c r="DW141" i="50"/>
  <c r="DW140" i="50" s="1"/>
  <c r="EA141" i="50"/>
  <c r="EA140" i="50" s="1"/>
  <c r="AY145" i="50"/>
  <c r="EJ148" i="50"/>
  <c r="EJ151" i="50"/>
  <c r="DY152" i="50"/>
  <c r="DY151" i="50" s="1"/>
  <c r="D151" i="50"/>
  <c r="U153" i="50"/>
  <c r="EE153" i="50" s="1"/>
  <c r="H150" i="50"/>
  <c r="H149" i="50" s="1"/>
  <c r="DZ156" i="50"/>
  <c r="EH156" i="50"/>
  <c r="EP156" i="50"/>
  <c r="ET156" i="50"/>
  <c r="EQ156" i="50"/>
  <c r="EU156" i="50"/>
  <c r="U161" i="50"/>
  <c r="EE161" i="50" s="1"/>
  <c r="DX161" i="50"/>
  <c r="DX156" i="50" s="1"/>
  <c r="BG163" i="50"/>
  <c r="Y163" i="50"/>
  <c r="EI163" i="50" s="1"/>
  <c r="G150" i="50"/>
  <c r="G149" i="50" s="1"/>
  <c r="AC167" i="50"/>
  <c r="EM167" i="50" s="1"/>
  <c r="U168" i="50"/>
  <c r="EE168" i="50" s="1"/>
  <c r="AY209" i="50"/>
  <c r="BG169" i="50"/>
  <c r="AY169" i="50" s="1"/>
  <c r="AA150" i="50"/>
  <c r="AA149" i="50" s="1"/>
  <c r="AF150" i="50"/>
  <c r="AF149" i="50" s="1"/>
  <c r="BG174" i="50"/>
  <c r="BN174" i="50"/>
  <c r="AC176" i="50"/>
  <c r="EM176" i="50" s="1"/>
  <c r="DW181" i="50"/>
  <c r="AY189" i="50"/>
  <c r="BO186" i="50"/>
  <c r="Z193" i="50"/>
  <c r="EJ193" i="50" s="1"/>
  <c r="L194" i="50"/>
  <c r="BG198" i="50"/>
  <c r="AY198" i="50" s="1"/>
  <c r="EJ200" i="50"/>
  <c r="EJ199" i="50" s="1"/>
  <c r="DZ199" i="50"/>
  <c r="EH199" i="50"/>
  <c r="EP199" i="50"/>
  <c r="ET199" i="50"/>
  <c r="DX202" i="50"/>
  <c r="ED203" i="50"/>
  <c r="EF202" i="50"/>
  <c r="AY206" i="50"/>
  <c r="ED206" i="50"/>
  <c r="ED207" i="50"/>
  <c r="EK202" i="50"/>
  <c r="EB209" i="50"/>
  <c r="EL209" i="50"/>
  <c r="L231" i="50"/>
  <c r="L233" i="50"/>
  <c r="Y168" i="50"/>
  <c r="EI168" i="50" s="1"/>
  <c r="EI166" i="50" s="1"/>
  <c r="U171" i="50"/>
  <c r="L171" i="50" s="1"/>
  <c r="K171" i="50" s="1"/>
  <c r="EL170" i="50"/>
  <c r="AC172" i="50"/>
  <c r="EM172" i="50" s="1"/>
  <c r="U174" i="50"/>
  <c r="EE174" i="50" s="1"/>
  <c r="DX173" i="50"/>
  <c r="EJ173" i="50"/>
  <c r="Z176" i="50"/>
  <c r="EJ176" i="50" s="1"/>
  <c r="ED177" i="50"/>
  <c r="U178" i="50"/>
  <c r="EE178" i="50" s="1"/>
  <c r="BG179" i="50"/>
  <c r="AY179" i="50" s="1"/>
  <c r="DX179" i="50"/>
  <c r="AC182" i="50"/>
  <c r="EM182" i="50" s="1"/>
  <c r="Y184" i="50"/>
  <c r="EI184" i="50" s="1"/>
  <c r="BN184" i="50"/>
  <c r="AY184" i="50" s="1"/>
  <c r="BG188" i="50"/>
  <c r="BG191" i="50"/>
  <c r="BN191" i="50"/>
  <c r="BN186" i="50" s="1"/>
  <c r="AY193" i="50"/>
  <c r="Y200" i="50"/>
  <c r="BN200" i="50"/>
  <c r="BN199" i="50" s="1"/>
  <c r="AC201" i="50"/>
  <c r="EM201" i="50" s="1"/>
  <c r="DW199" i="50"/>
  <c r="EU199" i="50"/>
  <c r="EO202" i="50"/>
  <c r="ES202" i="50"/>
  <c r="AY208" i="50"/>
  <c r="AC210" i="50"/>
  <c r="EM210" i="50" s="1"/>
  <c r="R211" i="50"/>
  <c r="Z211" i="50"/>
  <c r="Z202" i="50" s="1"/>
  <c r="Y212" i="50"/>
  <c r="EI212" i="50" s="1"/>
  <c r="R213" i="50"/>
  <c r="Y215" i="50"/>
  <c r="Y218" i="50"/>
  <c r="EI218" i="50" s="1"/>
  <c r="L237" i="50"/>
  <c r="K237" i="50" s="1"/>
  <c r="C236" i="50"/>
  <c r="AQ236" i="50"/>
  <c r="AY241" i="50"/>
  <c r="AY242" i="50"/>
  <c r="AY243" i="50"/>
  <c r="C186" i="50"/>
  <c r="AC12" i="50"/>
  <c r="AC14" i="50"/>
  <c r="EM14" i="50" s="1"/>
  <c r="F80" i="50"/>
  <c r="Q80" i="50"/>
  <c r="W80" i="50"/>
  <c r="R99" i="50"/>
  <c r="AC19" i="50"/>
  <c r="AL8" i="50"/>
  <c r="F57" i="50"/>
  <c r="J57" i="50"/>
  <c r="AH80" i="50"/>
  <c r="AI80" i="50"/>
  <c r="AL80" i="50"/>
  <c r="AC26" i="50"/>
  <c r="EM26" i="50" s="1"/>
  <c r="AE8" i="50"/>
  <c r="AD57" i="50"/>
  <c r="AL62" i="50"/>
  <c r="AL57" i="50" s="1"/>
  <c r="EF74" i="50"/>
  <c r="EF62" i="50" s="1"/>
  <c r="X80" i="50"/>
  <c r="AD80" i="50"/>
  <c r="L244" i="50"/>
  <c r="L243" i="50"/>
  <c r="AC239" i="50"/>
  <c r="L240" i="50"/>
  <c r="ED73" i="50"/>
  <c r="ED75" i="50"/>
  <c r="BR57" i="50"/>
  <c r="BV57" i="50"/>
  <c r="W62" i="50"/>
  <c r="W57" i="50" s="1"/>
  <c r="AF62" i="50"/>
  <c r="AF57" i="50" s="1"/>
  <c r="AJ62" i="50"/>
  <c r="AJ57" i="50" s="1"/>
  <c r="EV62" i="50"/>
  <c r="EV57" i="50" s="1"/>
  <c r="M62" i="50"/>
  <c r="M57" i="50" s="1"/>
  <c r="Q62" i="50"/>
  <c r="Q57" i="50" s="1"/>
  <c r="X62" i="50"/>
  <c r="X57" i="50" s="1"/>
  <c r="AG62" i="50"/>
  <c r="AG57" i="50" s="1"/>
  <c r="AK62" i="50"/>
  <c r="AK57" i="50" s="1"/>
  <c r="EA62" i="50"/>
  <c r="EA57" i="50" s="1"/>
  <c r="EK62" i="50"/>
  <c r="AY73" i="50"/>
  <c r="DY62" i="50"/>
  <c r="T74" i="50"/>
  <c r="ED74" i="50" s="1"/>
  <c r="AY75" i="50"/>
  <c r="BB57" i="50"/>
  <c r="E57" i="50"/>
  <c r="I57" i="50"/>
  <c r="N62" i="50"/>
  <c r="N57" i="50" s="1"/>
  <c r="EQ62" i="50"/>
  <c r="EQ57" i="50" s="1"/>
  <c r="EU62" i="50"/>
  <c r="EU57" i="50" s="1"/>
  <c r="DX62" i="50"/>
  <c r="DX57" i="50" s="1"/>
  <c r="DZ62" i="50"/>
  <c r="DZ57" i="50" s="1"/>
  <c r="BN74" i="50"/>
  <c r="AY55" i="50"/>
  <c r="EH43" i="50"/>
  <c r="H8" i="50"/>
  <c r="EF43" i="50"/>
  <c r="EN43" i="50"/>
  <c r="ER43" i="50"/>
  <c r="EV43" i="50"/>
  <c r="BD8" i="50"/>
  <c r="ES43" i="50"/>
  <c r="D43" i="50"/>
  <c r="EP43" i="50"/>
  <c r="ET43" i="50"/>
  <c r="BN114" i="50"/>
  <c r="BM97" i="50"/>
  <c r="L119" i="50"/>
  <c r="K119" i="50" s="1"/>
  <c r="L120" i="50"/>
  <c r="K120" i="50" s="1"/>
  <c r="F56" i="43" s="1"/>
  <c r="Z97" i="50"/>
  <c r="Z95" i="50" s="1"/>
  <c r="T113" i="50"/>
  <c r="L117" i="50"/>
  <c r="K117" i="50" s="1"/>
  <c r="F53" i="43" s="1"/>
  <c r="L115" i="50"/>
  <c r="K115" i="50" s="1"/>
  <c r="F51" i="43" s="1"/>
  <c r="AY116" i="50"/>
  <c r="AY117" i="50"/>
  <c r="AY120" i="50"/>
  <c r="Z43" i="50"/>
  <c r="DZ43" i="50"/>
  <c r="EQ43" i="50"/>
  <c r="EU43" i="50"/>
  <c r="T56" i="50"/>
  <c r="U56" i="50" s="1"/>
  <c r="EE56" i="50" s="1"/>
  <c r="P8" i="50"/>
  <c r="X8" i="50"/>
  <c r="AF8" i="50"/>
  <c r="EJ43" i="50"/>
  <c r="DY43" i="50"/>
  <c r="F8" i="50"/>
  <c r="J8" i="50"/>
  <c r="BP8" i="50"/>
  <c r="BT8" i="50"/>
  <c r="EO43" i="50"/>
  <c r="DW43" i="50"/>
  <c r="EA43" i="50"/>
  <c r="U53" i="50"/>
  <c r="EE53" i="50" s="1"/>
  <c r="T54" i="50"/>
  <c r="U54" i="50" s="1"/>
  <c r="EE54" i="50" s="1"/>
  <c r="AG8" i="50"/>
  <c r="DX43" i="50"/>
  <c r="AY52" i="50"/>
  <c r="AY53" i="50"/>
  <c r="AY54" i="50"/>
  <c r="Q8" i="50"/>
  <c r="G8" i="50"/>
  <c r="AR43" i="50"/>
  <c r="BL43" i="50"/>
  <c r="EC43" i="50"/>
  <c r="Z10" i="50"/>
  <c r="Z9" i="50" s="1"/>
  <c r="EJ12" i="50"/>
  <c r="BG19" i="50"/>
  <c r="AY20" i="50"/>
  <c r="BG27" i="50"/>
  <c r="AY27" i="50" s="1"/>
  <c r="BL30" i="50"/>
  <c r="BM31" i="50"/>
  <c r="BM36" i="50"/>
  <c r="AY40" i="50"/>
  <c r="EI11" i="50"/>
  <c r="AB11" i="50"/>
  <c r="AC11" i="50" s="1"/>
  <c r="AB15" i="50"/>
  <c r="EI15" i="50"/>
  <c r="Y16" i="50"/>
  <c r="BN16" i="50"/>
  <c r="Y18" i="50"/>
  <c r="BN18" i="50"/>
  <c r="ED25" i="50"/>
  <c r="U25" i="50"/>
  <c r="AY37" i="50"/>
  <c r="BG35" i="50"/>
  <c r="BG34" i="50" s="1"/>
  <c r="EB40" i="50"/>
  <c r="T40" i="50"/>
  <c r="BN44" i="50"/>
  <c r="BM43" i="50"/>
  <c r="ED21" i="50"/>
  <c r="U21" i="50"/>
  <c r="AY22" i="50"/>
  <c r="BG23" i="50"/>
  <c r="Y25" i="50"/>
  <c r="EJ25" i="50"/>
  <c r="EI27" i="50"/>
  <c r="AB27" i="50"/>
  <c r="DX30" i="50"/>
  <c r="BF35" i="50"/>
  <c r="BF34" i="50" s="1"/>
  <c r="AA8" i="50"/>
  <c r="BL10" i="50"/>
  <c r="BL9" i="50" s="1"/>
  <c r="BM12" i="50"/>
  <c r="BN12" i="50" s="1"/>
  <c r="BG17" i="50"/>
  <c r="EI28" i="50"/>
  <c r="BE30" i="50"/>
  <c r="BF31" i="50"/>
  <c r="BF30" i="50" s="1"/>
  <c r="EJ36" i="50"/>
  <c r="U16" i="50"/>
  <c r="EG16" i="50"/>
  <c r="EG10" i="50" s="1"/>
  <c r="EG9" i="50" s="1"/>
  <c r="Y17" i="50"/>
  <c r="BN17" i="50"/>
  <c r="DY17" i="50"/>
  <c r="DY10" i="50" s="1"/>
  <c r="DY9" i="50" s="1"/>
  <c r="BN19" i="50"/>
  <c r="Y22" i="50"/>
  <c r="EF25" i="50"/>
  <c r="EJ27" i="50"/>
  <c r="BG32" i="50"/>
  <c r="AY32" i="50" s="1"/>
  <c r="EB36" i="50"/>
  <c r="EF36" i="50"/>
  <c r="EF35" i="50" s="1"/>
  <c r="EF34" i="50" s="1"/>
  <c r="AC53" i="50"/>
  <c r="EL53" i="50"/>
  <c r="Y59" i="50"/>
  <c r="BM58" i="50"/>
  <c r="BL62" i="50"/>
  <c r="BM67" i="50"/>
  <c r="BM62" i="50" s="1"/>
  <c r="C69" i="50"/>
  <c r="C62" i="50" s="1"/>
  <c r="C57" i="50" s="1"/>
  <c r="D62" i="50"/>
  <c r="D57" i="50" s="1"/>
  <c r="EE73" i="50"/>
  <c r="EE75" i="50"/>
  <c r="BL82" i="50"/>
  <c r="BL81" i="50" s="1"/>
  <c r="BM83" i="50"/>
  <c r="BM82" i="50" s="1"/>
  <c r="BM81" i="50" s="1"/>
  <c r="BM80" i="50" s="1"/>
  <c r="EE87" i="50"/>
  <c r="BN88" i="50"/>
  <c r="Y91" i="50"/>
  <c r="EJ91" i="50"/>
  <c r="U96" i="50"/>
  <c r="EE11" i="50"/>
  <c r="EB21" i="50"/>
  <c r="BL38" i="50"/>
  <c r="BM38" i="50" s="1"/>
  <c r="BN38" i="50" s="1"/>
  <c r="AY38" i="50" s="1"/>
  <c r="DW38" i="50"/>
  <c r="DW35" i="50" s="1"/>
  <c r="DW34" i="50" s="1"/>
  <c r="R39" i="50"/>
  <c r="R35" i="50" s="1"/>
  <c r="R34" i="50" s="1"/>
  <c r="DX40" i="50"/>
  <c r="Y44" i="50"/>
  <c r="T45" i="50"/>
  <c r="U46" i="50"/>
  <c r="BE46" i="50"/>
  <c r="U47" i="50"/>
  <c r="ED59" i="50"/>
  <c r="ED58" i="50" s="1"/>
  <c r="U59" i="50"/>
  <c r="T58" i="50"/>
  <c r="AQ58" i="50"/>
  <c r="AB65" i="50"/>
  <c r="BG69" i="50"/>
  <c r="EI73" i="50"/>
  <c r="AB73" i="50"/>
  <c r="AY76" i="50"/>
  <c r="BN91" i="50"/>
  <c r="EJ11" i="50"/>
  <c r="T14" i="50"/>
  <c r="EF14" i="50"/>
  <c r="Y20" i="50"/>
  <c r="AC21" i="50"/>
  <c r="EM21" i="50" s="1"/>
  <c r="T22" i="50"/>
  <c r="EJ24" i="50"/>
  <c r="U27" i="50"/>
  <c r="EJ28" i="50"/>
  <c r="BA30" i="50"/>
  <c r="BA8" i="50" s="1"/>
  <c r="U32" i="50"/>
  <c r="Y37" i="50"/>
  <c r="Z38" i="50"/>
  <c r="EJ38" i="50" s="1"/>
  <c r="EK45" i="50"/>
  <c r="EK43" i="50" s="1"/>
  <c r="BE49" i="50"/>
  <c r="BF49" i="50" s="1"/>
  <c r="BG49" i="50" s="1"/>
  <c r="AY49" i="50" s="1"/>
  <c r="R49" i="50"/>
  <c r="BF58" i="50"/>
  <c r="BG59" i="50"/>
  <c r="ED66" i="50"/>
  <c r="U66" i="50"/>
  <c r="EE76" i="50"/>
  <c r="EE93" i="50"/>
  <c r="EL94" i="50"/>
  <c r="AC94" i="50"/>
  <c r="EM94" i="50" s="1"/>
  <c r="AY96" i="50"/>
  <c r="O10" i="50"/>
  <c r="O9" i="50" s="1"/>
  <c r="O8" i="50" s="1"/>
  <c r="Y29" i="50"/>
  <c r="M34" i="50"/>
  <c r="S43" i="50"/>
  <c r="Y45" i="50"/>
  <c r="EB48" i="50"/>
  <c r="T48" i="50"/>
  <c r="BE50" i="50"/>
  <c r="BF50" i="50" s="1"/>
  <c r="BG50" i="50" s="1"/>
  <c r="AY50" i="50" s="1"/>
  <c r="R50" i="50"/>
  <c r="BN51" i="50"/>
  <c r="AY51" i="50" s="1"/>
  <c r="Y52" i="50"/>
  <c r="BN59" i="50"/>
  <c r="BN58" i="50" s="1"/>
  <c r="BG63" i="50"/>
  <c r="BF62" i="50"/>
  <c r="EE70" i="50"/>
  <c r="Y74" i="50"/>
  <c r="EJ74" i="50"/>
  <c r="AY77" i="50"/>
  <c r="BG83" i="50"/>
  <c r="BF82" i="50"/>
  <c r="BF81" i="50" s="1"/>
  <c r="ED91" i="50"/>
  <c r="U91" i="50"/>
  <c r="BG91" i="50"/>
  <c r="Y54" i="50"/>
  <c r="Y56" i="50"/>
  <c r="AR58" i="50"/>
  <c r="BH58" i="50"/>
  <c r="BH57" i="50" s="1"/>
  <c r="BL58" i="50"/>
  <c r="AA62" i="50"/>
  <c r="AA57" i="50" s="1"/>
  <c r="EJ64" i="50"/>
  <c r="Y70" i="50"/>
  <c r="Y72" i="50"/>
  <c r="EJ73" i="50"/>
  <c r="DW74" i="50"/>
  <c r="EJ75" i="50"/>
  <c r="Y76" i="50"/>
  <c r="U85" i="50"/>
  <c r="EL85" i="50"/>
  <c r="T86" i="50"/>
  <c r="U86" i="50" s="1"/>
  <c r="Z86" i="50"/>
  <c r="Y87" i="50"/>
  <c r="DX88" i="50"/>
  <c r="DX82" i="50" s="1"/>
  <c r="DX81" i="50" s="1"/>
  <c r="U90" i="50"/>
  <c r="EL90" i="50"/>
  <c r="EB91" i="50"/>
  <c r="EB82" i="50" s="1"/>
  <c r="EB81" i="50" s="1"/>
  <c r="EF91" i="50"/>
  <c r="ED92" i="50"/>
  <c r="Y93" i="50"/>
  <c r="T94" i="50"/>
  <c r="U100" i="50"/>
  <c r="T103" i="50"/>
  <c r="EB103" i="50"/>
  <c r="AY103" i="50"/>
  <c r="D102" i="50"/>
  <c r="C104" i="50"/>
  <c r="C102" i="50" s="1"/>
  <c r="Y104" i="50"/>
  <c r="BN104" i="50"/>
  <c r="L116" i="50"/>
  <c r="K116" i="50" s="1"/>
  <c r="F52" i="43" s="1"/>
  <c r="AY126" i="50"/>
  <c r="BE122" i="50"/>
  <c r="BE121" i="50" s="1"/>
  <c r="BF129" i="50"/>
  <c r="BG129" i="50" s="1"/>
  <c r="Y55" i="50"/>
  <c r="EC59" i="50"/>
  <c r="EC58" i="50" s="1"/>
  <c r="EG59" i="50"/>
  <c r="EG58" i="50" s="1"/>
  <c r="Y64" i="50"/>
  <c r="Y66" i="50"/>
  <c r="EB66" i="50"/>
  <c r="ED70" i="50"/>
  <c r="Y71" i="50"/>
  <c r="ED76" i="50"/>
  <c r="C83" i="50"/>
  <c r="C82" i="50" s="1"/>
  <c r="C81" i="50" s="1"/>
  <c r="ED93" i="50"/>
  <c r="EJ98" i="50"/>
  <c r="BF100" i="50"/>
  <c r="BE99" i="50"/>
  <c r="T101" i="50"/>
  <c r="EB101" i="50"/>
  <c r="Y103" i="50"/>
  <c r="EJ103" i="50"/>
  <c r="ED112" i="50"/>
  <c r="U112" i="50"/>
  <c r="Y113" i="50"/>
  <c r="BN113" i="50"/>
  <c r="U123" i="50"/>
  <c r="ED123" i="50"/>
  <c r="BN124" i="50"/>
  <c r="AY124" i="50" s="1"/>
  <c r="M318" i="50"/>
  <c r="EF86" i="50"/>
  <c r="ED87" i="50"/>
  <c r="EL88" i="50"/>
  <c r="EI94" i="50"/>
  <c r="AB98" i="50"/>
  <c r="EI98" i="50"/>
  <c r="C100" i="50"/>
  <c r="C99" i="50" s="1"/>
  <c r="D99" i="50"/>
  <c r="EJ101" i="50"/>
  <c r="Y101" i="50"/>
  <c r="AY101" i="50"/>
  <c r="U104" i="50"/>
  <c r="U107" i="50"/>
  <c r="ED107" i="50"/>
  <c r="ED108" i="50"/>
  <c r="BN125" i="50"/>
  <c r="AY125" i="50" s="1"/>
  <c r="EB127" i="50"/>
  <c r="R122" i="50"/>
  <c r="R121" i="50" s="1"/>
  <c r="T127" i="50"/>
  <c r="ED127" i="50" s="1"/>
  <c r="AY127" i="50"/>
  <c r="T55" i="50"/>
  <c r="S58" i="50"/>
  <c r="S57" i="50" s="1"/>
  <c r="R62" i="50"/>
  <c r="R57" i="50" s="1"/>
  <c r="BE62" i="50"/>
  <c r="BE57" i="50" s="1"/>
  <c r="Y63" i="50"/>
  <c r="Y77" i="50"/>
  <c r="BE82" i="50"/>
  <c r="BE81" i="50" s="1"/>
  <c r="V318" i="50"/>
  <c r="BN100" i="50"/>
  <c r="BN99" i="50" s="1"/>
  <c r="Y100" i="50"/>
  <c r="AQ101" i="50"/>
  <c r="AQ99" i="50" s="1"/>
  <c r="AR99" i="50"/>
  <c r="AR102" i="50"/>
  <c r="BF102" i="50"/>
  <c r="BG107" i="50"/>
  <c r="AY107" i="50" s="1"/>
  <c r="BN109" i="50"/>
  <c r="AY109" i="50" s="1"/>
  <c r="Y109" i="50"/>
  <c r="Y112" i="50"/>
  <c r="BN112" i="50"/>
  <c r="BG113" i="50"/>
  <c r="BN136" i="50"/>
  <c r="T105" i="50"/>
  <c r="J318" i="50"/>
  <c r="EB112" i="50"/>
  <c r="U114" i="50"/>
  <c r="U124" i="50"/>
  <c r="EJ124" i="50"/>
  <c r="EJ122" i="50" s="1"/>
  <c r="EJ121" i="50" s="1"/>
  <c r="S318" i="50"/>
  <c r="AA318" i="50"/>
  <c r="U128" i="50"/>
  <c r="BL128" i="50"/>
  <c r="U129" i="50"/>
  <c r="C131" i="50"/>
  <c r="ED131" i="50"/>
  <c r="ED130" i="50" s="1"/>
  <c r="EN133" i="50"/>
  <c r="EN132" i="50" s="1"/>
  <c r="ER133" i="50"/>
  <c r="ER132" i="50" s="1"/>
  <c r="EV133" i="50"/>
  <c r="EV132" i="50" s="1"/>
  <c r="DX137" i="50"/>
  <c r="U137" i="50"/>
  <c r="ED138" i="50"/>
  <c r="U138" i="50"/>
  <c r="AY146" i="50"/>
  <c r="BG155" i="50"/>
  <c r="AY155" i="50" s="1"/>
  <c r="F318" i="50"/>
  <c r="Y108" i="50"/>
  <c r="EB108" i="50"/>
  <c r="Y114" i="50"/>
  <c r="D122" i="50"/>
  <c r="W318" i="50"/>
  <c r="BN129" i="50"/>
  <c r="EC129" i="50"/>
  <c r="EC122" i="50" s="1"/>
  <c r="EC121" i="50" s="1"/>
  <c r="EG129" i="50"/>
  <c r="EG122" i="50" s="1"/>
  <c r="EG121" i="50" s="1"/>
  <c r="EM131" i="50"/>
  <c r="EM130" i="50" s="1"/>
  <c r="BN131" i="50"/>
  <c r="BG139" i="50"/>
  <c r="AY139" i="50" s="1"/>
  <c r="BM143" i="50"/>
  <c r="BM141" i="50" s="1"/>
  <c r="BM140" i="50" s="1"/>
  <c r="BL141" i="50"/>
  <c r="BL140" i="50" s="1"/>
  <c r="AY144" i="50"/>
  <c r="EE146" i="50"/>
  <c r="AY147" i="50"/>
  <c r="AY148" i="50"/>
  <c r="BG153" i="50"/>
  <c r="AY153" i="50" s="1"/>
  <c r="BN154" i="50"/>
  <c r="AY154" i="50" s="1"/>
  <c r="H318" i="50"/>
  <c r="N318" i="50"/>
  <c r="DX127" i="50"/>
  <c r="DX122" i="50" s="1"/>
  <c r="DX121" i="50" s="1"/>
  <c r="U131" i="50"/>
  <c r="BN135" i="50"/>
  <c r="Y135" i="50"/>
  <c r="Y154" i="50"/>
  <c r="BE102" i="50"/>
  <c r="I318" i="50"/>
  <c r="Y126" i="50"/>
  <c r="AC128" i="50"/>
  <c r="EM128" i="50" s="1"/>
  <c r="BL130" i="50"/>
  <c r="U135" i="50"/>
  <c r="ED135" i="50"/>
  <c r="AY142" i="50"/>
  <c r="AQ141" i="50"/>
  <c r="EE152" i="50"/>
  <c r="AC136" i="50"/>
  <c r="EM136" i="50" s="1"/>
  <c r="EL137" i="50"/>
  <c r="AR141" i="50"/>
  <c r="BH141" i="50"/>
  <c r="BH140" i="50" s="1"/>
  <c r="BF143" i="50"/>
  <c r="AC144" i="50"/>
  <c r="Y146" i="50"/>
  <c r="EL153" i="50"/>
  <c r="U154" i="50"/>
  <c r="EF154" i="50"/>
  <c r="R157" i="50"/>
  <c r="N156" i="50"/>
  <c r="N150" i="50" s="1"/>
  <c r="N149" i="50" s="1"/>
  <c r="EJ157" i="50"/>
  <c r="EE159" i="50"/>
  <c r="BG161" i="50"/>
  <c r="AY161" i="50" s="1"/>
  <c r="EJ166" i="50"/>
  <c r="EE172" i="50"/>
  <c r="Y177" i="50"/>
  <c r="BN178" i="50"/>
  <c r="EB179" i="50"/>
  <c r="T179" i="50"/>
  <c r="ED179" i="50" s="1"/>
  <c r="BN180" i="50"/>
  <c r="AY180" i="50" s="1"/>
  <c r="EE182" i="50"/>
  <c r="EJ131" i="50"/>
  <c r="EJ130" i="50" s="1"/>
  <c r="BL137" i="50"/>
  <c r="BM137" i="50" s="1"/>
  <c r="Y138" i="50"/>
  <c r="EB138" i="50"/>
  <c r="ED139" i="50"/>
  <c r="Z142" i="50"/>
  <c r="EF142" i="50"/>
  <c r="EF141" i="50" s="1"/>
  <c r="EF140" i="50" s="1"/>
  <c r="Z147" i="50"/>
  <c r="AZ151" i="50"/>
  <c r="EJ155" i="50"/>
  <c r="Y155" i="50"/>
  <c r="U158" i="50"/>
  <c r="ED158" i="50"/>
  <c r="BG159" i="50"/>
  <c r="AY159" i="50" s="1"/>
  <c r="BE166" i="50"/>
  <c r="BF167" i="50"/>
  <c r="BF166" i="50" s="1"/>
  <c r="BF170" i="50"/>
  <c r="BG171" i="50"/>
  <c r="AQ174" i="50"/>
  <c r="AQ173" i="50" s="1"/>
  <c r="AR173" i="50"/>
  <c r="EE176" i="50"/>
  <c r="BG177" i="50"/>
  <c r="BG181" i="50"/>
  <c r="AY183" i="50"/>
  <c r="ED146" i="50"/>
  <c r="BF157" i="50"/>
  <c r="BF156" i="50" s="1"/>
  <c r="BE156" i="50"/>
  <c r="BG158" i="50"/>
  <c r="AY158" i="50" s="1"/>
  <c r="EE162" i="50"/>
  <c r="BM167" i="50"/>
  <c r="BM166" i="50" s="1"/>
  <c r="BL166" i="50"/>
  <c r="BG168" i="50"/>
  <c r="BG172" i="50"/>
  <c r="AY172" i="50" s="1"/>
  <c r="EI180" i="50"/>
  <c r="AB180" i="50"/>
  <c r="EL180" i="50" s="1"/>
  <c r="AM248" i="50"/>
  <c r="T155" i="50"/>
  <c r="U155" i="50" s="1"/>
  <c r="AQ157" i="50"/>
  <c r="AQ156" i="50" s="1"/>
  <c r="AR156" i="50"/>
  <c r="AB162" i="50"/>
  <c r="EI162" i="50"/>
  <c r="EE177" i="50"/>
  <c r="AC157" i="50"/>
  <c r="Y158" i="50"/>
  <c r="ED159" i="50"/>
  <c r="AB161" i="50"/>
  <c r="ED162" i="50"/>
  <c r="U164" i="50"/>
  <c r="DZ164" i="50"/>
  <c r="BH166" i="50"/>
  <c r="BH150" i="50" s="1"/>
  <c r="BH149" i="50" s="1"/>
  <c r="Y169" i="50"/>
  <c r="BE170" i="50"/>
  <c r="BM170" i="50"/>
  <c r="ED171" i="50"/>
  <c r="U175" i="50"/>
  <c r="EJ177" i="50"/>
  <c r="ER177" i="50"/>
  <c r="Y178" i="50"/>
  <c r="I317" i="50"/>
  <c r="Z181" i="50"/>
  <c r="EB181" i="50"/>
  <c r="T183" i="50"/>
  <c r="BA156" i="50"/>
  <c r="BM156" i="50"/>
  <c r="C159" i="50"/>
  <c r="C156" i="50" s="1"/>
  <c r="Y160" i="50"/>
  <c r="U163" i="50"/>
  <c r="BN163" i="50"/>
  <c r="BN165" i="50"/>
  <c r="BA166" i="50"/>
  <c r="R167" i="50"/>
  <c r="EM171" i="50"/>
  <c r="Y175" i="50"/>
  <c r="ED176" i="50"/>
  <c r="EL176" i="50"/>
  <c r="BN177" i="50"/>
  <c r="J317" i="50"/>
  <c r="DW179" i="50"/>
  <c r="U180" i="50"/>
  <c r="EG180" i="50"/>
  <c r="BN181" i="50"/>
  <c r="EG181" i="50"/>
  <c r="ED182" i="50"/>
  <c r="Z183" i="50"/>
  <c r="EF183" i="50"/>
  <c r="AR186" i="50"/>
  <c r="AQ186" i="50" s="1"/>
  <c r="AQ187" i="50"/>
  <c r="U165" i="50"/>
  <c r="ED172" i="50"/>
  <c r="ED178" i="50"/>
  <c r="T160" i="50"/>
  <c r="U169" i="50"/>
  <c r="M317" i="50"/>
  <c r="Y174" i="50"/>
  <c r="EJ184" i="50"/>
  <c r="EJ185" i="50"/>
  <c r="Y185" i="50"/>
  <c r="AY188" i="50"/>
  <c r="BG187" i="50"/>
  <c r="BG186" i="50" s="1"/>
  <c r="Z188" i="50"/>
  <c r="DY188" i="50"/>
  <c r="DY187" i="50" s="1"/>
  <c r="DY186" i="50" s="1"/>
  <c r="U189" i="50"/>
  <c r="L192" i="50"/>
  <c r="U193" i="50"/>
  <c r="AC193" i="50"/>
  <c r="EM193" i="50" s="1"/>
  <c r="U196" i="50"/>
  <c r="U198" i="50"/>
  <c r="ED198" i="50"/>
  <c r="BM199" i="50"/>
  <c r="U200" i="50"/>
  <c r="BB199" i="50"/>
  <c r="BB149" i="50" s="1"/>
  <c r="U201" i="50"/>
  <c r="Y203" i="50"/>
  <c r="BN203" i="50"/>
  <c r="ED205" i="50"/>
  <c r="U205" i="50"/>
  <c r="EE206" i="50"/>
  <c r="L206" i="50"/>
  <c r="EE208" i="50"/>
  <c r="V187" i="50"/>
  <c r="V186" i="50" s="1"/>
  <c r="Y189" i="50"/>
  <c r="T191" i="50"/>
  <c r="Z191" i="50"/>
  <c r="EF191" i="50"/>
  <c r="L195" i="50"/>
  <c r="EJ196" i="50"/>
  <c r="Y198" i="50"/>
  <c r="EB198" i="50"/>
  <c r="O317" i="50"/>
  <c r="E317" i="50"/>
  <c r="D200" i="50"/>
  <c r="C200" i="50" s="1"/>
  <c r="E199" i="50"/>
  <c r="ED199" i="50"/>
  <c r="EC200" i="50"/>
  <c r="EC199" i="50" s="1"/>
  <c r="AY196" i="50"/>
  <c r="EI200" i="50"/>
  <c r="EI199" i="50" s="1"/>
  <c r="AB200" i="50"/>
  <c r="Y199" i="50"/>
  <c r="AD317" i="50"/>
  <c r="AD199" i="50"/>
  <c r="AD149" i="50" s="1"/>
  <c r="W202" i="50"/>
  <c r="AC207" i="50"/>
  <c r="Y208" i="50"/>
  <c r="ED217" i="50"/>
  <c r="U217" i="50"/>
  <c r="U218" i="50"/>
  <c r="ED218" i="50"/>
  <c r="BN219" i="50"/>
  <c r="Y219" i="50"/>
  <c r="AY236" i="50"/>
  <c r="S317" i="50"/>
  <c r="EC208" i="50"/>
  <c r="EC202" i="50" s="1"/>
  <c r="AY212" i="50"/>
  <c r="AY213" i="50"/>
  <c r="BG215" i="50"/>
  <c r="AY215" i="50" s="1"/>
  <c r="BN216" i="50"/>
  <c r="Y216" i="50"/>
  <c r="W317" i="50"/>
  <c r="Y204" i="50"/>
  <c r="EL206" i="50"/>
  <c r="AA317" i="50"/>
  <c r="ED208" i="50"/>
  <c r="AY214" i="50"/>
  <c r="BN217" i="50"/>
  <c r="Y217" i="50"/>
  <c r="EE219" i="50"/>
  <c r="BG219" i="50"/>
  <c r="EB205" i="50"/>
  <c r="EJ205" i="50"/>
  <c r="EI215" i="50"/>
  <c r="AB215" i="50"/>
  <c r="EE216" i="50"/>
  <c r="AY233" i="50"/>
  <c r="BN220" i="50"/>
  <c r="EJ215" i="50"/>
  <c r="ED216" i="50"/>
  <c r="EB218" i="50"/>
  <c r="ED219" i="50"/>
  <c r="EM237" i="50"/>
  <c r="L238" i="50"/>
  <c r="K238" i="50" s="1"/>
  <c r="EE243" i="50"/>
  <c r="L245" i="50"/>
  <c r="T212" i="50"/>
  <c r="T214" i="50"/>
  <c r="EB217" i="50"/>
  <c r="L242" i="50"/>
  <c r="V317" i="50"/>
  <c r="EJ212" i="50"/>
  <c r="EL213" i="50"/>
  <c r="EE246" i="50"/>
  <c r="L246" i="50"/>
  <c r="Y214" i="50"/>
  <c r="N317" i="50"/>
  <c r="L230" i="50"/>
  <c r="K230" i="50" s="1"/>
  <c r="L232" i="50"/>
  <c r="DV237" i="50"/>
  <c r="EL237" i="50"/>
  <c r="L241" i="50"/>
  <c r="K241" i="50" s="1"/>
  <c r="F47" i="43" s="1"/>
  <c r="H48" i="16"/>
  <c r="D13" i="20"/>
  <c r="E35" i="21"/>
  <c r="F35" i="21"/>
  <c r="E36" i="21"/>
  <c r="E37" i="21"/>
  <c r="F37" i="21"/>
  <c r="E38" i="21"/>
  <c r="F38" i="21"/>
  <c r="E39" i="21"/>
  <c r="D13" i="21"/>
  <c r="E68" i="19"/>
  <c r="F68" i="19"/>
  <c r="D41" i="19"/>
  <c r="D42" i="19" s="1"/>
  <c r="E42" i="19" s="1"/>
  <c r="D12" i="19"/>
  <c r="D13" i="19"/>
  <c r="I46" i="17"/>
  <c r="E48" i="17"/>
  <c r="E49" i="17"/>
  <c r="E50" i="17"/>
  <c r="E51" i="17"/>
  <c r="E52" i="17"/>
  <c r="E53" i="17"/>
  <c r="E54" i="17"/>
  <c r="E55" i="17"/>
  <c r="E56" i="17"/>
  <c r="E57" i="17"/>
  <c r="E58" i="17"/>
  <c r="E59" i="17"/>
  <c r="E60" i="17"/>
  <c r="E61" i="17"/>
  <c r="E62" i="17"/>
  <c r="E63" i="17"/>
  <c r="E65" i="17"/>
  <c r="E66" i="17"/>
  <c r="E67" i="17"/>
  <c r="E68" i="17"/>
  <c r="F48" i="17"/>
  <c r="F49" i="17"/>
  <c r="F50" i="17"/>
  <c r="F51" i="17"/>
  <c r="F52" i="17"/>
  <c r="F54" i="17"/>
  <c r="F55" i="17"/>
  <c r="F56" i="17"/>
  <c r="F58" i="17"/>
  <c r="F59" i="17"/>
  <c r="F60" i="17"/>
  <c r="F62" i="17"/>
  <c r="F63" i="17"/>
  <c r="F65" i="17"/>
  <c r="F66" i="17"/>
  <c r="F67" i="17"/>
  <c r="F68" i="17"/>
  <c r="E35" i="17"/>
  <c r="F35" i="17"/>
  <c r="E36" i="17"/>
  <c r="E37" i="17"/>
  <c r="F37" i="17"/>
  <c r="E38" i="17"/>
  <c r="F38" i="17"/>
  <c r="E39" i="17"/>
  <c r="F39" i="17"/>
  <c r="D41" i="17"/>
  <c r="BL57" i="50" l="1"/>
  <c r="S8" i="50"/>
  <c r="EE68" i="50"/>
  <c r="L68" i="50"/>
  <c r="BG200" i="50"/>
  <c r="BG199" i="50" s="1"/>
  <c r="C10" i="50"/>
  <c r="C9" i="50" s="1"/>
  <c r="AK247" i="50"/>
  <c r="AK248" i="50"/>
  <c r="AK319" i="50" s="1"/>
  <c r="EE171" i="50"/>
  <c r="AY168" i="50"/>
  <c r="AB168" i="50"/>
  <c r="W149" i="50"/>
  <c r="Y166" i="50"/>
  <c r="BE151" i="50"/>
  <c r="BA80" i="50"/>
  <c r="Z82" i="50"/>
  <c r="Z81" i="50" s="1"/>
  <c r="Y211" i="50"/>
  <c r="BM133" i="50"/>
  <c r="BM132" i="50" s="1"/>
  <c r="AB84" i="50"/>
  <c r="ED215" i="50"/>
  <c r="AY44" i="50"/>
  <c r="EI148" i="50"/>
  <c r="AY16" i="50"/>
  <c r="AY217" i="50"/>
  <c r="EB215" i="50"/>
  <c r="AY104" i="50"/>
  <c r="ED36" i="50"/>
  <c r="T186" i="50"/>
  <c r="AB218" i="50"/>
  <c r="EF186" i="50"/>
  <c r="AQ57" i="50"/>
  <c r="AY216" i="50"/>
  <c r="EJ211" i="50"/>
  <c r="AY112" i="50"/>
  <c r="K197" i="50"/>
  <c r="EH150" i="50"/>
  <c r="ET57" i="50"/>
  <c r="U170" i="50"/>
  <c r="AX248" i="50"/>
  <c r="BI248" i="50"/>
  <c r="BC248" i="50"/>
  <c r="AZ150" i="50"/>
  <c r="AZ149" i="50" s="1"/>
  <c r="BO149" i="50"/>
  <c r="V149" i="50"/>
  <c r="EI196" i="50"/>
  <c r="D133" i="50"/>
  <c r="EI129" i="50"/>
  <c r="L139" i="50"/>
  <c r="DV139" i="50" s="1"/>
  <c r="ED28" i="50"/>
  <c r="BQ80" i="50"/>
  <c r="BQ247" i="50" s="1"/>
  <c r="N8" i="50"/>
  <c r="BN67" i="50"/>
  <c r="AY67" i="50" s="1"/>
  <c r="DX35" i="50"/>
  <c r="DX34" i="50" s="1"/>
  <c r="Y36" i="50"/>
  <c r="Y35" i="50" s="1"/>
  <c r="Y34" i="50" s="1"/>
  <c r="Y179" i="50"/>
  <c r="EI179" i="50" s="1"/>
  <c r="BN143" i="50"/>
  <c r="BN141" i="50" s="1"/>
  <c r="BN140" i="50" s="1"/>
  <c r="ED106" i="50"/>
  <c r="DY57" i="50"/>
  <c r="AC127" i="50"/>
  <c r="EM127" i="50" s="1"/>
  <c r="BN167" i="50"/>
  <c r="BN166" i="50" s="1"/>
  <c r="R318" i="50"/>
  <c r="DY80" i="50"/>
  <c r="EH80" i="50"/>
  <c r="BI247" i="50"/>
  <c r="BR248" i="50"/>
  <c r="AB184" i="50"/>
  <c r="EL184" i="50" s="1"/>
  <c r="EB62" i="50"/>
  <c r="EB57" i="50" s="1"/>
  <c r="AC38" i="50"/>
  <c r="EM38" i="50" s="1"/>
  <c r="ET150" i="50"/>
  <c r="BG167" i="50"/>
  <c r="BG166" i="50" s="1"/>
  <c r="Y67" i="50"/>
  <c r="EI67" i="50" s="1"/>
  <c r="BG175" i="50"/>
  <c r="BG173" i="50" s="1"/>
  <c r="L176" i="50"/>
  <c r="DV176" i="50" s="1"/>
  <c r="U72" i="50"/>
  <c r="EE72" i="50" s="1"/>
  <c r="U71" i="50"/>
  <c r="EE71" i="50" s="1"/>
  <c r="EI51" i="50"/>
  <c r="AY84" i="50"/>
  <c r="EB122" i="50"/>
  <c r="EB121" i="50" s="1"/>
  <c r="AY88" i="50"/>
  <c r="EC80" i="50"/>
  <c r="DZ80" i="50"/>
  <c r="BE10" i="50"/>
  <c r="BE9" i="50" s="1"/>
  <c r="AB23" i="50"/>
  <c r="EL23" i="50" s="1"/>
  <c r="ED52" i="50"/>
  <c r="EF82" i="50"/>
  <c r="EF81" i="50" s="1"/>
  <c r="EF80" i="50" s="1"/>
  <c r="AB124" i="50"/>
  <c r="EL124" i="50" s="1"/>
  <c r="EB133" i="50"/>
  <c r="EB132" i="50" s="1"/>
  <c r="DW62" i="50"/>
  <c r="DW57" i="50" s="1"/>
  <c r="U42" i="50"/>
  <c r="EE42" i="50" s="1"/>
  <c r="EA150" i="50"/>
  <c r="Z35" i="50"/>
  <c r="Z34" i="50" s="1"/>
  <c r="Z8" i="50" s="1"/>
  <c r="D318" i="50"/>
  <c r="AI248" i="50"/>
  <c r="AI319" i="50" s="1"/>
  <c r="O37" i="43"/>
  <c r="U26" i="50"/>
  <c r="EE26" i="50" s="1"/>
  <c r="AY14" i="50"/>
  <c r="DZ8" i="50"/>
  <c r="EK57" i="50"/>
  <c r="BF10" i="50"/>
  <c r="BF9" i="50" s="1"/>
  <c r="AY219" i="50"/>
  <c r="BM150" i="50"/>
  <c r="AZ80" i="50"/>
  <c r="EK80" i="50"/>
  <c r="EK150" i="50"/>
  <c r="BR247" i="50"/>
  <c r="R317" i="50"/>
  <c r="BN173" i="50"/>
  <c r="BU247" i="50"/>
  <c r="BU248" i="50"/>
  <c r="AH248" i="50"/>
  <c r="AH329" i="50" s="1"/>
  <c r="AY174" i="50"/>
  <c r="BS248" i="50"/>
  <c r="O149" i="50"/>
  <c r="BL150" i="50"/>
  <c r="BL149" i="50" s="1"/>
  <c r="O248" i="50"/>
  <c r="L172" i="50"/>
  <c r="K172" i="50" s="1"/>
  <c r="AB159" i="50"/>
  <c r="AC159" i="50" s="1"/>
  <c r="D150" i="50"/>
  <c r="EC150" i="50"/>
  <c r="EI152" i="50"/>
  <c r="EI151" i="50" s="1"/>
  <c r="AB152" i="50"/>
  <c r="AJ247" i="50"/>
  <c r="EW247" i="50" s="1"/>
  <c r="AJ248" i="50"/>
  <c r="AJ329" i="50" s="1"/>
  <c r="Z317" i="50"/>
  <c r="Z141" i="50"/>
  <c r="Z140" i="50" s="1"/>
  <c r="ED143" i="50"/>
  <c r="AB145" i="50"/>
  <c r="AC145" i="50" s="1"/>
  <c r="AB123" i="50"/>
  <c r="EL123" i="50" s="1"/>
  <c r="Q248" i="50"/>
  <c r="Q319" i="50" s="1"/>
  <c r="AE248" i="50"/>
  <c r="AE319" i="50" s="1"/>
  <c r="BK247" i="50"/>
  <c r="BV247" i="50"/>
  <c r="I248" i="50"/>
  <c r="I319" i="50" s="1"/>
  <c r="AB106" i="50"/>
  <c r="AC106" i="50" s="1"/>
  <c r="BP247" i="50"/>
  <c r="BN102" i="50"/>
  <c r="BN97" i="50" s="1"/>
  <c r="BN95" i="50" s="1"/>
  <c r="EQ80" i="50"/>
  <c r="AG248" i="50"/>
  <c r="AG329" i="50" s="1"/>
  <c r="AW248" i="50"/>
  <c r="F299" i="50" s="1"/>
  <c r="EG80" i="50"/>
  <c r="Z318" i="50"/>
  <c r="BN83" i="50"/>
  <c r="BN82" i="50" s="1"/>
  <c r="BN81" i="50" s="1"/>
  <c r="AC49" i="50"/>
  <c r="EM49" i="50" s="1"/>
  <c r="EI49" i="50"/>
  <c r="BW248" i="50"/>
  <c r="BH8" i="50"/>
  <c r="BH248" i="50" s="1"/>
  <c r="BT247" i="50"/>
  <c r="EQ8" i="50"/>
  <c r="AW247" i="50"/>
  <c r="AQ8" i="50"/>
  <c r="AR8" i="50"/>
  <c r="AY23" i="50"/>
  <c r="EV8" i="50"/>
  <c r="BV248" i="50"/>
  <c r="E248" i="50"/>
  <c r="E319" i="50" s="1"/>
  <c r="U15" i="50"/>
  <c r="EE15" i="50" s="1"/>
  <c r="AB69" i="50"/>
  <c r="AC69" i="50" s="1"/>
  <c r="DY150" i="50"/>
  <c r="AY105" i="50"/>
  <c r="AB163" i="50"/>
  <c r="EL163" i="50" s="1"/>
  <c r="BF122" i="50"/>
  <c r="BF121" i="50" s="1"/>
  <c r="BF133" i="50"/>
  <c r="BF132" i="50" s="1"/>
  <c r="EI92" i="50"/>
  <c r="EH8" i="50"/>
  <c r="EN150" i="50"/>
  <c r="EC62" i="50"/>
  <c r="EC57" i="50" s="1"/>
  <c r="AY203" i="50"/>
  <c r="AY187" i="50"/>
  <c r="AB125" i="50"/>
  <c r="EL125" i="50" s="1"/>
  <c r="BM10" i="50"/>
  <c r="BM9" i="50" s="1"/>
  <c r="AY134" i="50"/>
  <c r="ES80" i="50"/>
  <c r="EP80" i="50"/>
  <c r="EE151" i="50"/>
  <c r="U151" i="50"/>
  <c r="L153" i="50"/>
  <c r="DV153" i="50" s="1"/>
  <c r="U127" i="50"/>
  <c r="EE127" i="50" s="1"/>
  <c r="M8" i="50"/>
  <c r="M247" i="50" s="1"/>
  <c r="EB186" i="50"/>
  <c r="EM170" i="50"/>
  <c r="U179" i="50"/>
  <c r="EE179" i="50" s="1"/>
  <c r="AR150" i="50"/>
  <c r="AR149" i="50" s="1"/>
  <c r="L182" i="50"/>
  <c r="AB105" i="50"/>
  <c r="EL105" i="50" s="1"/>
  <c r="EG57" i="50"/>
  <c r="EG8" i="50"/>
  <c r="AF248" i="50"/>
  <c r="AF319" i="50" s="1"/>
  <c r="BG133" i="50"/>
  <c r="BG132" i="50" s="1"/>
  <c r="T141" i="50"/>
  <c r="T140" i="50" s="1"/>
  <c r="EN80" i="50"/>
  <c r="EA80" i="50"/>
  <c r="EN57" i="50"/>
  <c r="EH57" i="50"/>
  <c r="EV150" i="50"/>
  <c r="EO80" i="50"/>
  <c r="AY165" i="50"/>
  <c r="C150" i="50"/>
  <c r="EB102" i="50"/>
  <c r="EB97" i="50" s="1"/>
  <c r="EB95" i="50" s="1"/>
  <c r="EB80" i="50" s="1"/>
  <c r="V8" i="50"/>
  <c r="V248" i="50" s="1"/>
  <c r="L88" i="50"/>
  <c r="DV88" i="50" s="1"/>
  <c r="AY12" i="50"/>
  <c r="AB24" i="50"/>
  <c r="EL24" i="50" s="1"/>
  <c r="X248" i="50"/>
  <c r="X329" i="50" s="1"/>
  <c r="AY114" i="50"/>
  <c r="DW10" i="50"/>
  <c r="DW9" i="50" s="1"/>
  <c r="DW8" i="50" s="1"/>
  <c r="AY178" i="50"/>
  <c r="AY221" i="50"/>
  <c r="AB212" i="50"/>
  <c r="AC212" i="50" s="1"/>
  <c r="EM212" i="50" s="1"/>
  <c r="C317" i="50"/>
  <c r="D317" i="50"/>
  <c r="DZ150" i="50"/>
  <c r="AC180" i="50"/>
  <c r="EM180" i="50" s="1"/>
  <c r="Y143" i="50"/>
  <c r="AB143" i="50" s="1"/>
  <c r="ED56" i="50"/>
  <c r="Y83" i="50"/>
  <c r="AB83" i="50" s="1"/>
  <c r="EI50" i="50"/>
  <c r="ED24" i="50"/>
  <c r="EU150" i="50"/>
  <c r="EV80" i="50"/>
  <c r="U63" i="50"/>
  <c r="EE63" i="50" s="1"/>
  <c r="EO8" i="50"/>
  <c r="ES8" i="50"/>
  <c r="ER8" i="50"/>
  <c r="EL50" i="50"/>
  <c r="AY21" i="50"/>
  <c r="ET8" i="50"/>
  <c r="EF57" i="50"/>
  <c r="EP57" i="50"/>
  <c r="ED67" i="50"/>
  <c r="ED62" i="50" s="1"/>
  <c r="ED57" i="50" s="1"/>
  <c r="T62" i="50"/>
  <c r="T57" i="50" s="1"/>
  <c r="AC51" i="50"/>
  <c r="EM51" i="50" s="1"/>
  <c r="G248" i="50"/>
  <c r="G319" i="50" s="1"/>
  <c r="EP8" i="50"/>
  <c r="AY65" i="50"/>
  <c r="DX10" i="50"/>
  <c r="DX9" i="50" s="1"/>
  <c r="EM134" i="50"/>
  <c r="AB205" i="50"/>
  <c r="EL205" i="50" s="1"/>
  <c r="BN205" i="50"/>
  <c r="AY205" i="50" s="1"/>
  <c r="ED148" i="50"/>
  <c r="EJ156" i="50"/>
  <c r="D97" i="50"/>
  <c r="D95" i="50" s="1"/>
  <c r="D80" i="50" s="1"/>
  <c r="EK8" i="50"/>
  <c r="L89" i="50"/>
  <c r="DV89" i="50" s="1"/>
  <c r="AB75" i="50"/>
  <c r="AY69" i="50"/>
  <c r="ED29" i="50"/>
  <c r="C8" i="50"/>
  <c r="AE247" i="50"/>
  <c r="EA8" i="50"/>
  <c r="P247" i="50"/>
  <c r="P248" i="50"/>
  <c r="P329" i="50" s="1"/>
  <c r="J248" i="50"/>
  <c r="J319" i="50" s="1"/>
  <c r="BF202" i="50"/>
  <c r="EP150" i="50"/>
  <c r="H248" i="50"/>
  <c r="H319" i="50" s="1"/>
  <c r="EU80" i="50"/>
  <c r="S149" i="50"/>
  <c r="Y133" i="50"/>
  <c r="Y132" i="50" s="1"/>
  <c r="BM202" i="50"/>
  <c r="Y122" i="50"/>
  <c r="Y121" i="50" s="1"/>
  <c r="ED109" i="50"/>
  <c r="AY136" i="50"/>
  <c r="AQ97" i="50"/>
  <c r="AQ95" i="50" s="1"/>
  <c r="AQ80" i="50" s="1"/>
  <c r="AY91" i="50"/>
  <c r="S248" i="50"/>
  <c r="AA248" i="50"/>
  <c r="AY18" i="50"/>
  <c r="EC8" i="50"/>
  <c r="N248" i="50"/>
  <c r="F247" i="50"/>
  <c r="K222" i="50"/>
  <c r="W248" i="50"/>
  <c r="AF247" i="50"/>
  <c r="EE134" i="50"/>
  <c r="U133" i="50"/>
  <c r="U132" i="50" s="1"/>
  <c r="ED134" i="50"/>
  <c r="ED133" i="50" s="1"/>
  <c r="ED132" i="50" s="1"/>
  <c r="T133" i="50"/>
  <c r="T132" i="50" s="1"/>
  <c r="U187" i="50"/>
  <c r="DW150" i="50"/>
  <c r="ER150" i="50"/>
  <c r="AQ150" i="50"/>
  <c r="AQ149" i="50" s="1"/>
  <c r="L134" i="50"/>
  <c r="DV134" i="50" s="1"/>
  <c r="AB107" i="50"/>
  <c r="EL107" i="50" s="1"/>
  <c r="EJ102" i="50"/>
  <c r="EJ97" i="50" s="1"/>
  <c r="EJ95" i="50" s="1"/>
  <c r="AR57" i="50"/>
  <c r="EF10" i="50"/>
  <c r="EF9" i="50" s="1"/>
  <c r="EF8" i="50" s="1"/>
  <c r="EU8" i="50"/>
  <c r="ET80" i="50"/>
  <c r="F334" i="50"/>
  <c r="K190" i="50"/>
  <c r="EQ150" i="50"/>
  <c r="ER80" i="50"/>
  <c r="DX133" i="50"/>
  <c r="DX132" i="50" s="1"/>
  <c r="AX247" i="50"/>
  <c r="BW247" i="50"/>
  <c r="BC247" i="50"/>
  <c r="J247" i="50"/>
  <c r="AU247" i="50"/>
  <c r="AU248" i="50"/>
  <c r="Z80" i="50"/>
  <c r="BS247" i="50"/>
  <c r="BT248" i="50"/>
  <c r="DW80" i="50"/>
  <c r="AY113" i="50"/>
  <c r="BL97" i="50"/>
  <c r="BL95" i="50" s="1"/>
  <c r="BL80" i="50" s="1"/>
  <c r="H247" i="50"/>
  <c r="F248" i="50"/>
  <c r="AS248" i="50"/>
  <c r="AS247" i="50"/>
  <c r="AT247" i="50"/>
  <c r="AT248" i="50"/>
  <c r="BJ247" i="50"/>
  <c r="BJ248" i="50"/>
  <c r="AH247" i="50"/>
  <c r="EO150" i="50"/>
  <c r="DX150" i="50"/>
  <c r="C97" i="50"/>
  <c r="C95" i="50" s="1"/>
  <c r="C80" i="50" s="1"/>
  <c r="EB210" i="50"/>
  <c r="T210" i="50"/>
  <c r="DX80" i="50"/>
  <c r="AY191" i="50"/>
  <c r="U181" i="50"/>
  <c r="EE181" i="50" s="1"/>
  <c r="ES150" i="50"/>
  <c r="AV248" i="50"/>
  <c r="AV247" i="50"/>
  <c r="BO248" i="50"/>
  <c r="BO247" i="50"/>
  <c r="DV246" i="50"/>
  <c r="K246" i="50"/>
  <c r="DV192" i="50"/>
  <c r="K192" i="50"/>
  <c r="DV182" i="50"/>
  <c r="K182" i="50"/>
  <c r="DV244" i="50"/>
  <c r="K244" i="50"/>
  <c r="F85" i="43" s="1"/>
  <c r="DV231" i="50"/>
  <c r="K231" i="50"/>
  <c r="DV194" i="50"/>
  <c r="K194" i="50"/>
  <c r="U142" i="50"/>
  <c r="ED142" i="50"/>
  <c r="EE209" i="50"/>
  <c r="L209" i="50"/>
  <c r="EJ202" i="50"/>
  <c r="AY220" i="50"/>
  <c r="EG150" i="50"/>
  <c r="AY129" i="50"/>
  <c r="AR97" i="50"/>
  <c r="AR95" i="50" s="1"/>
  <c r="AR80" i="50" s="1"/>
  <c r="AY200" i="50"/>
  <c r="AY199" i="50" s="1"/>
  <c r="U65" i="50"/>
  <c r="EE65" i="50" s="1"/>
  <c r="DV232" i="50"/>
  <c r="K232" i="50"/>
  <c r="DV242" i="50"/>
  <c r="K242" i="50"/>
  <c r="DV245" i="50"/>
  <c r="K245" i="50"/>
  <c r="F84" i="43" s="1"/>
  <c r="DV195" i="50"/>
  <c r="K195" i="50"/>
  <c r="DV206" i="50"/>
  <c r="K206" i="50"/>
  <c r="DV240" i="50"/>
  <c r="K240" i="50"/>
  <c r="DV243" i="50"/>
  <c r="K243" i="50"/>
  <c r="F86" i="43" s="1"/>
  <c r="T213" i="50"/>
  <c r="EB213" i="50"/>
  <c r="EB211" i="50"/>
  <c r="R202" i="50"/>
  <c r="T211" i="50"/>
  <c r="DV233" i="50"/>
  <c r="K233" i="50"/>
  <c r="F80" i="43" s="1"/>
  <c r="DV223" i="50"/>
  <c r="K223" i="50"/>
  <c r="ED147" i="50"/>
  <c r="U147" i="50"/>
  <c r="EE147" i="50" s="1"/>
  <c r="ED126" i="50"/>
  <c r="ED122" i="50" s="1"/>
  <c r="ED121" i="50" s="1"/>
  <c r="U126" i="50"/>
  <c r="EE126" i="50" s="1"/>
  <c r="ED83" i="50"/>
  <c r="U83" i="50"/>
  <c r="ED51" i="50"/>
  <c r="U51" i="50"/>
  <c r="EE51" i="50" s="1"/>
  <c r="Y13" i="50"/>
  <c r="EJ13" i="50"/>
  <c r="EJ10" i="50" s="1"/>
  <c r="EJ9" i="50" s="1"/>
  <c r="BD248" i="50"/>
  <c r="AY239" i="50"/>
  <c r="AC170" i="50"/>
  <c r="D35" i="50"/>
  <c r="D34" i="50" s="1"/>
  <c r="D8" i="50" s="1"/>
  <c r="AL248" i="50"/>
  <c r="AL319" i="50" s="1"/>
  <c r="AL247" i="50"/>
  <c r="AI247" i="50"/>
  <c r="EM19" i="50"/>
  <c r="AD19" i="50"/>
  <c r="EM12" i="50"/>
  <c r="L12" i="50"/>
  <c r="T99" i="50"/>
  <c r="U99" i="50" s="1"/>
  <c r="R97" i="50"/>
  <c r="R95" i="50" s="1"/>
  <c r="R80" i="50" s="1"/>
  <c r="I247" i="50"/>
  <c r="U74" i="50"/>
  <c r="EE74" i="50" s="1"/>
  <c r="EJ62" i="50"/>
  <c r="EJ57" i="50" s="1"/>
  <c r="AY74" i="50"/>
  <c r="G247" i="50"/>
  <c r="BD247" i="50"/>
  <c r="Q247" i="50"/>
  <c r="BP248" i="50"/>
  <c r="ED54" i="50"/>
  <c r="AG247" i="50"/>
  <c r="X247" i="50"/>
  <c r="DY8" i="50"/>
  <c r="ED113" i="50"/>
  <c r="U113" i="50"/>
  <c r="EE113" i="50" s="1"/>
  <c r="EE155" i="50"/>
  <c r="DV230" i="50"/>
  <c r="L221" i="50"/>
  <c r="L220" i="50" s="1"/>
  <c r="AB217" i="50"/>
  <c r="EI217" i="50"/>
  <c r="EI204" i="50"/>
  <c r="AB204" i="50"/>
  <c r="EI216" i="50"/>
  <c r="AB216" i="50"/>
  <c r="EI208" i="50"/>
  <c r="AB208" i="50"/>
  <c r="EE205" i="50"/>
  <c r="EE198" i="50"/>
  <c r="EI185" i="50"/>
  <c r="AB185" i="50"/>
  <c r="Y173" i="50"/>
  <c r="EI174" i="50"/>
  <c r="AB174" i="50"/>
  <c r="AB175" i="50"/>
  <c r="EI175" i="50"/>
  <c r="R166" i="50"/>
  <c r="T167" i="50"/>
  <c r="EB167" i="50"/>
  <c r="EB166" i="50" s="1"/>
  <c r="EE163" i="50"/>
  <c r="EI178" i="50"/>
  <c r="AB178" i="50"/>
  <c r="ED170" i="50"/>
  <c r="AC161" i="50"/>
  <c r="EL161" i="50"/>
  <c r="EM157" i="50"/>
  <c r="EE170" i="50"/>
  <c r="AC162" i="50"/>
  <c r="EL162" i="50"/>
  <c r="AY181" i="50"/>
  <c r="EE158" i="50"/>
  <c r="EJ142" i="50"/>
  <c r="Y142" i="50"/>
  <c r="AB138" i="50"/>
  <c r="EI138" i="50"/>
  <c r="AY163" i="50"/>
  <c r="BF150" i="50"/>
  <c r="BN137" i="50"/>
  <c r="AY137" i="50" s="1"/>
  <c r="BG152" i="50"/>
  <c r="L136" i="50"/>
  <c r="AB108" i="50"/>
  <c r="EI108" i="50"/>
  <c r="Y97" i="50"/>
  <c r="Y95" i="50" s="1"/>
  <c r="BM128" i="50"/>
  <c r="BL122" i="50"/>
  <c r="BL121" i="50" s="1"/>
  <c r="ED105" i="50"/>
  <c r="U105" i="50"/>
  <c r="BG122" i="50"/>
  <c r="BG121" i="50" s="1"/>
  <c r="EI63" i="50"/>
  <c r="AB63" i="50"/>
  <c r="EE107" i="50"/>
  <c r="AB101" i="50"/>
  <c r="EI101" i="50"/>
  <c r="EI104" i="50"/>
  <c r="AB104" i="50"/>
  <c r="EE100" i="50"/>
  <c r="EI54" i="50"/>
  <c r="AB74" i="50"/>
  <c r="AC74" i="50" s="1"/>
  <c r="EI74" i="50"/>
  <c r="AY63" i="50"/>
  <c r="BG62" i="50"/>
  <c r="EB50" i="50"/>
  <c r="T50" i="50"/>
  <c r="AB45" i="50"/>
  <c r="EI45" i="50"/>
  <c r="EB18" i="50"/>
  <c r="EB10" i="50" s="1"/>
  <c r="EB9" i="50" s="1"/>
  <c r="T18" i="50"/>
  <c r="T10" i="50" s="1"/>
  <c r="T9" i="50" s="1"/>
  <c r="BB247" i="50"/>
  <c r="L32" i="50"/>
  <c r="EE32" i="50"/>
  <c r="U22" i="50"/>
  <c r="ED22" i="50"/>
  <c r="EM11" i="50"/>
  <c r="EE59" i="50"/>
  <c r="EE58" i="50" s="1"/>
  <c r="U58" i="50"/>
  <c r="EE46" i="50"/>
  <c r="L46" i="50"/>
  <c r="EI59" i="50"/>
  <c r="EI58" i="50" s="1"/>
  <c r="Y58" i="50"/>
  <c r="AB59" i="50"/>
  <c r="EE16" i="50"/>
  <c r="AC28" i="50"/>
  <c r="EL28" i="50"/>
  <c r="E247" i="50"/>
  <c r="EE36" i="50"/>
  <c r="BG31" i="50"/>
  <c r="EL11" i="50"/>
  <c r="EE218" i="50"/>
  <c r="L207" i="50"/>
  <c r="EM207" i="50"/>
  <c r="EL200" i="50"/>
  <c r="EL199" i="50" s="1"/>
  <c r="AC200" i="50"/>
  <c r="L200" i="50" s="1"/>
  <c r="K200" i="50" s="1"/>
  <c r="AB199" i="50"/>
  <c r="EI198" i="50"/>
  <c r="AB198" i="50"/>
  <c r="EJ191" i="50"/>
  <c r="Y191" i="50"/>
  <c r="EE200" i="50"/>
  <c r="U199" i="50"/>
  <c r="EE196" i="50"/>
  <c r="EE189" i="50"/>
  <c r="EE187" i="50" s="1"/>
  <c r="EE165" i="50"/>
  <c r="L165" i="50"/>
  <c r="EJ183" i="50"/>
  <c r="Y183" i="50"/>
  <c r="AB160" i="50"/>
  <c r="EI160" i="50"/>
  <c r="BA150" i="50"/>
  <c r="BA149" i="50" s="1"/>
  <c r="Y181" i="50"/>
  <c r="EJ181" i="50"/>
  <c r="Z150" i="50"/>
  <c r="EL168" i="50"/>
  <c r="EL166" i="50" s="1"/>
  <c r="AC168" i="50"/>
  <c r="AB166" i="50"/>
  <c r="EI155" i="50"/>
  <c r="AB155" i="50"/>
  <c r="EJ147" i="50"/>
  <c r="Y147" i="50"/>
  <c r="BG157" i="50"/>
  <c r="EF150" i="50"/>
  <c r="EM144" i="50"/>
  <c r="L144" i="50"/>
  <c r="EI135" i="50"/>
  <c r="AB135" i="50"/>
  <c r="AC148" i="50"/>
  <c r="EL148" i="50"/>
  <c r="EE138" i="50"/>
  <c r="C318" i="50"/>
  <c r="C130" i="50"/>
  <c r="L128" i="50"/>
  <c r="EE128" i="50"/>
  <c r="EE124" i="50"/>
  <c r="EI112" i="50"/>
  <c r="AB112" i="50"/>
  <c r="ED55" i="50"/>
  <c r="U55" i="50"/>
  <c r="EE108" i="50"/>
  <c r="EL98" i="50"/>
  <c r="AC98" i="50"/>
  <c r="EL129" i="50"/>
  <c r="AC129" i="50"/>
  <c r="EM129" i="50" s="1"/>
  <c r="T122" i="50"/>
  <c r="T121" i="50" s="1"/>
  <c r="EI113" i="50"/>
  <c r="AB113" i="50"/>
  <c r="ED101" i="50"/>
  <c r="U101" i="50"/>
  <c r="EE86" i="50"/>
  <c r="AB71" i="50"/>
  <c r="EI71" i="50"/>
  <c r="AB66" i="50"/>
  <c r="EI66" i="50"/>
  <c r="ED94" i="50"/>
  <c r="U94" i="50"/>
  <c r="EI87" i="50"/>
  <c r="AB87" i="50"/>
  <c r="L85" i="50"/>
  <c r="EE85" i="50"/>
  <c r="EI76" i="50"/>
  <c r="AB76" i="50"/>
  <c r="AC76" i="50" s="1"/>
  <c r="AB72" i="50"/>
  <c r="EI72" i="50"/>
  <c r="S247" i="50"/>
  <c r="EB31" i="50"/>
  <c r="EB30" i="50" s="1"/>
  <c r="T31" i="50"/>
  <c r="T30" i="50" s="1"/>
  <c r="O247" i="50"/>
  <c r="BB248" i="50"/>
  <c r="AC92" i="50"/>
  <c r="EL92" i="50"/>
  <c r="ED45" i="50"/>
  <c r="U45" i="50"/>
  <c r="L96" i="50"/>
  <c r="K96" i="50" s="1"/>
  <c r="EI22" i="50"/>
  <c r="AB22" i="50"/>
  <c r="EJ35" i="50"/>
  <c r="EJ34" i="50" s="1"/>
  <c r="W247" i="50"/>
  <c r="L11" i="50"/>
  <c r="K11" i="50" s="1"/>
  <c r="EE21" i="50"/>
  <c r="L21" i="50"/>
  <c r="BN43" i="50"/>
  <c r="EL15" i="50"/>
  <c r="AC15" i="50"/>
  <c r="EM15" i="50" s="1"/>
  <c r="BN10" i="50"/>
  <c r="BN9" i="50" s="1"/>
  <c r="BM35" i="50"/>
  <c r="BM34" i="50" s="1"/>
  <c r="BN36" i="50"/>
  <c r="Y31" i="50"/>
  <c r="Y30" i="50" s="1"/>
  <c r="BM30" i="50"/>
  <c r="BN31" i="50"/>
  <c r="BN30" i="50" s="1"/>
  <c r="DV241" i="50"/>
  <c r="L239" i="50"/>
  <c r="K239" i="50" s="1"/>
  <c r="EI214" i="50"/>
  <c r="AB214" i="50"/>
  <c r="AC218" i="50"/>
  <c r="EM218" i="50" s="1"/>
  <c r="EL218" i="50"/>
  <c r="U214" i="50"/>
  <c r="ED214" i="50"/>
  <c r="L236" i="50"/>
  <c r="DV238" i="50"/>
  <c r="EE215" i="50"/>
  <c r="EI211" i="50"/>
  <c r="AB211" i="50"/>
  <c r="EI219" i="50"/>
  <c r="AB219" i="50"/>
  <c r="BG202" i="50"/>
  <c r="ED191" i="50"/>
  <c r="ED186" i="50" s="1"/>
  <c r="U191" i="50"/>
  <c r="EI203" i="50"/>
  <c r="AB203" i="50"/>
  <c r="Y202" i="50"/>
  <c r="EE169" i="50"/>
  <c r="EE180" i="50"/>
  <c r="L164" i="50"/>
  <c r="EE164" i="50"/>
  <c r="AY177" i="50"/>
  <c r="EI177" i="50"/>
  <c r="AB177" i="50"/>
  <c r="EE154" i="50"/>
  <c r="EL152" i="50"/>
  <c r="EL151" i="50" s="1"/>
  <c r="AC152" i="50"/>
  <c r="AB151" i="50"/>
  <c r="BF141" i="50"/>
  <c r="BF140" i="50" s="1"/>
  <c r="BG143" i="50"/>
  <c r="EI154" i="50"/>
  <c r="AB154" i="50"/>
  <c r="EE131" i="50"/>
  <c r="EE130" i="50" s="1"/>
  <c r="U130" i="50"/>
  <c r="L131" i="50"/>
  <c r="K131" i="50" s="1"/>
  <c r="BL133" i="50"/>
  <c r="BL132" i="50" s="1"/>
  <c r="AB114" i="50"/>
  <c r="EI114" i="50"/>
  <c r="EI109" i="50"/>
  <c r="AB109" i="50"/>
  <c r="EI77" i="50"/>
  <c r="AB77" i="50"/>
  <c r="AC77" i="50" s="1"/>
  <c r="AY135" i="50"/>
  <c r="EE104" i="50"/>
  <c r="BE97" i="50"/>
  <c r="BE95" i="50" s="1"/>
  <c r="BE80" i="50" s="1"/>
  <c r="EI64" i="50"/>
  <c r="AB64" i="50"/>
  <c r="EI55" i="50"/>
  <c r="U103" i="50"/>
  <c r="ED103" i="50"/>
  <c r="EI93" i="50"/>
  <c r="AB93" i="50"/>
  <c r="Y86" i="50"/>
  <c r="EJ86" i="50"/>
  <c r="EJ82" i="50" s="1"/>
  <c r="EJ81" i="50" s="1"/>
  <c r="EI83" i="50"/>
  <c r="EI70" i="50"/>
  <c r="AB70" i="50"/>
  <c r="AB52" i="50"/>
  <c r="EI52" i="50"/>
  <c r="ED48" i="50"/>
  <c r="U48" i="50"/>
  <c r="EI29" i="50"/>
  <c r="AB29" i="50"/>
  <c r="EE66" i="50"/>
  <c r="BG58" i="50"/>
  <c r="AY59" i="50"/>
  <c r="AY58" i="50" s="1"/>
  <c r="EB49" i="50"/>
  <c r="T49" i="50"/>
  <c r="R43" i="50"/>
  <c r="EI20" i="50"/>
  <c r="AB20" i="50"/>
  <c r="U14" i="50"/>
  <c r="ED14" i="50"/>
  <c r="R10" i="50"/>
  <c r="R9" i="50" s="1"/>
  <c r="EL73" i="50"/>
  <c r="AC73" i="50"/>
  <c r="EL65" i="50"/>
  <c r="AC65" i="50"/>
  <c r="EE47" i="50"/>
  <c r="L47" i="50"/>
  <c r="AB44" i="50"/>
  <c r="Y43" i="50"/>
  <c r="EI44" i="50"/>
  <c r="EB39" i="50"/>
  <c r="EB35" i="50" s="1"/>
  <c r="EB34" i="50" s="1"/>
  <c r="T39" i="50"/>
  <c r="T35" i="50" s="1"/>
  <c r="EI17" i="50"/>
  <c r="AB17" i="50"/>
  <c r="AB36" i="50"/>
  <c r="AA247" i="50"/>
  <c r="EI25" i="50"/>
  <c r="AB25" i="50"/>
  <c r="N247" i="50"/>
  <c r="ED40" i="50"/>
  <c r="U40" i="50"/>
  <c r="EE25" i="50"/>
  <c r="BL35" i="50"/>
  <c r="BL34" i="50" s="1"/>
  <c r="BL8" i="50" s="1"/>
  <c r="AY19" i="50"/>
  <c r="U212" i="50"/>
  <c r="ED212" i="50"/>
  <c r="EL215" i="50"/>
  <c r="AC215" i="50"/>
  <c r="EM215" i="50" s="1"/>
  <c r="EE217" i="50"/>
  <c r="D199" i="50"/>
  <c r="E149" i="50"/>
  <c r="AB189" i="50"/>
  <c r="EI189" i="50"/>
  <c r="L201" i="50"/>
  <c r="EE201" i="50"/>
  <c r="EE193" i="50"/>
  <c r="L193" i="50"/>
  <c r="EJ188" i="50"/>
  <c r="EJ187" i="50" s="1"/>
  <c r="Y188" i="50"/>
  <c r="Z187" i="50"/>
  <c r="Z186" i="50" s="1"/>
  <c r="ED160" i="50"/>
  <c r="U160" i="50"/>
  <c r="EL196" i="50"/>
  <c r="AC196" i="50"/>
  <c r="EM196" i="50" s="1"/>
  <c r="ED183" i="50"/>
  <c r="U183" i="50"/>
  <c r="U173" i="50"/>
  <c r="EE175" i="50"/>
  <c r="EE173" i="50" s="1"/>
  <c r="AB169" i="50"/>
  <c r="EI169" i="50"/>
  <c r="EI158" i="50"/>
  <c r="Y156" i="50"/>
  <c r="AB158" i="50"/>
  <c r="DV171" i="50"/>
  <c r="ED155" i="50"/>
  <c r="BG170" i="50"/>
  <c r="AY171" i="50"/>
  <c r="AY170" i="50" s="1"/>
  <c r="T157" i="50"/>
  <c r="R156" i="50"/>
  <c r="EB157" i="50"/>
  <c r="EB156" i="50" s="1"/>
  <c r="EI146" i="50"/>
  <c r="AB146" i="50"/>
  <c r="BE150" i="50"/>
  <c r="BE149" i="50" s="1"/>
  <c r="EE135" i="50"/>
  <c r="EI126" i="50"/>
  <c r="AB126" i="50"/>
  <c r="AY131" i="50"/>
  <c r="AY130" i="50" s="1"/>
  <c r="BN130" i="50"/>
  <c r="EE137" i="50"/>
  <c r="L137" i="50"/>
  <c r="EE129" i="50"/>
  <c r="EE114" i="50"/>
  <c r="EI100" i="50"/>
  <c r="AB100" i="50"/>
  <c r="EE123" i="50"/>
  <c r="EE112" i="50"/>
  <c r="EI103" i="50"/>
  <c r="AB103" i="50"/>
  <c r="BG100" i="50"/>
  <c r="BF99" i="50"/>
  <c r="BF97" i="50" s="1"/>
  <c r="BF95" i="50" s="1"/>
  <c r="BF80" i="50" s="1"/>
  <c r="BG102" i="50"/>
  <c r="U102" i="50"/>
  <c r="L90" i="50"/>
  <c r="EE90" i="50"/>
  <c r="T82" i="50"/>
  <c r="T81" i="50" s="1"/>
  <c r="ED86" i="50"/>
  <c r="EI56" i="50"/>
  <c r="AB56" i="50"/>
  <c r="EE91" i="50"/>
  <c r="BG82" i="50"/>
  <c r="BG81" i="50" s="1"/>
  <c r="AC23" i="50"/>
  <c r="BF57" i="50"/>
  <c r="EI37" i="50"/>
  <c r="AB37" i="50"/>
  <c r="EE27" i="50"/>
  <c r="EL84" i="50"/>
  <c r="AC84" i="50"/>
  <c r="BF46" i="50"/>
  <c r="BE43" i="50"/>
  <c r="EI91" i="50"/>
  <c r="AB91" i="50"/>
  <c r="BM57" i="50"/>
  <c r="EM53" i="50"/>
  <c r="L53" i="50"/>
  <c r="AY17" i="50"/>
  <c r="BG10" i="50"/>
  <c r="BG9" i="50" s="1"/>
  <c r="EL27" i="50"/>
  <c r="AC27" i="50"/>
  <c r="EI18" i="50"/>
  <c r="AB18" i="50"/>
  <c r="EI16" i="50"/>
  <c r="AB16" i="50"/>
  <c r="Y10" i="50"/>
  <c r="Y9" i="50" s="1"/>
  <c r="D13" i="17"/>
  <c r="C11" i="16"/>
  <c r="H41" i="16"/>
  <c r="D39" i="55" l="1"/>
  <c r="C39" i="55" s="1"/>
  <c r="E22" i="52" s="1"/>
  <c r="F22" i="52" s="1"/>
  <c r="C48" i="56"/>
  <c r="D41" i="55"/>
  <c r="C50" i="56"/>
  <c r="AK329" i="50"/>
  <c r="DV172" i="50"/>
  <c r="AY202" i="50"/>
  <c r="L170" i="50"/>
  <c r="K170" i="50" s="1"/>
  <c r="AZ248" i="50"/>
  <c r="AC123" i="50"/>
  <c r="L123" i="50" s="1"/>
  <c r="K123" i="50" s="1"/>
  <c r="AY102" i="50"/>
  <c r="Y82" i="50"/>
  <c r="Y81" i="50" s="1"/>
  <c r="K153" i="50"/>
  <c r="AI329" i="50"/>
  <c r="BQ248" i="50"/>
  <c r="AH319" i="50"/>
  <c r="EI122" i="50"/>
  <c r="EI121" i="50" s="1"/>
  <c r="AB67" i="50"/>
  <c r="Y62" i="50"/>
  <c r="BF149" i="50"/>
  <c r="AC184" i="50"/>
  <c r="EI36" i="50"/>
  <c r="BM149" i="50"/>
  <c r="EL212" i="50"/>
  <c r="AC124" i="50"/>
  <c r="EM124" i="50" s="1"/>
  <c r="K139" i="50"/>
  <c r="M248" i="50"/>
  <c r="M329" i="50" s="1"/>
  <c r="R150" i="50"/>
  <c r="R149" i="50" s="1"/>
  <c r="BN62" i="50"/>
  <c r="BN57" i="50" s="1"/>
  <c r="AJ319" i="50"/>
  <c r="DX8" i="50"/>
  <c r="L42" i="50"/>
  <c r="K42" i="50" s="1"/>
  <c r="F60" i="43" s="1"/>
  <c r="EL106" i="50"/>
  <c r="AC24" i="50"/>
  <c r="L24" i="50" s="1"/>
  <c r="AB179" i="50"/>
  <c r="AY83" i="50"/>
  <c r="AY82" i="50" s="1"/>
  <c r="AY81" i="50" s="1"/>
  <c r="AY167" i="50"/>
  <c r="AY166" i="50" s="1"/>
  <c r="BE8" i="50"/>
  <c r="BE248" i="50" s="1"/>
  <c r="EI156" i="50"/>
  <c r="EL145" i="50"/>
  <c r="BN150" i="50"/>
  <c r="AY175" i="50"/>
  <c r="AY173" i="50" s="1"/>
  <c r="L38" i="50"/>
  <c r="AC125" i="50"/>
  <c r="EM125" i="50" s="1"/>
  <c r="L124" i="50"/>
  <c r="K124" i="50" s="1"/>
  <c r="EL69" i="50"/>
  <c r="L26" i="50"/>
  <c r="DV26" i="50" s="1"/>
  <c r="K176" i="50"/>
  <c r="DZ248" i="50"/>
  <c r="ED82" i="50"/>
  <c r="ED81" i="50" s="1"/>
  <c r="EL159" i="50"/>
  <c r="L180" i="50"/>
  <c r="DV180" i="50" s="1"/>
  <c r="K89" i="50"/>
  <c r="EK247" i="50"/>
  <c r="AB35" i="50"/>
  <c r="AB34" i="50" s="1"/>
  <c r="L127" i="50"/>
  <c r="DV127" i="50" s="1"/>
  <c r="EI143" i="50"/>
  <c r="EL75" i="50"/>
  <c r="AC75" i="50"/>
  <c r="EM75" i="50" s="1"/>
  <c r="Q329" i="50"/>
  <c r="AZ247" i="50"/>
  <c r="EV247" i="50"/>
  <c r="BA247" i="50"/>
  <c r="EC248" i="50"/>
  <c r="F298" i="50"/>
  <c r="EC247" i="50"/>
  <c r="DZ247" i="50"/>
  <c r="BA248" i="50"/>
  <c r="O299" i="50" s="1"/>
  <c r="EV248" i="50"/>
  <c r="DY248" i="50"/>
  <c r="AY133" i="50"/>
  <c r="AY132" i="50" s="1"/>
  <c r="AB133" i="50"/>
  <c r="AB132" i="50" s="1"/>
  <c r="AE329" i="50"/>
  <c r="AG319" i="50"/>
  <c r="AC107" i="50"/>
  <c r="EM107" i="50" s="1"/>
  <c r="EQ247" i="50"/>
  <c r="AC105" i="50"/>
  <c r="EM105" i="50" s="1"/>
  <c r="EA247" i="50"/>
  <c r="EP248" i="50"/>
  <c r="EU248" i="50"/>
  <c r="BH247" i="50"/>
  <c r="EQ248" i="50"/>
  <c r="AQ248" i="50"/>
  <c r="EK248" i="50"/>
  <c r="BM8" i="50"/>
  <c r="EF248" i="50"/>
  <c r="D299" i="50"/>
  <c r="AF329" i="50"/>
  <c r="EO248" i="50"/>
  <c r="V247" i="50"/>
  <c r="D298" i="50"/>
  <c r="AC205" i="50"/>
  <c r="EM205" i="50" s="1"/>
  <c r="EP247" i="50"/>
  <c r="AR247" i="50"/>
  <c r="AY186" i="50"/>
  <c r="EU247" i="50"/>
  <c r="DV170" i="50"/>
  <c r="AC163" i="50"/>
  <c r="EM163" i="50" s="1"/>
  <c r="K88" i="50"/>
  <c r="U122" i="50"/>
  <c r="U121" i="50" s="1"/>
  <c r="L129" i="50"/>
  <c r="DV129" i="50" s="1"/>
  <c r="L51" i="50"/>
  <c r="DV51" i="50" s="1"/>
  <c r="EB202" i="50"/>
  <c r="ES248" i="50"/>
  <c r="T202" i="50"/>
  <c r="ET248" i="50"/>
  <c r="ER247" i="50"/>
  <c r="EH248" i="50"/>
  <c r="EH247" i="50"/>
  <c r="EG248" i="50"/>
  <c r="Y141" i="50"/>
  <c r="Y140" i="50" s="1"/>
  <c r="ES247" i="50"/>
  <c r="ED141" i="50"/>
  <c r="ED140" i="50" s="1"/>
  <c r="AQ247" i="50"/>
  <c r="Y318" i="50"/>
  <c r="EJ186" i="50"/>
  <c r="EB150" i="50"/>
  <c r="EI133" i="50"/>
  <c r="EI132" i="50" s="1"/>
  <c r="BN80" i="50"/>
  <c r="BN202" i="50"/>
  <c r="EO247" i="50"/>
  <c r="ER248" i="50"/>
  <c r="EA248" i="50"/>
  <c r="Z248" i="50"/>
  <c r="EB43" i="50"/>
  <c r="EB8" i="50" s="1"/>
  <c r="ET247" i="50"/>
  <c r="AY10" i="50"/>
  <c r="AY9" i="50" s="1"/>
  <c r="DY247" i="50"/>
  <c r="Y150" i="50"/>
  <c r="AR248" i="50"/>
  <c r="U141" i="50"/>
  <c r="U140" i="50" s="1"/>
  <c r="K134" i="50"/>
  <c r="EI102" i="50"/>
  <c r="EI97" i="50" s="1"/>
  <c r="EI95" i="50" s="1"/>
  <c r="DW247" i="50"/>
  <c r="F46" i="43"/>
  <c r="BG57" i="50"/>
  <c r="EJ150" i="50"/>
  <c r="DW248" i="50"/>
  <c r="EG247" i="50"/>
  <c r="AL329" i="50"/>
  <c r="P319" i="50"/>
  <c r="F319" i="50"/>
  <c r="EJ8" i="50"/>
  <c r="ED102" i="50"/>
  <c r="ED97" i="50" s="1"/>
  <c r="ED95" i="50" s="1"/>
  <c r="AY62" i="50"/>
  <c r="AY57" i="50" s="1"/>
  <c r="DX248" i="50"/>
  <c r="X319" i="50"/>
  <c r="EJ80" i="50"/>
  <c r="ED210" i="50"/>
  <c r="U210" i="50"/>
  <c r="DV90" i="50"/>
  <c r="K90" i="50"/>
  <c r="DV137" i="50"/>
  <c r="K137" i="50"/>
  <c r="DV193" i="50"/>
  <c r="K193" i="50"/>
  <c r="DV164" i="50"/>
  <c r="K164" i="50"/>
  <c r="K236" i="50"/>
  <c r="F79" i="43"/>
  <c r="DV21" i="50"/>
  <c r="K21" i="50"/>
  <c r="DV144" i="50"/>
  <c r="K144" i="50"/>
  <c r="DV207" i="50"/>
  <c r="K207" i="50"/>
  <c r="DV46" i="50"/>
  <c r="K46" i="50"/>
  <c r="DV32" i="50"/>
  <c r="K32" i="50"/>
  <c r="DV136" i="50"/>
  <c r="K136" i="50"/>
  <c r="DV12" i="50"/>
  <c r="K12" i="50"/>
  <c r="EE83" i="50"/>
  <c r="EE82" i="50" s="1"/>
  <c r="EE81" i="50" s="1"/>
  <c r="U82" i="50"/>
  <c r="U81" i="50" s="1"/>
  <c r="ED211" i="50"/>
  <c r="U211" i="50"/>
  <c r="EE211" i="50" s="1"/>
  <c r="ED213" i="50"/>
  <c r="U213" i="50"/>
  <c r="EE142" i="50"/>
  <c r="EE141" i="50" s="1"/>
  <c r="EE140" i="50" s="1"/>
  <c r="EE122" i="50"/>
  <c r="EE121" i="50" s="1"/>
  <c r="EE133" i="50"/>
  <c r="EE132" i="50" s="1"/>
  <c r="D247" i="50"/>
  <c r="EI202" i="50"/>
  <c r="DV53" i="50"/>
  <c r="K53" i="50"/>
  <c r="DV201" i="50"/>
  <c r="K201" i="50"/>
  <c r="DV38" i="50"/>
  <c r="K38" i="50"/>
  <c r="DV47" i="50"/>
  <c r="K47" i="50"/>
  <c r="DV85" i="50"/>
  <c r="K85" i="50"/>
  <c r="DV128" i="50"/>
  <c r="K128" i="50"/>
  <c r="DV165" i="50"/>
  <c r="K165" i="50"/>
  <c r="K220" i="50"/>
  <c r="K221" i="50"/>
  <c r="F78" i="43" s="1"/>
  <c r="DV68" i="50"/>
  <c r="K68" i="50"/>
  <c r="EI13" i="50"/>
  <c r="EI10" i="50" s="1"/>
  <c r="EI9" i="50" s="1"/>
  <c r="AB13" i="50"/>
  <c r="AB10" i="50" s="1"/>
  <c r="AB9" i="50" s="1"/>
  <c r="DV209" i="50"/>
  <c r="K209" i="50"/>
  <c r="T97" i="50"/>
  <c r="T95" i="50" s="1"/>
  <c r="T80" i="50" s="1"/>
  <c r="U62" i="50"/>
  <c r="U57" i="50" s="1"/>
  <c r="U97" i="50"/>
  <c r="U95" i="50" s="1"/>
  <c r="EE62" i="50"/>
  <c r="EE57" i="50" s="1"/>
  <c r="Y80" i="50"/>
  <c r="EN19" i="50"/>
  <c r="L19" i="50"/>
  <c r="Y57" i="50"/>
  <c r="DX247" i="50"/>
  <c r="Z247" i="50"/>
  <c r="EM27" i="50"/>
  <c r="AD27" i="50"/>
  <c r="EN27" i="50" s="1"/>
  <c r="BL248" i="50"/>
  <c r="BL247" i="50"/>
  <c r="EL91" i="50"/>
  <c r="AC91" i="50"/>
  <c r="EM23" i="50"/>
  <c r="AD23" i="50"/>
  <c r="L23" i="50" s="1"/>
  <c r="AC103" i="50"/>
  <c r="EM103" i="50" s="1"/>
  <c r="EL103" i="50"/>
  <c r="EE160" i="50"/>
  <c r="L212" i="50"/>
  <c r="EE212" i="50"/>
  <c r="EL25" i="50"/>
  <c r="AC25" i="50"/>
  <c r="W319" i="50"/>
  <c r="W329" i="50"/>
  <c r="ED39" i="50"/>
  <c r="ED35" i="50" s="1"/>
  <c r="ED34" i="50" s="1"/>
  <c r="T34" i="50"/>
  <c r="U39" i="50"/>
  <c r="U35" i="50" s="1"/>
  <c r="EL44" i="50"/>
  <c r="AC44" i="50"/>
  <c r="AB43" i="50"/>
  <c r="AC70" i="50"/>
  <c r="EL70" i="50"/>
  <c r="EL55" i="50"/>
  <c r="AC55" i="50"/>
  <c r="EM55" i="50" s="1"/>
  <c r="AC151" i="50"/>
  <c r="EM152" i="50"/>
  <c r="EM151" i="50" s="1"/>
  <c r="L152" i="50"/>
  <c r="K152" i="50" s="1"/>
  <c r="EL177" i="50"/>
  <c r="AC177" i="50"/>
  <c r="EL203" i="50"/>
  <c r="AB202" i="50"/>
  <c r="AC203" i="50"/>
  <c r="EI31" i="50"/>
  <c r="EI30" i="50" s="1"/>
  <c r="Y8" i="50"/>
  <c r="AB31" i="50"/>
  <c r="AB30" i="50" s="1"/>
  <c r="ED31" i="50"/>
  <c r="ED30" i="50" s="1"/>
  <c r="U31" i="50"/>
  <c r="U30" i="50" s="1"/>
  <c r="S319" i="50"/>
  <c r="S329" i="50"/>
  <c r="EL72" i="50"/>
  <c r="AC72" i="50"/>
  <c r="EE101" i="50"/>
  <c r="AY157" i="50"/>
  <c r="AY156" i="50" s="1"/>
  <c r="BG156" i="50"/>
  <c r="EL160" i="50"/>
  <c r="AC160" i="50"/>
  <c r="EM160" i="50" s="1"/>
  <c r="L196" i="50"/>
  <c r="BN128" i="50"/>
  <c r="BM122" i="50"/>
  <c r="BM121" i="50" s="1"/>
  <c r="AC178" i="50"/>
  <c r="EL178" i="50"/>
  <c r="EL175" i="50"/>
  <c r="AC175" i="50"/>
  <c r="EL185" i="50"/>
  <c r="AC185" i="50"/>
  <c r="EL208" i="50"/>
  <c r="AC208" i="50"/>
  <c r="EL204" i="50"/>
  <c r="AC204" i="50"/>
  <c r="EM204" i="50" s="1"/>
  <c r="V329" i="50"/>
  <c r="V319" i="50"/>
  <c r="EL16" i="50"/>
  <c r="AC16" i="50"/>
  <c r="EM84" i="50"/>
  <c r="L84" i="50"/>
  <c r="L69" i="50"/>
  <c r="EM69" i="50"/>
  <c r="EL100" i="50"/>
  <c r="AC100" i="50"/>
  <c r="AC143" i="50"/>
  <c r="EL143" i="50"/>
  <c r="EI188" i="50"/>
  <c r="EI187" i="50" s="1"/>
  <c r="AB188" i="50"/>
  <c r="Y187" i="50"/>
  <c r="Y186" i="50" s="1"/>
  <c r="EL189" i="50"/>
  <c r="AC189" i="50"/>
  <c r="EL36" i="50"/>
  <c r="AC36" i="50"/>
  <c r="AC17" i="50"/>
  <c r="EL17" i="50"/>
  <c r="EM73" i="50"/>
  <c r="L73" i="50"/>
  <c r="EL64" i="50"/>
  <c r="AC64" i="50"/>
  <c r="EL77" i="50"/>
  <c r="EM123" i="50"/>
  <c r="AY143" i="50"/>
  <c r="AY141" i="50" s="1"/>
  <c r="AY140" i="50" s="1"/>
  <c r="BG141" i="50"/>
  <c r="BG140" i="50" s="1"/>
  <c r="AC219" i="50"/>
  <c r="EL219" i="50"/>
  <c r="L215" i="50"/>
  <c r="AC214" i="50"/>
  <c r="EM214" i="50" s="1"/>
  <c r="EL214" i="50"/>
  <c r="DV11" i="50"/>
  <c r="AC22" i="50"/>
  <c r="EM22" i="50" s="1"/>
  <c r="EL22" i="50"/>
  <c r="AC67" i="50"/>
  <c r="EL67" i="50"/>
  <c r="EL76" i="50"/>
  <c r="AC87" i="50"/>
  <c r="EL87" i="50"/>
  <c r="EL71" i="50"/>
  <c r="AC71" i="50"/>
  <c r="AC135" i="50"/>
  <c r="EL135" i="50"/>
  <c r="EI147" i="50"/>
  <c r="AB147" i="50"/>
  <c r="EI181" i="50"/>
  <c r="AB181" i="50"/>
  <c r="AB183" i="50"/>
  <c r="EI183" i="50"/>
  <c r="AB191" i="50"/>
  <c r="EI191" i="50"/>
  <c r="AY31" i="50"/>
  <c r="AY30" i="50" s="1"/>
  <c r="BG30" i="50"/>
  <c r="EM28" i="50"/>
  <c r="L28" i="50"/>
  <c r="EL59" i="50"/>
  <c r="EL58" i="50" s="1"/>
  <c r="AB58" i="50"/>
  <c r="AC59" i="50"/>
  <c r="L15" i="50"/>
  <c r="EL74" i="50"/>
  <c r="EM74" i="50"/>
  <c r="EI62" i="50"/>
  <c r="EI57" i="50" s="1"/>
  <c r="EE105" i="50"/>
  <c r="EL138" i="50"/>
  <c r="AC138" i="50"/>
  <c r="EM162" i="50"/>
  <c r="L162" i="50"/>
  <c r="U167" i="50"/>
  <c r="ED167" i="50"/>
  <c r="ED166" i="50" s="1"/>
  <c r="T166" i="50"/>
  <c r="AC174" i="50"/>
  <c r="AB173" i="50"/>
  <c r="EL174" i="50"/>
  <c r="EF247" i="50"/>
  <c r="EL37" i="50"/>
  <c r="AC37" i="50"/>
  <c r="AC56" i="50"/>
  <c r="EL56" i="50"/>
  <c r="DV123" i="50"/>
  <c r="AC126" i="50"/>
  <c r="EL126" i="50"/>
  <c r="EL122" i="50" s="1"/>
  <c r="EL121" i="50" s="1"/>
  <c r="AC158" i="50"/>
  <c r="EL158" i="50"/>
  <c r="AB156" i="50"/>
  <c r="EL169" i="50"/>
  <c r="AC169" i="50"/>
  <c r="EE183" i="50"/>
  <c r="EM184" i="50"/>
  <c r="L184" i="50"/>
  <c r="EI43" i="50"/>
  <c r="EE14" i="50"/>
  <c r="L14" i="50"/>
  <c r="U49" i="50"/>
  <c r="ED49" i="50"/>
  <c r="T318" i="50"/>
  <c r="EL52" i="50"/>
  <c r="AC52" i="50"/>
  <c r="EL83" i="50"/>
  <c r="AC83" i="50"/>
  <c r="AB86" i="50"/>
  <c r="EI86" i="50"/>
  <c r="EI82" i="50" s="1"/>
  <c r="EI81" i="50" s="1"/>
  <c r="EE103" i="50"/>
  <c r="L130" i="50"/>
  <c r="K130" i="50" s="1"/>
  <c r="F59" i="43" s="1"/>
  <c r="DV131" i="50"/>
  <c r="DV130" i="50" s="1"/>
  <c r="EL154" i="50"/>
  <c r="AC154" i="50"/>
  <c r="EM159" i="50"/>
  <c r="L159" i="50"/>
  <c r="EE191" i="50"/>
  <c r="EE186" i="50" s="1"/>
  <c r="EE214" i="50"/>
  <c r="BN35" i="50"/>
  <c r="BN34" i="50" s="1"/>
  <c r="BN8" i="50" s="1"/>
  <c r="AY36" i="50"/>
  <c r="AY35" i="50" s="1"/>
  <c r="AY34" i="50" s="1"/>
  <c r="T43" i="50"/>
  <c r="EM92" i="50"/>
  <c r="L92" i="50"/>
  <c r="AC113" i="50"/>
  <c r="EL113" i="50"/>
  <c r="EL112" i="50"/>
  <c r="AC112" i="50"/>
  <c r="EM148" i="50"/>
  <c r="L148" i="50"/>
  <c r="EM168" i="50"/>
  <c r="EM166" i="50" s="1"/>
  <c r="L168" i="50"/>
  <c r="AC166" i="50"/>
  <c r="DV200" i="50"/>
  <c r="L199" i="50"/>
  <c r="K199" i="50" s="1"/>
  <c r="EM200" i="50"/>
  <c r="EM199" i="50" s="1"/>
  <c r="AC199" i="50"/>
  <c r="L218" i="50"/>
  <c r="EL45" i="50"/>
  <c r="AC45" i="50"/>
  <c r="EM45" i="50" s="1"/>
  <c r="AC54" i="50"/>
  <c r="EL54" i="50"/>
  <c r="AY152" i="50"/>
  <c r="AY151" i="50" s="1"/>
  <c r="BG151" i="50"/>
  <c r="L145" i="50"/>
  <c r="EM145" i="50"/>
  <c r="AB142" i="50"/>
  <c r="EI142" i="50"/>
  <c r="EM161" i="50"/>
  <c r="L161" i="50"/>
  <c r="EI173" i="50"/>
  <c r="AC216" i="50"/>
  <c r="EL216" i="50"/>
  <c r="U186" i="50"/>
  <c r="Y317" i="50"/>
  <c r="EL18" i="50"/>
  <c r="AC18" i="50"/>
  <c r="EM18" i="50" s="1"/>
  <c r="N329" i="50"/>
  <c r="O298" i="50"/>
  <c r="N319" i="50"/>
  <c r="BF43" i="50"/>
  <c r="BF8" i="50" s="1"/>
  <c r="BG46" i="50"/>
  <c r="BG99" i="50"/>
  <c r="BG97" i="50" s="1"/>
  <c r="BG95" i="50" s="1"/>
  <c r="BG80" i="50" s="1"/>
  <c r="AY100" i="50"/>
  <c r="AY99" i="50" s="1"/>
  <c r="AY97" i="50" s="1"/>
  <c r="AY95" i="50" s="1"/>
  <c r="AC146" i="50"/>
  <c r="EL146" i="50"/>
  <c r="ED157" i="50"/>
  <c r="ED156" i="50" s="1"/>
  <c r="T156" i="50"/>
  <c r="U157" i="50"/>
  <c r="C199" i="50"/>
  <c r="C149" i="50" s="1"/>
  <c r="D149" i="50"/>
  <c r="L40" i="50"/>
  <c r="EE40" i="50"/>
  <c r="AA319" i="50"/>
  <c r="AA329" i="50"/>
  <c r="EI35" i="50"/>
  <c r="EI34" i="50" s="1"/>
  <c r="EM65" i="50"/>
  <c r="L65" i="50"/>
  <c r="R8" i="50"/>
  <c r="EL20" i="50"/>
  <c r="AC20" i="50"/>
  <c r="AC29" i="50"/>
  <c r="EL29" i="50"/>
  <c r="EE48" i="50"/>
  <c r="L48" i="50"/>
  <c r="K48" i="50" s="1"/>
  <c r="AC93" i="50"/>
  <c r="EL93" i="50"/>
  <c r="AC109" i="50"/>
  <c r="L109" i="50" s="1"/>
  <c r="K109" i="50" s="1"/>
  <c r="EL109" i="50"/>
  <c r="AB122" i="50"/>
  <c r="AB121" i="50" s="1"/>
  <c r="EL114" i="50"/>
  <c r="AC114" i="50"/>
  <c r="EL211" i="50"/>
  <c r="AC211" i="50"/>
  <c r="EE45" i="50"/>
  <c r="O319" i="50"/>
  <c r="O329" i="50"/>
  <c r="EE94" i="50"/>
  <c r="L94" i="50"/>
  <c r="EM106" i="50"/>
  <c r="L106" i="50"/>
  <c r="EL66" i="50"/>
  <c r="AC66" i="50"/>
  <c r="EM98" i="50"/>
  <c r="L98" i="50"/>
  <c r="EE55" i="50"/>
  <c r="EL155" i="50"/>
  <c r="AC155" i="50"/>
  <c r="Z149" i="50"/>
  <c r="EE199" i="50"/>
  <c r="AC198" i="50"/>
  <c r="EL198" i="50"/>
  <c r="L75" i="50"/>
  <c r="EE22" i="50"/>
  <c r="ED18" i="50"/>
  <c r="ED10" i="50" s="1"/>
  <c r="ED9" i="50" s="1"/>
  <c r="U18" i="50"/>
  <c r="ED50" i="50"/>
  <c r="U50" i="50"/>
  <c r="AC104" i="50"/>
  <c r="EL104" i="50"/>
  <c r="EL101" i="50"/>
  <c r="AC101" i="50"/>
  <c r="EM101" i="50" s="1"/>
  <c r="AC63" i="50"/>
  <c r="EL63" i="50"/>
  <c r="AB62" i="50"/>
  <c r="EL108" i="50"/>
  <c r="AC108" i="50"/>
  <c r="EJ141" i="50"/>
  <c r="EJ140" i="50" s="1"/>
  <c r="EL217" i="50"/>
  <c r="AC217" i="50"/>
  <c r="D248" i="50"/>
  <c r="D319" i="50" s="1"/>
  <c r="BN133" i="50"/>
  <c r="BN132" i="50" s="1"/>
  <c r="T317" i="50"/>
  <c r="D41" i="16"/>
  <c r="D42" i="16" s="1"/>
  <c r="D13" i="16"/>
  <c r="H48" i="15"/>
  <c r="C11" i="15"/>
  <c r="D41" i="15"/>
  <c r="D32" i="55" l="1"/>
  <c r="C32" i="55" s="1"/>
  <c r="C41" i="56"/>
  <c r="C41" i="55"/>
  <c r="E24" i="52" s="1"/>
  <c r="DV42" i="50"/>
  <c r="R248" i="50"/>
  <c r="M319" i="50"/>
  <c r="M298" i="50"/>
  <c r="M302" i="50" s="1"/>
  <c r="DV124" i="50"/>
  <c r="EM24" i="50"/>
  <c r="BN149" i="50"/>
  <c r="EL156" i="50"/>
  <c r="L163" i="50"/>
  <c r="K163" i="50" s="1"/>
  <c r="AB141" i="50"/>
  <c r="AB140" i="50" s="1"/>
  <c r="ED80" i="50"/>
  <c r="BE247" i="50"/>
  <c r="K51" i="50"/>
  <c r="K180" i="50"/>
  <c r="L205" i="50"/>
  <c r="K205" i="50" s="1"/>
  <c r="EL179" i="50"/>
  <c r="AC179" i="50"/>
  <c r="L125" i="50"/>
  <c r="DV125" i="50" s="1"/>
  <c r="AC122" i="50"/>
  <c r="AC121" i="50" s="1"/>
  <c r="L107" i="50"/>
  <c r="DV107" i="50" s="1"/>
  <c r="K26" i="50"/>
  <c r="AC35" i="50"/>
  <c r="AC34" i="50" s="1"/>
  <c r="K127" i="50"/>
  <c r="F58" i="43" s="1"/>
  <c r="BG150" i="50"/>
  <c r="BG149" i="50" s="1"/>
  <c r="EE102" i="50"/>
  <c r="EE97" i="50" s="1"/>
  <c r="EE95" i="50" s="1"/>
  <c r="EE80" i="50" s="1"/>
  <c r="BM248" i="50"/>
  <c r="U202" i="50"/>
  <c r="T150" i="50"/>
  <c r="T149" i="50" s="1"/>
  <c r="L105" i="50"/>
  <c r="DV105" i="50" s="1"/>
  <c r="AY80" i="50"/>
  <c r="ED150" i="50"/>
  <c r="AB150" i="50"/>
  <c r="K129" i="50"/>
  <c r="AB318" i="50"/>
  <c r="EI150" i="50"/>
  <c r="L214" i="50"/>
  <c r="DV214" i="50" s="1"/>
  <c r="L103" i="50"/>
  <c r="K103" i="50" s="1"/>
  <c r="EL173" i="50"/>
  <c r="EJ247" i="50"/>
  <c r="Y149" i="50"/>
  <c r="EI80" i="50"/>
  <c r="EI141" i="50"/>
  <c r="EI140" i="50" s="1"/>
  <c r="DV199" i="50"/>
  <c r="U80" i="50"/>
  <c r="AY150" i="50"/>
  <c r="AY149" i="50" s="1"/>
  <c r="AC133" i="50"/>
  <c r="AC132" i="50" s="1"/>
  <c r="Y248" i="50"/>
  <c r="L108" i="50"/>
  <c r="K108" i="50" s="1"/>
  <c r="ED202" i="50"/>
  <c r="L45" i="50"/>
  <c r="DV45" i="50" s="1"/>
  <c r="L22" i="50"/>
  <c r="K22" i="50" s="1"/>
  <c r="F77" i="43"/>
  <c r="EL62" i="50"/>
  <c r="EL57" i="50" s="1"/>
  <c r="K75" i="50"/>
  <c r="L210" i="50"/>
  <c r="EE210" i="50"/>
  <c r="DV24" i="50"/>
  <c r="K24" i="50"/>
  <c r="DV98" i="50"/>
  <c r="K98" i="50"/>
  <c r="DV106" i="50"/>
  <c r="K106" i="50"/>
  <c r="DV94" i="50"/>
  <c r="K94" i="50"/>
  <c r="DV161" i="50"/>
  <c r="K161" i="50"/>
  <c r="DV145" i="50"/>
  <c r="K145" i="50"/>
  <c r="DV168" i="50"/>
  <c r="K168" i="50"/>
  <c r="DV148" i="50"/>
  <c r="K148" i="50"/>
  <c r="DV92" i="50"/>
  <c r="K92" i="50"/>
  <c r="DV159" i="50"/>
  <c r="K159" i="50"/>
  <c r="DV14" i="50"/>
  <c r="K14" i="50"/>
  <c r="DV162" i="50"/>
  <c r="K162" i="50"/>
  <c r="DV15" i="50"/>
  <c r="K15" i="50"/>
  <c r="DV28" i="50"/>
  <c r="K28" i="50"/>
  <c r="DV215" i="50"/>
  <c r="K215" i="50"/>
  <c r="DV84" i="50"/>
  <c r="K84" i="50"/>
  <c r="DV212" i="50"/>
  <c r="K212" i="50"/>
  <c r="DV23" i="50"/>
  <c r="K23" i="50"/>
  <c r="DV19" i="50"/>
  <c r="K19" i="50"/>
  <c r="EJ248" i="50"/>
  <c r="ED43" i="50"/>
  <c r="ED8" i="50" s="1"/>
  <c r="DV65" i="50"/>
  <c r="K65" i="50"/>
  <c r="DV40" i="50"/>
  <c r="K40" i="50"/>
  <c r="DV163" i="50"/>
  <c r="DV218" i="50"/>
  <c r="K218" i="50"/>
  <c r="DV184" i="50"/>
  <c r="K184" i="50"/>
  <c r="DV73" i="50"/>
  <c r="K73" i="50"/>
  <c r="DV69" i="50"/>
  <c r="K69" i="50"/>
  <c r="DV196" i="50"/>
  <c r="K196" i="50"/>
  <c r="EL13" i="50"/>
  <c r="EL10" i="50" s="1"/>
  <c r="EL9" i="50" s="1"/>
  <c r="AC13" i="50"/>
  <c r="AC10" i="50" s="1"/>
  <c r="AC9" i="50" s="1"/>
  <c r="EE213" i="50"/>
  <c r="L213" i="50"/>
  <c r="AB82" i="50"/>
  <c r="AB81" i="50" s="1"/>
  <c r="AB80" i="50" s="1"/>
  <c r="U317" i="50"/>
  <c r="L27" i="50"/>
  <c r="T8" i="50"/>
  <c r="O302" i="50"/>
  <c r="L55" i="50"/>
  <c r="EI8" i="50"/>
  <c r="Y247" i="50"/>
  <c r="EM108" i="50"/>
  <c r="AC97" i="50"/>
  <c r="AC95" i="50" s="1"/>
  <c r="EM63" i="50"/>
  <c r="AC62" i="50"/>
  <c r="L63" i="50"/>
  <c r="EM104" i="50"/>
  <c r="EM102" i="50" s="1"/>
  <c r="L104" i="50"/>
  <c r="DV75" i="50"/>
  <c r="EM66" i="50"/>
  <c r="L66" i="50"/>
  <c r="EM211" i="50"/>
  <c r="L211" i="50"/>
  <c r="EM114" i="50"/>
  <c r="L114" i="50"/>
  <c r="EM109" i="50"/>
  <c r="U156" i="50"/>
  <c r="EE157" i="50"/>
  <c r="EE156" i="50" s="1"/>
  <c r="L157" i="50"/>
  <c r="K157" i="50" s="1"/>
  <c r="EM146" i="50"/>
  <c r="L146" i="50"/>
  <c r="EM216" i="50"/>
  <c r="L216" i="50"/>
  <c r="EL142" i="50"/>
  <c r="AC142" i="50"/>
  <c r="EM37" i="50"/>
  <c r="L37" i="50"/>
  <c r="EL183" i="50"/>
  <c r="AC183" i="50"/>
  <c r="EM71" i="50"/>
  <c r="L71" i="50"/>
  <c r="EM36" i="50"/>
  <c r="L36" i="50"/>
  <c r="EL188" i="50"/>
  <c r="EL187" i="50" s="1"/>
  <c r="AB187" i="50"/>
  <c r="AB186" i="50" s="1"/>
  <c r="AC188" i="50"/>
  <c r="EM100" i="50"/>
  <c r="L100" i="50"/>
  <c r="K100" i="50" s="1"/>
  <c r="EM208" i="50"/>
  <c r="L208" i="50"/>
  <c r="EM175" i="50"/>
  <c r="L175" i="50"/>
  <c r="L101" i="50"/>
  <c r="EE31" i="50"/>
  <c r="EE30" i="50" s="1"/>
  <c r="L203" i="50"/>
  <c r="K203" i="50" s="1"/>
  <c r="EM203" i="50"/>
  <c r="AC202" i="50"/>
  <c r="AC43" i="50"/>
  <c r="EM44" i="50"/>
  <c r="L44" i="50"/>
  <c r="K44" i="50" s="1"/>
  <c r="L160" i="50"/>
  <c r="EM91" i="50"/>
  <c r="L91" i="50"/>
  <c r="BM247" i="50"/>
  <c r="L50" i="50"/>
  <c r="EE50" i="50"/>
  <c r="R247" i="50"/>
  <c r="DV205" i="50"/>
  <c r="EM113" i="50"/>
  <c r="L113" i="50"/>
  <c r="EM154" i="50"/>
  <c r="L154" i="50"/>
  <c r="EL86" i="50"/>
  <c r="EL82" i="50" s="1"/>
  <c r="EL81" i="50" s="1"/>
  <c r="AC86" i="50"/>
  <c r="L52" i="50"/>
  <c r="EM52" i="50"/>
  <c r="L49" i="50"/>
  <c r="EE49" i="50"/>
  <c r="U318" i="50"/>
  <c r="EM138" i="50"/>
  <c r="L138" i="50"/>
  <c r="EL181" i="50"/>
  <c r="AC181" i="50"/>
  <c r="EM76" i="50"/>
  <c r="L76" i="50"/>
  <c r="EM189" i="50"/>
  <c r="L189" i="50"/>
  <c r="EI186" i="50"/>
  <c r="AY128" i="50"/>
  <c r="AY122" i="50" s="1"/>
  <c r="AY121" i="50" s="1"/>
  <c r="BN122" i="50"/>
  <c r="BN121" i="50" s="1"/>
  <c r="BN247" i="50" s="1"/>
  <c r="EL31" i="50"/>
  <c r="EL30" i="50" s="1"/>
  <c r="AC31" i="50"/>
  <c r="AB8" i="50"/>
  <c r="DV152" i="50"/>
  <c r="DV151" i="50" s="1"/>
  <c r="L151" i="50"/>
  <c r="K151" i="50" s="1"/>
  <c r="EM70" i="50"/>
  <c r="L70" i="50"/>
  <c r="EL43" i="50"/>
  <c r="AD10" i="50"/>
  <c r="AD9" i="50" s="1"/>
  <c r="AD8" i="50" s="1"/>
  <c r="AD248" i="50" s="1"/>
  <c r="EN23" i="50"/>
  <c r="EN10" i="50" s="1"/>
  <c r="EN9" i="50" s="1"/>
  <c r="EN8" i="50" s="1"/>
  <c r="AD318" i="50"/>
  <c r="C248" i="50"/>
  <c r="C319" i="50" s="1"/>
  <c r="EM217" i="50"/>
  <c r="L217" i="50"/>
  <c r="EM155" i="50"/>
  <c r="L155" i="50"/>
  <c r="U43" i="50"/>
  <c r="EM93" i="50"/>
  <c r="L93" i="50"/>
  <c r="EM29" i="50"/>
  <c r="L29" i="50"/>
  <c r="AY46" i="50"/>
  <c r="AY43" i="50" s="1"/>
  <c r="AY8" i="50" s="1"/>
  <c r="BG43" i="50"/>
  <c r="BG8" i="50" s="1"/>
  <c r="EM54" i="50"/>
  <c r="L54" i="50"/>
  <c r="EM112" i="50"/>
  <c r="L112" i="50"/>
  <c r="K112" i="50" s="1"/>
  <c r="EM83" i="50"/>
  <c r="L83" i="50"/>
  <c r="K83" i="50" s="1"/>
  <c r="EM126" i="50"/>
  <c r="EM122" i="50" s="1"/>
  <c r="EM121" i="50" s="1"/>
  <c r="L126" i="50"/>
  <c r="K126" i="50" s="1"/>
  <c r="EM56" i="50"/>
  <c r="L56" i="50"/>
  <c r="C247" i="50"/>
  <c r="EE167" i="50"/>
  <c r="EE166" i="50" s="1"/>
  <c r="U166" i="50"/>
  <c r="L167" i="50"/>
  <c r="K167" i="50" s="1"/>
  <c r="EM59" i="50"/>
  <c r="EM58" i="50" s="1"/>
  <c r="AC58" i="50"/>
  <c r="L59" i="50"/>
  <c r="L58" i="50" s="1"/>
  <c r="EL191" i="50"/>
  <c r="AC191" i="50"/>
  <c r="EL133" i="50"/>
  <c r="EL132" i="50" s="1"/>
  <c r="EM219" i="50"/>
  <c r="L219" i="50"/>
  <c r="EM77" i="50"/>
  <c r="L77" i="50"/>
  <c r="EL35" i="50"/>
  <c r="EL34" i="50" s="1"/>
  <c r="EM16" i="50"/>
  <c r="L16" i="50"/>
  <c r="EM185" i="50"/>
  <c r="L185" i="50"/>
  <c r="EB248" i="50"/>
  <c r="EB247" i="50"/>
  <c r="EL202" i="50"/>
  <c r="L39" i="50"/>
  <c r="EE39" i="50"/>
  <c r="EE35" i="50" s="1"/>
  <c r="EE34" i="50" s="1"/>
  <c r="U34" i="50"/>
  <c r="EL102" i="50"/>
  <c r="EL97" i="50" s="1"/>
  <c r="EL95" i="50" s="1"/>
  <c r="Z329" i="50"/>
  <c r="Z319" i="50"/>
  <c r="EE18" i="50"/>
  <c r="EE10" i="50" s="1"/>
  <c r="EE9" i="50" s="1"/>
  <c r="L18" i="50"/>
  <c r="EM198" i="50"/>
  <c r="L198" i="50"/>
  <c r="EM20" i="50"/>
  <c r="L20" i="50"/>
  <c r="BF248" i="50"/>
  <c r="BG250" i="50" s="1"/>
  <c r="BF247" i="50"/>
  <c r="U10" i="50"/>
  <c r="U9" i="50" s="1"/>
  <c r="EM169" i="50"/>
  <c r="L169" i="50"/>
  <c r="EM158" i="50"/>
  <c r="EM156" i="50" s="1"/>
  <c r="L158" i="50"/>
  <c r="AC156" i="50"/>
  <c r="L174" i="50"/>
  <c r="K174" i="50" s="1"/>
  <c r="AC173" i="50"/>
  <c r="EM174" i="50"/>
  <c r="AB57" i="50"/>
  <c r="EL147" i="50"/>
  <c r="AC147" i="50"/>
  <c r="EM135" i="50"/>
  <c r="L135" i="50"/>
  <c r="EM87" i="50"/>
  <c r="L87" i="50"/>
  <c r="EM67" i="50"/>
  <c r="L67" i="50"/>
  <c r="EM64" i="50"/>
  <c r="L64" i="50"/>
  <c r="EM17" i="50"/>
  <c r="L17" i="50"/>
  <c r="EM143" i="50"/>
  <c r="L143" i="50"/>
  <c r="AB317" i="50"/>
  <c r="EM178" i="50"/>
  <c r="L178" i="50"/>
  <c r="EM72" i="50"/>
  <c r="L72" i="50"/>
  <c r="EM177" i="50"/>
  <c r="L177" i="50"/>
  <c r="EM25" i="50"/>
  <c r="L25" i="50"/>
  <c r="D13" i="15"/>
  <c r="E13" i="15" s="1"/>
  <c r="C11" i="14"/>
  <c r="F65" i="43" l="1"/>
  <c r="F24" i="52"/>
  <c r="AD250" i="50"/>
  <c r="AD249" i="50"/>
  <c r="L31" i="50"/>
  <c r="AC30" i="50"/>
  <c r="AC8" i="50" s="1"/>
  <c r="K125" i="50"/>
  <c r="K107" i="50"/>
  <c r="T248" i="50"/>
  <c r="T329" i="50" s="1"/>
  <c r="EM179" i="50"/>
  <c r="L179" i="50"/>
  <c r="AC318" i="50"/>
  <c r="K214" i="50"/>
  <c r="EM133" i="50"/>
  <c r="EM132" i="50" s="1"/>
  <c r="K36" i="50"/>
  <c r="L35" i="50"/>
  <c r="K35" i="50" s="1"/>
  <c r="AC82" i="50"/>
  <c r="AC81" i="50" s="1"/>
  <c r="AC80" i="50" s="1"/>
  <c r="L102" i="50"/>
  <c r="K102" i="50" s="1"/>
  <c r="K105" i="50"/>
  <c r="EE202" i="50"/>
  <c r="AB149" i="50"/>
  <c r="AC150" i="50"/>
  <c r="EM97" i="50"/>
  <c r="EM95" i="50" s="1"/>
  <c r="DV103" i="50"/>
  <c r="EM173" i="50"/>
  <c r="AC141" i="50"/>
  <c r="AC140" i="50" s="1"/>
  <c r="AB248" i="50"/>
  <c r="DV22" i="50"/>
  <c r="U8" i="50"/>
  <c r="EI248" i="50"/>
  <c r="K45" i="50"/>
  <c r="EL150" i="50"/>
  <c r="AC317" i="50"/>
  <c r="K135" i="50"/>
  <c r="L133" i="50"/>
  <c r="L132" i="50" s="1"/>
  <c r="AC57" i="50"/>
  <c r="EE43" i="50"/>
  <c r="EE8" i="50" s="1"/>
  <c r="L74" i="50"/>
  <c r="L62" i="50" s="1"/>
  <c r="DV210" i="50"/>
  <c r="K210" i="50"/>
  <c r="K59" i="50"/>
  <c r="K63" i="50"/>
  <c r="DV143" i="50"/>
  <c r="K143" i="50"/>
  <c r="DV64" i="50"/>
  <c r="K64" i="50"/>
  <c r="DV67" i="50"/>
  <c r="K67" i="50"/>
  <c r="DV158" i="50"/>
  <c r="K158" i="50"/>
  <c r="DV169" i="50"/>
  <c r="K169" i="50"/>
  <c r="DV198" i="50"/>
  <c r="K198" i="50"/>
  <c r="DV18" i="50"/>
  <c r="K18" i="50"/>
  <c r="DV77" i="50"/>
  <c r="K77" i="50"/>
  <c r="DV112" i="50"/>
  <c r="DV54" i="50"/>
  <c r="K54" i="50"/>
  <c r="F67" i="43" s="1"/>
  <c r="DV29" i="50"/>
  <c r="K29" i="50"/>
  <c r="DV93" i="50"/>
  <c r="K93" i="50"/>
  <c r="DV155" i="50"/>
  <c r="K155" i="50"/>
  <c r="DV217" i="50"/>
  <c r="K217" i="50"/>
  <c r="DV154" i="50"/>
  <c r="K154" i="50"/>
  <c r="DV113" i="50"/>
  <c r="K113" i="50"/>
  <c r="DV50" i="50"/>
  <c r="K50" i="50"/>
  <c r="DV91" i="50"/>
  <c r="K91" i="50"/>
  <c r="DV160" i="50"/>
  <c r="K160" i="50"/>
  <c r="DV175" i="50"/>
  <c r="K175" i="50"/>
  <c r="DV208" i="50"/>
  <c r="K208" i="50"/>
  <c r="DV71" i="50"/>
  <c r="K71" i="50"/>
  <c r="DV216" i="50"/>
  <c r="K216" i="50"/>
  <c r="DV146" i="50"/>
  <c r="K146" i="50"/>
  <c r="DV104" i="50"/>
  <c r="K104" i="50"/>
  <c r="DV55" i="50"/>
  <c r="K55" i="50"/>
  <c r="F68" i="43" s="1"/>
  <c r="DV27" i="50"/>
  <c r="K27" i="50"/>
  <c r="DV17" i="50"/>
  <c r="K17" i="50"/>
  <c r="DV87" i="50"/>
  <c r="K87" i="50"/>
  <c r="DV25" i="50"/>
  <c r="K25" i="50"/>
  <c r="DV177" i="50"/>
  <c r="K177" i="50"/>
  <c r="DV72" i="50"/>
  <c r="K72" i="50"/>
  <c r="DV178" i="50"/>
  <c r="K178" i="50"/>
  <c r="DV20" i="50"/>
  <c r="K20" i="50"/>
  <c r="DV39" i="50"/>
  <c r="K39" i="50"/>
  <c r="DV185" i="50"/>
  <c r="K185" i="50"/>
  <c r="DV16" i="50"/>
  <c r="K16" i="50"/>
  <c r="DV219" i="50"/>
  <c r="K219" i="50"/>
  <c r="DV56" i="50"/>
  <c r="K56" i="50"/>
  <c r="DV70" i="50"/>
  <c r="K70" i="50"/>
  <c r="DV189" i="50"/>
  <c r="K189" i="50"/>
  <c r="DV76" i="50"/>
  <c r="K76" i="50"/>
  <c r="DV138" i="50"/>
  <c r="K138" i="50"/>
  <c r="DV49" i="50"/>
  <c r="K49" i="50"/>
  <c r="DV52" i="50"/>
  <c r="K52" i="50"/>
  <c r="DV101" i="50"/>
  <c r="K101" i="50"/>
  <c r="DV37" i="50"/>
  <c r="K37" i="50"/>
  <c r="DV109" i="50"/>
  <c r="DV114" i="50"/>
  <c r="K114" i="50"/>
  <c r="DV211" i="50"/>
  <c r="K211" i="50"/>
  <c r="DV66" i="50"/>
  <c r="K66" i="50"/>
  <c r="DV108" i="50"/>
  <c r="DV213" i="50"/>
  <c r="K213" i="50"/>
  <c r="L13" i="50"/>
  <c r="L10" i="50" s="1"/>
  <c r="EM13" i="50"/>
  <c r="EM10" i="50" s="1"/>
  <c r="EM9" i="50" s="1"/>
  <c r="EM35" i="50"/>
  <c r="EM34" i="50" s="1"/>
  <c r="T247" i="50"/>
  <c r="EL8" i="50"/>
  <c r="EL80" i="50"/>
  <c r="AY248" i="50"/>
  <c r="AY247" i="50"/>
  <c r="AB247" i="50"/>
  <c r="DV31" i="50"/>
  <c r="DV30" i="50" s="1"/>
  <c r="DV135" i="50"/>
  <c r="L173" i="50"/>
  <c r="K173" i="50" s="1"/>
  <c r="DV174" i="50"/>
  <c r="EM191" i="50"/>
  <c r="L191" i="50"/>
  <c r="EM86" i="50"/>
  <c r="EM82" i="50" s="1"/>
  <c r="EM81" i="50" s="1"/>
  <c r="L86" i="50"/>
  <c r="L99" i="50"/>
  <c r="DV100" i="50"/>
  <c r="EL186" i="50"/>
  <c r="EM183" i="50"/>
  <c r="L183" i="50"/>
  <c r="EM142" i="50"/>
  <c r="L142" i="50"/>
  <c r="EE150" i="50"/>
  <c r="EM62" i="50"/>
  <c r="EM57" i="50" s="1"/>
  <c r="EI247" i="50"/>
  <c r="BN248" i="50"/>
  <c r="DV167" i="50"/>
  <c r="DV166" i="50" s="1"/>
  <c r="L166" i="50"/>
  <c r="K166" i="50" s="1"/>
  <c r="DV83" i="50"/>
  <c r="R329" i="50"/>
  <c r="R319" i="50"/>
  <c r="DV36" i="50"/>
  <c r="U150" i="50"/>
  <c r="U149" i="50" s="1"/>
  <c r="DV59" i="50"/>
  <c r="DV58" i="50" s="1"/>
  <c r="EN248" i="50"/>
  <c r="EN247" i="50"/>
  <c r="EM31" i="50"/>
  <c r="EM30" i="50" s="1"/>
  <c r="DV44" i="50"/>
  <c r="L43" i="50"/>
  <c r="K43" i="50" s="1"/>
  <c r="EM202" i="50"/>
  <c r="EM188" i="50"/>
  <c r="EM187" i="50" s="1"/>
  <c r="AC187" i="50"/>
  <c r="AC186" i="50" s="1"/>
  <c r="L188" i="50"/>
  <c r="K188" i="50" s="1"/>
  <c r="EL141" i="50"/>
  <c r="EL140" i="50" s="1"/>
  <c r="DV63" i="50"/>
  <c r="EM147" i="50"/>
  <c r="L147" i="50"/>
  <c r="DV126" i="50"/>
  <c r="DV122" i="50" s="1"/>
  <c r="DV121" i="50" s="1"/>
  <c r="L122" i="50"/>
  <c r="BG248" i="50"/>
  <c r="BG247" i="50"/>
  <c r="AD247" i="50"/>
  <c r="AD251" i="50" s="1"/>
  <c r="EM181" i="50"/>
  <c r="L181" i="50"/>
  <c r="EM43" i="50"/>
  <c r="DV203" i="50"/>
  <c r="L202" i="50"/>
  <c r="K202" i="50" s="1"/>
  <c r="DV157" i="50"/>
  <c r="L156" i="50"/>
  <c r="K156" i="50" s="1"/>
  <c r="Y329" i="50"/>
  <c r="Y319" i="50"/>
  <c r="ED248" i="50"/>
  <c r="ED247" i="50"/>
  <c r="C11" i="9"/>
  <c r="T251" i="50" l="1"/>
  <c r="T319" i="50"/>
  <c r="K31" i="50"/>
  <c r="L30" i="50"/>
  <c r="K30" i="50" s="1"/>
  <c r="EM80" i="50"/>
  <c r="DV179" i="50"/>
  <c r="K179" i="50"/>
  <c r="AC149" i="50"/>
  <c r="L318" i="50"/>
  <c r="DV173" i="50"/>
  <c r="DV102" i="50"/>
  <c r="DV97" i="50" s="1"/>
  <c r="DV95" i="50" s="1"/>
  <c r="DV133" i="50"/>
  <c r="DV132" i="50" s="1"/>
  <c r="DV35" i="50"/>
  <c r="DV34" i="50" s="1"/>
  <c r="L82" i="50"/>
  <c r="L81" i="50" s="1"/>
  <c r="K81" i="50" s="1"/>
  <c r="EM150" i="50"/>
  <c r="DV43" i="50"/>
  <c r="L57" i="50"/>
  <c r="AC248" i="50"/>
  <c r="DV202" i="50"/>
  <c r="DV156" i="50"/>
  <c r="U248" i="50"/>
  <c r="K142" i="50"/>
  <c r="L141" i="50"/>
  <c r="L140" i="50" s="1"/>
  <c r="K133" i="50"/>
  <c r="K132" i="50" s="1"/>
  <c r="F72" i="43" s="1"/>
  <c r="EE248" i="50"/>
  <c r="F61" i="43"/>
  <c r="EM186" i="50"/>
  <c r="K58" i="50"/>
  <c r="F36" i="43" s="1"/>
  <c r="L121" i="50"/>
  <c r="K121" i="50" s="1"/>
  <c r="K122" i="50"/>
  <c r="F57" i="43" s="1"/>
  <c r="M57" i="43" s="1"/>
  <c r="DV147" i="50"/>
  <c r="K147" i="50"/>
  <c r="L9" i="50"/>
  <c r="K9" i="50" s="1"/>
  <c r="K10" i="50"/>
  <c r="DV86" i="50"/>
  <c r="K86" i="50"/>
  <c r="DV191" i="50"/>
  <c r="K191" i="50"/>
  <c r="DV13" i="50"/>
  <c r="DV10" i="50" s="1"/>
  <c r="DV9" i="50" s="1"/>
  <c r="K13" i="50"/>
  <c r="F81" i="43"/>
  <c r="DV74" i="50"/>
  <c r="DV62" i="50" s="1"/>
  <c r="DV57" i="50" s="1"/>
  <c r="K74" i="50"/>
  <c r="DV181" i="50"/>
  <c r="K181" i="50"/>
  <c r="DV183" i="50"/>
  <c r="K183" i="50"/>
  <c r="L97" i="50"/>
  <c r="K99" i="50"/>
  <c r="L150" i="50"/>
  <c r="K150" i="50" s="1"/>
  <c r="DV82" i="50"/>
  <c r="DV81" i="50" s="1"/>
  <c r="EL248" i="50"/>
  <c r="AD329" i="50"/>
  <c r="AD319" i="50"/>
  <c r="DV188" i="50"/>
  <c r="DV187" i="50" s="1"/>
  <c r="L187" i="50"/>
  <c r="EM8" i="50"/>
  <c r="L34" i="50"/>
  <c r="K34" i="50" s="1"/>
  <c r="DV142" i="50"/>
  <c r="L317" i="50"/>
  <c r="U247" i="50"/>
  <c r="EM141" i="50"/>
  <c r="EM140" i="50" s="1"/>
  <c r="EE247" i="50"/>
  <c r="EL247" i="50"/>
  <c r="AC247" i="50"/>
  <c r="AB319" i="50"/>
  <c r="AB329" i="50"/>
  <c r="D41" i="14"/>
  <c r="D42" i="14" s="1"/>
  <c r="E42" i="14" s="1"/>
  <c r="D37" i="55" l="1"/>
  <c r="C37" i="55" s="1"/>
  <c r="C46" i="56"/>
  <c r="M62" i="43"/>
  <c r="D33" i="55"/>
  <c r="C33" i="55" s="1"/>
  <c r="C42" i="56"/>
  <c r="M60" i="43"/>
  <c r="K57" i="50"/>
  <c r="K82" i="50"/>
  <c r="DV186" i="50"/>
  <c r="DV150" i="50"/>
  <c r="DV141" i="50"/>
  <c r="DV140" i="50" s="1"/>
  <c r="DV8" i="50"/>
  <c r="K141" i="50"/>
  <c r="K140" i="50" s="1"/>
  <c r="F45" i="43" s="1"/>
  <c r="L8" i="50"/>
  <c r="F70" i="43"/>
  <c r="K62" i="50"/>
  <c r="F37" i="43" s="1"/>
  <c r="M39" i="43" s="1"/>
  <c r="L186" i="50"/>
  <c r="K187" i="50"/>
  <c r="L95" i="50"/>
  <c r="K97" i="50"/>
  <c r="DV80" i="50"/>
  <c r="AC329" i="50"/>
  <c r="AC319" i="50"/>
  <c r="U329" i="50"/>
  <c r="U319" i="50"/>
  <c r="EM248" i="50"/>
  <c r="EM247" i="50"/>
  <c r="D13" i="14"/>
  <c r="E50" i="9"/>
  <c r="E53" i="9"/>
  <c r="E54" i="9"/>
  <c r="E55" i="9"/>
  <c r="E56" i="9"/>
  <c r="E57" i="9"/>
  <c r="E58" i="9"/>
  <c r="E61" i="9"/>
  <c r="E63" i="9"/>
  <c r="E64" i="9"/>
  <c r="E65" i="9"/>
  <c r="E68" i="9"/>
  <c r="E49" i="9"/>
  <c r="D45" i="9"/>
  <c r="D44" i="9"/>
  <c r="E60" i="9"/>
  <c r="E51" i="9"/>
  <c r="DV247" i="50" l="1"/>
  <c r="F35" i="43"/>
  <c r="O38" i="43"/>
  <c r="DV248" i="50"/>
  <c r="K8" i="50"/>
  <c r="K95" i="50"/>
  <c r="L80" i="50"/>
  <c r="L247" i="50" s="1"/>
  <c r="L249" i="50" s="1"/>
  <c r="L149" i="50"/>
  <c r="K149" i="50" s="1"/>
  <c r="F76" i="43" s="1"/>
  <c r="K186" i="50"/>
  <c r="E62" i="9"/>
  <c r="D13" i="9"/>
  <c r="D12" i="9"/>
  <c r="L45" i="36"/>
  <c r="D35" i="55" l="1"/>
  <c r="C35" i="55" s="1"/>
  <c r="C44" i="56"/>
  <c r="D24" i="55"/>
  <c r="C33" i="56"/>
  <c r="C31" i="56" s="1"/>
  <c r="C12" i="56" s="1"/>
  <c r="C8" i="56" s="1"/>
  <c r="D8" i="56" s="1"/>
  <c r="L248" i="50"/>
  <c r="K80" i="50"/>
  <c r="K248" i="50" s="1"/>
  <c r="D42" i="17"/>
  <c r="F42" i="17" s="1"/>
  <c r="E43" i="17"/>
  <c r="F43" i="17"/>
  <c r="C24" i="55" l="1"/>
  <c r="D23" i="55"/>
  <c r="L329" i="50"/>
  <c r="L319" i="50"/>
  <c r="F48" i="43"/>
  <c r="K247" i="50"/>
  <c r="E42" i="17"/>
  <c r="C23" i="55" l="1"/>
  <c r="E21" i="52" s="1"/>
  <c r="D12" i="55"/>
  <c r="F52" i="16"/>
  <c r="E42" i="16"/>
  <c r="E48" i="16"/>
  <c r="F42" i="16"/>
  <c r="E43" i="16"/>
  <c r="F43" i="16"/>
  <c r="E44" i="16"/>
  <c r="F44" i="16"/>
  <c r="E45" i="16"/>
  <c r="F45" i="16"/>
  <c r="F48" i="16"/>
  <c r="E49" i="16"/>
  <c r="F49" i="16"/>
  <c r="E50" i="16"/>
  <c r="F50" i="16"/>
  <c r="E51" i="16"/>
  <c r="F51" i="16"/>
  <c r="E53" i="16"/>
  <c r="E54" i="16"/>
  <c r="F54" i="16"/>
  <c r="E55" i="16"/>
  <c r="F55" i="16"/>
  <c r="E56" i="16"/>
  <c r="F56" i="16"/>
  <c r="E57" i="16"/>
  <c r="E58" i="16"/>
  <c r="F58" i="16"/>
  <c r="E59" i="16"/>
  <c r="F59" i="16"/>
  <c r="E60" i="16"/>
  <c r="F60" i="16"/>
  <c r="E61" i="16"/>
  <c r="E62" i="16"/>
  <c r="F62" i="16"/>
  <c r="E63" i="16"/>
  <c r="F63" i="16"/>
  <c r="E65" i="16"/>
  <c r="F65" i="16"/>
  <c r="F66" i="16"/>
  <c r="D11" i="55" l="1"/>
  <c r="C11" i="55" s="1"/>
  <c r="C12" i="55"/>
  <c r="F21" i="52"/>
  <c r="E19" i="52"/>
  <c r="E52" i="16"/>
  <c r="I48" i="16"/>
  <c r="D42" i="20"/>
  <c r="E18" i="52" l="1"/>
  <c r="F19" i="52"/>
  <c r="E44" i="15"/>
  <c r="F44" i="15"/>
  <c r="E45" i="15"/>
  <c r="F45" i="15"/>
  <c r="E48" i="15"/>
  <c r="F48" i="15"/>
  <c r="E49" i="15"/>
  <c r="F49" i="15"/>
  <c r="E50" i="15"/>
  <c r="F50" i="15"/>
  <c r="E51" i="15"/>
  <c r="F51" i="15"/>
  <c r="E52" i="15"/>
  <c r="F52" i="15"/>
  <c r="E53" i="15"/>
  <c r="E54" i="15"/>
  <c r="F54" i="15"/>
  <c r="E55" i="15"/>
  <c r="F55" i="15"/>
  <c r="E56" i="15"/>
  <c r="F56" i="15"/>
  <c r="E57" i="15"/>
  <c r="E58" i="15"/>
  <c r="F58" i="15"/>
  <c r="E59" i="15"/>
  <c r="F59" i="15"/>
  <c r="E60" i="15"/>
  <c r="F60" i="15"/>
  <c r="E61" i="15"/>
  <c r="E62" i="15"/>
  <c r="F62" i="15"/>
  <c r="E63" i="15"/>
  <c r="F63" i="15"/>
  <c r="E64" i="15"/>
  <c r="F64" i="15"/>
  <c r="E65" i="15"/>
  <c r="F65" i="15"/>
  <c r="F66" i="15"/>
  <c r="F67" i="15"/>
  <c r="E32" i="52" l="1"/>
  <c r="F32" i="52" s="1"/>
  <c r="F18" i="52"/>
  <c r="F43" i="22"/>
  <c r="E43" i="22" l="1"/>
  <c r="E42" i="21"/>
  <c r="D64" i="20" l="1"/>
  <c r="E64" i="20" s="1"/>
  <c r="F50" i="20"/>
  <c r="E52" i="20"/>
  <c r="E48" i="20"/>
  <c r="F48" i="20"/>
  <c r="E50" i="20"/>
  <c r="E51" i="20"/>
  <c r="F51" i="20"/>
  <c r="E53" i="20"/>
  <c r="E54" i="20"/>
  <c r="F54" i="20"/>
  <c r="E55" i="20"/>
  <c r="F55" i="20"/>
  <c r="E56" i="20"/>
  <c r="F56" i="20"/>
  <c r="E57" i="20"/>
  <c r="E58" i="20"/>
  <c r="F58" i="20"/>
  <c r="E59" i="20"/>
  <c r="F59" i="20"/>
  <c r="E60" i="20"/>
  <c r="F60" i="20"/>
  <c r="E61" i="20"/>
  <c r="E62" i="20"/>
  <c r="F62" i="20"/>
  <c r="E63" i="20"/>
  <c r="F63" i="20"/>
  <c r="E65" i="20"/>
  <c r="F65" i="20"/>
  <c r="E66" i="20"/>
  <c r="F66" i="20"/>
  <c r="F43" i="20"/>
  <c r="F42" i="20"/>
  <c r="E42" i="20"/>
  <c r="E43" i="20"/>
  <c r="F64" i="20" l="1"/>
  <c r="F49" i="20"/>
  <c r="I46" i="20"/>
  <c r="F52" i="20"/>
  <c r="E49" i="20"/>
  <c r="E67" i="20"/>
  <c r="F67" i="20"/>
  <c r="D64" i="17"/>
  <c r="D64" i="16"/>
  <c r="N37" i="36"/>
  <c r="N38" i="36"/>
  <c r="N39" i="36"/>
  <c r="N40" i="36"/>
  <c r="N41" i="36"/>
  <c r="N44" i="36"/>
  <c r="N45" i="36"/>
  <c r="N50" i="36"/>
  <c r="N51" i="36"/>
  <c r="N52" i="36"/>
  <c r="N53" i="36"/>
  <c r="N54" i="36"/>
  <c r="N55" i="36"/>
  <c r="N56" i="36"/>
  <c r="N57" i="36"/>
  <c r="N58" i="36"/>
  <c r="N59" i="36"/>
  <c r="N60" i="36"/>
  <c r="N61" i="36"/>
  <c r="N62" i="36"/>
  <c r="N63" i="36"/>
  <c r="N64" i="36"/>
  <c r="N65" i="36"/>
  <c r="N66" i="36"/>
  <c r="N67" i="36"/>
  <c r="N68" i="36"/>
  <c r="N69" i="36"/>
  <c r="E64" i="17" l="1"/>
  <c r="F64" i="17"/>
  <c r="F64" i="16"/>
  <c r="E64" i="16"/>
  <c r="C12" i="23"/>
  <c r="C13" i="23"/>
  <c r="C14" i="23"/>
  <c r="C16" i="23"/>
  <c r="C19" i="23"/>
  <c r="C26" i="23"/>
  <c r="D26" i="23"/>
  <c r="C28" i="23"/>
  <c r="C29" i="23"/>
  <c r="C30" i="23"/>
  <c r="C32" i="23"/>
  <c r="D32" i="23"/>
  <c r="C33" i="23"/>
  <c r="D33" i="23"/>
  <c r="C34" i="23"/>
  <c r="D34" i="23"/>
  <c r="C35" i="23"/>
  <c r="D35" i="23"/>
  <c r="C36" i="23"/>
  <c r="D36" i="23"/>
  <c r="C38" i="23"/>
  <c r="C41" i="23"/>
  <c r="C42" i="23"/>
  <c r="C44" i="23"/>
  <c r="C45" i="23"/>
  <c r="C46" i="23"/>
  <c r="C48" i="23"/>
  <c r="C50" i="23"/>
  <c r="D50" i="23"/>
  <c r="C51" i="23"/>
  <c r="C52" i="23"/>
  <c r="C53" i="23"/>
  <c r="C54" i="23"/>
  <c r="D54" i="23"/>
  <c r="C55" i="23"/>
  <c r="C58" i="23"/>
  <c r="D58" i="23"/>
  <c r="C60" i="23"/>
  <c r="C62" i="23"/>
  <c r="D62" i="23"/>
  <c r="C65" i="23"/>
  <c r="C66" i="23"/>
  <c r="C67" i="23"/>
  <c r="C69" i="23"/>
  <c r="H37" i="36"/>
  <c r="I37" i="36"/>
  <c r="J37" i="36"/>
  <c r="K37" i="36"/>
  <c r="L37" i="36"/>
  <c r="M37" i="36"/>
  <c r="O37" i="36"/>
  <c r="P37" i="36"/>
  <c r="H38" i="36"/>
  <c r="I38" i="36"/>
  <c r="J38" i="36"/>
  <c r="K38" i="36"/>
  <c r="L38" i="36"/>
  <c r="M38" i="36"/>
  <c r="O38" i="36"/>
  <c r="P38" i="36"/>
  <c r="H39" i="36"/>
  <c r="I39" i="36"/>
  <c r="J39" i="36"/>
  <c r="K39" i="36"/>
  <c r="L39" i="36"/>
  <c r="M39" i="36"/>
  <c r="O39" i="36"/>
  <c r="P39" i="36"/>
  <c r="H40" i="36"/>
  <c r="I40" i="36"/>
  <c r="J40" i="36"/>
  <c r="K40" i="36"/>
  <c r="L40" i="36"/>
  <c r="M40" i="36"/>
  <c r="O40" i="36"/>
  <c r="P40" i="36"/>
  <c r="H41" i="36"/>
  <c r="I41" i="36"/>
  <c r="J41" i="36"/>
  <c r="K41" i="36"/>
  <c r="L41" i="36"/>
  <c r="M41" i="36"/>
  <c r="O41" i="36"/>
  <c r="P41" i="36"/>
  <c r="K44" i="36"/>
  <c r="L44" i="36"/>
  <c r="K45" i="36"/>
  <c r="O45" i="36"/>
  <c r="I46" i="36"/>
  <c r="J46" i="36"/>
  <c r="K46" i="36"/>
  <c r="L46" i="36"/>
  <c r="M46" i="36"/>
  <c r="O46" i="36"/>
  <c r="I47" i="36"/>
  <c r="J47" i="36"/>
  <c r="K47" i="36"/>
  <c r="L47" i="36"/>
  <c r="M47" i="36"/>
  <c r="O47" i="36"/>
  <c r="H50" i="36"/>
  <c r="I50" i="36"/>
  <c r="K50" i="36"/>
  <c r="L50" i="36"/>
  <c r="M50" i="36"/>
  <c r="P50" i="36"/>
  <c r="K51" i="36"/>
  <c r="L51" i="36"/>
  <c r="P51" i="36"/>
  <c r="I52" i="36"/>
  <c r="K52" i="36"/>
  <c r="L52" i="36"/>
  <c r="M52" i="36"/>
  <c r="P52" i="36"/>
  <c r="I53" i="36"/>
  <c r="K53" i="36"/>
  <c r="L53" i="36"/>
  <c r="M53" i="36"/>
  <c r="O53" i="36"/>
  <c r="P53" i="36"/>
  <c r="K54" i="36"/>
  <c r="L54" i="36"/>
  <c r="M54" i="36"/>
  <c r="P54" i="36"/>
  <c r="H55" i="36"/>
  <c r="I55" i="36"/>
  <c r="J55" i="36"/>
  <c r="K55" i="36"/>
  <c r="L55" i="36"/>
  <c r="M55" i="36"/>
  <c r="O55" i="36"/>
  <c r="P55" i="36"/>
  <c r="H56" i="36"/>
  <c r="I56" i="36"/>
  <c r="K56" i="36"/>
  <c r="L56" i="36"/>
  <c r="M56" i="36"/>
  <c r="O56" i="36"/>
  <c r="P56" i="36"/>
  <c r="H57" i="36"/>
  <c r="I57" i="36"/>
  <c r="K57" i="36"/>
  <c r="L57" i="36"/>
  <c r="M57" i="36"/>
  <c r="O57" i="36"/>
  <c r="P57" i="36"/>
  <c r="H58" i="36"/>
  <c r="I58" i="36"/>
  <c r="K58" i="36"/>
  <c r="L58" i="36"/>
  <c r="M58" i="36"/>
  <c r="O58" i="36"/>
  <c r="P58" i="36"/>
  <c r="H59" i="36"/>
  <c r="I59" i="36"/>
  <c r="J59" i="36"/>
  <c r="K59" i="36"/>
  <c r="L59" i="36"/>
  <c r="M59" i="36"/>
  <c r="O59" i="36"/>
  <c r="P59" i="36"/>
  <c r="H60" i="36"/>
  <c r="J60" i="36"/>
  <c r="K60" i="36"/>
  <c r="L60" i="36"/>
  <c r="M60" i="36"/>
  <c r="P60" i="36"/>
  <c r="I61" i="36"/>
  <c r="K61" i="36"/>
  <c r="L61" i="36"/>
  <c r="M61" i="36"/>
  <c r="O61" i="36"/>
  <c r="P61" i="36"/>
  <c r="K62" i="36"/>
  <c r="L62" i="36"/>
  <c r="P62" i="36"/>
  <c r="H63" i="36"/>
  <c r="I63" i="36"/>
  <c r="J63" i="36"/>
  <c r="K63" i="36"/>
  <c r="L63" i="36"/>
  <c r="M63" i="36"/>
  <c r="O63" i="36"/>
  <c r="P63" i="36"/>
  <c r="I64" i="36"/>
  <c r="K64" i="36"/>
  <c r="L64" i="36"/>
  <c r="M64" i="36"/>
  <c r="O64" i="36"/>
  <c r="P64" i="36"/>
  <c r="H65" i="36"/>
  <c r="I65" i="36"/>
  <c r="K65" i="36"/>
  <c r="L65" i="36"/>
  <c r="M65" i="36"/>
  <c r="O65" i="36"/>
  <c r="P65" i="36"/>
  <c r="H66" i="36"/>
  <c r="K66" i="36"/>
  <c r="L66" i="36"/>
  <c r="P66" i="36"/>
  <c r="H67" i="36"/>
  <c r="I67" i="36"/>
  <c r="J67" i="36"/>
  <c r="K67" i="36"/>
  <c r="L67" i="36"/>
  <c r="M67" i="36"/>
  <c r="O67" i="36"/>
  <c r="P67" i="36"/>
  <c r="K68" i="36"/>
  <c r="L68" i="36"/>
  <c r="P68" i="36"/>
  <c r="H69" i="36"/>
  <c r="I69" i="36"/>
  <c r="K69" i="36"/>
  <c r="L69" i="36"/>
  <c r="M69" i="36"/>
  <c r="O69" i="36"/>
  <c r="P69" i="36"/>
  <c r="K70" i="36"/>
  <c r="L70" i="36"/>
  <c r="P70" i="36"/>
  <c r="M45" i="36"/>
  <c r="C40" i="23"/>
  <c r="E62" i="23" l="1"/>
  <c r="E50" i="23"/>
  <c r="E36" i="23"/>
  <c r="F36" i="23"/>
  <c r="E34" i="23"/>
  <c r="F34" i="23"/>
  <c r="E32" i="23"/>
  <c r="F32" i="23"/>
  <c r="F54" i="23"/>
  <c r="E54" i="23"/>
  <c r="F35" i="23"/>
  <c r="E35" i="23"/>
  <c r="F33" i="23"/>
  <c r="E33" i="23"/>
  <c r="P76" i="36"/>
  <c r="L76" i="36"/>
  <c r="K76" i="36"/>
  <c r="E58" i="23"/>
  <c r="F62" i="23"/>
  <c r="C34" i="22" l="1"/>
  <c r="C34" i="21"/>
  <c r="C34" i="19"/>
  <c r="C34" i="20"/>
  <c r="C34" i="14"/>
  <c r="C34" i="9"/>
  <c r="P45" i="36"/>
  <c r="J68" i="36"/>
  <c r="J66" i="36"/>
  <c r="J53" i="36"/>
  <c r="J52" i="36"/>
  <c r="J51" i="36"/>
  <c r="C42" i="15"/>
  <c r="D42" i="15" s="1"/>
  <c r="E48" i="9"/>
  <c r="F65" i="9"/>
  <c r="F64" i="9"/>
  <c r="F63" i="9"/>
  <c r="F58" i="9"/>
  <c r="F57" i="9"/>
  <c r="F56" i="9"/>
  <c r="F55" i="9"/>
  <c r="F54" i="9"/>
  <c r="F48" i="9"/>
  <c r="C42" i="9"/>
  <c r="D42" i="9" s="1"/>
  <c r="F42" i="15" l="1"/>
  <c r="E42" i="15"/>
  <c r="J45" i="36"/>
  <c r="E43" i="15"/>
  <c r="F43" i="15"/>
  <c r="C39" i="23"/>
  <c r="C47" i="23"/>
  <c r="J50" i="36"/>
  <c r="D60" i="23"/>
  <c r="J65" i="36"/>
  <c r="F43" i="9"/>
  <c r="H45" i="36"/>
  <c r="J56" i="36"/>
  <c r="D51" i="23"/>
  <c r="E43" i="9"/>
  <c r="H52" i="36"/>
  <c r="D52" i="23"/>
  <c r="J57" i="36"/>
  <c r="H51" i="36"/>
  <c r="J58" i="36"/>
  <c r="D53" i="23"/>
  <c r="D38" i="36"/>
  <c r="D40" i="36"/>
  <c r="D41" i="36"/>
  <c r="D39" i="36"/>
  <c r="F50" i="9"/>
  <c r="F51" i="9"/>
  <c r="F49" i="9"/>
  <c r="E51" i="23" l="1"/>
  <c r="F51" i="23"/>
  <c r="E53" i="23"/>
  <c r="F53" i="23"/>
  <c r="F52" i="23"/>
  <c r="E52" i="23"/>
  <c r="C59" i="23"/>
  <c r="F60" i="23"/>
  <c r="E60" i="23"/>
  <c r="J54" i="36"/>
  <c r="J61" i="36"/>
  <c r="J62" i="36"/>
  <c r="J64" i="36"/>
  <c r="H53" i="36"/>
  <c r="D48" i="23"/>
  <c r="H68" i="36" l="1"/>
  <c r="F66" i="9"/>
  <c r="E48" i="23"/>
  <c r="F48" i="23"/>
  <c r="H64" i="36"/>
  <c r="D59" i="23"/>
  <c r="F62" i="9"/>
  <c r="M68" i="36"/>
  <c r="M44" i="36"/>
  <c r="E59" i="23" l="1"/>
  <c r="F59" i="23"/>
  <c r="H62" i="36"/>
  <c r="F60" i="9"/>
  <c r="C34" i="17" l="1"/>
  <c r="C34" i="15"/>
  <c r="C34" i="16"/>
  <c r="F59" i="21"/>
  <c r="F62" i="21"/>
  <c r="F63" i="21"/>
  <c r="F65" i="21"/>
  <c r="E59" i="21"/>
  <c r="E61" i="21"/>
  <c r="E62" i="21"/>
  <c r="E63" i="21"/>
  <c r="E65" i="21"/>
  <c r="C60" i="21"/>
  <c r="D64" i="21"/>
  <c r="F54" i="21"/>
  <c r="F55" i="21"/>
  <c r="F56" i="21"/>
  <c r="E53" i="21"/>
  <c r="E54" i="21"/>
  <c r="E55" i="21"/>
  <c r="E56" i="21"/>
  <c r="E57" i="21"/>
  <c r="H49" i="21"/>
  <c r="F51" i="21"/>
  <c r="E51" i="21"/>
  <c r="E43" i="21"/>
  <c r="F48" i="14"/>
  <c r="F50" i="14"/>
  <c r="F51" i="14"/>
  <c r="F54" i="14"/>
  <c r="F55" i="14"/>
  <c r="F56" i="14"/>
  <c r="F59" i="14"/>
  <c r="F62" i="14"/>
  <c r="F63" i="14"/>
  <c r="F65" i="14"/>
  <c r="E67" i="14"/>
  <c r="E50" i="14"/>
  <c r="E51" i="14"/>
  <c r="E53" i="14"/>
  <c r="E54" i="14"/>
  <c r="E55" i="14"/>
  <c r="E56" i="14"/>
  <c r="E57" i="14"/>
  <c r="E59" i="14"/>
  <c r="E61" i="14"/>
  <c r="E62" i="14"/>
  <c r="E63" i="14"/>
  <c r="E65" i="14"/>
  <c r="E48" i="14"/>
  <c r="D64" i="14"/>
  <c r="C60" i="14"/>
  <c r="F48" i="19"/>
  <c r="F50" i="19"/>
  <c r="F51" i="19"/>
  <c r="F52" i="19"/>
  <c r="F54" i="19"/>
  <c r="F55" i="19"/>
  <c r="F56" i="19"/>
  <c r="F58" i="19"/>
  <c r="F59" i="19"/>
  <c r="F62" i="19"/>
  <c r="F63" i="19"/>
  <c r="F65" i="19"/>
  <c r="F67" i="19"/>
  <c r="C52" i="14"/>
  <c r="I43" i="14"/>
  <c r="H48" i="14" l="1"/>
  <c r="O68" i="36"/>
  <c r="E66" i="21"/>
  <c r="F49" i="14"/>
  <c r="I51" i="36"/>
  <c r="E64" i="21"/>
  <c r="O66" i="36"/>
  <c r="C31" i="23"/>
  <c r="E49" i="14"/>
  <c r="E48" i="21"/>
  <c r="O50" i="36"/>
  <c r="D45" i="23"/>
  <c r="F43" i="14"/>
  <c r="I45" i="36"/>
  <c r="D45" i="36" s="1"/>
  <c r="G37" i="43" s="1"/>
  <c r="D40" i="23"/>
  <c r="D60" i="14"/>
  <c r="E60" i="14" s="1"/>
  <c r="I66" i="36"/>
  <c r="C63" i="23"/>
  <c r="E49" i="21"/>
  <c r="O51" i="36"/>
  <c r="F50" i="21"/>
  <c r="O52" i="36"/>
  <c r="D47" i="23"/>
  <c r="D60" i="21"/>
  <c r="E60" i="21" s="1"/>
  <c r="E64" i="14"/>
  <c r="E50" i="21"/>
  <c r="F64" i="14"/>
  <c r="F48" i="21"/>
  <c r="F64" i="21"/>
  <c r="F66" i="21"/>
  <c r="F49" i="21"/>
  <c r="E45" i="23" l="1"/>
  <c r="F45" i="23"/>
  <c r="I62" i="36"/>
  <c r="E66" i="14"/>
  <c r="I68" i="36"/>
  <c r="D63" i="23"/>
  <c r="F60" i="21"/>
  <c r="O62" i="36"/>
  <c r="F66" i="14"/>
  <c r="F60" i="14"/>
  <c r="F47" i="23"/>
  <c r="E47" i="23"/>
  <c r="C15" i="21"/>
  <c r="C11" i="21" s="1"/>
  <c r="F63" i="23" l="1"/>
  <c r="E63" i="23"/>
  <c r="K63" i="23" s="1"/>
  <c r="C15" i="19"/>
  <c r="C11" i="19" s="1"/>
  <c r="E35" i="19"/>
  <c r="E37" i="19"/>
  <c r="E38" i="19"/>
  <c r="E67" i="19"/>
  <c r="E63" i="19"/>
  <c r="D64" i="19"/>
  <c r="M66" i="36" l="1"/>
  <c r="D61" i="23"/>
  <c r="C15" i="23"/>
  <c r="F66" i="19"/>
  <c r="M51" i="36" l="1"/>
  <c r="D46" i="23"/>
  <c r="F49" i="19"/>
  <c r="F46" i="23" l="1"/>
  <c r="E46" i="23"/>
  <c r="C64" i="19"/>
  <c r="C61" i="23" s="1"/>
  <c r="C60" i="19" l="1"/>
  <c r="F64" i="19"/>
  <c r="E50" i="19"/>
  <c r="E51" i="19"/>
  <c r="E49" i="19"/>
  <c r="E48" i="19"/>
  <c r="E52" i="19"/>
  <c r="E57" i="19"/>
  <c r="E58" i="19"/>
  <c r="E59" i="19"/>
  <c r="E55" i="19"/>
  <c r="E56" i="19"/>
  <c r="E54" i="19"/>
  <c r="D60" i="19"/>
  <c r="I46" i="19" s="1"/>
  <c r="E64" i="19"/>
  <c r="E65" i="19"/>
  <c r="E62" i="19"/>
  <c r="F42" i="19"/>
  <c r="F43" i="19"/>
  <c r="E43" i="19"/>
  <c r="C57" i="23" l="1"/>
  <c r="H46" i="19"/>
  <c r="M62" i="36"/>
  <c r="D57" i="23"/>
  <c r="E61" i="23"/>
  <c r="F61" i="23"/>
  <c r="F60" i="19"/>
  <c r="E60" i="19"/>
  <c r="E57" i="23" l="1"/>
  <c r="F57" i="23"/>
  <c r="L19" i="49"/>
  <c r="H19" i="49"/>
  <c r="G19" i="49"/>
  <c r="F19" i="49"/>
  <c r="C19" i="49"/>
  <c r="Y18" i="49"/>
  <c r="D47" i="22" s="1"/>
  <c r="P49" i="36" s="1"/>
  <c r="X18" i="49"/>
  <c r="D33" i="22" s="1"/>
  <c r="W18" i="49"/>
  <c r="D32" i="22" s="1"/>
  <c r="P34" i="36" s="1"/>
  <c r="V18" i="49"/>
  <c r="Q18" i="49"/>
  <c r="I18" i="49"/>
  <c r="D18" i="49"/>
  <c r="Y17" i="49"/>
  <c r="D47" i="21" s="1"/>
  <c r="X17" i="49"/>
  <c r="D33" i="21" s="1"/>
  <c r="O35" i="36" s="1"/>
  <c r="W17" i="49"/>
  <c r="D32" i="21" s="1"/>
  <c r="O34" i="36" s="1"/>
  <c r="V17" i="49"/>
  <c r="D31" i="21" s="1"/>
  <c r="O33" i="36" s="1"/>
  <c r="Q17" i="49"/>
  <c r="I17" i="49"/>
  <c r="J17" i="49" s="1"/>
  <c r="D17" i="49"/>
  <c r="Y16" i="49"/>
  <c r="D47" i="20" s="1"/>
  <c r="N49" i="36" s="1"/>
  <c r="X16" i="49"/>
  <c r="D33" i="20" s="1"/>
  <c r="N35" i="36" s="1"/>
  <c r="W16" i="49"/>
  <c r="D32" i="20" s="1"/>
  <c r="N34" i="36" s="1"/>
  <c r="V16" i="49"/>
  <c r="D31" i="20" s="1"/>
  <c r="N33" i="36" s="1"/>
  <c r="Q16" i="49"/>
  <c r="I16" i="49"/>
  <c r="D16" i="49"/>
  <c r="Y15" i="49"/>
  <c r="D47" i="19" s="1"/>
  <c r="X15" i="49"/>
  <c r="D33" i="19" s="1"/>
  <c r="M35" i="36" s="1"/>
  <c r="W15" i="49"/>
  <c r="D32" i="19" s="1"/>
  <c r="M34" i="36" s="1"/>
  <c r="V15" i="49"/>
  <c r="D31" i="19" s="1"/>
  <c r="M33" i="36" s="1"/>
  <c r="Q15" i="49"/>
  <c r="I15" i="49"/>
  <c r="J15" i="49" s="1"/>
  <c r="D15" i="49"/>
  <c r="Y14" i="49"/>
  <c r="D47" i="17" s="1"/>
  <c r="L49" i="36" s="1"/>
  <c r="X14" i="49"/>
  <c r="D33" i="17" s="1"/>
  <c r="L35" i="36" s="1"/>
  <c r="W14" i="49"/>
  <c r="D32" i="17" s="1"/>
  <c r="L34" i="36" s="1"/>
  <c r="V14" i="49"/>
  <c r="D31" i="17" s="1"/>
  <c r="L33" i="36" s="1"/>
  <c r="Q14" i="49"/>
  <c r="I14" i="49"/>
  <c r="D14" i="49"/>
  <c r="Y13" i="49"/>
  <c r="D47" i="16" s="1"/>
  <c r="X13" i="49"/>
  <c r="D33" i="16" s="1"/>
  <c r="K35" i="36" s="1"/>
  <c r="W13" i="49"/>
  <c r="D32" i="16" s="1"/>
  <c r="K34" i="36" s="1"/>
  <c r="V13" i="49"/>
  <c r="D31" i="16" s="1"/>
  <c r="K33" i="36" s="1"/>
  <c r="Q13" i="49"/>
  <c r="I13" i="49"/>
  <c r="D13" i="49"/>
  <c r="Y12" i="49"/>
  <c r="D47" i="15" s="1"/>
  <c r="X12" i="49"/>
  <c r="D33" i="15" s="1"/>
  <c r="J35" i="36" s="1"/>
  <c r="W12" i="49"/>
  <c r="D32" i="15" s="1"/>
  <c r="J34" i="36" s="1"/>
  <c r="V12" i="49"/>
  <c r="D31" i="15" s="1"/>
  <c r="J33" i="36" s="1"/>
  <c r="Q12" i="49"/>
  <c r="I12" i="49"/>
  <c r="D12" i="49"/>
  <c r="Q11" i="49"/>
  <c r="K11" i="49"/>
  <c r="X11" i="49" s="1"/>
  <c r="D33" i="14" s="1"/>
  <c r="I35" i="36" s="1"/>
  <c r="I11" i="49"/>
  <c r="D11" i="49"/>
  <c r="Y10" i="49"/>
  <c r="D47" i="9" s="1"/>
  <c r="X10" i="49"/>
  <c r="D33" i="9" s="1"/>
  <c r="W10" i="49"/>
  <c r="D32" i="9" s="1"/>
  <c r="V10" i="49"/>
  <c r="D31" i="9" s="1"/>
  <c r="H33" i="36" s="1"/>
  <c r="Q10" i="49"/>
  <c r="I10" i="49"/>
  <c r="D10" i="49"/>
  <c r="C9" i="9" s="1"/>
  <c r="C10" i="9" s="1"/>
  <c r="H5" i="49"/>
  <c r="C5" i="49"/>
  <c r="O32" i="36" l="1"/>
  <c r="K32" i="36"/>
  <c r="M31" i="36"/>
  <c r="M32" i="36"/>
  <c r="L31" i="36"/>
  <c r="L32" i="36"/>
  <c r="J32" i="36"/>
  <c r="N32" i="36"/>
  <c r="K31" i="36"/>
  <c r="O31" i="36"/>
  <c r="J31" i="36"/>
  <c r="N31" i="36"/>
  <c r="E15" i="49"/>
  <c r="R15" i="49" s="1"/>
  <c r="C9" i="19"/>
  <c r="C10" i="19" s="1"/>
  <c r="E14" i="49"/>
  <c r="C9" i="17"/>
  <c r="C10" i="17" s="1"/>
  <c r="E18" i="49"/>
  <c r="C9" i="22"/>
  <c r="C10" i="22" s="1"/>
  <c r="E13" i="49"/>
  <c r="C9" i="16"/>
  <c r="C10" i="16" s="1"/>
  <c r="E17" i="49"/>
  <c r="C9" i="21"/>
  <c r="C10" i="21" s="1"/>
  <c r="P35" i="36"/>
  <c r="E33" i="22"/>
  <c r="E11" i="49"/>
  <c r="C9" i="14"/>
  <c r="C10" i="14" s="1"/>
  <c r="E12" i="49"/>
  <c r="C9" i="15"/>
  <c r="C10" i="15" s="1"/>
  <c r="E16" i="49"/>
  <c r="C9" i="20"/>
  <c r="C10" i="20" s="1"/>
  <c r="K49" i="36"/>
  <c r="E47" i="16"/>
  <c r="F47" i="16"/>
  <c r="J49" i="36"/>
  <c r="E47" i="15"/>
  <c r="F47" i="15"/>
  <c r="H34" i="36"/>
  <c r="D58" i="21"/>
  <c r="O49" i="36"/>
  <c r="H49" i="36"/>
  <c r="F47" i="19"/>
  <c r="M49" i="36"/>
  <c r="D30" i="23"/>
  <c r="H35" i="36"/>
  <c r="H31" i="36" s="1"/>
  <c r="K5" i="49"/>
  <c r="E47" i="19"/>
  <c r="D19" i="49"/>
  <c r="N11" i="49"/>
  <c r="O11" i="49" s="1"/>
  <c r="D30" i="17"/>
  <c r="L30" i="36" s="1"/>
  <c r="V21" i="49"/>
  <c r="D31" i="22"/>
  <c r="P33" i="36" s="1"/>
  <c r="S14" i="49"/>
  <c r="D9" i="17"/>
  <c r="L9" i="36" s="1"/>
  <c r="N15" i="49"/>
  <c r="O15" i="49" s="1"/>
  <c r="D9" i="19"/>
  <c r="S16" i="49"/>
  <c r="D9" i="20"/>
  <c r="N17" i="49"/>
  <c r="O17" i="49" s="1"/>
  <c r="I14" i="21" s="1"/>
  <c r="D14" i="21" s="1"/>
  <c r="D9" i="21"/>
  <c r="S18" i="49"/>
  <c r="D9" i="22"/>
  <c r="S12" i="49"/>
  <c r="D9" i="15"/>
  <c r="D9" i="14"/>
  <c r="N10" i="49"/>
  <c r="O10" i="49" s="1"/>
  <c r="I14" i="9" s="1"/>
  <c r="N13" i="49"/>
  <c r="O13" i="49" s="1"/>
  <c r="D9" i="16"/>
  <c r="R17" i="49"/>
  <c r="D9" i="9"/>
  <c r="M10" i="49"/>
  <c r="S10" i="49"/>
  <c r="J11" i="49"/>
  <c r="R11" i="49" s="1"/>
  <c r="M11" i="49"/>
  <c r="S11" i="49"/>
  <c r="W11" i="49"/>
  <c r="D32" i="14" s="1"/>
  <c r="I34" i="36" s="1"/>
  <c r="Y11" i="49"/>
  <c r="D47" i="14" s="1"/>
  <c r="D44" i="23" s="1"/>
  <c r="J12" i="49"/>
  <c r="R12" i="49" s="1"/>
  <c r="N12" i="49"/>
  <c r="M13" i="49"/>
  <c r="S13" i="49"/>
  <c r="J14" i="49"/>
  <c r="R14" i="49" s="1"/>
  <c r="N14" i="49"/>
  <c r="M15" i="49"/>
  <c r="S15" i="49"/>
  <c r="J16" i="49"/>
  <c r="N16" i="49"/>
  <c r="M17" i="49"/>
  <c r="S17" i="49"/>
  <c r="J18" i="49"/>
  <c r="N18" i="49"/>
  <c r="I19" i="49"/>
  <c r="K19" i="49"/>
  <c r="Q19" i="49"/>
  <c r="E10" i="49"/>
  <c r="J10" i="49"/>
  <c r="V11" i="49"/>
  <c r="D31" i="14" s="1"/>
  <c r="I33" i="36" s="1"/>
  <c r="M12" i="49"/>
  <c r="J13" i="49"/>
  <c r="R13" i="49" s="1"/>
  <c r="M14" i="49"/>
  <c r="M16" i="49"/>
  <c r="M18" i="49"/>
  <c r="C6" i="47"/>
  <c r="D16" i="22"/>
  <c r="D16" i="21"/>
  <c r="O16" i="36" s="1"/>
  <c r="N91" i="42" s="1"/>
  <c r="D16" i="19"/>
  <c r="M16" i="36" s="1"/>
  <c r="L91" i="42" s="1"/>
  <c r="D16" i="17"/>
  <c r="D16" i="20"/>
  <c r="D16" i="16"/>
  <c r="D16" i="15"/>
  <c r="D16" i="14"/>
  <c r="D16" i="9"/>
  <c r="I31" i="36" l="1"/>
  <c r="D31" i="36" s="1"/>
  <c r="I32" i="36"/>
  <c r="H32" i="36"/>
  <c r="D32" i="36" s="1"/>
  <c r="P31" i="36"/>
  <c r="P32" i="36"/>
  <c r="D33" i="36"/>
  <c r="G30" i="43" s="1"/>
  <c r="E19" i="49"/>
  <c r="R18" i="49"/>
  <c r="R16" i="49"/>
  <c r="O60" i="36"/>
  <c r="D52" i="21"/>
  <c r="I49" i="21" s="1"/>
  <c r="F58" i="21"/>
  <c r="E16" i="9"/>
  <c r="F16" i="9"/>
  <c r="P16" i="36"/>
  <c r="G91" i="42" s="1"/>
  <c r="F16" i="22"/>
  <c r="E16" i="22"/>
  <c r="D72" i="9"/>
  <c r="H67" i="9"/>
  <c r="D14" i="9"/>
  <c r="K16" i="36"/>
  <c r="J91" i="42" s="1"/>
  <c r="F16" i="16"/>
  <c r="E16" i="16"/>
  <c r="N16" i="36"/>
  <c r="M91" i="42" s="1"/>
  <c r="F16" i="20"/>
  <c r="E16" i="20"/>
  <c r="I16" i="36"/>
  <c r="H91" i="42" s="1"/>
  <c r="E16" i="14"/>
  <c r="F16" i="14"/>
  <c r="L16" i="36"/>
  <c r="K91" i="42" s="1"/>
  <c r="E16" i="17"/>
  <c r="F16" i="17"/>
  <c r="J16" i="36"/>
  <c r="I91" i="42" s="1"/>
  <c r="F16" i="15"/>
  <c r="D10" i="14"/>
  <c r="I10" i="36" s="1"/>
  <c r="I9" i="36"/>
  <c r="D10" i="9"/>
  <c r="D9" i="23"/>
  <c r="H9" i="36"/>
  <c r="D10" i="16"/>
  <c r="K10" i="36" s="1"/>
  <c r="K9" i="36"/>
  <c r="D10" i="15"/>
  <c r="J10" i="36" s="1"/>
  <c r="J9" i="36"/>
  <c r="D10" i="21"/>
  <c r="O10" i="36" s="1"/>
  <c r="O9" i="36"/>
  <c r="D10" i="19"/>
  <c r="M10" i="36" s="1"/>
  <c r="M9" i="36"/>
  <c r="D29" i="23"/>
  <c r="E58" i="21"/>
  <c r="D16" i="23"/>
  <c r="H16" i="36"/>
  <c r="F91" i="42" s="1"/>
  <c r="D58" i="14"/>
  <c r="F58" i="14" s="1"/>
  <c r="I49" i="36"/>
  <c r="D10" i="22"/>
  <c r="P10" i="36" s="1"/>
  <c r="P9" i="36"/>
  <c r="D10" i="20"/>
  <c r="N10" i="36" s="1"/>
  <c r="N9" i="36"/>
  <c r="D28" i="23"/>
  <c r="D68" i="36"/>
  <c r="G76" i="43" s="1"/>
  <c r="D67" i="36"/>
  <c r="G75" i="43" s="1"/>
  <c r="D66" i="36"/>
  <c r="G74" i="43" s="1"/>
  <c r="D65" i="36"/>
  <c r="G73" i="43" s="1"/>
  <c r="D63" i="36"/>
  <c r="D62" i="36"/>
  <c r="G70" i="43" s="1"/>
  <c r="D70" i="43" s="1"/>
  <c r="D59" i="36"/>
  <c r="G66" i="43" s="1"/>
  <c r="D57" i="36"/>
  <c r="G64" i="43" s="1"/>
  <c r="D55" i="36"/>
  <c r="D52" i="36"/>
  <c r="G57" i="43" s="1"/>
  <c r="D50" i="36"/>
  <c r="D64" i="36"/>
  <c r="G72" i="43" s="1"/>
  <c r="D72" i="43" s="1"/>
  <c r="D58" i="36"/>
  <c r="G65" i="43" s="1"/>
  <c r="D56" i="36"/>
  <c r="G63" i="43" s="1"/>
  <c r="D53" i="36"/>
  <c r="G59" i="43" s="1"/>
  <c r="D51" i="36"/>
  <c r="G47" i="43" s="1"/>
  <c r="E16" i="21"/>
  <c r="F16" i="21"/>
  <c r="F16" i="19"/>
  <c r="E16" i="19"/>
  <c r="P13" i="49"/>
  <c r="I14" i="16"/>
  <c r="P15" i="49"/>
  <c r="I14" i="19"/>
  <c r="P17" i="49"/>
  <c r="P11" i="49"/>
  <c r="I14" i="14"/>
  <c r="C9" i="23"/>
  <c r="D10" i="17"/>
  <c r="L10" i="36" s="1"/>
  <c r="N19" i="49"/>
  <c r="J19" i="49"/>
  <c r="R19" i="49" s="1"/>
  <c r="R10" i="49"/>
  <c r="S19" i="49"/>
  <c r="Y19" i="49"/>
  <c r="W19" i="49"/>
  <c r="X19" i="49"/>
  <c r="V19" i="49"/>
  <c r="O18" i="49"/>
  <c r="O16" i="49"/>
  <c r="O14" i="49"/>
  <c r="O12" i="49"/>
  <c r="M19" i="49"/>
  <c r="P10" i="49"/>
  <c r="D83" i="43"/>
  <c r="D86" i="42"/>
  <c r="D85" i="42" s="1"/>
  <c r="D87" i="43"/>
  <c r="AD279" i="46"/>
  <c r="Q270" i="46"/>
  <c r="P270" i="46"/>
  <c r="O270" i="46"/>
  <c r="N270" i="46"/>
  <c r="M270" i="46"/>
  <c r="R268" i="46"/>
  <c r="R267" i="46"/>
  <c r="BN234" i="46"/>
  <c r="BG234" i="46"/>
  <c r="AC234" i="46"/>
  <c r="AB234" i="46"/>
  <c r="U234" i="46"/>
  <c r="BN233" i="46"/>
  <c r="BG233" i="46"/>
  <c r="AC233" i="46"/>
  <c r="AB233" i="46"/>
  <c r="U233" i="46"/>
  <c r="BN232" i="46"/>
  <c r="BG232" i="46"/>
  <c r="AC232" i="46"/>
  <c r="AB232" i="46"/>
  <c r="U232" i="46"/>
  <c r="BH231" i="46"/>
  <c r="BN231" i="46" s="1"/>
  <c r="BG231" i="46"/>
  <c r="AC231" i="46"/>
  <c r="AB231" i="46"/>
  <c r="U231" i="46"/>
  <c r="BN230" i="46"/>
  <c r="BG230" i="46"/>
  <c r="AY230" i="46" s="1"/>
  <c r="AC230" i="46"/>
  <c r="AB230" i="46"/>
  <c r="U230" i="46"/>
  <c r="BN229" i="46"/>
  <c r="BG229" i="46"/>
  <c r="AC229" i="46"/>
  <c r="AB229" i="46"/>
  <c r="U229" i="46"/>
  <c r="BN228" i="46"/>
  <c r="BG228" i="46"/>
  <c r="AC228" i="46"/>
  <c r="AB228" i="46"/>
  <c r="U228" i="46"/>
  <c r="BW227" i="46"/>
  <c r="BV227" i="46"/>
  <c r="BU227" i="46"/>
  <c r="BT227" i="46"/>
  <c r="BS227" i="46"/>
  <c r="BR227" i="46"/>
  <c r="BQ227" i="46"/>
  <c r="BP227" i="46"/>
  <c r="BO227" i="46"/>
  <c r="BL227" i="46"/>
  <c r="BK227" i="46"/>
  <c r="BJ227" i="46"/>
  <c r="BI227" i="46"/>
  <c r="BH227" i="46"/>
  <c r="BE227" i="46"/>
  <c r="BD227" i="46"/>
  <c r="BC227" i="46"/>
  <c r="BB227" i="46"/>
  <c r="BA227" i="46"/>
  <c r="AZ227" i="46"/>
  <c r="AX227" i="46"/>
  <c r="AW227" i="46"/>
  <c r="AV227" i="46"/>
  <c r="AU227" i="46"/>
  <c r="AT227" i="46"/>
  <c r="AS227" i="46"/>
  <c r="AR227" i="46"/>
  <c r="AQ227" i="46"/>
  <c r="AL227" i="46"/>
  <c r="AK227" i="46"/>
  <c r="AJ227" i="46"/>
  <c r="AI227" i="46"/>
  <c r="AH227" i="46"/>
  <c r="AG227" i="46"/>
  <c r="AF227" i="46"/>
  <c r="AE227" i="46"/>
  <c r="AD227" i="46"/>
  <c r="Y227" i="46"/>
  <c r="X227" i="46"/>
  <c r="W227" i="46"/>
  <c r="V227" i="46"/>
  <c r="R227" i="46"/>
  <c r="Q227" i="46"/>
  <c r="P227" i="46"/>
  <c r="O227" i="46"/>
  <c r="N227" i="46"/>
  <c r="M227" i="46"/>
  <c r="J227" i="46"/>
  <c r="I227" i="46"/>
  <c r="H227" i="46"/>
  <c r="G227" i="46"/>
  <c r="F227" i="46"/>
  <c r="E227" i="46"/>
  <c r="D227" i="46"/>
  <c r="C227" i="46"/>
  <c r="BN226" i="46"/>
  <c r="BG226" i="46"/>
  <c r="AR226" i="46"/>
  <c r="AQ226" i="46" s="1"/>
  <c r="AC226" i="46"/>
  <c r="AB226" i="46"/>
  <c r="U226" i="46"/>
  <c r="D226" i="46"/>
  <c r="C226" i="46" s="1"/>
  <c r="BN225" i="46"/>
  <c r="BN224" i="46" s="1"/>
  <c r="AZ225" i="46"/>
  <c r="AZ224" i="46" s="1"/>
  <c r="AR225" i="46"/>
  <c r="AQ225" i="46" s="1"/>
  <c r="AC225" i="46"/>
  <c r="AB225" i="46"/>
  <c r="U225" i="46"/>
  <c r="D225" i="46"/>
  <c r="C225" i="46" s="1"/>
  <c r="BW224" i="46"/>
  <c r="BV224" i="46"/>
  <c r="BU224" i="46"/>
  <c r="BT224" i="46"/>
  <c r="BS224" i="46"/>
  <c r="BR224" i="46"/>
  <c r="BQ224" i="46"/>
  <c r="BP224" i="46"/>
  <c r="BO224" i="46"/>
  <c r="BL224" i="46"/>
  <c r="BK224" i="46"/>
  <c r="BJ224" i="46"/>
  <c r="BI224" i="46"/>
  <c r="BH224" i="46"/>
  <c r="BE224" i="46"/>
  <c r="BD224" i="46"/>
  <c r="BC224" i="46"/>
  <c r="BB224" i="46"/>
  <c r="BA224" i="46"/>
  <c r="AX224" i="46"/>
  <c r="AW224" i="46"/>
  <c r="AV224" i="46"/>
  <c r="AU224" i="46"/>
  <c r="AT224" i="46"/>
  <c r="AS224" i="46"/>
  <c r="AR224" i="46"/>
  <c r="AL224" i="46"/>
  <c r="AK224" i="46"/>
  <c r="AJ224" i="46"/>
  <c r="AI224" i="46"/>
  <c r="AH224" i="46"/>
  <c r="AG224" i="46"/>
  <c r="AF224" i="46"/>
  <c r="AE224" i="46"/>
  <c r="AD224" i="46"/>
  <c r="Y224" i="46"/>
  <c r="X224" i="46"/>
  <c r="W224" i="46"/>
  <c r="V224" i="46"/>
  <c r="R224" i="46"/>
  <c r="Q224" i="46"/>
  <c r="P224" i="46"/>
  <c r="O224" i="46"/>
  <c r="N224" i="46"/>
  <c r="M224" i="46"/>
  <c r="J224" i="46"/>
  <c r="I224" i="46"/>
  <c r="H224" i="46"/>
  <c r="G224" i="46"/>
  <c r="F224" i="46"/>
  <c r="E224" i="46"/>
  <c r="BN223" i="46"/>
  <c r="BG223" i="46"/>
  <c r="AC223" i="46"/>
  <c r="AB223" i="46"/>
  <c r="U223" i="46"/>
  <c r="BN222" i="46"/>
  <c r="BG222" i="46"/>
  <c r="AC222" i="46"/>
  <c r="AB222" i="46"/>
  <c r="U222" i="46"/>
  <c r="BH221" i="46"/>
  <c r="BN221" i="46" s="1"/>
  <c r="BG221" i="46"/>
  <c r="AC221" i="46"/>
  <c r="AB221" i="46"/>
  <c r="U221" i="46"/>
  <c r="BN220" i="46"/>
  <c r="BG220" i="46"/>
  <c r="AC220" i="46"/>
  <c r="AB220" i="46"/>
  <c r="U220" i="46"/>
  <c r="BN219" i="46"/>
  <c r="BG219" i="46"/>
  <c r="AC219" i="46"/>
  <c r="AB219" i="46"/>
  <c r="U219" i="46"/>
  <c r="BN218" i="46"/>
  <c r="BG218" i="46"/>
  <c r="AC218" i="46"/>
  <c r="AB218" i="46"/>
  <c r="U218" i="46"/>
  <c r="BN217" i="46"/>
  <c r="BG217" i="46"/>
  <c r="AC217" i="46"/>
  <c r="AB217" i="46"/>
  <c r="U217" i="46"/>
  <c r="BN216" i="46"/>
  <c r="BG216" i="46"/>
  <c r="AR216" i="46"/>
  <c r="AQ216" i="46" s="1"/>
  <c r="AQ215" i="46" s="1"/>
  <c r="AQ214" i="46" s="1"/>
  <c r="AC216" i="46"/>
  <c r="AB216" i="46"/>
  <c r="U216" i="46"/>
  <c r="D216" i="46"/>
  <c r="C216" i="46" s="1"/>
  <c r="C215" i="46" s="1"/>
  <c r="C214" i="46" s="1"/>
  <c r="BW215" i="46"/>
  <c r="BW214" i="46" s="1"/>
  <c r="BV215" i="46"/>
  <c r="BV214" i="46" s="1"/>
  <c r="BU215" i="46"/>
  <c r="BU214" i="46" s="1"/>
  <c r="BT215" i="46"/>
  <c r="BT214" i="46" s="1"/>
  <c r="BS215" i="46"/>
  <c r="BS214" i="46" s="1"/>
  <c r="BR215" i="46"/>
  <c r="BR214" i="46" s="1"/>
  <c r="BQ215" i="46"/>
  <c r="BQ214" i="46" s="1"/>
  <c r="BP215" i="46"/>
  <c r="BP214" i="46" s="1"/>
  <c r="BO215" i="46"/>
  <c r="BO214" i="46" s="1"/>
  <c r="BM215" i="46"/>
  <c r="BL215" i="46"/>
  <c r="BL214" i="46" s="1"/>
  <c r="BK215" i="46"/>
  <c r="BK214" i="46" s="1"/>
  <c r="BJ215" i="46"/>
  <c r="BJ214" i="46" s="1"/>
  <c r="BI215" i="46"/>
  <c r="BH215" i="46"/>
  <c r="BF215" i="46"/>
  <c r="BE215" i="46"/>
  <c r="BE214" i="46" s="1"/>
  <c r="BD215" i="46"/>
  <c r="BD214" i="46" s="1"/>
  <c r="BC215" i="46"/>
  <c r="BC214" i="46" s="1"/>
  <c r="BB215" i="46"/>
  <c r="BB214" i="46" s="1"/>
  <c r="BA215" i="46"/>
  <c r="BA214" i="46" s="1"/>
  <c r="AZ215" i="46"/>
  <c r="AZ214" i="46" s="1"/>
  <c r="AV215" i="46"/>
  <c r="AV214" i="46" s="1"/>
  <c r="AU215" i="46"/>
  <c r="AU214" i="46" s="1"/>
  <c r="AM215" i="46"/>
  <c r="AM214" i="46" s="1"/>
  <c r="AL215" i="46"/>
  <c r="AL214" i="46" s="1"/>
  <c r="AK215" i="46"/>
  <c r="AK214" i="46" s="1"/>
  <c r="AJ215" i="46"/>
  <c r="AJ214" i="46" s="1"/>
  <c r="AI215" i="46"/>
  <c r="AI214" i="46" s="1"/>
  <c r="AH215" i="46"/>
  <c r="AH214" i="46" s="1"/>
  <c r="AG215" i="46"/>
  <c r="AG214" i="46" s="1"/>
  <c r="AF215" i="46"/>
  <c r="AF214" i="46" s="1"/>
  <c r="AE215" i="46"/>
  <c r="AE214" i="46" s="1"/>
  <c r="AD215" i="46"/>
  <c r="AD214" i="46" s="1"/>
  <c r="AA215" i="46"/>
  <c r="Y215" i="46"/>
  <c r="Y214" i="46" s="1"/>
  <c r="X215" i="46"/>
  <c r="X214" i="46" s="1"/>
  <c r="W215" i="46"/>
  <c r="W214" i="46" s="1"/>
  <c r="V215" i="46"/>
  <c r="V214" i="46" s="1"/>
  <c r="S215" i="46"/>
  <c r="R215" i="46"/>
  <c r="R214" i="46" s="1"/>
  <c r="Q215" i="46"/>
  <c r="Q214" i="46" s="1"/>
  <c r="P215" i="46"/>
  <c r="P214" i="46" s="1"/>
  <c r="O215" i="46"/>
  <c r="O214" i="46" s="1"/>
  <c r="N215" i="46"/>
  <c r="N214" i="46" s="1"/>
  <c r="M215" i="46"/>
  <c r="M214" i="46" s="1"/>
  <c r="H215" i="46"/>
  <c r="G215" i="46"/>
  <c r="G214" i="46" s="1"/>
  <c r="BI214" i="46"/>
  <c r="H214" i="46"/>
  <c r="BL213" i="46"/>
  <c r="BM213" i="46" s="1"/>
  <c r="BE213" i="46"/>
  <c r="BF213" i="46" s="1"/>
  <c r="AZ213" i="46"/>
  <c r="AR213" i="46"/>
  <c r="AQ213" i="46" s="1"/>
  <c r="Z213" i="46"/>
  <c r="T213" i="46"/>
  <c r="U213" i="46" s="1"/>
  <c r="D213" i="46"/>
  <c r="C213" i="46" s="1"/>
  <c r="BL212" i="46"/>
  <c r="BM212" i="46" s="1"/>
  <c r="BE212" i="46"/>
  <c r="BF212" i="46" s="1"/>
  <c r="AZ212" i="46"/>
  <c r="AR212" i="46"/>
  <c r="AQ212" i="46" s="1"/>
  <c r="Z212" i="46"/>
  <c r="R212" i="46"/>
  <c r="T212" i="46" s="1"/>
  <c r="U212" i="46" s="1"/>
  <c r="D212" i="46"/>
  <c r="C212" i="46" s="1"/>
  <c r="BL211" i="46"/>
  <c r="BM211" i="46" s="1"/>
  <c r="BE211" i="46"/>
  <c r="BF211" i="46" s="1"/>
  <c r="AZ211" i="46"/>
  <c r="AR211" i="46"/>
  <c r="AQ211" i="46" s="1"/>
  <c r="Z211" i="46"/>
  <c r="R211" i="46"/>
  <c r="T211" i="46" s="1"/>
  <c r="U211" i="46" s="1"/>
  <c r="D211" i="46"/>
  <c r="C211" i="46" s="1"/>
  <c r="BL210" i="46"/>
  <c r="BM210" i="46" s="1"/>
  <c r="BE210" i="46"/>
  <c r="BF210" i="46" s="1"/>
  <c r="AZ210" i="46"/>
  <c r="AR210" i="46"/>
  <c r="AQ210" i="46" s="1"/>
  <c r="Z210" i="46"/>
  <c r="T210" i="46"/>
  <c r="U210" i="46" s="1"/>
  <c r="D210" i="46"/>
  <c r="C210" i="46" s="1"/>
  <c r="BL209" i="46"/>
  <c r="BM209" i="46" s="1"/>
  <c r="BN209" i="46" s="1"/>
  <c r="BA209" i="46"/>
  <c r="BE209" i="46" s="1"/>
  <c r="BF209" i="46" s="1"/>
  <c r="AZ209" i="46"/>
  <c r="AR209" i="46"/>
  <c r="AQ209" i="46" s="1"/>
  <c r="Z209" i="46"/>
  <c r="N209" i="46"/>
  <c r="R209" i="46" s="1"/>
  <c r="T209" i="46" s="1"/>
  <c r="D209" i="46"/>
  <c r="C209" i="46" s="1"/>
  <c r="BH208" i="46"/>
  <c r="BL208" i="46" s="1"/>
  <c r="BM208" i="46" s="1"/>
  <c r="BE208" i="46"/>
  <c r="BF208" i="46" s="1"/>
  <c r="BG208" i="46" s="1"/>
  <c r="AR208" i="46"/>
  <c r="AQ208" i="46" s="1"/>
  <c r="Z208" i="46"/>
  <c r="R208" i="46"/>
  <c r="T208" i="46" s="1"/>
  <c r="U208" i="46" s="1"/>
  <c r="D208" i="46"/>
  <c r="C208" i="46" s="1"/>
  <c r="BL207" i="46"/>
  <c r="BM207" i="46" s="1"/>
  <c r="BN207" i="46" s="1"/>
  <c r="BA207" i="46"/>
  <c r="BE207" i="46" s="1"/>
  <c r="BF207" i="46" s="1"/>
  <c r="BG207" i="46" s="1"/>
  <c r="AR207" i="46"/>
  <c r="AQ207" i="46" s="1"/>
  <c r="AB207" i="46"/>
  <c r="AC207" i="46" s="1"/>
  <c r="Z207" i="46"/>
  <c r="R207" i="46"/>
  <c r="T207" i="46" s="1"/>
  <c r="U207" i="46" s="1"/>
  <c r="D207" i="46"/>
  <c r="C207" i="46" s="1"/>
  <c r="BL206" i="46"/>
  <c r="BM206" i="46" s="1"/>
  <c r="BN206" i="46" s="1"/>
  <c r="BE206" i="46"/>
  <c r="BF206" i="46" s="1"/>
  <c r="BG206" i="46" s="1"/>
  <c r="AR206" i="46"/>
  <c r="AQ206" i="46" s="1"/>
  <c r="Z206" i="46"/>
  <c r="R206" i="46"/>
  <c r="T206" i="46" s="1"/>
  <c r="U206" i="46" s="1"/>
  <c r="D206" i="46"/>
  <c r="C206" i="46" s="1"/>
  <c r="BL205" i="46"/>
  <c r="BM205" i="46" s="1"/>
  <c r="BN205" i="46" s="1"/>
  <c r="BA205" i="46"/>
  <c r="BE205" i="46" s="1"/>
  <c r="BF205" i="46" s="1"/>
  <c r="AZ205" i="46"/>
  <c r="AR205" i="46"/>
  <c r="AQ205" i="46" s="1"/>
  <c r="V205" i="46"/>
  <c r="R205" i="46"/>
  <c r="T205" i="46" s="1"/>
  <c r="U205" i="46" s="1"/>
  <c r="D205" i="46"/>
  <c r="C205" i="46" s="1"/>
  <c r="BL204" i="46"/>
  <c r="BM204" i="46" s="1"/>
  <c r="BN204" i="46" s="1"/>
  <c r="BA204" i="46"/>
  <c r="AZ204" i="46"/>
  <c r="AR204" i="46"/>
  <c r="AQ204" i="46" s="1"/>
  <c r="AB204" i="46"/>
  <c r="AC204" i="46" s="1"/>
  <c r="Z204" i="46"/>
  <c r="D204" i="46"/>
  <c r="C204" i="46" s="1"/>
  <c r="BL203" i="46"/>
  <c r="BM203" i="46" s="1"/>
  <c r="BN203" i="46" s="1"/>
  <c r="BE203" i="46"/>
  <c r="BF203" i="46" s="1"/>
  <c r="BG203" i="46" s="1"/>
  <c r="AR203" i="46"/>
  <c r="AQ203" i="46" s="1"/>
  <c r="AB203" i="46"/>
  <c r="AC203" i="46" s="1"/>
  <c r="Z203" i="46"/>
  <c r="R203" i="46"/>
  <c r="T203" i="46" s="1"/>
  <c r="U203" i="46" s="1"/>
  <c r="D203" i="46"/>
  <c r="C203" i="46" s="1"/>
  <c r="BL202" i="46"/>
  <c r="BM202" i="46" s="1"/>
  <c r="BN202" i="46" s="1"/>
  <c r="BE202" i="46"/>
  <c r="BF202" i="46" s="1"/>
  <c r="BG202" i="46" s="1"/>
  <c r="AR202" i="46"/>
  <c r="AQ202" i="46" s="1"/>
  <c r="AA202" i="46"/>
  <c r="AA196" i="46" s="1"/>
  <c r="Z202" i="46"/>
  <c r="S202" i="46"/>
  <c r="S196" i="46" s="1"/>
  <c r="R202" i="46"/>
  <c r="D202" i="46"/>
  <c r="C202" i="46" s="1"/>
  <c r="BL201" i="46"/>
  <c r="BM201" i="46" s="1"/>
  <c r="BN201" i="46" s="1"/>
  <c r="BE201" i="46"/>
  <c r="BF201" i="46" s="1"/>
  <c r="AZ201" i="46"/>
  <c r="AR201" i="46"/>
  <c r="AQ201" i="46" s="1"/>
  <c r="AB201" i="46"/>
  <c r="AC201" i="46" s="1"/>
  <c r="Z201" i="46"/>
  <c r="T201" i="46"/>
  <c r="U201" i="46" s="1"/>
  <c r="D201" i="46"/>
  <c r="C201" i="46" s="1"/>
  <c r="BL200" i="46"/>
  <c r="BM200" i="46" s="1"/>
  <c r="BN200" i="46" s="1"/>
  <c r="BE200" i="46"/>
  <c r="BF200" i="46" s="1"/>
  <c r="AZ200" i="46"/>
  <c r="AR200" i="46"/>
  <c r="AQ200" i="46" s="1"/>
  <c r="AB200" i="46"/>
  <c r="AC200" i="46" s="1"/>
  <c r="Z200" i="46"/>
  <c r="T200" i="46"/>
  <c r="U200" i="46" s="1"/>
  <c r="D200" i="46"/>
  <c r="C200" i="46" s="1"/>
  <c r="BH199" i="46"/>
  <c r="BL199" i="46" s="1"/>
  <c r="BM199" i="46" s="1"/>
  <c r="BE199" i="46"/>
  <c r="BF199" i="46" s="1"/>
  <c r="AZ199" i="46"/>
  <c r="AR199" i="46"/>
  <c r="AQ199" i="46" s="1"/>
  <c r="Z199" i="46"/>
  <c r="R199" i="46"/>
  <c r="T199" i="46" s="1"/>
  <c r="U199" i="46" s="1"/>
  <c r="D199" i="46"/>
  <c r="BL198" i="46"/>
  <c r="BN198" i="46" s="1"/>
  <c r="BE198" i="46"/>
  <c r="Z198" i="46"/>
  <c r="Y198" i="46" s="1"/>
  <c r="AB198" i="46" s="1"/>
  <c r="AC198" i="46" s="1"/>
  <c r="T198" i="46"/>
  <c r="U198" i="46" s="1"/>
  <c r="K198" i="46"/>
  <c r="BL197" i="46"/>
  <c r="BM197" i="46" s="1"/>
  <c r="BN197" i="46" s="1"/>
  <c r="BE197" i="46"/>
  <c r="AZ197" i="46"/>
  <c r="AR197" i="46"/>
  <c r="AQ197" i="46" s="1"/>
  <c r="Z197" i="46"/>
  <c r="W197" i="46"/>
  <c r="W196" i="46" s="1"/>
  <c r="T197" i="46"/>
  <c r="D197" i="46"/>
  <c r="C197" i="46" s="1"/>
  <c r="BW196" i="46"/>
  <c r="BV196" i="46"/>
  <c r="BU196" i="46"/>
  <c r="BT196" i="46"/>
  <c r="BS196" i="46"/>
  <c r="BR196" i="46"/>
  <c r="BQ196" i="46"/>
  <c r="BP196" i="46"/>
  <c r="BO196" i="46"/>
  <c r="BK196" i="46"/>
  <c r="BJ196" i="46"/>
  <c r="BI196" i="46"/>
  <c r="BH196" i="46"/>
  <c r="BD196" i="46"/>
  <c r="BC196" i="46"/>
  <c r="BB196" i="46"/>
  <c r="AX196" i="46"/>
  <c r="AW196" i="46"/>
  <c r="AV196" i="46"/>
  <c r="AU196" i="46"/>
  <c r="AT196" i="46"/>
  <c r="AS196" i="46"/>
  <c r="AM196" i="46"/>
  <c r="AL196" i="46"/>
  <c r="AK196" i="46"/>
  <c r="AJ196" i="46"/>
  <c r="AI196" i="46"/>
  <c r="AH196" i="46"/>
  <c r="AG196" i="46"/>
  <c r="AF196" i="46"/>
  <c r="AE196" i="46"/>
  <c r="AD196" i="46"/>
  <c r="X196" i="46"/>
  <c r="Q196" i="46"/>
  <c r="P196" i="46"/>
  <c r="O196" i="46"/>
  <c r="M196" i="46"/>
  <c r="J196" i="46"/>
  <c r="I196" i="46"/>
  <c r="H196" i="46"/>
  <c r="G196" i="46"/>
  <c r="F196" i="46"/>
  <c r="E196" i="46"/>
  <c r="BL195" i="46"/>
  <c r="BM195" i="46" s="1"/>
  <c r="BN195" i="46" s="1"/>
  <c r="BB195" i="46"/>
  <c r="BE195" i="46" s="1"/>
  <c r="BF195" i="46" s="1"/>
  <c r="AZ195" i="46"/>
  <c r="AR195" i="46"/>
  <c r="AQ195" i="46" s="1"/>
  <c r="AB195" i="46"/>
  <c r="AC195" i="46" s="1"/>
  <c r="Z195" i="46"/>
  <c r="T195" i="46"/>
  <c r="U195" i="46" s="1"/>
  <c r="D195" i="46"/>
  <c r="C195" i="46" s="1"/>
  <c r="BO194" i="46"/>
  <c r="BO193" i="46" s="1"/>
  <c r="BJ194" i="46"/>
  <c r="BJ193" i="46" s="1"/>
  <c r="BI194" i="46"/>
  <c r="BI193" i="46" s="1"/>
  <c r="BH194" i="46"/>
  <c r="BL194" i="46" s="1"/>
  <c r="BB194" i="46"/>
  <c r="BA194" i="46"/>
  <c r="AZ194" i="46"/>
  <c r="AZ193" i="46" s="1"/>
  <c r="AR194" i="46"/>
  <c r="AQ194" i="46" s="1"/>
  <c r="AA194" i="46"/>
  <c r="AA193" i="46" s="1"/>
  <c r="Z194" i="46"/>
  <c r="S194" i="46"/>
  <c r="O194" i="46"/>
  <c r="O193" i="46" s="1"/>
  <c r="N194" i="46"/>
  <c r="N193" i="46" s="1"/>
  <c r="G194" i="46"/>
  <c r="G193" i="46" s="1"/>
  <c r="E194" i="46"/>
  <c r="BV193" i="46"/>
  <c r="BU193" i="46"/>
  <c r="BT193" i="46"/>
  <c r="BS193" i="46"/>
  <c r="BR193" i="46"/>
  <c r="BQ193" i="46"/>
  <c r="BP193" i="46"/>
  <c r="BK193" i="46"/>
  <c r="BD193" i="46"/>
  <c r="BC193" i="46"/>
  <c r="AX193" i="46"/>
  <c r="AW193" i="46"/>
  <c r="AV193" i="46"/>
  <c r="AU193" i="46"/>
  <c r="AT193" i="46"/>
  <c r="AS193" i="46"/>
  <c r="AK193" i="46"/>
  <c r="AJ193" i="46"/>
  <c r="AI193" i="46"/>
  <c r="AH193" i="46"/>
  <c r="AG193" i="46"/>
  <c r="AF193" i="46"/>
  <c r="AE193" i="46"/>
  <c r="AD193" i="46"/>
  <c r="X193" i="46"/>
  <c r="W193" i="46"/>
  <c r="V193" i="46"/>
  <c r="R193" i="46"/>
  <c r="Q193" i="46"/>
  <c r="P193" i="46"/>
  <c r="M193" i="46"/>
  <c r="J193" i="46"/>
  <c r="I193" i="46"/>
  <c r="H193" i="46"/>
  <c r="F193" i="46"/>
  <c r="BO192" i="46"/>
  <c r="BM192" i="46"/>
  <c r="BH192" i="46"/>
  <c r="BF192" i="46"/>
  <c r="AZ192" i="46"/>
  <c r="AR192" i="46"/>
  <c r="AQ192" i="46" s="1"/>
  <c r="Z192" i="46"/>
  <c r="R192" i="46"/>
  <c r="T192" i="46" s="1"/>
  <c r="U192" i="46" s="1"/>
  <c r="D192" i="46"/>
  <c r="C192" i="46" s="1"/>
  <c r="AC191" i="46"/>
  <c r="U191" i="46"/>
  <c r="T191" i="46"/>
  <c r="D191" i="46"/>
  <c r="C191" i="46" s="1"/>
  <c r="BM190" i="46"/>
  <c r="BH190" i="46"/>
  <c r="BF190" i="46"/>
  <c r="BB190" i="46"/>
  <c r="AZ190" i="46"/>
  <c r="AR190" i="46"/>
  <c r="AQ190" i="46" s="1"/>
  <c r="V190" i="46"/>
  <c r="T190" i="46"/>
  <c r="O190" i="46"/>
  <c r="D190" i="46"/>
  <c r="C190" i="46" s="1"/>
  <c r="AC189" i="46"/>
  <c r="L189" i="46" s="1"/>
  <c r="K189" i="46" s="1"/>
  <c r="T189" i="46"/>
  <c r="BN188" i="46"/>
  <c r="BG188" i="46"/>
  <c r="AC188" i="46"/>
  <c r="U188" i="46"/>
  <c r="T188" i="46"/>
  <c r="BM187" i="46"/>
  <c r="BH187" i="46"/>
  <c r="BF187" i="46"/>
  <c r="BB187" i="46"/>
  <c r="AZ187" i="46"/>
  <c r="AR187" i="46"/>
  <c r="AQ187" i="46" s="1"/>
  <c r="AM187" i="46"/>
  <c r="AB187" i="46"/>
  <c r="V187" i="46"/>
  <c r="Z187" i="46" s="1"/>
  <c r="T187" i="46"/>
  <c r="O187" i="46"/>
  <c r="U187" i="46" s="1"/>
  <c r="D187" i="46"/>
  <c r="C187" i="46" s="1"/>
  <c r="AC186" i="46"/>
  <c r="U186" i="46"/>
  <c r="T186" i="46"/>
  <c r="D186" i="46"/>
  <c r="C186" i="46" s="1"/>
  <c r="BO185" i="46"/>
  <c r="BM185" i="46"/>
  <c r="BJ185" i="46"/>
  <c r="BH185" i="46"/>
  <c r="BF185" i="46"/>
  <c r="AZ185" i="46"/>
  <c r="AR185" i="46"/>
  <c r="AQ185" i="46" s="1"/>
  <c r="V185" i="46"/>
  <c r="Z185" i="46" s="1"/>
  <c r="R185" i="46"/>
  <c r="T185" i="46" s="1"/>
  <c r="U185" i="46" s="1"/>
  <c r="D185" i="46"/>
  <c r="C185" i="46" s="1"/>
  <c r="AC184" i="46"/>
  <c r="U184" i="46"/>
  <c r="T184" i="46"/>
  <c r="D184" i="46"/>
  <c r="C184" i="46" s="1"/>
  <c r="BM183" i="46"/>
  <c r="BN183" i="46" s="1"/>
  <c r="BF183" i="46"/>
  <c r="AZ183" i="46"/>
  <c r="AR183" i="46"/>
  <c r="AQ183" i="46" s="1"/>
  <c r="Z183" i="46"/>
  <c r="T183" i="46"/>
  <c r="U183" i="46" s="1"/>
  <c r="D183" i="46"/>
  <c r="C183" i="46" s="1"/>
  <c r="BM182" i="46"/>
  <c r="BH182" i="46"/>
  <c r="BF182" i="46"/>
  <c r="BB182" i="46"/>
  <c r="BB181" i="46" s="1"/>
  <c r="AZ182" i="46"/>
  <c r="AR182" i="46"/>
  <c r="AQ182" i="46" s="1"/>
  <c r="V182" i="46"/>
  <c r="T182" i="46"/>
  <c r="O182" i="46"/>
  <c r="D182" i="46"/>
  <c r="BV181" i="46"/>
  <c r="BV180" i="46" s="1"/>
  <c r="BU181" i="46"/>
  <c r="BU180" i="46" s="1"/>
  <c r="BT181" i="46"/>
  <c r="BT180" i="46" s="1"/>
  <c r="BS181" i="46"/>
  <c r="BS180" i="46" s="1"/>
  <c r="BR181" i="46"/>
  <c r="BR180" i="46" s="1"/>
  <c r="BQ181" i="46"/>
  <c r="BQ180" i="46" s="1"/>
  <c r="BP181" i="46"/>
  <c r="BP180" i="46" s="1"/>
  <c r="BO181" i="46"/>
  <c r="BL181" i="46"/>
  <c r="BL180" i="46" s="1"/>
  <c r="BK181" i="46"/>
  <c r="BK180" i="46" s="1"/>
  <c r="BJ181" i="46"/>
  <c r="BI181" i="46"/>
  <c r="BI180" i="46" s="1"/>
  <c r="BH181" i="46"/>
  <c r="BE181" i="46"/>
  <c r="BE180" i="46" s="1"/>
  <c r="BD181" i="46"/>
  <c r="BD180" i="46" s="1"/>
  <c r="BC181" i="46"/>
  <c r="BA181" i="46"/>
  <c r="BA180" i="46" s="1"/>
  <c r="AX181" i="46"/>
  <c r="AX180" i="46" s="1"/>
  <c r="AW181" i="46"/>
  <c r="AW180" i="46" s="1"/>
  <c r="AV181" i="46"/>
  <c r="AV180" i="46" s="1"/>
  <c r="AU181" i="46"/>
  <c r="AU180" i="46" s="1"/>
  <c r="AT181" i="46"/>
  <c r="AT180" i="46" s="1"/>
  <c r="AS181" i="46"/>
  <c r="AS180" i="46" s="1"/>
  <c r="AK181" i="46"/>
  <c r="AK180" i="46" s="1"/>
  <c r="AJ181" i="46"/>
  <c r="AJ180" i="46" s="1"/>
  <c r="AI181" i="46"/>
  <c r="AI180" i="46" s="1"/>
  <c r="AH181" i="46"/>
  <c r="AH180" i="46" s="1"/>
  <c r="AG181" i="46"/>
  <c r="AG180" i="46" s="1"/>
  <c r="AF181" i="46"/>
  <c r="AF180" i="46" s="1"/>
  <c r="AE181" i="46"/>
  <c r="AE180" i="46" s="1"/>
  <c r="AD181" i="46"/>
  <c r="AD180" i="46" s="1"/>
  <c r="AA181" i="46"/>
  <c r="AA180" i="46" s="1"/>
  <c r="X181" i="46"/>
  <c r="X180" i="46" s="1"/>
  <c r="W181" i="46"/>
  <c r="W180" i="46" s="1"/>
  <c r="S181" i="46"/>
  <c r="S180" i="46" s="1"/>
  <c r="R181" i="46"/>
  <c r="Q181" i="46"/>
  <c r="Q180" i="46" s="1"/>
  <c r="P181" i="46"/>
  <c r="P180" i="46" s="1"/>
  <c r="O181" i="46"/>
  <c r="N181" i="46"/>
  <c r="N180" i="46" s="1"/>
  <c r="M181" i="46"/>
  <c r="M180" i="46" s="1"/>
  <c r="J181" i="46"/>
  <c r="J180" i="46" s="1"/>
  <c r="I181" i="46"/>
  <c r="I180" i="46" s="1"/>
  <c r="H181" i="46"/>
  <c r="H180" i="46" s="1"/>
  <c r="G181" i="46"/>
  <c r="G180" i="46" s="1"/>
  <c r="F181" i="46"/>
  <c r="E181" i="46"/>
  <c r="E180" i="46" s="1"/>
  <c r="BC180" i="46"/>
  <c r="F180" i="46"/>
  <c r="BH179" i="46"/>
  <c r="BE179" i="46"/>
  <c r="BF179" i="46" s="1"/>
  <c r="BG179" i="46" s="1"/>
  <c r="AR179" i="46"/>
  <c r="AQ179" i="46" s="1"/>
  <c r="V179" i="46"/>
  <c r="Z179" i="46" s="1"/>
  <c r="R179" i="46"/>
  <c r="T179" i="46" s="1"/>
  <c r="U179" i="46" s="1"/>
  <c r="D179" i="46"/>
  <c r="C179" i="46" s="1"/>
  <c r="BH178" i="46"/>
  <c r="BL178" i="46" s="1"/>
  <c r="BM178" i="46" s="1"/>
  <c r="BE178" i="46"/>
  <c r="BF178" i="46" s="1"/>
  <c r="BG178" i="46" s="1"/>
  <c r="AR178" i="46"/>
  <c r="AQ178" i="46" s="1"/>
  <c r="AD178" i="46"/>
  <c r="Z178" i="46"/>
  <c r="T178" i="46"/>
  <c r="U178" i="46" s="1"/>
  <c r="D178" i="46"/>
  <c r="C178" i="46" s="1"/>
  <c r="BH177" i="46"/>
  <c r="BA177" i="46"/>
  <c r="BE177" i="46" s="1"/>
  <c r="BF177" i="46" s="1"/>
  <c r="AR177" i="46"/>
  <c r="AQ177" i="46" s="1"/>
  <c r="V177" i="46"/>
  <c r="Z177" i="46" s="1"/>
  <c r="D177" i="46"/>
  <c r="C177" i="46" s="1"/>
  <c r="BN176" i="46"/>
  <c r="AY176" i="46" s="1"/>
  <c r="Y176" i="46"/>
  <c r="AB176" i="46" s="1"/>
  <c r="AC176" i="46" s="1"/>
  <c r="T176" i="46"/>
  <c r="U176" i="46" s="1"/>
  <c r="BH175" i="46"/>
  <c r="BL175" i="46" s="1"/>
  <c r="BM175" i="46" s="1"/>
  <c r="BN175" i="46" s="1"/>
  <c r="BE175" i="46"/>
  <c r="BF175" i="46" s="1"/>
  <c r="AZ175" i="46"/>
  <c r="AR175" i="46"/>
  <c r="AQ175" i="46" s="1"/>
  <c r="W175" i="46"/>
  <c r="V175" i="46"/>
  <c r="Z175" i="46" s="1"/>
  <c r="R175" i="46"/>
  <c r="T175" i="46" s="1"/>
  <c r="U175" i="46" s="1"/>
  <c r="D175" i="46"/>
  <c r="C175" i="46" s="1"/>
  <c r="BI174" i="46"/>
  <c r="BH174" i="46"/>
  <c r="BE174" i="46"/>
  <c r="BF174" i="46" s="1"/>
  <c r="BG174" i="46" s="1"/>
  <c r="AR174" i="46"/>
  <c r="AQ174" i="46" s="1"/>
  <c r="Z174" i="46"/>
  <c r="W174" i="46"/>
  <c r="T174" i="46"/>
  <c r="U174" i="46" s="1"/>
  <c r="D174" i="46"/>
  <c r="C174" i="46" s="1"/>
  <c r="BL173" i="46"/>
  <c r="BM173" i="46" s="1"/>
  <c r="BN173" i="46" s="1"/>
  <c r="BB173" i="46"/>
  <c r="AR173" i="46"/>
  <c r="AQ173" i="46" s="1"/>
  <c r="Z173" i="46"/>
  <c r="D173" i="46"/>
  <c r="C173" i="46" s="1"/>
  <c r="BP172" i="46"/>
  <c r="BI172" i="46"/>
  <c r="BH172" i="46"/>
  <c r="BA172" i="46"/>
  <c r="BE172" i="46" s="1"/>
  <c r="BF172" i="46" s="1"/>
  <c r="AZ172" i="46"/>
  <c r="AR172" i="46"/>
  <c r="AQ172" i="46" s="1"/>
  <c r="Z172" i="46"/>
  <c r="T172" i="46"/>
  <c r="U172" i="46" s="1"/>
  <c r="D172" i="46"/>
  <c r="C172" i="46" s="1"/>
  <c r="BL171" i="46"/>
  <c r="BM171" i="46" s="1"/>
  <c r="BH171" i="46"/>
  <c r="BE171" i="46"/>
  <c r="BF171" i="46" s="1"/>
  <c r="AZ171" i="46"/>
  <c r="AR171" i="46"/>
  <c r="AQ171" i="46" s="1"/>
  <c r="AM171" i="46"/>
  <c r="AH171" i="46"/>
  <c r="Z171" i="46"/>
  <c r="T171" i="46"/>
  <c r="U171" i="46" s="1"/>
  <c r="D171" i="46"/>
  <c r="C171" i="46" s="1"/>
  <c r="BL170" i="46"/>
  <c r="BM170" i="46" s="1"/>
  <c r="BN170" i="46" s="1"/>
  <c r="BE170" i="46"/>
  <c r="BF170" i="46" s="1"/>
  <c r="BG170" i="46" s="1"/>
  <c r="AR170" i="46"/>
  <c r="AQ170" i="46" s="1"/>
  <c r="AB170" i="46"/>
  <c r="V170" i="46"/>
  <c r="Z170" i="46" s="1"/>
  <c r="R170" i="46"/>
  <c r="T170" i="46" s="1"/>
  <c r="U170" i="46" s="1"/>
  <c r="D170" i="46"/>
  <c r="C170" i="46" s="1"/>
  <c r="BL169" i="46"/>
  <c r="BM169" i="46" s="1"/>
  <c r="BA169" i="46"/>
  <c r="AZ169" i="46"/>
  <c r="AR169" i="46"/>
  <c r="AQ169" i="46" s="1"/>
  <c r="Z169" i="46"/>
  <c r="D169" i="46"/>
  <c r="C169" i="46" s="1"/>
  <c r="BL168" i="46"/>
  <c r="BJ168" i="46"/>
  <c r="BJ167" i="46" s="1"/>
  <c r="BA168" i="46"/>
  <c r="BE168" i="46" s="1"/>
  <c r="BF168" i="46" s="1"/>
  <c r="AZ168" i="46"/>
  <c r="AS168" i="46"/>
  <c r="AR168" i="46" s="1"/>
  <c r="Z168" i="46"/>
  <c r="T168" i="46"/>
  <c r="U168" i="46" s="1"/>
  <c r="D168" i="46"/>
  <c r="BW167" i="46"/>
  <c r="BV167" i="46"/>
  <c r="BU167" i="46"/>
  <c r="BT167" i="46"/>
  <c r="BS167" i="46"/>
  <c r="BR167" i="46"/>
  <c r="BQ167" i="46"/>
  <c r="BP167" i="46"/>
  <c r="BO167" i="46"/>
  <c r="BK167" i="46"/>
  <c r="BI167" i="46"/>
  <c r="BH167" i="46"/>
  <c r="BD167" i="46"/>
  <c r="BC167" i="46"/>
  <c r="BB167" i="46"/>
  <c r="AX167" i="46"/>
  <c r="AW167" i="46"/>
  <c r="AV167" i="46"/>
  <c r="AU167" i="46"/>
  <c r="AT167" i="46"/>
  <c r="AS167" i="46"/>
  <c r="AL167" i="46"/>
  <c r="AK167" i="46"/>
  <c r="AJ167" i="46"/>
  <c r="AI167" i="46"/>
  <c r="AH167" i="46"/>
  <c r="AG167" i="46"/>
  <c r="AF167" i="46"/>
  <c r="AE167" i="46"/>
  <c r="AD167" i="46"/>
  <c r="AA167" i="46"/>
  <c r="X167" i="46"/>
  <c r="W167" i="46"/>
  <c r="V167" i="46"/>
  <c r="S167" i="46"/>
  <c r="Q167" i="46"/>
  <c r="P167" i="46"/>
  <c r="O167" i="46"/>
  <c r="N167" i="46"/>
  <c r="M167" i="46"/>
  <c r="J167" i="46"/>
  <c r="I167" i="46"/>
  <c r="H167" i="46"/>
  <c r="G167" i="46"/>
  <c r="F167" i="46"/>
  <c r="E167" i="46"/>
  <c r="BL166" i="46"/>
  <c r="BA166" i="46"/>
  <c r="AZ166" i="46"/>
  <c r="AR166" i="46"/>
  <c r="AB166" i="46"/>
  <c r="AC166" i="46" s="1"/>
  <c r="Z166" i="46"/>
  <c r="T166" i="46"/>
  <c r="U166" i="46" s="1"/>
  <c r="D166" i="46"/>
  <c r="C166" i="46" s="1"/>
  <c r="BL165" i="46"/>
  <c r="BM165" i="46" s="1"/>
  <c r="BN165" i="46" s="1"/>
  <c r="BE165" i="46"/>
  <c r="BF165" i="46" s="1"/>
  <c r="AR165" i="46"/>
  <c r="AQ165" i="46" s="1"/>
  <c r="AB165" i="46"/>
  <c r="Z165" i="46"/>
  <c r="R165" i="46"/>
  <c r="T165" i="46" s="1"/>
  <c r="D165" i="46"/>
  <c r="BW164" i="46"/>
  <c r="BV164" i="46"/>
  <c r="BU164" i="46"/>
  <c r="BT164" i="46"/>
  <c r="BS164" i="46"/>
  <c r="BR164" i="46"/>
  <c r="BQ164" i="46"/>
  <c r="BP164" i="46"/>
  <c r="BO164" i="46"/>
  <c r="BK164" i="46"/>
  <c r="BJ164" i="46"/>
  <c r="BI164" i="46"/>
  <c r="BH164" i="46"/>
  <c r="BD164" i="46"/>
  <c r="BC164" i="46"/>
  <c r="BB164" i="46"/>
  <c r="AX164" i="46"/>
  <c r="AW164" i="46"/>
  <c r="AV164" i="46"/>
  <c r="AU164" i="46"/>
  <c r="AT164" i="46"/>
  <c r="AS164" i="46"/>
  <c r="AM164" i="46"/>
  <c r="AL164" i="46"/>
  <c r="AK164" i="46"/>
  <c r="AJ164" i="46"/>
  <c r="AI164" i="46"/>
  <c r="AH164" i="46"/>
  <c r="AG164" i="46"/>
  <c r="AF164" i="46"/>
  <c r="AE164" i="46"/>
  <c r="AD164" i="46"/>
  <c r="AA164" i="46"/>
  <c r="Y164" i="46"/>
  <c r="X164" i="46"/>
  <c r="W164" i="46"/>
  <c r="V164" i="46"/>
  <c r="S164" i="46"/>
  <c r="R164" i="46"/>
  <c r="Q164" i="46"/>
  <c r="P164" i="46"/>
  <c r="O164" i="46"/>
  <c r="N164" i="46"/>
  <c r="M164" i="46"/>
  <c r="J164" i="46"/>
  <c r="I164" i="46"/>
  <c r="H164" i="46"/>
  <c r="G164" i="46"/>
  <c r="F164" i="46"/>
  <c r="E164" i="46"/>
  <c r="BL163" i="46"/>
  <c r="BM163" i="46" s="1"/>
  <c r="BN163" i="46" s="1"/>
  <c r="BA163" i="46"/>
  <c r="BE163" i="46" s="1"/>
  <c r="BF163" i="46" s="1"/>
  <c r="AZ163" i="46"/>
  <c r="AR163" i="46"/>
  <c r="AQ163" i="46" s="1"/>
  <c r="Z163" i="46"/>
  <c r="T163" i="46"/>
  <c r="U163" i="46" s="1"/>
  <c r="D163" i="46"/>
  <c r="C163" i="46" s="1"/>
  <c r="BL162" i="46"/>
  <c r="BM162" i="46" s="1"/>
  <c r="BJ162" i="46"/>
  <c r="BJ160" i="46" s="1"/>
  <c r="BA162" i="46"/>
  <c r="AZ162" i="46"/>
  <c r="AR162" i="46"/>
  <c r="AQ162" i="46"/>
  <c r="Z162" i="46"/>
  <c r="T162" i="46"/>
  <c r="U162" i="46" s="1"/>
  <c r="D162" i="46"/>
  <c r="C162" i="46" s="1"/>
  <c r="BH161" i="46"/>
  <c r="BA161" i="46"/>
  <c r="BE161" i="46" s="1"/>
  <c r="BF161" i="46" s="1"/>
  <c r="BG161" i="46" s="1"/>
  <c r="AR161" i="46"/>
  <c r="AB161" i="46"/>
  <c r="AC161" i="46" s="1"/>
  <c r="Z161" i="46"/>
  <c r="R161" i="46"/>
  <c r="D161" i="46"/>
  <c r="C161" i="46" s="1"/>
  <c r="BV160" i="46"/>
  <c r="BU160" i="46"/>
  <c r="BT160" i="46"/>
  <c r="BS160" i="46"/>
  <c r="BR160" i="46"/>
  <c r="BQ160" i="46"/>
  <c r="BP160" i="46"/>
  <c r="BO160" i="46"/>
  <c r="BK160" i="46"/>
  <c r="BI160" i="46"/>
  <c r="BD160" i="46"/>
  <c r="BC160" i="46"/>
  <c r="BB160" i="46"/>
  <c r="AX160" i="46"/>
  <c r="AW160" i="46"/>
  <c r="AV160" i="46"/>
  <c r="AU160" i="46"/>
  <c r="AT160" i="46"/>
  <c r="AS160" i="46"/>
  <c r="AK160" i="46"/>
  <c r="AJ160" i="46"/>
  <c r="AI160" i="46"/>
  <c r="AH160" i="46"/>
  <c r="AG160" i="46"/>
  <c r="AF160" i="46"/>
  <c r="AE160" i="46"/>
  <c r="AD160" i="46"/>
  <c r="AA160" i="46"/>
  <c r="X160" i="46"/>
  <c r="W160" i="46"/>
  <c r="V160" i="46"/>
  <c r="S160" i="46"/>
  <c r="Q160" i="46"/>
  <c r="P160" i="46"/>
  <c r="O160" i="46"/>
  <c r="N160" i="46"/>
  <c r="M160" i="46"/>
  <c r="J160" i="46"/>
  <c r="I160" i="46"/>
  <c r="H160" i="46"/>
  <c r="G160" i="46"/>
  <c r="F160" i="46"/>
  <c r="E160" i="46"/>
  <c r="BH159" i="46"/>
  <c r="BL159" i="46" s="1"/>
  <c r="BM159" i="46" s="1"/>
  <c r="BA159" i="46"/>
  <c r="BE159" i="46" s="1"/>
  <c r="BF159" i="46" s="1"/>
  <c r="AZ159" i="46"/>
  <c r="AR159" i="46"/>
  <c r="AQ159" i="46" s="1"/>
  <c r="AB159" i="46"/>
  <c r="AC159" i="46" s="1"/>
  <c r="Z159" i="46"/>
  <c r="T159" i="46"/>
  <c r="U159" i="46" s="1"/>
  <c r="D159" i="46"/>
  <c r="C159" i="46" s="1"/>
  <c r="BL158" i="46"/>
  <c r="BM158" i="46" s="1"/>
  <c r="BI158" i="46"/>
  <c r="BE158" i="46"/>
  <c r="BF158" i="46" s="1"/>
  <c r="BG158" i="46" s="1"/>
  <c r="AR158" i="46"/>
  <c r="AQ158" i="46" s="1"/>
  <c r="AB158" i="46"/>
  <c r="W158" i="46"/>
  <c r="V158" i="46"/>
  <c r="T158" i="46"/>
  <c r="M158" i="46"/>
  <c r="D158" i="46"/>
  <c r="C158" i="46" s="1"/>
  <c r="BH157" i="46"/>
  <c r="BL157" i="46" s="1"/>
  <c r="BM157" i="46" s="1"/>
  <c r="BA157" i="46"/>
  <c r="AZ157" i="46"/>
  <c r="AR157" i="46"/>
  <c r="AQ157" i="46" s="1"/>
  <c r="Z157" i="46"/>
  <c r="D157" i="46"/>
  <c r="C157" i="46" s="1"/>
  <c r="BN156" i="46"/>
  <c r="BA156" i="46"/>
  <c r="AR156" i="46"/>
  <c r="AQ156" i="46" s="1"/>
  <c r="Z156" i="46"/>
  <c r="Y156" i="46" s="1"/>
  <c r="AB156" i="46" s="1"/>
  <c r="AC156" i="46" s="1"/>
  <c r="T156" i="46"/>
  <c r="U156" i="46" s="1"/>
  <c r="D156" i="46"/>
  <c r="C156" i="46" s="1"/>
  <c r="BM155" i="46"/>
  <c r="BN155" i="46" s="1"/>
  <c r="BA155" i="46"/>
  <c r="BE155" i="46" s="1"/>
  <c r="BF155" i="46" s="1"/>
  <c r="AZ155" i="46"/>
  <c r="AR155" i="46"/>
  <c r="AQ155" i="46" s="1"/>
  <c r="Z155" i="46"/>
  <c r="Y155" i="46" s="1"/>
  <c r="AB155" i="46" s="1"/>
  <c r="AC155" i="46" s="1"/>
  <c r="T155" i="46"/>
  <c r="U155" i="46" s="1"/>
  <c r="D155" i="46"/>
  <c r="C155" i="46" s="1"/>
  <c r="Z154" i="46"/>
  <c r="R154" i="46"/>
  <c r="T154" i="46" s="1"/>
  <c r="U154" i="46" s="1"/>
  <c r="D154" i="46"/>
  <c r="C154" i="46" s="1"/>
  <c r="BM153" i="46"/>
  <c r="BN153" i="46" s="1"/>
  <c r="BA153" i="46"/>
  <c r="BE153" i="46" s="1"/>
  <c r="BF153" i="46" s="1"/>
  <c r="AZ153" i="46"/>
  <c r="AR153" i="46"/>
  <c r="AQ153" i="46" s="1"/>
  <c r="Z153" i="46"/>
  <c r="Y153" i="46" s="1"/>
  <c r="AB153" i="46" s="1"/>
  <c r="AC153" i="46" s="1"/>
  <c r="T153" i="46"/>
  <c r="U153" i="46" s="1"/>
  <c r="D153" i="46"/>
  <c r="C153" i="46" s="1"/>
  <c r="BM152" i="46"/>
  <c r="BN152" i="46" s="1"/>
  <c r="BA152" i="46"/>
  <c r="BE152" i="46" s="1"/>
  <c r="BF152" i="46" s="1"/>
  <c r="AZ152" i="46"/>
  <c r="AR152" i="46"/>
  <c r="AQ152" i="46" s="1"/>
  <c r="Z152" i="46"/>
  <c r="T152" i="46"/>
  <c r="U152" i="46" s="1"/>
  <c r="D152" i="46"/>
  <c r="C152" i="46" s="1"/>
  <c r="BO151" i="46"/>
  <c r="BO150" i="46" s="1"/>
  <c r="BM151" i="46"/>
  <c r="BN151" i="46" s="1"/>
  <c r="BA151" i="46"/>
  <c r="AZ151" i="46"/>
  <c r="AR151" i="46"/>
  <c r="AQ151" i="46" s="1"/>
  <c r="AB151" i="46"/>
  <c r="AC151" i="46" s="1"/>
  <c r="Z151" i="46"/>
  <c r="D151" i="46"/>
  <c r="BV150" i="46"/>
  <c r="BU150" i="46"/>
  <c r="BT150" i="46"/>
  <c r="BS150" i="46"/>
  <c r="BR150" i="46"/>
  <c r="BQ150" i="46"/>
  <c r="BP150" i="46"/>
  <c r="BL150" i="46"/>
  <c r="BK150" i="46"/>
  <c r="BJ150" i="46"/>
  <c r="BI150" i="46"/>
  <c r="BH150" i="46"/>
  <c r="BD150" i="46"/>
  <c r="BC150" i="46"/>
  <c r="BB150" i="46"/>
  <c r="AX150" i="46"/>
  <c r="AW150" i="46"/>
  <c r="AV150" i="46"/>
  <c r="AU150" i="46"/>
  <c r="AT150" i="46"/>
  <c r="AS150" i="46"/>
  <c r="AK150" i="46"/>
  <c r="AJ150" i="46"/>
  <c r="AI150" i="46"/>
  <c r="AH150" i="46"/>
  <c r="AG150" i="46"/>
  <c r="AE150" i="46"/>
  <c r="AD150" i="46"/>
  <c r="AA150" i="46"/>
  <c r="X150" i="46"/>
  <c r="W150" i="46"/>
  <c r="V150" i="46"/>
  <c r="S150" i="46"/>
  <c r="Q150" i="46"/>
  <c r="P150" i="46"/>
  <c r="O150" i="46"/>
  <c r="N150" i="46"/>
  <c r="M150" i="46"/>
  <c r="J150" i="46"/>
  <c r="I150" i="46"/>
  <c r="H150" i="46"/>
  <c r="G150" i="46"/>
  <c r="F150" i="46"/>
  <c r="E150" i="46"/>
  <c r="BL149" i="46"/>
  <c r="BM149" i="46" s="1"/>
  <c r="BN149" i="46" s="1"/>
  <c r="BA149" i="46"/>
  <c r="AZ149" i="46"/>
  <c r="AR149" i="46"/>
  <c r="AQ149" i="46" s="1"/>
  <c r="Z149" i="46"/>
  <c r="D149" i="46"/>
  <c r="C149" i="46" s="1"/>
  <c r="BL148" i="46"/>
  <c r="BM148" i="46" s="1"/>
  <c r="BJ148" i="46"/>
  <c r="BB148" i="46"/>
  <c r="BE148" i="46" s="1"/>
  <c r="BF148" i="46" s="1"/>
  <c r="AZ148" i="46"/>
  <c r="AR148" i="46"/>
  <c r="AQ148" i="46" s="1"/>
  <c r="V148" i="46"/>
  <c r="T148" i="46"/>
  <c r="O148" i="46"/>
  <c r="D148" i="46"/>
  <c r="C148" i="46" s="1"/>
  <c r="BL147" i="46"/>
  <c r="BM147" i="46" s="1"/>
  <c r="BN147" i="46" s="1"/>
  <c r="BE147" i="46"/>
  <c r="BF147" i="46" s="1"/>
  <c r="AZ147" i="46"/>
  <c r="AR147" i="46"/>
  <c r="AQ147" i="46" s="1"/>
  <c r="AB147" i="46"/>
  <c r="AC147" i="46" s="1"/>
  <c r="Z147" i="46"/>
  <c r="T147" i="46"/>
  <c r="U147" i="46" s="1"/>
  <c r="D147" i="46"/>
  <c r="C147" i="46" s="1"/>
  <c r="BL146" i="46"/>
  <c r="BB146" i="46"/>
  <c r="BB145" i="46" s="1"/>
  <c r="BA146" i="46"/>
  <c r="AZ146" i="46"/>
  <c r="AS146" i="46"/>
  <c r="Z146" i="46"/>
  <c r="Z145" i="46" s="1"/>
  <c r="T146" i="46"/>
  <c r="O146" i="46"/>
  <c r="O145" i="46" s="1"/>
  <c r="D146" i="46"/>
  <c r="BW145" i="46"/>
  <c r="BV145" i="46"/>
  <c r="BU145" i="46"/>
  <c r="BT145" i="46"/>
  <c r="BS145" i="46"/>
  <c r="BR145" i="46"/>
  <c r="BQ145" i="46"/>
  <c r="BP145" i="46"/>
  <c r="BO145" i="46"/>
  <c r="BK145" i="46"/>
  <c r="BJ145" i="46"/>
  <c r="BI145" i="46"/>
  <c r="BH145" i="46"/>
  <c r="BD145" i="46"/>
  <c r="BC145" i="46"/>
  <c r="AX145" i="46"/>
  <c r="AW145" i="46"/>
  <c r="AV145" i="46"/>
  <c r="AU145" i="46"/>
  <c r="AT145" i="46"/>
  <c r="AM145" i="46"/>
  <c r="AL145" i="46"/>
  <c r="AK145" i="46"/>
  <c r="AJ145" i="46"/>
  <c r="AI145" i="46"/>
  <c r="AH145" i="46"/>
  <c r="AG145" i="46"/>
  <c r="AF145" i="46"/>
  <c r="AE145" i="46"/>
  <c r="AD145" i="46"/>
  <c r="AA145" i="46"/>
  <c r="X145" i="46"/>
  <c r="W145" i="46"/>
  <c r="V145" i="46"/>
  <c r="S145" i="46"/>
  <c r="R145" i="46"/>
  <c r="Q145" i="46"/>
  <c r="P145" i="46"/>
  <c r="N145" i="46"/>
  <c r="M145" i="46"/>
  <c r="J145" i="46"/>
  <c r="I145" i="46"/>
  <c r="H145" i="46"/>
  <c r="G145" i="46"/>
  <c r="F145" i="46"/>
  <c r="E145" i="46"/>
  <c r="BM142" i="46"/>
  <c r="BH142" i="46"/>
  <c r="BN142" i="46" s="1"/>
  <c r="BG142" i="46"/>
  <c r="Z142" i="46"/>
  <c r="R142" i="46"/>
  <c r="T142" i="46" s="1"/>
  <c r="U142" i="46" s="1"/>
  <c r="BL141" i="46"/>
  <c r="BM141" i="46" s="1"/>
  <c r="BN141" i="46" s="1"/>
  <c r="BE141" i="46"/>
  <c r="BF141" i="46" s="1"/>
  <c r="BG141" i="46" s="1"/>
  <c r="AR141" i="46"/>
  <c r="AQ141" i="46" s="1"/>
  <c r="Z141" i="46"/>
  <c r="R141" i="46"/>
  <c r="T141" i="46" s="1"/>
  <c r="U141" i="46" s="1"/>
  <c r="D141" i="46"/>
  <c r="C141" i="46" s="1"/>
  <c r="BQ140" i="46"/>
  <c r="BL140" i="46"/>
  <c r="BM140" i="46" s="1"/>
  <c r="BN140" i="46" s="1"/>
  <c r="BE140" i="46"/>
  <c r="BF140" i="46" s="1"/>
  <c r="BG140" i="46" s="1"/>
  <c r="AR140" i="46"/>
  <c r="AQ140" i="46" s="1"/>
  <c r="Z140" i="46"/>
  <c r="T140" i="46"/>
  <c r="U140" i="46" s="1"/>
  <c r="D140" i="46"/>
  <c r="C140" i="46" s="1"/>
  <c r="BQ139" i="46"/>
  <c r="BL139" i="46"/>
  <c r="BM139" i="46" s="1"/>
  <c r="BN139" i="46" s="1"/>
  <c r="BE139" i="46"/>
  <c r="BF139" i="46" s="1"/>
  <c r="BG139" i="46" s="1"/>
  <c r="AR139" i="46"/>
  <c r="AQ139" i="46" s="1"/>
  <c r="Z139" i="46"/>
  <c r="T139" i="46"/>
  <c r="U139" i="46" s="1"/>
  <c r="D139" i="46"/>
  <c r="BL138" i="46"/>
  <c r="BE138" i="46"/>
  <c r="BF138" i="46" s="1"/>
  <c r="BG138" i="46" s="1"/>
  <c r="AR138" i="46"/>
  <c r="AQ138" i="46" s="1"/>
  <c r="Z138" i="46"/>
  <c r="T138" i="46"/>
  <c r="U138" i="46" s="1"/>
  <c r="D138" i="46"/>
  <c r="C138" i="46" s="1"/>
  <c r="BH137" i="46"/>
  <c r="BE137" i="46"/>
  <c r="BF137" i="46" s="1"/>
  <c r="BG137" i="46" s="1"/>
  <c r="AR137" i="46"/>
  <c r="AQ137" i="46" s="1"/>
  <c r="Z137" i="46"/>
  <c r="R137" i="46"/>
  <c r="D137" i="46"/>
  <c r="C137" i="46" s="1"/>
  <c r="BL136" i="46"/>
  <c r="BM136" i="46" s="1"/>
  <c r="BN136" i="46" s="1"/>
  <c r="BE136" i="46"/>
  <c r="BF136" i="46" s="1"/>
  <c r="V136" i="46"/>
  <c r="R136" i="46"/>
  <c r="T136" i="46" s="1"/>
  <c r="U136" i="46" s="1"/>
  <c r="BW135" i="46"/>
  <c r="BW134" i="46" s="1"/>
  <c r="BV135" i="46"/>
  <c r="BV134" i="46" s="1"/>
  <c r="BU135" i="46"/>
  <c r="BU134" i="46" s="1"/>
  <c r="BT135" i="46"/>
  <c r="BT134" i="46" s="1"/>
  <c r="BS135" i="46"/>
  <c r="BS134" i="46" s="1"/>
  <c r="BR135" i="46"/>
  <c r="BR134" i="46" s="1"/>
  <c r="BP135" i="46"/>
  <c r="BP134" i="46" s="1"/>
  <c r="BO135" i="46"/>
  <c r="BO134" i="46" s="1"/>
  <c r="BK135" i="46"/>
  <c r="BK134" i="46" s="1"/>
  <c r="BJ135" i="46"/>
  <c r="BJ134" i="46" s="1"/>
  <c r="BI135" i="46"/>
  <c r="BI134" i="46" s="1"/>
  <c r="BD135" i="46"/>
  <c r="BD134" i="46" s="1"/>
  <c r="BC135" i="46"/>
  <c r="BC134" i="46" s="1"/>
  <c r="BB135" i="46"/>
  <c r="BB134" i="46" s="1"/>
  <c r="BA135" i="46"/>
  <c r="AZ135" i="46"/>
  <c r="AZ134" i="46" s="1"/>
  <c r="AX135" i="46"/>
  <c r="AW135" i="46"/>
  <c r="AV135" i="46"/>
  <c r="AU135" i="46"/>
  <c r="AT135" i="46"/>
  <c r="AS135" i="46"/>
  <c r="AL135" i="46"/>
  <c r="AL134" i="46" s="1"/>
  <c r="AK135" i="46"/>
  <c r="AK134" i="46" s="1"/>
  <c r="AJ135" i="46"/>
  <c r="AJ134" i="46" s="1"/>
  <c r="AI135" i="46"/>
  <c r="AI134" i="46" s="1"/>
  <c r="AH135" i="46"/>
  <c r="AH134" i="46" s="1"/>
  <c r="AG135" i="46"/>
  <c r="AG134" i="46" s="1"/>
  <c r="AF135" i="46"/>
  <c r="AF134" i="46" s="1"/>
  <c r="AE135" i="46"/>
  <c r="AE134" i="46" s="1"/>
  <c r="AD135" i="46"/>
  <c r="AD134" i="46" s="1"/>
  <c r="AA135" i="46"/>
  <c r="AA134" i="46" s="1"/>
  <c r="X135" i="46"/>
  <c r="X134" i="46" s="1"/>
  <c r="W135" i="46"/>
  <c r="W134" i="46" s="1"/>
  <c r="S135" i="46"/>
  <c r="S134" i="46" s="1"/>
  <c r="Q135" i="46"/>
  <c r="Q134" i="46" s="1"/>
  <c r="P135" i="46"/>
  <c r="P134" i="46" s="1"/>
  <c r="O135" i="46"/>
  <c r="O134" i="46" s="1"/>
  <c r="N135" i="46"/>
  <c r="N134" i="46" s="1"/>
  <c r="M135" i="46"/>
  <c r="M134" i="46" s="1"/>
  <c r="J135" i="46"/>
  <c r="I135" i="46"/>
  <c r="H135" i="46"/>
  <c r="G135" i="46"/>
  <c r="F135" i="46"/>
  <c r="E135" i="46"/>
  <c r="BA134" i="46"/>
  <c r="AX134" i="46"/>
  <c r="AW134" i="46"/>
  <c r="AV134" i="46"/>
  <c r="AU134" i="46"/>
  <c r="AT134" i="46"/>
  <c r="AS134" i="46"/>
  <c r="AM134" i="46"/>
  <c r="J134" i="46"/>
  <c r="I134" i="46"/>
  <c r="H134" i="46"/>
  <c r="G134" i="46"/>
  <c r="F134" i="46"/>
  <c r="E134" i="46"/>
  <c r="BL133" i="46"/>
  <c r="BM133" i="46" s="1"/>
  <c r="BN133" i="46" s="1"/>
  <c r="BE133" i="46"/>
  <c r="BF133" i="46" s="1"/>
  <c r="AZ133" i="46"/>
  <c r="AR133" i="46"/>
  <c r="AQ133" i="46" s="1"/>
  <c r="AB133" i="46"/>
  <c r="AC133" i="46" s="1"/>
  <c r="Z133" i="46"/>
  <c r="R133" i="46"/>
  <c r="T133" i="46" s="1"/>
  <c r="U133" i="46" s="1"/>
  <c r="D133" i="46"/>
  <c r="C133" i="46" s="1"/>
  <c r="BL132" i="46"/>
  <c r="BM132" i="46" s="1"/>
  <c r="BN132" i="46" s="1"/>
  <c r="BE132" i="46"/>
  <c r="BF132" i="46" s="1"/>
  <c r="AZ132" i="46"/>
  <c r="AR132" i="46"/>
  <c r="AQ132" i="46" s="1"/>
  <c r="Z132" i="46"/>
  <c r="R132" i="46"/>
  <c r="T132" i="46" s="1"/>
  <c r="U132" i="46" s="1"/>
  <c r="D132" i="46"/>
  <c r="C132" i="46" s="1"/>
  <c r="BJ131" i="46"/>
  <c r="BH131" i="46"/>
  <c r="BL131" i="46" s="1"/>
  <c r="BM131" i="46" s="1"/>
  <c r="BE131" i="46"/>
  <c r="BF131" i="46" s="1"/>
  <c r="AZ131" i="46"/>
  <c r="AR131" i="46"/>
  <c r="AQ131" i="46" s="1"/>
  <c r="AB131" i="46"/>
  <c r="AC131" i="46" s="1"/>
  <c r="Z131" i="46"/>
  <c r="R131" i="46"/>
  <c r="T131" i="46" s="1"/>
  <c r="U131" i="46" s="1"/>
  <c r="D131" i="46"/>
  <c r="C131" i="46" s="1"/>
  <c r="BH130" i="46"/>
  <c r="BL130" i="46" s="1"/>
  <c r="BM130" i="46" s="1"/>
  <c r="BN130" i="46" s="1"/>
  <c r="BE130" i="46"/>
  <c r="BF130" i="46" s="1"/>
  <c r="AZ130" i="46"/>
  <c r="AR130" i="46"/>
  <c r="AQ130" i="46" s="1"/>
  <c r="AB130" i="46"/>
  <c r="AC130" i="46" s="1"/>
  <c r="Z130" i="46"/>
  <c r="R130" i="46"/>
  <c r="T130" i="46" s="1"/>
  <c r="U130" i="46" s="1"/>
  <c r="D130" i="46"/>
  <c r="C130" i="46" s="1"/>
  <c r="BL129" i="46"/>
  <c r="BM129" i="46" s="1"/>
  <c r="BN129" i="46" s="1"/>
  <c r="BE129" i="46"/>
  <c r="BF129" i="46" s="1"/>
  <c r="BG129" i="46" s="1"/>
  <c r="AR129" i="46"/>
  <c r="AQ129" i="46" s="1"/>
  <c r="Z129" i="46"/>
  <c r="T129" i="46"/>
  <c r="U129" i="46" s="1"/>
  <c r="D129" i="46"/>
  <c r="C129" i="46" s="1"/>
  <c r="BH128" i="46"/>
  <c r="BE128" i="46"/>
  <c r="BF128" i="46" s="1"/>
  <c r="AR128" i="46"/>
  <c r="AB128" i="46"/>
  <c r="AC128" i="46" s="1"/>
  <c r="Z128" i="46"/>
  <c r="R128" i="46"/>
  <c r="T128" i="46" s="1"/>
  <c r="D128" i="46"/>
  <c r="BW127" i="46"/>
  <c r="BW126" i="46" s="1"/>
  <c r="BV127" i="46"/>
  <c r="BV126" i="46" s="1"/>
  <c r="BU127" i="46"/>
  <c r="BU126" i="46" s="1"/>
  <c r="BT127" i="46"/>
  <c r="BT126" i="46" s="1"/>
  <c r="BS127" i="46"/>
  <c r="BS126" i="46" s="1"/>
  <c r="BR127" i="46"/>
  <c r="BR126" i="46" s="1"/>
  <c r="BQ127" i="46"/>
  <c r="BQ126" i="46" s="1"/>
  <c r="BP127" i="46"/>
  <c r="BP126" i="46" s="1"/>
  <c r="BO127" i="46"/>
  <c r="BK127" i="46"/>
  <c r="BK126" i="46" s="1"/>
  <c r="BJ127" i="46"/>
  <c r="BJ126" i="46" s="1"/>
  <c r="BI127" i="46"/>
  <c r="BI126" i="46" s="1"/>
  <c r="BD127" i="46"/>
  <c r="BD126" i="46" s="1"/>
  <c r="BC127" i="46"/>
  <c r="BC126" i="46" s="1"/>
  <c r="BB127" i="46"/>
  <c r="BB126" i="46" s="1"/>
  <c r="BA127" i="46"/>
  <c r="BA126" i="46" s="1"/>
  <c r="AX127" i="46"/>
  <c r="AX126" i="46" s="1"/>
  <c r="AW127" i="46"/>
  <c r="AW126" i="46" s="1"/>
  <c r="AV127" i="46"/>
  <c r="AV126" i="46" s="1"/>
  <c r="AU127" i="46"/>
  <c r="AU126" i="46" s="1"/>
  <c r="AT127" i="46"/>
  <c r="AT126" i="46" s="1"/>
  <c r="AS127" i="46"/>
  <c r="AS126" i="46" s="1"/>
  <c r="AM127" i="46"/>
  <c r="AL127" i="46"/>
  <c r="AL126" i="46" s="1"/>
  <c r="AK127" i="46"/>
  <c r="AK126" i="46" s="1"/>
  <c r="AJ127" i="46"/>
  <c r="AJ126" i="46" s="1"/>
  <c r="AI127" i="46"/>
  <c r="AI126" i="46" s="1"/>
  <c r="AH127" i="46"/>
  <c r="AH126" i="46" s="1"/>
  <c r="AG127" i="46"/>
  <c r="AG126" i="46" s="1"/>
  <c r="AF127" i="46"/>
  <c r="AF126" i="46" s="1"/>
  <c r="AE127" i="46"/>
  <c r="AE126" i="46" s="1"/>
  <c r="AD127" i="46"/>
  <c r="AD126" i="46" s="1"/>
  <c r="AA127" i="46"/>
  <c r="AA126" i="46" s="1"/>
  <c r="X127" i="46"/>
  <c r="X126" i="46" s="1"/>
  <c r="W127" i="46"/>
  <c r="W126" i="46" s="1"/>
  <c r="V127" i="46"/>
  <c r="V126" i="46" s="1"/>
  <c r="S127" i="46"/>
  <c r="S126" i="46" s="1"/>
  <c r="Q127" i="46"/>
  <c r="P127" i="46"/>
  <c r="P126" i="46" s="1"/>
  <c r="O127" i="46"/>
  <c r="O126" i="46" s="1"/>
  <c r="N127" i="46"/>
  <c r="N126" i="46" s="1"/>
  <c r="M127" i="46"/>
  <c r="M126" i="46" s="1"/>
  <c r="J127" i="46"/>
  <c r="J126" i="46" s="1"/>
  <c r="I127" i="46"/>
  <c r="I126" i="46" s="1"/>
  <c r="H127" i="46"/>
  <c r="H126" i="46" s="1"/>
  <c r="G127" i="46"/>
  <c r="G126" i="46" s="1"/>
  <c r="F127" i="46"/>
  <c r="F126" i="46" s="1"/>
  <c r="E127" i="46"/>
  <c r="E126" i="46" s="1"/>
  <c r="BO126" i="46"/>
  <c r="Q126" i="46"/>
  <c r="BQ125" i="46"/>
  <c r="BQ124" i="46" s="1"/>
  <c r="BH125" i="46"/>
  <c r="BL125" i="46" s="1"/>
  <c r="BE125" i="46"/>
  <c r="AR125" i="46"/>
  <c r="AQ125" i="46" s="1"/>
  <c r="AQ124" i="46" s="1"/>
  <c r="AB125" i="46"/>
  <c r="Z125" i="46"/>
  <c r="Z124" i="46" s="1"/>
  <c r="T125" i="46"/>
  <c r="U125" i="46" s="1"/>
  <c r="D125" i="46"/>
  <c r="D124" i="46" s="1"/>
  <c r="BW124" i="46"/>
  <c r="BV124" i="46"/>
  <c r="BU124" i="46"/>
  <c r="BT124" i="46"/>
  <c r="BS124" i="46"/>
  <c r="BR124" i="46"/>
  <c r="BP124" i="46"/>
  <c r="BO124" i="46"/>
  <c r="BK124" i="46"/>
  <c r="BJ124" i="46"/>
  <c r="BI124" i="46"/>
  <c r="BH124" i="46"/>
  <c r="BD124" i="46"/>
  <c r="BC124" i="46"/>
  <c r="BB124" i="46"/>
  <c r="BA124" i="46"/>
  <c r="AZ124" i="46"/>
  <c r="AX124" i="46"/>
  <c r="AW124" i="46"/>
  <c r="AV124" i="46"/>
  <c r="AU124" i="46"/>
  <c r="AT124" i="46"/>
  <c r="AS124" i="46"/>
  <c r="AR124" i="46"/>
  <c r="AL124" i="46"/>
  <c r="AK124" i="46"/>
  <c r="AJ124" i="46"/>
  <c r="AI124" i="46"/>
  <c r="AH124" i="46"/>
  <c r="AG124" i="46"/>
  <c r="AF124" i="46"/>
  <c r="AE124" i="46"/>
  <c r="AD124" i="46"/>
  <c r="AA124" i="46"/>
  <c r="Y124" i="46"/>
  <c r="X124" i="46"/>
  <c r="W124" i="46"/>
  <c r="V124" i="46"/>
  <c r="T124" i="46"/>
  <c r="S124" i="46"/>
  <c r="R124" i="46"/>
  <c r="Q124" i="46"/>
  <c r="P124" i="46"/>
  <c r="O124" i="46"/>
  <c r="N124" i="46"/>
  <c r="M124" i="46"/>
  <c r="J124" i="46"/>
  <c r="I124" i="46"/>
  <c r="H124" i="46"/>
  <c r="G124" i="46"/>
  <c r="F124" i="46"/>
  <c r="E124" i="46"/>
  <c r="BH123" i="46"/>
  <c r="BL123" i="46" s="1"/>
  <c r="BA123" i="46"/>
  <c r="AR123" i="46"/>
  <c r="AQ123" i="46" s="1"/>
  <c r="AA123" i="46"/>
  <c r="Z123" i="46"/>
  <c r="S123" i="46"/>
  <c r="D123" i="46"/>
  <c r="C123" i="46" s="1"/>
  <c r="BJ122" i="46"/>
  <c r="BH122" i="46"/>
  <c r="BL122" i="46" s="1"/>
  <c r="BM122" i="46" s="1"/>
  <c r="BE122" i="46"/>
  <c r="BF122" i="46" s="1"/>
  <c r="BG122" i="46" s="1"/>
  <c r="AR122" i="46"/>
  <c r="AQ122" i="46" s="1"/>
  <c r="AB122" i="46"/>
  <c r="AC122" i="46" s="1"/>
  <c r="Z122" i="46"/>
  <c r="R122" i="46"/>
  <c r="T122" i="46" s="1"/>
  <c r="U122" i="46" s="1"/>
  <c r="D122" i="46"/>
  <c r="C122" i="46" s="1"/>
  <c r="BL121" i="46"/>
  <c r="BM121" i="46" s="1"/>
  <c r="BN121" i="46" s="1"/>
  <c r="BE121" i="46"/>
  <c r="BF121" i="46" s="1"/>
  <c r="BG121" i="46" s="1"/>
  <c r="AR121" i="46"/>
  <c r="AQ121" i="46" s="1"/>
  <c r="AA121" i="46"/>
  <c r="AB121" i="46" s="1"/>
  <c r="AC121" i="46" s="1"/>
  <c r="Z121" i="46"/>
  <c r="S121" i="46"/>
  <c r="R121" i="46"/>
  <c r="D121" i="46"/>
  <c r="C121" i="46" s="1"/>
  <c r="BL120" i="46"/>
  <c r="BM120" i="46" s="1"/>
  <c r="BN120" i="46" s="1"/>
  <c r="BE120" i="46"/>
  <c r="BF120" i="46" s="1"/>
  <c r="BG120" i="46" s="1"/>
  <c r="AR120" i="46"/>
  <c r="AQ120" i="46" s="1"/>
  <c r="Z120" i="46"/>
  <c r="R120" i="46"/>
  <c r="T120" i="46" s="1"/>
  <c r="U120" i="46" s="1"/>
  <c r="D120" i="46"/>
  <c r="C120" i="46" s="1"/>
  <c r="BJ119" i="46"/>
  <c r="BH119" i="46"/>
  <c r="BL119" i="46" s="1"/>
  <c r="BM119" i="46" s="1"/>
  <c r="BE119" i="46"/>
  <c r="BF119" i="46" s="1"/>
  <c r="BG119" i="46" s="1"/>
  <c r="AR119" i="46"/>
  <c r="AQ119" i="46" s="1"/>
  <c r="Z119" i="46"/>
  <c r="T119" i="46"/>
  <c r="U119" i="46" s="1"/>
  <c r="D119" i="46"/>
  <c r="C119" i="46" s="1"/>
  <c r="BL118" i="46"/>
  <c r="BM118" i="46" s="1"/>
  <c r="BE118" i="46"/>
  <c r="BF118" i="46" s="1"/>
  <c r="BG118" i="46" s="1"/>
  <c r="AR118" i="46"/>
  <c r="AQ118" i="46" s="1"/>
  <c r="Z118" i="46"/>
  <c r="R118" i="46"/>
  <c r="T118" i="46" s="1"/>
  <c r="U118" i="46" s="1"/>
  <c r="D118" i="46"/>
  <c r="C118" i="46" s="1"/>
  <c r="BH117" i="46"/>
  <c r="BE117" i="46"/>
  <c r="BF117" i="46" s="1"/>
  <c r="AR117" i="46"/>
  <c r="AQ117" i="46" s="1"/>
  <c r="Z117" i="46"/>
  <c r="R117" i="46"/>
  <c r="D117" i="46"/>
  <c r="C117" i="46" s="1"/>
  <c r="BW116" i="46"/>
  <c r="BW115" i="46" s="1"/>
  <c r="BV116" i="46"/>
  <c r="BV115" i="46" s="1"/>
  <c r="BU116" i="46"/>
  <c r="BU115" i="46" s="1"/>
  <c r="BT116" i="46"/>
  <c r="BS116" i="46"/>
  <c r="BR116" i="46"/>
  <c r="BR115" i="46" s="1"/>
  <c r="BQ116" i="46"/>
  <c r="BQ115" i="46" s="1"/>
  <c r="BP116" i="46"/>
  <c r="BP115" i="46" s="1"/>
  <c r="BO116" i="46"/>
  <c r="BO115" i="46" s="1"/>
  <c r="BK116" i="46"/>
  <c r="BK115" i="46" s="1"/>
  <c r="BI116" i="46"/>
  <c r="BI115" i="46" s="1"/>
  <c r="BD116" i="46"/>
  <c r="BD115" i="46" s="1"/>
  <c r="BC116" i="46"/>
  <c r="BC115" i="46" s="1"/>
  <c r="BB116" i="46"/>
  <c r="BB115" i="46" s="1"/>
  <c r="AZ116" i="46"/>
  <c r="AZ115" i="46" s="1"/>
  <c r="AX116" i="46"/>
  <c r="AX115" i="46" s="1"/>
  <c r="AW116" i="46"/>
  <c r="AW115" i="46" s="1"/>
  <c r="AV116" i="46"/>
  <c r="AV115" i="46" s="1"/>
  <c r="AU116" i="46"/>
  <c r="AU115" i="46" s="1"/>
  <c r="AT116" i="46"/>
  <c r="AT115" i="46" s="1"/>
  <c r="AS116" i="46"/>
  <c r="AS115" i="46" s="1"/>
  <c r="AM116" i="46"/>
  <c r="AL116" i="46"/>
  <c r="AL115" i="46" s="1"/>
  <c r="AK116" i="46"/>
  <c r="AK115" i="46" s="1"/>
  <c r="AJ116" i="46"/>
  <c r="AJ115" i="46" s="1"/>
  <c r="AI116" i="46"/>
  <c r="AI115" i="46" s="1"/>
  <c r="AH116" i="46"/>
  <c r="AH115" i="46" s="1"/>
  <c r="AG116" i="46"/>
  <c r="AG115" i="46" s="1"/>
  <c r="AF116" i="46"/>
  <c r="AF115" i="46" s="1"/>
  <c r="AE116" i="46"/>
  <c r="AE115" i="46" s="1"/>
  <c r="AD116" i="46"/>
  <c r="AD115" i="46" s="1"/>
  <c r="X116" i="46"/>
  <c r="X115" i="46" s="1"/>
  <c r="W116" i="46"/>
  <c r="W115" i="46" s="1"/>
  <c r="V116" i="46"/>
  <c r="V115" i="46" s="1"/>
  <c r="Q116" i="46"/>
  <c r="Q115" i="46" s="1"/>
  <c r="P116" i="46"/>
  <c r="P115" i="46" s="1"/>
  <c r="O116" i="46"/>
  <c r="O115" i="46" s="1"/>
  <c r="N116" i="46"/>
  <c r="N115" i="46" s="1"/>
  <c r="M116" i="46"/>
  <c r="M115" i="46" s="1"/>
  <c r="BT115" i="46"/>
  <c r="BS115" i="46"/>
  <c r="J115" i="46"/>
  <c r="I115" i="46"/>
  <c r="H115" i="46"/>
  <c r="G115" i="46"/>
  <c r="F115" i="46"/>
  <c r="E115" i="46"/>
  <c r="BN114" i="46"/>
  <c r="BG114" i="46"/>
  <c r="BF114" i="46"/>
  <c r="AC114" i="46"/>
  <c r="Z114" i="46"/>
  <c r="Y114" i="46" s="1"/>
  <c r="U114" i="46"/>
  <c r="T114" i="46"/>
  <c r="BN113" i="46"/>
  <c r="BG113" i="46"/>
  <c r="BF113" i="46"/>
  <c r="AC113" i="46"/>
  <c r="Z113" i="46"/>
  <c r="Y113" i="46" s="1"/>
  <c r="U113" i="46"/>
  <c r="T113" i="46"/>
  <c r="BN112" i="46"/>
  <c r="AY112" i="46" s="1"/>
  <c r="AC112" i="46"/>
  <c r="L112" i="46" s="1"/>
  <c r="K112" i="46" s="1"/>
  <c r="Z112" i="46"/>
  <c r="Y112" i="46" s="1"/>
  <c r="T112" i="46"/>
  <c r="BN111" i="46"/>
  <c r="BG111" i="46"/>
  <c r="BF111" i="46"/>
  <c r="AC111" i="46"/>
  <c r="Z111" i="46"/>
  <c r="Y111" i="46" s="1"/>
  <c r="U111" i="46"/>
  <c r="T111" i="46"/>
  <c r="BN110" i="46"/>
  <c r="BG110" i="46"/>
  <c r="BF110" i="46"/>
  <c r="AC110" i="46"/>
  <c r="Z110" i="46"/>
  <c r="Y110" i="46" s="1"/>
  <c r="U110" i="46"/>
  <c r="T110" i="46"/>
  <c r="BN109" i="46"/>
  <c r="BG109" i="46"/>
  <c r="BF109" i="46"/>
  <c r="AC109" i="46"/>
  <c r="Z109" i="46"/>
  <c r="Y109" i="46" s="1"/>
  <c r="U109" i="46"/>
  <c r="T109" i="46"/>
  <c r="BL108" i="46"/>
  <c r="BM108" i="46" s="1"/>
  <c r="BN108" i="46" s="1"/>
  <c r="BE108" i="46"/>
  <c r="BF108" i="46" s="1"/>
  <c r="AZ108" i="46"/>
  <c r="AR108" i="46"/>
  <c r="AQ108" i="46" s="1"/>
  <c r="Z108" i="46"/>
  <c r="Y108" i="46" s="1"/>
  <c r="AB108" i="46" s="1"/>
  <c r="AC108" i="46" s="1"/>
  <c r="T108" i="46"/>
  <c r="U108" i="46" s="1"/>
  <c r="D108" i="46"/>
  <c r="C108" i="46" s="1"/>
  <c r="BL107" i="46"/>
  <c r="BM107" i="46" s="1"/>
  <c r="BE107" i="46"/>
  <c r="BF107" i="46" s="1"/>
  <c r="AZ107" i="46"/>
  <c r="AR107" i="46"/>
  <c r="AQ107" i="46" s="1"/>
  <c r="Z107" i="46"/>
  <c r="R107" i="46"/>
  <c r="T107" i="46" s="1"/>
  <c r="U107" i="46" s="1"/>
  <c r="D107" i="46"/>
  <c r="C107" i="46" s="1"/>
  <c r="BQ106" i="46"/>
  <c r="BL106" i="46"/>
  <c r="BM106" i="46" s="1"/>
  <c r="BN106" i="46" s="1"/>
  <c r="BE106" i="46"/>
  <c r="BF106" i="46" s="1"/>
  <c r="AZ106" i="46"/>
  <c r="AR106" i="46"/>
  <c r="AQ106" i="46" s="1"/>
  <c r="Z106" i="46"/>
  <c r="R106" i="46"/>
  <c r="T106" i="46" s="1"/>
  <c r="U106" i="46" s="1"/>
  <c r="D106" i="46"/>
  <c r="C106" i="46" s="1"/>
  <c r="BQ105" i="46"/>
  <c r="BL105" i="46"/>
  <c r="BM105" i="46" s="1"/>
  <c r="BN105" i="46" s="1"/>
  <c r="BE105" i="46"/>
  <c r="BF105" i="46" s="1"/>
  <c r="BG105" i="46" s="1"/>
  <c r="AR105" i="46"/>
  <c r="AQ105" i="46" s="1"/>
  <c r="Z105" i="46"/>
  <c r="R105" i="46"/>
  <c r="T105" i="46" s="1"/>
  <c r="U105" i="46" s="1"/>
  <c r="D105" i="46"/>
  <c r="C105" i="46" s="1"/>
  <c r="BQ104" i="46"/>
  <c r="BL104" i="46"/>
  <c r="BM104" i="46" s="1"/>
  <c r="BN104" i="46" s="1"/>
  <c r="BE104" i="46"/>
  <c r="BF104" i="46" s="1"/>
  <c r="BG104" i="46" s="1"/>
  <c r="AR104" i="46"/>
  <c r="AQ104" i="46" s="1"/>
  <c r="Z104" i="46"/>
  <c r="R104" i="46"/>
  <c r="T104" i="46" s="1"/>
  <c r="U104" i="46" s="1"/>
  <c r="D104" i="46"/>
  <c r="C104" i="46" s="1"/>
  <c r="BL103" i="46"/>
  <c r="BM103" i="46" s="1"/>
  <c r="BN103" i="46" s="1"/>
  <c r="BE103" i="46"/>
  <c r="BF103" i="46" s="1"/>
  <c r="AZ103" i="46"/>
  <c r="AR103" i="46"/>
  <c r="AQ103" i="46" s="1"/>
  <c r="Z103" i="46"/>
  <c r="R103" i="46"/>
  <c r="T103" i="46" s="1"/>
  <c r="U103" i="46" s="1"/>
  <c r="D103" i="46"/>
  <c r="C103" i="46" s="1"/>
  <c r="BL102" i="46"/>
  <c r="BM102" i="46" s="1"/>
  <c r="BN102" i="46" s="1"/>
  <c r="BE102" i="46"/>
  <c r="BF102" i="46" s="1"/>
  <c r="BG102" i="46" s="1"/>
  <c r="AR102" i="46"/>
  <c r="AQ102" i="46" s="1"/>
  <c r="Z102" i="46"/>
  <c r="R102" i="46"/>
  <c r="T102" i="46" s="1"/>
  <c r="U102" i="46" s="1"/>
  <c r="D102" i="46"/>
  <c r="C102" i="46" s="1"/>
  <c r="BL101" i="46"/>
  <c r="BM101" i="46" s="1"/>
  <c r="BN101" i="46" s="1"/>
  <c r="BE101" i="46"/>
  <c r="BF101" i="46" s="1"/>
  <c r="BG101" i="46" s="1"/>
  <c r="AR101" i="46"/>
  <c r="AQ101" i="46" s="1"/>
  <c r="Z101" i="46"/>
  <c r="R101" i="46"/>
  <c r="T101" i="46" s="1"/>
  <c r="U101" i="46" s="1"/>
  <c r="D101" i="46"/>
  <c r="C101" i="46" s="1"/>
  <c r="BL100" i="46"/>
  <c r="BM100" i="46" s="1"/>
  <c r="BN100" i="46" s="1"/>
  <c r="BE100" i="46"/>
  <c r="AZ100" i="46"/>
  <c r="AR100" i="46"/>
  <c r="AQ100" i="46" s="1"/>
  <c r="Z100" i="46"/>
  <c r="R100" i="46"/>
  <c r="T100" i="46" s="1"/>
  <c r="U100" i="46" s="1"/>
  <c r="D100" i="46"/>
  <c r="C100" i="46" s="1"/>
  <c r="BL99" i="46"/>
  <c r="BE99" i="46"/>
  <c r="BF99" i="46" s="1"/>
  <c r="BG99" i="46" s="1"/>
  <c r="AR99" i="46"/>
  <c r="AQ99" i="46" s="1"/>
  <c r="Z99" i="46"/>
  <c r="R99" i="46"/>
  <c r="T99" i="46" s="1"/>
  <c r="U99" i="46" s="1"/>
  <c r="D99" i="46"/>
  <c r="C99" i="46" s="1"/>
  <c r="BQ98" i="46"/>
  <c r="BP98" i="46"/>
  <c r="BO98" i="46"/>
  <c r="BK98" i="46"/>
  <c r="BJ98" i="46"/>
  <c r="BI98" i="46"/>
  <c r="BH98" i="46"/>
  <c r="BD98" i="46"/>
  <c r="BC98" i="46"/>
  <c r="BB98" i="46"/>
  <c r="BA98" i="46"/>
  <c r="AX98" i="46"/>
  <c r="AW98" i="46"/>
  <c r="AV98" i="46"/>
  <c r="AU98" i="46"/>
  <c r="AT98" i="46"/>
  <c r="AS98" i="46"/>
  <c r="AE98" i="46"/>
  <c r="AD98" i="46"/>
  <c r="Z98" i="46"/>
  <c r="Y98" i="46" s="1"/>
  <c r="AB98" i="46" s="1"/>
  <c r="AC98" i="46" s="1"/>
  <c r="Q98" i="46"/>
  <c r="P98" i="46"/>
  <c r="O98" i="46"/>
  <c r="N98" i="46"/>
  <c r="M98" i="46"/>
  <c r="BL97" i="46"/>
  <c r="BM97" i="46" s="1"/>
  <c r="BN97" i="46" s="1"/>
  <c r="BE97" i="46"/>
  <c r="BF97" i="46" s="1"/>
  <c r="AT97" i="46"/>
  <c r="AR97" i="46" s="1"/>
  <c r="Z97" i="46"/>
  <c r="R97" i="46"/>
  <c r="T97" i="46" s="1"/>
  <c r="U97" i="46" s="1"/>
  <c r="D97" i="46"/>
  <c r="C97" i="46" s="1"/>
  <c r="BL96" i="46"/>
  <c r="BE96" i="46"/>
  <c r="BF96" i="46" s="1"/>
  <c r="BG96" i="46" s="1"/>
  <c r="AR96" i="46"/>
  <c r="AQ96" i="46" s="1"/>
  <c r="Z96" i="46"/>
  <c r="R96" i="46"/>
  <c r="T96" i="46" s="1"/>
  <c r="U96" i="46" s="1"/>
  <c r="D96" i="46"/>
  <c r="C96" i="46" s="1"/>
  <c r="BQ95" i="46"/>
  <c r="BP95" i="46"/>
  <c r="BO95" i="46"/>
  <c r="BK95" i="46"/>
  <c r="BJ95" i="46"/>
  <c r="BI95" i="46"/>
  <c r="BH95" i="46"/>
  <c r="BD95" i="46"/>
  <c r="BC95" i="46"/>
  <c r="BB95" i="46"/>
  <c r="BA95" i="46"/>
  <c r="AZ95" i="46"/>
  <c r="AX95" i="46"/>
  <c r="AW95" i="46"/>
  <c r="AV95" i="46"/>
  <c r="AV93" i="46" s="1"/>
  <c r="AV91" i="46" s="1"/>
  <c r="AU95" i="46"/>
  <c r="AS95" i="46"/>
  <c r="AE95" i="46"/>
  <c r="AE93" i="46" s="1"/>
  <c r="AE91" i="46" s="1"/>
  <c r="AD95" i="46"/>
  <c r="Z95" i="46"/>
  <c r="Y95" i="46" s="1"/>
  <c r="S95" i="46"/>
  <c r="S93" i="46" s="1"/>
  <c r="S91" i="46" s="1"/>
  <c r="Q95" i="46"/>
  <c r="P95" i="46"/>
  <c r="O95" i="46"/>
  <c r="N95" i="46"/>
  <c r="M95" i="46"/>
  <c r="BQ94" i="46"/>
  <c r="BL94" i="46"/>
  <c r="BM94" i="46" s="1"/>
  <c r="BJ94" i="46"/>
  <c r="BE94" i="46"/>
  <c r="BF94" i="46" s="1"/>
  <c r="BG94" i="46" s="1"/>
  <c r="AR94" i="46"/>
  <c r="AQ94" i="46" s="1"/>
  <c r="Z94" i="46"/>
  <c r="U94" i="46"/>
  <c r="R94" i="46"/>
  <c r="D94" i="46"/>
  <c r="C94" i="46" s="1"/>
  <c r="BW93" i="46"/>
  <c r="BW91" i="46" s="1"/>
  <c r="BV93" i="46"/>
  <c r="BV91" i="46" s="1"/>
  <c r="BU93" i="46"/>
  <c r="BU91" i="46" s="1"/>
  <c r="BT93" i="46"/>
  <c r="BT91" i="46" s="1"/>
  <c r="BS93" i="46"/>
  <c r="BS91" i="46" s="1"/>
  <c r="BR93" i="46"/>
  <c r="BR91" i="46" s="1"/>
  <c r="AM93" i="46"/>
  <c r="AL93" i="46"/>
  <c r="AL91" i="46" s="1"/>
  <c r="AK93" i="46"/>
  <c r="AK91" i="46" s="1"/>
  <c r="AJ93" i="46"/>
  <c r="AJ91" i="46" s="1"/>
  <c r="AI93" i="46"/>
  <c r="AI91" i="46" s="1"/>
  <c r="AH93" i="46"/>
  <c r="AH91" i="46" s="1"/>
  <c r="AG93" i="46"/>
  <c r="AG91" i="46" s="1"/>
  <c r="AF93" i="46"/>
  <c r="AF91" i="46" s="1"/>
  <c r="AA93" i="46"/>
  <c r="AA91" i="46" s="1"/>
  <c r="X93" i="46"/>
  <c r="X91" i="46" s="1"/>
  <c r="W93" i="46"/>
  <c r="W91" i="46" s="1"/>
  <c r="V93" i="46"/>
  <c r="V91" i="46" s="1"/>
  <c r="J93" i="46"/>
  <c r="J91" i="46" s="1"/>
  <c r="I93" i="46"/>
  <c r="I91" i="46" s="1"/>
  <c r="H93" i="46"/>
  <c r="H91" i="46" s="1"/>
  <c r="G93" i="46"/>
  <c r="F93" i="46"/>
  <c r="E93" i="46"/>
  <c r="E91" i="46" s="1"/>
  <c r="BQ92" i="46"/>
  <c r="BL92" i="46"/>
  <c r="BJ92" i="46"/>
  <c r="BE92" i="46"/>
  <c r="BF92" i="46" s="1"/>
  <c r="AZ92" i="46"/>
  <c r="AR92" i="46"/>
  <c r="AQ92" i="46" s="1"/>
  <c r="AC92" i="46"/>
  <c r="Z92" i="46"/>
  <c r="R92" i="46"/>
  <c r="T92" i="46" s="1"/>
  <c r="U92" i="46" s="1"/>
  <c r="D92" i="46"/>
  <c r="C92" i="46" s="1"/>
  <c r="AM91" i="46"/>
  <c r="AD91" i="46"/>
  <c r="G91" i="46"/>
  <c r="F91" i="46"/>
  <c r="Y90" i="46"/>
  <c r="AB90" i="46" s="1"/>
  <c r="AC90" i="46" s="1"/>
  <c r="R90" i="46"/>
  <c r="T90" i="46" s="1"/>
  <c r="U90" i="46" s="1"/>
  <c r="D90" i="46"/>
  <c r="C90" i="46" s="1"/>
  <c r="BN89" i="46"/>
  <c r="BL89" i="46"/>
  <c r="BE89" i="46"/>
  <c r="BF89" i="46" s="1"/>
  <c r="AZ89" i="46"/>
  <c r="AR89" i="46"/>
  <c r="AQ89" i="46" s="1"/>
  <c r="Z89" i="46"/>
  <c r="Y89" i="46" s="1"/>
  <c r="AB89" i="46" s="1"/>
  <c r="AC89" i="46" s="1"/>
  <c r="T89" i="46"/>
  <c r="U89" i="46" s="1"/>
  <c r="D89" i="46"/>
  <c r="C89" i="46" s="1"/>
  <c r="BQ88" i="46"/>
  <c r="BL88" i="46"/>
  <c r="BM88" i="46" s="1"/>
  <c r="BN88" i="46" s="1"/>
  <c r="BE88" i="46"/>
  <c r="BF88" i="46" s="1"/>
  <c r="AZ88" i="46"/>
  <c r="AW88" i="46"/>
  <c r="AW78" i="46" s="1"/>
  <c r="AW77" i="46" s="1"/>
  <c r="AR88" i="46"/>
  <c r="Z88" i="46"/>
  <c r="S88" i="46"/>
  <c r="R88" i="46"/>
  <c r="D88" i="46"/>
  <c r="C88" i="46" s="1"/>
  <c r="BQ87" i="46"/>
  <c r="BH87" i="46"/>
  <c r="BL87" i="46" s="1"/>
  <c r="BM87" i="46" s="1"/>
  <c r="BN87" i="46" s="1"/>
  <c r="BE87" i="46"/>
  <c r="BF87" i="46" s="1"/>
  <c r="AZ87" i="46"/>
  <c r="AR87" i="46"/>
  <c r="AQ87" i="46" s="1"/>
  <c r="V87" i="46"/>
  <c r="Z87" i="46" s="1"/>
  <c r="R87" i="46"/>
  <c r="T87" i="46" s="1"/>
  <c r="U87" i="46" s="1"/>
  <c r="D87" i="46"/>
  <c r="C87" i="46" s="1"/>
  <c r="BQ86" i="46"/>
  <c r="BH86" i="46"/>
  <c r="BL86" i="46" s="1"/>
  <c r="BM86" i="46" s="1"/>
  <c r="BN86" i="46" s="1"/>
  <c r="BE86" i="46"/>
  <c r="BF86" i="46" s="1"/>
  <c r="AZ86" i="46"/>
  <c r="AR86" i="46"/>
  <c r="AQ86" i="46" s="1"/>
  <c r="AB86" i="46"/>
  <c r="AC86" i="46" s="1"/>
  <c r="Z86" i="46"/>
  <c r="T86" i="46"/>
  <c r="U86" i="46" s="1"/>
  <c r="D86" i="46"/>
  <c r="C86" i="46" s="1"/>
  <c r="BO85" i="46"/>
  <c r="BO78" i="46" s="1"/>
  <c r="BO77" i="46" s="1"/>
  <c r="BH85" i="46"/>
  <c r="BL85" i="46" s="1"/>
  <c r="BM85" i="46" s="1"/>
  <c r="BN85" i="46" s="1"/>
  <c r="BE85" i="46"/>
  <c r="BF85" i="46" s="1"/>
  <c r="AZ85" i="46"/>
  <c r="AR85" i="46"/>
  <c r="AQ85" i="46" s="1"/>
  <c r="AB85" i="46"/>
  <c r="AC85" i="46" s="1"/>
  <c r="Z85" i="46"/>
  <c r="T85" i="46"/>
  <c r="U85" i="46" s="1"/>
  <c r="D85" i="46"/>
  <c r="C85" i="46" s="1"/>
  <c r="BQ84" i="46"/>
  <c r="BJ84" i="46"/>
  <c r="BJ78" i="46" s="1"/>
  <c r="BJ77" i="46" s="1"/>
  <c r="BH84" i="46"/>
  <c r="BE84" i="46"/>
  <c r="BF84" i="46" s="1"/>
  <c r="AZ84" i="46"/>
  <c r="AR84" i="46"/>
  <c r="AQ84" i="46" s="1"/>
  <c r="AB84" i="46"/>
  <c r="V84" i="46"/>
  <c r="R84" i="46"/>
  <c r="T84" i="46" s="1"/>
  <c r="M84" i="46"/>
  <c r="D84" i="46"/>
  <c r="C84" i="46" s="1"/>
  <c r="BL83" i="46"/>
  <c r="BM83" i="46" s="1"/>
  <c r="BN83" i="46" s="1"/>
  <c r="BE83" i="46"/>
  <c r="BF83" i="46" s="1"/>
  <c r="AZ83" i="46"/>
  <c r="AR83" i="46"/>
  <c r="AQ83" i="46" s="1"/>
  <c r="Z83" i="46"/>
  <c r="T83" i="46"/>
  <c r="U83" i="46" s="1"/>
  <c r="D83" i="46"/>
  <c r="C83" i="46" s="1"/>
  <c r="BQ82" i="46"/>
  <c r="BH82" i="46"/>
  <c r="BE82" i="46"/>
  <c r="BF82" i="46" s="1"/>
  <c r="AZ82" i="46"/>
  <c r="AR82" i="46"/>
  <c r="AQ82" i="46" s="1"/>
  <c r="AA82" i="46"/>
  <c r="AA78" i="46" s="1"/>
  <c r="AA77" i="46" s="1"/>
  <c r="V82" i="46"/>
  <c r="Z82" i="46" s="1"/>
  <c r="S82" i="46"/>
  <c r="M82" i="46"/>
  <c r="D82" i="46"/>
  <c r="C82" i="46" s="1"/>
  <c r="BQ81" i="46"/>
  <c r="BH81" i="46"/>
  <c r="BL81" i="46" s="1"/>
  <c r="BM81" i="46" s="1"/>
  <c r="BN81" i="46" s="1"/>
  <c r="BE81" i="46"/>
  <c r="BF81" i="46" s="1"/>
  <c r="AZ81" i="46"/>
  <c r="AR81" i="46"/>
  <c r="AB81" i="46"/>
  <c r="AC81" i="46" s="1"/>
  <c r="Z81" i="46"/>
  <c r="R81" i="46"/>
  <c r="D81" i="46"/>
  <c r="C81" i="46" s="1"/>
  <c r="BH80" i="46"/>
  <c r="BL80" i="46" s="1"/>
  <c r="BM80" i="46" s="1"/>
  <c r="BE80" i="46"/>
  <c r="BF80" i="46" s="1"/>
  <c r="AZ80" i="46"/>
  <c r="AR80" i="46"/>
  <c r="AQ80" i="46" s="1"/>
  <c r="Z80" i="46"/>
  <c r="T80" i="46"/>
  <c r="U80" i="46" s="1"/>
  <c r="D80" i="46"/>
  <c r="BH79" i="46"/>
  <c r="BE79" i="46"/>
  <c r="AR79" i="46"/>
  <c r="AQ79" i="46" s="1"/>
  <c r="V79" i="46"/>
  <c r="R79" i="46"/>
  <c r="T79" i="46" s="1"/>
  <c r="U79" i="46" s="1"/>
  <c r="D79" i="46"/>
  <c r="C79" i="46" s="1"/>
  <c r="BW78" i="46"/>
  <c r="BW77" i="46" s="1"/>
  <c r="BV78" i="46"/>
  <c r="BV77" i="46" s="1"/>
  <c r="BU78" i="46"/>
  <c r="BU77" i="46" s="1"/>
  <c r="BU76" i="46" s="1"/>
  <c r="BT78" i="46"/>
  <c r="BT77" i="46" s="1"/>
  <c r="BS78" i="46"/>
  <c r="BS77" i="46" s="1"/>
  <c r="BR78" i="46"/>
  <c r="BR77" i="46" s="1"/>
  <c r="BP78" i="46"/>
  <c r="BP77" i="46" s="1"/>
  <c r="BK78" i="46"/>
  <c r="BK77" i="46" s="1"/>
  <c r="BI78" i="46"/>
  <c r="BI77" i="46" s="1"/>
  <c r="BD78" i="46"/>
  <c r="BD77" i="46" s="1"/>
  <c r="BC78" i="46"/>
  <c r="BC77" i="46" s="1"/>
  <c r="BB78" i="46"/>
  <c r="BB77" i="46" s="1"/>
  <c r="BA78" i="46"/>
  <c r="BA77" i="46" s="1"/>
  <c r="AX78" i="46"/>
  <c r="AX77" i="46" s="1"/>
  <c r="AV78" i="46"/>
  <c r="AV77" i="46" s="1"/>
  <c r="AU78" i="46"/>
  <c r="AU77" i="46" s="1"/>
  <c r="AT78" i="46"/>
  <c r="AT77" i="46" s="1"/>
  <c r="AS78" i="46"/>
  <c r="AS77" i="46" s="1"/>
  <c r="AL78" i="46"/>
  <c r="AL77" i="46" s="1"/>
  <c r="AK78" i="46"/>
  <c r="AK77" i="46" s="1"/>
  <c r="AJ78" i="46"/>
  <c r="AJ77" i="46" s="1"/>
  <c r="AI78" i="46"/>
  <c r="AI77" i="46" s="1"/>
  <c r="AH78" i="46"/>
  <c r="AH77" i="46" s="1"/>
  <c r="AG78" i="46"/>
  <c r="AG77" i="46" s="1"/>
  <c r="AF78" i="46"/>
  <c r="AF77" i="46" s="1"/>
  <c r="AF76" i="46" s="1"/>
  <c r="AE78" i="46"/>
  <c r="AE77" i="46" s="1"/>
  <c r="AE76" i="46" s="1"/>
  <c r="AD78" i="46"/>
  <c r="AD77" i="46" s="1"/>
  <c r="X78" i="46"/>
  <c r="W78" i="46"/>
  <c r="W77" i="46" s="1"/>
  <c r="Q78" i="46"/>
  <c r="Q77" i="46" s="1"/>
  <c r="P78" i="46"/>
  <c r="P77" i="46" s="1"/>
  <c r="O78" i="46"/>
  <c r="O77" i="46" s="1"/>
  <c r="N78" i="46"/>
  <c r="N77" i="46" s="1"/>
  <c r="J78" i="46"/>
  <c r="J77" i="46" s="1"/>
  <c r="I78" i="46"/>
  <c r="I77" i="46" s="1"/>
  <c r="H78" i="46"/>
  <c r="H77" i="46" s="1"/>
  <c r="G78" i="46"/>
  <c r="G77" i="46" s="1"/>
  <c r="F78" i="46"/>
  <c r="F77" i="46" s="1"/>
  <c r="E78" i="46"/>
  <c r="E77" i="46" s="1"/>
  <c r="AM77" i="46"/>
  <c r="X77" i="46"/>
  <c r="BM75" i="46"/>
  <c r="BF75" i="46"/>
  <c r="BG75" i="46" s="1"/>
  <c r="Z75" i="46"/>
  <c r="T75" i="46"/>
  <c r="U75" i="46" s="1"/>
  <c r="BM74" i="46"/>
  <c r="BN74" i="46" s="1"/>
  <c r="BF74" i="46"/>
  <c r="BG74" i="46" s="1"/>
  <c r="AC74" i="46"/>
  <c r="Z74" i="46"/>
  <c r="T74" i="46"/>
  <c r="U74" i="46" s="1"/>
  <c r="BM73" i="46"/>
  <c r="BN73" i="46" s="1"/>
  <c r="BF73" i="46"/>
  <c r="BG73" i="46" s="1"/>
  <c r="AC73" i="46"/>
  <c r="Z73" i="46"/>
  <c r="T73" i="46"/>
  <c r="U73" i="46" s="1"/>
  <c r="BW72" i="46"/>
  <c r="BW60" i="46" s="1"/>
  <c r="BV72" i="46"/>
  <c r="BV60" i="46" s="1"/>
  <c r="BU72" i="46"/>
  <c r="BU60" i="46" s="1"/>
  <c r="BT72" i="46"/>
  <c r="BT60" i="46" s="1"/>
  <c r="BS72" i="46"/>
  <c r="BS60" i="46" s="1"/>
  <c r="BR72" i="46"/>
  <c r="BR60" i="46" s="1"/>
  <c r="BQ72" i="46"/>
  <c r="BQ60" i="46" s="1"/>
  <c r="BP72" i="46"/>
  <c r="BP60" i="46" s="1"/>
  <c r="BO72" i="46"/>
  <c r="BO60" i="46" s="1"/>
  <c r="BL72" i="46"/>
  <c r="BM72" i="46" s="1"/>
  <c r="BK72" i="46"/>
  <c r="BK60" i="46" s="1"/>
  <c r="BJ72" i="46"/>
  <c r="BI72" i="46"/>
  <c r="BI60" i="46" s="1"/>
  <c r="BH72" i="46"/>
  <c r="BE72" i="46"/>
  <c r="BD72" i="46"/>
  <c r="BD60" i="46" s="1"/>
  <c r="BC72" i="46"/>
  <c r="BC60" i="46" s="1"/>
  <c r="BB72" i="46"/>
  <c r="BB60" i="46" s="1"/>
  <c r="BA72" i="46"/>
  <c r="AZ72" i="46"/>
  <c r="AX72" i="46"/>
  <c r="AX60" i="46" s="1"/>
  <c r="AW72" i="46"/>
  <c r="AW60" i="46" s="1"/>
  <c r="AV72" i="46"/>
  <c r="AV60" i="46" s="1"/>
  <c r="AU72" i="46"/>
  <c r="AU60" i="46" s="1"/>
  <c r="AT72" i="46"/>
  <c r="AT60" i="46" s="1"/>
  <c r="AS72" i="46"/>
  <c r="AS60" i="46" s="1"/>
  <c r="AR72" i="46"/>
  <c r="AQ72" i="46"/>
  <c r="AL72" i="46"/>
  <c r="AL60" i="46" s="1"/>
  <c r="AK72" i="46"/>
  <c r="AK60" i="46" s="1"/>
  <c r="AJ72" i="46"/>
  <c r="AJ60" i="46" s="1"/>
  <c r="AI72" i="46"/>
  <c r="AI60" i="46" s="1"/>
  <c r="AH72" i="46"/>
  <c r="AH60" i="46" s="1"/>
  <c r="AG72" i="46"/>
  <c r="AG60" i="46" s="1"/>
  <c r="AF72" i="46"/>
  <c r="AF60" i="46" s="1"/>
  <c r="AE72" i="46"/>
  <c r="AE60" i="46" s="1"/>
  <c r="AD72" i="46"/>
  <c r="AD60" i="46" s="1"/>
  <c r="X72" i="46"/>
  <c r="X60" i="46" s="1"/>
  <c r="W72" i="46"/>
  <c r="W60" i="46" s="1"/>
  <c r="V72" i="46"/>
  <c r="Z72" i="46" s="1"/>
  <c r="R72" i="46"/>
  <c r="Q72" i="46"/>
  <c r="Q60" i="46" s="1"/>
  <c r="P72" i="46"/>
  <c r="P60" i="46" s="1"/>
  <c r="O72" i="46"/>
  <c r="O60" i="46" s="1"/>
  <c r="N72" i="46"/>
  <c r="N60" i="46" s="1"/>
  <c r="M72" i="46"/>
  <c r="D72" i="46"/>
  <c r="C72" i="46"/>
  <c r="BN71" i="46"/>
  <c r="BL71" i="46"/>
  <c r="BF71" i="46"/>
  <c r="BG71" i="46" s="1"/>
  <c r="Z71" i="46"/>
  <c r="Y71" i="46" s="1"/>
  <c r="AB71" i="46" s="1"/>
  <c r="AC71" i="46" s="1"/>
  <c r="T71" i="46"/>
  <c r="U71" i="46" s="1"/>
  <c r="BL70" i="46"/>
  <c r="BM70" i="46" s="1"/>
  <c r="BN70" i="46" s="1"/>
  <c r="BE70" i="46"/>
  <c r="BF70" i="46" s="1"/>
  <c r="BG70" i="46" s="1"/>
  <c r="Z70" i="46"/>
  <c r="R70" i="46"/>
  <c r="S70" i="46" s="1"/>
  <c r="T70" i="46" s="1"/>
  <c r="U70" i="46" s="1"/>
  <c r="BL69" i="46"/>
  <c r="BM69" i="46" s="1"/>
  <c r="BN69" i="46" s="1"/>
  <c r="BE69" i="46"/>
  <c r="BF69" i="46" s="1"/>
  <c r="BG69" i="46" s="1"/>
  <c r="Z69" i="46"/>
  <c r="R69" i="46"/>
  <c r="BL68" i="46"/>
  <c r="BM68" i="46" s="1"/>
  <c r="BN68" i="46" s="1"/>
  <c r="BE68" i="46"/>
  <c r="BF68" i="46" s="1"/>
  <c r="BG68" i="46" s="1"/>
  <c r="AR68" i="46"/>
  <c r="AQ68" i="46" s="1"/>
  <c r="Z68" i="46"/>
  <c r="T68" i="46"/>
  <c r="U68" i="46" s="1"/>
  <c r="D68" i="46"/>
  <c r="C68" i="46" s="1"/>
  <c r="BL67" i="46"/>
  <c r="BM67" i="46" s="1"/>
  <c r="BN67" i="46" s="1"/>
  <c r="BE67" i="46"/>
  <c r="BF67" i="46" s="1"/>
  <c r="AZ67" i="46"/>
  <c r="AR67" i="46"/>
  <c r="AQ67" i="46" s="1"/>
  <c r="Z67" i="46"/>
  <c r="T67" i="46"/>
  <c r="M67" i="46"/>
  <c r="H67" i="46"/>
  <c r="H60" i="46" s="1"/>
  <c r="F67" i="46"/>
  <c r="BL66" i="46"/>
  <c r="BM66" i="46" s="1"/>
  <c r="BN66" i="46" s="1"/>
  <c r="BE66" i="46"/>
  <c r="BF66" i="46" s="1"/>
  <c r="BG66" i="46" s="1"/>
  <c r="AR66" i="46"/>
  <c r="AQ66" i="46" s="1"/>
  <c r="AB66" i="46"/>
  <c r="AC66" i="46" s="1"/>
  <c r="Z66" i="46"/>
  <c r="R66" i="46"/>
  <c r="T66" i="46" s="1"/>
  <c r="U66" i="46" s="1"/>
  <c r="D66" i="46"/>
  <c r="C66" i="46" s="1"/>
  <c r="BH65" i="46"/>
  <c r="BL65" i="46" s="1"/>
  <c r="BM65" i="46" s="1"/>
  <c r="BE65" i="46"/>
  <c r="BF65" i="46" s="1"/>
  <c r="BG65" i="46" s="1"/>
  <c r="AR65" i="46"/>
  <c r="AQ65" i="46" s="1"/>
  <c r="Z65" i="46"/>
  <c r="R65" i="46"/>
  <c r="T65" i="46" s="1"/>
  <c r="U65" i="46" s="1"/>
  <c r="D65" i="46"/>
  <c r="C65" i="46" s="1"/>
  <c r="BH64" i="46"/>
  <c r="BL64" i="46" s="1"/>
  <c r="BM64" i="46" s="1"/>
  <c r="BN64" i="46" s="1"/>
  <c r="BE64" i="46"/>
  <c r="BF64" i="46" s="1"/>
  <c r="BG64" i="46" s="1"/>
  <c r="AR64" i="46"/>
  <c r="AQ64" i="46" s="1"/>
  <c r="Z64" i="46"/>
  <c r="R64" i="46"/>
  <c r="D64" i="46"/>
  <c r="C64" i="46" s="1"/>
  <c r="BL63" i="46"/>
  <c r="BM63" i="46" s="1"/>
  <c r="BJ63" i="46"/>
  <c r="BA63" i="46"/>
  <c r="AR63" i="46"/>
  <c r="AQ63" i="46" s="1"/>
  <c r="AA63" i="46"/>
  <c r="AA60" i="46" s="1"/>
  <c r="AA56" i="46" s="1"/>
  <c r="Z63" i="46"/>
  <c r="S63" i="46"/>
  <c r="T63" i="46" s="1"/>
  <c r="U63" i="46" s="1"/>
  <c r="D63" i="46"/>
  <c r="C63" i="46" s="1"/>
  <c r="BL62" i="46"/>
  <c r="BM62" i="46" s="1"/>
  <c r="BN62" i="46" s="1"/>
  <c r="BE62" i="46"/>
  <c r="BF62" i="46" s="1"/>
  <c r="BG62" i="46" s="1"/>
  <c r="AR62" i="46"/>
  <c r="AQ62" i="46" s="1"/>
  <c r="Z62" i="46"/>
  <c r="T62" i="46"/>
  <c r="U62" i="46" s="1"/>
  <c r="D62" i="46"/>
  <c r="C62" i="46" s="1"/>
  <c r="BH61" i="46"/>
  <c r="BL61" i="46" s="1"/>
  <c r="BE61" i="46"/>
  <c r="BF61" i="46" s="1"/>
  <c r="BG61" i="46" s="1"/>
  <c r="AR61" i="46"/>
  <c r="AQ61" i="46" s="1"/>
  <c r="Z61" i="46"/>
  <c r="R61" i="46"/>
  <c r="T61" i="46" s="1"/>
  <c r="U61" i="46" s="1"/>
  <c r="D61" i="46"/>
  <c r="C61" i="46" s="1"/>
  <c r="AM60" i="46"/>
  <c r="J60" i="46"/>
  <c r="I60" i="46"/>
  <c r="G60" i="46"/>
  <c r="E60" i="46"/>
  <c r="BL59" i="46"/>
  <c r="BM59" i="46" s="1"/>
  <c r="BN59" i="46" s="1"/>
  <c r="BE59" i="46"/>
  <c r="BF59" i="46" s="1"/>
  <c r="BG59" i="46" s="1"/>
  <c r="AR59" i="46"/>
  <c r="AQ59" i="46" s="1"/>
  <c r="AB59" i="46"/>
  <c r="AC59" i="46" s="1"/>
  <c r="Z59" i="46"/>
  <c r="T59" i="46"/>
  <c r="U59" i="46" s="1"/>
  <c r="D59" i="46"/>
  <c r="C59" i="46" s="1"/>
  <c r="BO58" i="46"/>
  <c r="BO57" i="46" s="1"/>
  <c r="BH58" i="46"/>
  <c r="BE58" i="46"/>
  <c r="BE57" i="46" s="1"/>
  <c r="AR58" i="46"/>
  <c r="AD58" i="46"/>
  <c r="AD57" i="46" s="1"/>
  <c r="Z58" i="46"/>
  <c r="W58" i="46"/>
  <c r="W57" i="46" s="1"/>
  <c r="S58" i="46"/>
  <c r="T58" i="46" s="1"/>
  <c r="D58" i="46"/>
  <c r="C58" i="46" s="1"/>
  <c r="BW57" i="46"/>
  <c r="BV57" i="46"/>
  <c r="BU57" i="46"/>
  <c r="BT57" i="46"/>
  <c r="BS57" i="46"/>
  <c r="BR57" i="46"/>
  <c r="BQ57" i="46"/>
  <c r="BP57" i="46"/>
  <c r="BK57" i="46"/>
  <c r="BJ57" i="46"/>
  <c r="BI57" i="46"/>
  <c r="BD57" i="46"/>
  <c r="BC57" i="46"/>
  <c r="BC56" i="46" s="1"/>
  <c r="BB57" i="46"/>
  <c r="BA57" i="46"/>
  <c r="AZ57" i="46"/>
  <c r="AX57" i="46"/>
  <c r="AX56" i="46" s="1"/>
  <c r="AW57" i="46"/>
  <c r="AV57" i="46"/>
  <c r="AU57" i="46"/>
  <c r="AU56" i="46" s="1"/>
  <c r="AT57" i="46"/>
  <c r="AS57" i="46"/>
  <c r="AL57" i="46"/>
  <c r="AK57" i="46"/>
  <c r="AJ57" i="46"/>
  <c r="AI57" i="46"/>
  <c r="AH57" i="46"/>
  <c r="AG57" i="46"/>
  <c r="AF57" i="46"/>
  <c r="AE57" i="46"/>
  <c r="AA57" i="46"/>
  <c r="X57" i="46"/>
  <c r="V57" i="46"/>
  <c r="R57" i="46"/>
  <c r="Q57" i="46"/>
  <c r="P57" i="46"/>
  <c r="O57" i="46"/>
  <c r="N57" i="46"/>
  <c r="M57" i="46"/>
  <c r="J57" i="46"/>
  <c r="I57" i="46"/>
  <c r="I56" i="46" s="1"/>
  <c r="H57" i="46"/>
  <c r="G57" i="46"/>
  <c r="F57" i="46"/>
  <c r="E57" i="46"/>
  <c r="BN55" i="46"/>
  <c r="AY55" i="46" s="1"/>
  <c r="AC55" i="46"/>
  <c r="Z55" i="46"/>
  <c r="Y55" i="46" s="1"/>
  <c r="R55" i="46"/>
  <c r="T55" i="46" s="1"/>
  <c r="U55" i="46" s="1"/>
  <c r="BN54" i="46"/>
  <c r="BG54" i="46"/>
  <c r="BE54" i="46"/>
  <c r="Z54" i="46"/>
  <c r="Y54" i="46" s="1"/>
  <c r="AC54" i="46" s="1"/>
  <c r="R54" i="46"/>
  <c r="T54" i="46" s="1"/>
  <c r="U54" i="46" s="1"/>
  <c r="BM53" i="46"/>
  <c r="BN53" i="46" s="1"/>
  <c r="BE53" i="46"/>
  <c r="BF53" i="46" s="1"/>
  <c r="BG53" i="46" s="1"/>
  <c r="AC53" i="46"/>
  <c r="Z53" i="46"/>
  <c r="R53" i="46"/>
  <c r="T53" i="46" s="1"/>
  <c r="U53" i="46" s="1"/>
  <c r="BL52" i="46"/>
  <c r="BM52" i="46" s="1"/>
  <c r="BN52" i="46" s="1"/>
  <c r="BE52" i="46"/>
  <c r="BF52" i="46" s="1"/>
  <c r="BG52" i="46" s="1"/>
  <c r="AR52" i="46"/>
  <c r="AQ52" i="46" s="1"/>
  <c r="AB52" i="46"/>
  <c r="AC52" i="46" s="1"/>
  <c r="Z52" i="46"/>
  <c r="T52" i="46"/>
  <c r="U52" i="46" s="1"/>
  <c r="D52" i="46"/>
  <c r="C52" i="46" s="1"/>
  <c r="BQ51" i="46"/>
  <c r="BQ42" i="46" s="1"/>
  <c r="BL51" i="46"/>
  <c r="BM51" i="46" s="1"/>
  <c r="BN51" i="46" s="1"/>
  <c r="BF51" i="46"/>
  <c r="BG51" i="46" s="1"/>
  <c r="BE51" i="46"/>
  <c r="AR51" i="46"/>
  <c r="AQ51" i="46" s="1"/>
  <c r="AA51" i="46"/>
  <c r="Z51" i="46"/>
  <c r="S51" i="46"/>
  <c r="T51" i="46" s="1"/>
  <c r="U51" i="46" s="1"/>
  <c r="D51" i="46"/>
  <c r="C51" i="46" s="1"/>
  <c r="BH50" i="46"/>
  <c r="BL50" i="46" s="1"/>
  <c r="BM50" i="46" s="1"/>
  <c r="BE50" i="46"/>
  <c r="BF50" i="46" s="1"/>
  <c r="BG50" i="46" s="1"/>
  <c r="AT50" i="46"/>
  <c r="Z50" i="46"/>
  <c r="R50" i="46"/>
  <c r="T50" i="46" s="1"/>
  <c r="U50" i="46" s="1"/>
  <c r="D50" i="46"/>
  <c r="C50" i="46" s="1"/>
  <c r="BL49" i="46"/>
  <c r="BM49" i="46" s="1"/>
  <c r="BN49" i="46" s="1"/>
  <c r="BA49" i="46"/>
  <c r="R49" i="46" s="1"/>
  <c r="T49" i="46" s="1"/>
  <c r="U49" i="46" s="1"/>
  <c r="AT49" i="46"/>
  <c r="AR49" i="46" s="1"/>
  <c r="AQ49" i="46" s="1"/>
  <c r="Z49" i="46"/>
  <c r="D49" i="46"/>
  <c r="C49" i="46" s="1"/>
  <c r="BL48" i="46"/>
  <c r="BM48" i="46" s="1"/>
  <c r="BA48" i="46"/>
  <c r="AZ48" i="46"/>
  <c r="AR48" i="46"/>
  <c r="AQ48" i="46" s="1"/>
  <c r="Z48" i="46"/>
  <c r="R48" i="46"/>
  <c r="D48" i="46"/>
  <c r="C48" i="46" s="1"/>
  <c r="BM47" i="46"/>
  <c r="BH47" i="46"/>
  <c r="BN47" i="46" s="1"/>
  <c r="BG47" i="46"/>
  <c r="BE47" i="46"/>
  <c r="Z47" i="46"/>
  <c r="Y47" i="46" s="1"/>
  <c r="AB47" i="46" s="1"/>
  <c r="AC47" i="46" s="1"/>
  <c r="R47" i="46"/>
  <c r="T47" i="46" s="1"/>
  <c r="U47" i="46" s="1"/>
  <c r="BL46" i="46"/>
  <c r="BM46" i="46" s="1"/>
  <c r="BN46" i="46" s="1"/>
  <c r="BE46" i="46"/>
  <c r="BF46" i="46" s="1"/>
  <c r="BG46" i="46" s="1"/>
  <c r="AR46" i="46"/>
  <c r="AQ46" i="46" s="1"/>
  <c r="Z46" i="46"/>
  <c r="T46" i="46"/>
  <c r="N46" i="46"/>
  <c r="N42" i="46" s="1"/>
  <c r="D46" i="46"/>
  <c r="C46" i="46" s="1"/>
  <c r="BH45" i="46"/>
  <c r="BL45" i="46" s="1"/>
  <c r="BM45" i="46" s="1"/>
  <c r="BN45" i="46" s="1"/>
  <c r="BA45" i="46"/>
  <c r="BE45" i="46" s="1"/>
  <c r="BF45" i="46" s="1"/>
  <c r="BG45" i="46" s="1"/>
  <c r="AR45" i="46"/>
  <c r="AQ45" i="46" s="1"/>
  <c r="AB45" i="46"/>
  <c r="AC45" i="46" s="1"/>
  <c r="Z45" i="46"/>
  <c r="T45" i="46"/>
  <c r="U45" i="46" s="1"/>
  <c r="L45" i="46" s="1"/>
  <c r="K45" i="46" s="1"/>
  <c r="D45" i="46"/>
  <c r="C45" i="46" s="1"/>
  <c r="BH44" i="46"/>
  <c r="BL44" i="46" s="1"/>
  <c r="BM44" i="46" s="1"/>
  <c r="BN44" i="46" s="1"/>
  <c r="BE44" i="46"/>
  <c r="BF44" i="46" s="1"/>
  <c r="AZ44" i="46"/>
  <c r="AR44" i="46"/>
  <c r="AQ44" i="46" s="1"/>
  <c r="AA44" i="46"/>
  <c r="Z44" i="46"/>
  <c r="S44" i="46"/>
  <c r="R44" i="46"/>
  <c r="D44" i="46"/>
  <c r="C44" i="46" s="1"/>
  <c r="BL43" i="46"/>
  <c r="BE43" i="46"/>
  <c r="AZ43" i="46"/>
  <c r="AR43" i="46"/>
  <c r="Z43" i="46"/>
  <c r="T43" i="46"/>
  <c r="U43" i="46" s="1"/>
  <c r="D43" i="46"/>
  <c r="BW42" i="46"/>
  <c r="BV42" i="46"/>
  <c r="BU42" i="46"/>
  <c r="BT42" i="46"/>
  <c r="BS42" i="46"/>
  <c r="BR42" i="46"/>
  <c r="BP42" i="46"/>
  <c r="BO42" i="46"/>
  <c r="BK42" i="46"/>
  <c r="BJ42" i="46"/>
  <c r="BI42" i="46"/>
  <c r="BD42" i="46"/>
  <c r="BC42" i="46"/>
  <c r="BB42" i="46"/>
  <c r="AX42" i="46"/>
  <c r="AW42" i="46"/>
  <c r="AV42" i="46"/>
  <c r="AU42" i="46"/>
  <c r="AS42" i="46"/>
  <c r="AM42" i="46"/>
  <c r="AL42" i="46"/>
  <c r="AK42" i="46"/>
  <c r="AJ42" i="46"/>
  <c r="AI42" i="46"/>
  <c r="AH42" i="46"/>
  <c r="AG42" i="46"/>
  <c r="AF42" i="46"/>
  <c r="AE42" i="46"/>
  <c r="AD42" i="46"/>
  <c r="X42" i="46"/>
  <c r="W42" i="46"/>
  <c r="V42" i="46"/>
  <c r="Q42" i="46"/>
  <c r="P42" i="46"/>
  <c r="O42" i="46"/>
  <c r="M42" i="46"/>
  <c r="J42" i="46"/>
  <c r="I42" i="46"/>
  <c r="H42" i="46"/>
  <c r="G42" i="46"/>
  <c r="F42" i="46"/>
  <c r="E42" i="46"/>
  <c r="BN41" i="46"/>
  <c r="AY41" i="46" s="1"/>
  <c r="Z41" i="46"/>
  <c r="Y41" i="46" s="1"/>
  <c r="AB41" i="46" s="1"/>
  <c r="AC41" i="46" s="1"/>
  <c r="T41" i="46"/>
  <c r="U41" i="46" s="1"/>
  <c r="BH40" i="46"/>
  <c r="BN40" i="46" s="1"/>
  <c r="BG40" i="46"/>
  <c r="AB40" i="46"/>
  <c r="AC40" i="46" s="1"/>
  <c r="Z40" i="46"/>
  <c r="R40" i="46"/>
  <c r="T40" i="46" s="1"/>
  <c r="U40" i="46" s="1"/>
  <c r="BL39" i="46"/>
  <c r="BM39" i="46" s="1"/>
  <c r="BN39" i="46" s="1"/>
  <c r="BE39" i="46"/>
  <c r="BF39" i="46" s="1"/>
  <c r="BG39" i="46" s="1"/>
  <c r="AT39" i="46"/>
  <c r="AR39" i="46" s="1"/>
  <c r="AQ39" i="46" s="1"/>
  <c r="AB39" i="46"/>
  <c r="AC39" i="46" s="1"/>
  <c r="Z39" i="46"/>
  <c r="R39" i="46"/>
  <c r="T39" i="46" s="1"/>
  <c r="U39" i="46" s="1"/>
  <c r="D39" i="46"/>
  <c r="C39" i="46" s="1"/>
  <c r="BL38" i="46"/>
  <c r="BM38" i="46" s="1"/>
  <c r="BN38" i="46" s="1"/>
  <c r="BE38" i="46"/>
  <c r="BF38" i="46" s="1"/>
  <c r="BG38" i="46" s="1"/>
  <c r="AR38" i="46"/>
  <c r="AQ38" i="46" s="1"/>
  <c r="AB38" i="46"/>
  <c r="AC38" i="46" s="1"/>
  <c r="Z38" i="46"/>
  <c r="R38" i="46"/>
  <c r="T38" i="46" s="1"/>
  <c r="U38" i="46" s="1"/>
  <c r="D38" i="46"/>
  <c r="C38" i="46" s="1"/>
  <c r="BH37" i="46"/>
  <c r="BL37" i="46" s="1"/>
  <c r="BM37" i="46" s="1"/>
  <c r="BE37" i="46"/>
  <c r="AR37" i="46"/>
  <c r="AQ37" i="46" s="1"/>
  <c r="AB37" i="46"/>
  <c r="AC37" i="46" s="1"/>
  <c r="Z37" i="46"/>
  <c r="T37" i="46"/>
  <c r="U37" i="46" s="1"/>
  <c r="D37" i="46"/>
  <c r="BL36" i="46"/>
  <c r="BM36" i="46" s="1"/>
  <c r="BN36" i="46" s="1"/>
  <c r="BE36" i="46"/>
  <c r="BF36" i="46" s="1"/>
  <c r="BG36" i="46" s="1"/>
  <c r="AR36" i="46"/>
  <c r="Z36" i="46"/>
  <c r="T36" i="46"/>
  <c r="U36" i="46" s="1"/>
  <c r="D36" i="46"/>
  <c r="C36" i="46" s="1"/>
  <c r="BH35" i="46"/>
  <c r="BE35" i="46"/>
  <c r="BF35" i="46" s="1"/>
  <c r="BG35" i="46" s="1"/>
  <c r="W35" i="46"/>
  <c r="W34" i="46" s="1"/>
  <c r="W33" i="46" s="1"/>
  <c r="V35" i="46"/>
  <c r="Z35" i="46" s="1"/>
  <c r="R35" i="46"/>
  <c r="T35" i="46" s="1"/>
  <c r="BW34" i="46"/>
  <c r="BW33" i="46" s="1"/>
  <c r="BV34" i="46"/>
  <c r="BV33" i="46" s="1"/>
  <c r="BU34" i="46"/>
  <c r="BU33" i="46" s="1"/>
  <c r="BT34" i="46"/>
  <c r="BT33" i="46" s="1"/>
  <c r="BS34" i="46"/>
  <c r="BS33" i="46" s="1"/>
  <c r="BR34" i="46"/>
  <c r="BR33" i="46" s="1"/>
  <c r="BQ34" i="46"/>
  <c r="BQ33" i="46" s="1"/>
  <c r="BP34" i="46"/>
  <c r="BP33" i="46" s="1"/>
  <c r="BO34" i="46"/>
  <c r="BO33" i="46" s="1"/>
  <c r="BK34" i="46"/>
  <c r="BK33" i="46" s="1"/>
  <c r="BJ34" i="46"/>
  <c r="BJ33" i="46" s="1"/>
  <c r="BI34" i="46"/>
  <c r="BI33" i="46" s="1"/>
  <c r="BD34" i="46"/>
  <c r="BD33" i="46" s="1"/>
  <c r="BC34" i="46"/>
  <c r="BC33" i="46" s="1"/>
  <c r="BB34" i="46"/>
  <c r="BB33" i="46" s="1"/>
  <c r="BA34" i="46"/>
  <c r="BA33" i="46" s="1"/>
  <c r="AZ34" i="46"/>
  <c r="AZ33" i="46" s="1"/>
  <c r="AX34" i="46"/>
  <c r="AX33" i="46" s="1"/>
  <c r="AW34" i="46"/>
  <c r="AW33" i="46" s="1"/>
  <c r="AV34" i="46"/>
  <c r="AV33" i="46" s="1"/>
  <c r="AU34" i="46"/>
  <c r="AU33" i="46" s="1"/>
  <c r="AS34" i="46"/>
  <c r="AS33" i="46" s="1"/>
  <c r="AL34" i="46"/>
  <c r="AK34" i="46"/>
  <c r="AK33" i="46" s="1"/>
  <c r="AJ34" i="46"/>
  <c r="AJ33" i="46" s="1"/>
  <c r="AI34" i="46"/>
  <c r="AI33" i="46" s="1"/>
  <c r="AH34" i="46"/>
  <c r="AH33" i="46" s="1"/>
  <c r="AG34" i="46"/>
  <c r="AG33" i="46" s="1"/>
  <c r="AF34" i="46"/>
  <c r="AF33" i="46" s="1"/>
  <c r="AE34" i="46"/>
  <c r="AE33" i="46" s="1"/>
  <c r="AD34" i="46"/>
  <c r="AD33" i="46" s="1"/>
  <c r="AA34" i="46"/>
  <c r="AA33" i="46" s="1"/>
  <c r="X34" i="46"/>
  <c r="X33" i="46" s="1"/>
  <c r="S34" i="46"/>
  <c r="S33" i="46" s="1"/>
  <c r="Q34" i="46"/>
  <c r="Q33" i="46" s="1"/>
  <c r="P34" i="46"/>
  <c r="P33" i="46" s="1"/>
  <c r="O34" i="46"/>
  <c r="O33" i="46" s="1"/>
  <c r="N34" i="46"/>
  <c r="N33" i="46" s="1"/>
  <c r="M34" i="46"/>
  <c r="M33" i="46" s="1"/>
  <c r="J34" i="46"/>
  <c r="J33" i="46" s="1"/>
  <c r="I34" i="46"/>
  <c r="I33" i="46" s="1"/>
  <c r="H34" i="46"/>
  <c r="H33" i="46" s="1"/>
  <c r="G34" i="46"/>
  <c r="G33" i="46" s="1"/>
  <c r="F34" i="46"/>
  <c r="F33" i="46" s="1"/>
  <c r="E34" i="46"/>
  <c r="E33" i="46" s="1"/>
  <c r="AL33" i="46"/>
  <c r="R33" i="46"/>
  <c r="BL32" i="46"/>
  <c r="BM32" i="46" s="1"/>
  <c r="BN32" i="46" s="1"/>
  <c r="BA32" i="46"/>
  <c r="BE32" i="46" s="1"/>
  <c r="BF32" i="46" s="1"/>
  <c r="BG32" i="46" s="1"/>
  <c r="AR32" i="46"/>
  <c r="AB32" i="46"/>
  <c r="AC32" i="46" s="1"/>
  <c r="Z32" i="46"/>
  <c r="R32" i="46"/>
  <c r="T32" i="46" s="1"/>
  <c r="U32" i="46" s="1"/>
  <c r="D32" i="46"/>
  <c r="BH31" i="46"/>
  <c r="BA31" i="46"/>
  <c r="AZ31" i="46"/>
  <c r="AZ30" i="46" s="1"/>
  <c r="AR31" i="46"/>
  <c r="AQ31" i="46" s="1"/>
  <c r="Z31" i="46"/>
  <c r="D31" i="46"/>
  <c r="C31" i="46" s="1"/>
  <c r="BW30" i="46"/>
  <c r="BV30" i="46"/>
  <c r="BU30" i="46"/>
  <c r="BT30" i="46"/>
  <c r="BS30" i="46"/>
  <c r="BR30" i="46"/>
  <c r="BQ30" i="46"/>
  <c r="BP30" i="46"/>
  <c r="BO30" i="46"/>
  <c r="BK30" i="46"/>
  <c r="BJ30" i="46"/>
  <c r="BI30" i="46"/>
  <c r="BD30" i="46"/>
  <c r="BC30" i="46"/>
  <c r="BB30" i="46"/>
  <c r="AX30" i="46"/>
  <c r="AW30" i="46"/>
  <c r="AV30" i="46"/>
  <c r="AU30" i="46"/>
  <c r="AT30" i="46"/>
  <c r="AS30" i="46"/>
  <c r="AM30" i="46"/>
  <c r="AL30" i="46"/>
  <c r="AK30" i="46"/>
  <c r="AJ30" i="46"/>
  <c r="AI30" i="46"/>
  <c r="AH30" i="46"/>
  <c r="AG30" i="46"/>
  <c r="AF30" i="46"/>
  <c r="AE30" i="46"/>
  <c r="AD30" i="46"/>
  <c r="AA30" i="46"/>
  <c r="X30" i="46"/>
  <c r="W30" i="46"/>
  <c r="V30" i="46"/>
  <c r="S30" i="46"/>
  <c r="Q30" i="46"/>
  <c r="P30" i="46"/>
  <c r="O30" i="46"/>
  <c r="N30" i="46"/>
  <c r="M30" i="46"/>
  <c r="J30" i="46"/>
  <c r="I30" i="46"/>
  <c r="H30" i="46"/>
  <c r="G30" i="46"/>
  <c r="F30" i="46"/>
  <c r="E30" i="46"/>
  <c r="BN29" i="46"/>
  <c r="BL29" i="46"/>
  <c r="BE29" i="46"/>
  <c r="BF29" i="46" s="1"/>
  <c r="BG29" i="46" s="1"/>
  <c r="Z29" i="46"/>
  <c r="Y29" i="46" s="1"/>
  <c r="AB29" i="46" s="1"/>
  <c r="AC29" i="46" s="1"/>
  <c r="R29" i="46"/>
  <c r="T29" i="46" s="1"/>
  <c r="U29" i="46" s="1"/>
  <c r="BL28" i="46"/>
  <c r="BI28" i="46"/>
  <c r="BN28" i="46" s="1"/>
  <c r="BE28" i="46"/>
  <c r="BF28" i="46" s="1"/>
  <c r="BG28" i="46" s="1"/>
  <c r="AR28" i="46"/>
  <c r="AQ28" i="46" s="1"/>
  <c r="AC28" i="46"/>
  <c r="Z28" i="46"/>
  <c r="Y28" i="46" s="1"/>
  <c r="R28" i="46"/>
  <c r="T28" i="46" s="1"/>
  <c r="U28" i="46" s="1"/>
  <c r="D28" i="46"/>
  <c r="C28" i="46" s="1"/>
  <c r="BN27" i="46"/>
  <c r="BL27" i="46"/>
  <c r="BA27" i="46"/>
  <c r="BE27" i="46" s="1"/>
  <c r="BF27" i="46" s="1"/>
  <c r="AZ27" i="46"/>
  <c r="AR27" i="46"/>
  <c r="AQ27" i="46" s="1"/>
  <c r="Z27" i="46"/>
  <c r="Y27" i="46" s="1"/>
  <c r="AB27" i="46" s="1"/>
  <c r="AC27" i="46" s="1"/>
  <c r="AD27" i="46" s="1"/>
  <c r="T27" i="46"/>
  <c r="M27" i="46"/>
  <c r="D27" i="46"/>
  <c r="C27" i="46" s="1"/>
  <c r="BL26" i="46"/>
  <c r="BM26" i="46" s="1"/>
  <c r="BN26" i="46" s="1"/>
  <c r="BG26" i="46"/>
  <c r="BE26" i="46"/>
  <c r="AR26" i="46"/>
  <c r="AQ26" i="46" s="1"/>
  <c r="AB26" i="46"/>
  <c r="AC26" i="46" s="1"/>
  <c r="Z26" i="46"/>
  <c r="R26" i="46"/>
  <c r="T26" i="46" s="1"/>
  <c r="U26" i="46" s="1"/>
  <c r="D26" i="46"/>
  <c r="C26" i="46" s="1"/>
  <c r="BL25" i="46"/>
  <c r="BM25" i="46" s="1"/>
  <c r="BN25" i="46" s="1"/>
  <c r="BA25" i="46"/>
  <c r="BE25" i="46" s="1"/>
  <c r="BF25" i="46" s="1"/>
  <c r="AZ25" i="46"/>
  <c r="AR25" i="46"/>
  <c r="AQ25" i="46" s="1"/>
  <c r="AA25" i="46"/>
  <c r="AA10" i="46" s="1"/>
  <c r="AA9" i="46" s="1"/>
  <c r="V25" i="46"/>
  <c r="S25" i="46"/>
  <c r="T25" i="46" s="1"/>
  <c r="U25" i="46" s="1"/>
  <c r="D25" i="46"/>
  <c r="C25" i="46" s="1"/>
  <c r="BL24" i="46"/>
  <c r="BM24" i="46" s="1"/>
  <c r="BE24" i="46"/>
  <c r="BF24" i="46" s="1"/>
  <c r="BG24" i="46" s="1"/>
  <c r="AR24" i="46"/>
  <c r="AQ24" i="46" s="1"/>
  <c r="Z24" i="46"/>
  <c r="R24" i="46"/>
  <c r="T24" i="46" s="1"/>
  <c r="U24" i="46" s="1"/>
  <c r="D24" i="46"/>
  <c r="C24" i="46" s="1"/>
  <c r="BL23" i="46"/>
  <c r="BM23" i="46" s="1"/>
  <c r="BJ23" i="46"/>
  <c r="BA23" i="46"/>
  <c r="BE23" i="46" s="1"/>
  <c r="BF23" i="46" s="1"/>
  <c r="AZ23" i="46"/>
  <c r="AR23" i="46"/>
  <c r="AQ23" i="46" s="1"/>
  <c r="Z23" i="46"/>
  <c r="T23" i="46"/>
  <c r="U23" i="46" s="1"/>
  <c r="D23" i="46"/>
  <c r="C23" i="46" s="1"/>
  <c r="BL22" i="46"/>
  <c r="BM22" i="46" s="1"/>
  <c r="BE22" i="46"/>
  <c r="BF22" i="46" s="1"/>
  <c r="BG22" i="46" s="1"/>
  <c r="AR22" i="46"/>
  <c r="AQ22" i="46" s="1"/>
  <c r="Z22" i="46"/>
  <c r="R22" i="46"/>
  <c r="T22" i="46" s="1"/>
  <c r="U22" i="46" s="1"/>
  <c r="D22" i="46"/>
  <c r="C22" i="46" s="1"/>
  <c r="BJ21" i="46"/>
  <c r="BH21" i="46"/>
  <c r="BL21" i="46" s="1"/>
  <c r="BM21" i="46" s="1"/>
  <c r="BE21" i="46"/>
  <c r="BF21" i="46" s="1"/>
  <c r="AZ21" i="46"/>
  <c r="AR21" i="46"/>
  <c r="AQ21" i="46" s="1"/>
  <c r="AB21" i="46"/>
  <c r="AC21" i="46" s="1"/>
  <c r="Z21" i="46"/>
  <c r="R21" i="46"/>
  <c r="T21" i="46" s="1"/>
  <c r="U21" i="46" s="1"/>
  <c r="D21" i="46"/>
  <c r="C21" i="46" s="1"/>
  <c r="BL20" i="46"/>
  <c r="BM20" i="46" s="1"/>
  <c r="BN20" i="46" s="1"/>
  <c r="BE20" i="46"/>
  <c r="BF20" i="46" s="1"/>
  <c r="BG20" i="46" s="1"/>
  <c r="AR20" i="46"/>
  <c r="AQ20" i="46" s="1"/>
  <c r="Z20" i="46"/>
  <c r="R20" i="46"/>
  <c r="T20" i="46" s="1"/>
  <c r="D20" i="46"/>
  <c r="C20" i="46" s="1"/>
  <c r="BH19" i="46"/>
  <c r="BE19" i="46"/>
  <c r="BF19" i="46" s="1"/>
  <c r="AZ19" i="46"/>
  <c r="AR19" i="46"/>
  <c r="AQ19" i="46" s="1"/>
  <c r="AB19" i="46"/>
  <c r="AC19" i="46" s="1"/>
  <c r="AD19" i="46" s="1"/>
  <c r="Z19" i="46"/>
  <c r="T19" i="46"/>
  <c r="U19" i="46" s="1"/>
  <c r="D19" i="46"/>
  <c r="C19" i="46" s="1"/>
  <c r="BH18" i="46"/>
  <c r="BA18" i="46"/>
  <c r="AZ18" i="46"/>
  <c r="AR18" i="46"/>
  <c r="AQ18" i="46" s="1"/>
  <c r="Z18" i="46"/>
  <c r="D18" i="46"/>
  <c r="C18" i="46" s="1"/>
  <c r="BI17" i="46"/>
  <c r="BI10" i="46" s="1"/>
  <c r="BH17" i="46"/>
  <c r="BL17" i="46" s="1"/>
  <c r="BM17" i="46" s="1"/>
  <c r="BA17" i="46"/>
  <c r="BE17" i="46" s="1"/>
  <c r="BF17" i="46" s="1"/>
  <c r="AZ17" i="46"/>
  <c r="AR17" i="46"/>
  <c r="AQ17" i="46" s="1"/>
  <c r="Z17" i="46"/>
  <c r="T17" i="46"/>
  <c r="O17" i="46"/>
  <c r="O10" i="46" s="1"/>
  <c r="O9" i="46" s="1"/>
  <c r="N17" i="46"/>
  <c r="N10" i="46" s="1"/>
  <c r="N9" i="46" s="1"/>
  <c r="M17" i="46"/>
  <c r="M10" i="46" s="1"/>
  <c r="M9" i="46" s="1"/>
  <c r="D17" i="46"/>
  <c r="C17" i="46" s="1"/>
  <c r="BL16" i="46"/>
  <c r="BM16" i="46" s="1"/>
  <c r="BN16" i="46" s="1"/>
  <c r="BA16" i="46"/>
  <c r="BE16" i="46" s="1"/>
  <c r="BF16" i="46" s="1"/>
  <c r="AZ16" i="46"/>
  <c r="AR16" i="46"/>
  <c r="AQ16" i="46" s="1"/>
  <c r="Z16" i="46"/>
  <c r="Y16" i="46" s="1"/>
  <c r="AB16" i="46" s="1"/>
  <c r="W16" i="46"/>
  <c r="T16" i="46"/>
  <c r="U16" i="46" s="1"/>
  <c r="D16" i="46"/>
  <c r="C16" i="46" s="1"/>
  <c r="BN15" i="46"/>
  <c r="BG15" i="46"/>
  <c r="BE15" i="46"/>
  <c r="Z15" i="46"/>
  <c r="Y15" i="46" s="1"/>
  <c r="AB15" i="46" s="1"/>
  <c r="AC15" i="46" s="1"/>
  <c r="R15" i="46"/>
  <c r="T15" i="46" s="1"/>
  <c r="U15" i="46" s="1"/>
  <c r="BH14" i="46"/>
  <c r="BL14" i="46" s="1"/>
  <c r="BM14" i="46" s="1"/>
  <c r="BA14" i="46"/>
  <c r="AZ14" i="46"/>
  <c r="AR14" i="46"/>
  <c r="AQ14" i="46" s="1"/>
  <c r="AB14" i="46"/>
  <c r="V14" i="46"/>
  <c r="D14" i="46"/>
  <c r="C14" i="46" s="1"/>
  <c r="BH13" i="46"/>
  <c r="BA13" i="46"/>
  <c r="BE13" i="46" s="1"/>
  <c r="BF13" i="46" s="1"/>
  <c r="AZ13" i="46"/>
  <c r="AR13" i="46"/>
  <c r="AQ13" i="46" s="1"/>
  <c r="V13" i="46"/>
  <c r="Z13" i="46" s="1"/>
  <c r="T13" i="46"/>
  <c r="U13" i="46" s="1"/>
  <c r="D13" i="46"/>
  <c r="C13" i="46" s="1"/>
  <c r="BH12" i="46"/>
  <c r="BL12" i="46" s="1"/>
  <c r="BM12" i="46" s="1"/>
  <c r="BA12" i="46"/>
  <c r="R12" i="46" s="1"/>
  <c r="T12" i="46" s="1"/>
  <c r="U12" i="46" s="1"/>
  <c r="AZ12" i="46"/>
  <c r="AR12" i="46"/>
  <c r="AQ12" i="46" s="1"/>
  <c r="AB12" i="46"/>
  <c r="V12" i="46"/>
  <c r="Z12" i="46" s="1"/>
  <c r="D12" i="46"/>
  <c r="C12" i="46" s="1"/>
  <c r="BO11" i="46"/>
  <c r="BO10" i="46" s="1"/>
  <c r="BO9" i="46" s="1"/>
  <c r="BH11" i="46"/>
  <c r="BL11" i="46" s="1"/>
  <c r="BA11" i="46"/>
  <c r="BE11" i="46" s="1"/>
  <c r="BF11" i="46" s="1"/>
  <c r="AZ11" i="46"/>
  <c r="AR11" i="46"/>
  <c r="V11" i="46"/>
  <c r="R11" i="46"/>
  <c r="T11" i="46" s="1"/>
  <c r="U11" i="46" s="1"/>
  <c r="D11" i="46"/>
  <c r="C11" i="46" s="1"/>
  <c r="BW10" i="46"/>
  <c r="BW9" i="46" s="1"/>
  <c r="BV10" i="46"/>
  <c r="BV9" i="46" s="1"/>
  <c r="BU10" i="46"/>
  <c r="BU9" i="46" s="1"/>
  <c r="BT10" i="46"/>
  <c r="BT9" i="46" s="1"/>
  <c r="BS10" i="46"/>
  <c r="BS9" i="46" s="1"/>
  <c r="BR10" i="46"/>
  <c r="BR9" i="46" s="1"/>
  <c r="BQ10" i="46"/>
  <c r="BQ9" i="46" s="1"/>
  <c r="BP10" i="46"/>
  <c r="BP9" i="46" s="1"/>
  <c r="BK10" i="46"/>
  <c r="BK9" i="46" s="1"/>
  <c r="BD10" i="46"/>
  <c r="BD9" i="46" s="1"/>
  <c r="BC10" i="46"/>
  <c r="BC9" i="46" s="1"/>
  <c r="BC8" i="46" s="1"/>
  <c r="BB10" i="46"/>
  <c r="BB9" i="46" s="1"/>
  <c r="AX10" i="46"/>
  <c r="AX9" i="46" s="1"/>
  <c r="AW10" i="46"/>
  <c r="AW9" i="46" s="1"/>
  <c r="AV10" i="46"/>
  <c r="AV9" i="46" s="1"/>
  <c r="AU10" i="46"/>
  <c r="AU9" i="46" s="1"/>
  <c r="AT10" i="46"/>
  <c r="AT9" i="46" s="1"/>
  <c r="AS10" i="46"/>
  <c r="AS9" i="46" s="1"/>
  <c r="AM10" i="46"/>
  <c r="AM9" i="46" s="1"/>
  <c r="AL10" i="46"/>
  <c r="AL9" i="46" s="1"/>
  <c r="AK10" i="46"/>
  <c r="AK9" i="46" s="1"/>
  <c r="AG10" i="46"/>
  <c r="AG9" i="46" s="1"/>
  <c r="AF10" i="46"/>
  <c r="AF9" i="46" s="1"/>
  <c r="X10" i="46"/>
  <c r="X9" i="46" s="1"/>
  <c r="W10" i="46"/>
  <c r="W9" i="46" s="1"/>
  <c r="Q10" i="46"/>
  <c r="Q9" i="46" s="1"/>
  <c r="P10" i="46"/>
  <c r="P9" i="46" s="1"/>
  <c r="J10" i="46"/>
  <c r="J9" i="46" s="1"/>
  <c r="I10" i="46"/>
  <c r="I9" i="46" s="1"/>
  <c r="H10" i="46"/>
  <c r="H9" i="46" s="1"/>
  <c r="G10" i="46"/>
  <c r="G9" i="46" s="1"/>
  <c r="F10" i="46"/>
  <c r="F9" i="46" s="1"/>
  <c r="E10" i="46"/>
  <c r="E9" i="46" s="1"/>
  <c r="AJ9" i="46"/>
  <c r="AI9" i="46"/>
  <c r="AH9" i="46"/>
  <c r="AE9" i="46"/>
  <c r="F32" i="43"/>
  <c r="F31" i="43"/>
  <c r="F30" i="43"/>
  <c r="Y192" i="45"/>
  <c r="R191" i="45"/>
  <c r="C191" i="45" s="1"/>
  <c r="Y191" i="45" s="1"/>
  <c r="R190" i="45"/>
  <c r="C190" i="45" s="1"/>
  <c r="Y190" i="45" s="1"/>
  <c r="R189" i="45"/>
  <c r="U188" i="45"/>
  <c r="P187" i="45"/>
  <c r="D187" i="45"/>
  <c r="P186" i="45"/>
  <c r="D186" i="45"/>
  <c r="P185" i="45"/>
  <c r="D185" i="45"/>
  <c r="D184" i="45"/>
  <c r="C184" i="45" s="1"/>
  <c r="Y184" i="45" s="1"/>
  <c r="Q183" i="45"/>
  <c r="D183" i="45"/>
  <c r="Q182" i="45"/>
  <c r="D182" i="45"/>
  <c r="Q181" i="45"/>
  <c r="D181" i="45"/>
  <c r="Q180" i="45"/>
  <c r="D180" i="45"/>
  <c r="Q179" i="45"/>
  <c r="D179" i="45"/>
  <c r="Q178" i="45"/>
  <c r="P178" i="45"/>
  <c r="D178" i="45"/>
  <c r="U177" i="45"/>
  <c r="R177" i="45"/>
  <c r="O177" i="45"/>
  <c r="N177" i="45"/>
  <c r="M177" i="45"/>
  <c r="L177" i="45"/>
  <c r="K177" i="45"/>
  <c r="J177" i="45"/>
  <c r="I177" i="45"/>
  <c r="H177" i="45"/>
  <c r="G177" i="45"/>
  <c r="F177" i="45"/>
  <c r="E177" i="45"/>
  <c r="U176" i="45"/>
  <c r="P176" i="45"/>
  <c r="D176" i="45"/>
  <c r="U175" i="45"/>
  <c r="P175" i="45"/>
  <c r="D175" i="45"/>
  <c r="U174" i="45"/>
  <c r="P174" i="45"/>
  <c r="D174" i="45"/>
  <c r="U173" i="45"/>
  <c r="P173" i="45"/>
  <c r="D173" i="45"/>
  <c r="U172" i="45"/>
  <c r="P172" i="45"/>
  <c r="D172" i="45"/>
  <c r="U171" i="45"/>
  <c r="P171" i="45"/>
  <c r="D171" i="45"/>
  <c r="U170" i="45"/>
  <c r="P170" i="45"/>
  <c r="D170" i="45"/>
  <c r="U169" i="45"/>
  <c r="P169" i="45"/>
  <c r="D169" i="45"/>
  <c r="R168" i="45"/>
  <c r="C168" i="45" s="1"/>
  <c r="Y168" i="45" s="1"/>
  <c r="U167" i="45"/>
  <c r="P167" i="45"/>
  <c r="D167" i="45"/>
  <c r="U166" i="45"/>
  <c r="P166" i="45"/>
  <c r="D166" i="45"/>
  <c r="D165" i="45"/>
  <c r="C165" i="45" s="1"/>
  <c r="Y165" i="45" s="1"/>
  <c r="P164" i="45"/>
  <c r="P163" i="45" s="1"/>
  <c r="L164" i="45"/>
  <c r="L163" i="45" s="1"/>
  <c r="D164" i="45"/>
  <c r="U163" i="45"/>
  <c r="R163" i="45"/>
  <c r="Q163" i="45"/>
  <c r="O163" i="45"/>
  <c r="N163" i="45"/>
  <c r="M163" i="45"/>
  <c r="K163" i="45"/>
  <c r="J163" i="45"/>
  <c r="I163" i="45"/>
  <c r="H163" i="45"/>
  <c r="G163" i="45"/>
  <c r="F163" i="45"/>
  <c r="E163" i="45"/>
  <c r="P162" i="45"/>
  <c r="C162" i="45" s="1"/>
  <c r="Y162" i="45" s="1"/>
  <c r="D161" i="45"/>
  <c r="P160" i="45"/>
  <c r="P159" i="45" s="1"/>
  <c r="L160" i="45"/>
  <c r="D160" i="45"/>
  <c r="U159" i="45"/>
  <c r="O159" i="45"/>
  <c r="N159" i="45"/>
  <c r="M159" i="45"/>
  <c r="K159" i="45"/>
  <c r="J159" i="45"/>
  <c r="I159" i="45"/>
  <c r="H159" i="45"/>
  <c r="G159" i="45"/>
  <c r="F159" i="45"/>
  <c r="E159" i="45"/>
  <c r="P158" i="45"/>
  <c r="D158" i="45"/>
  <c r="P157" i="45"/>
  <c r="L157" i="45"/>
  <c r="L156" i="45" s="1"/>
  <c r="D157" i="45"/>
  <c r="U156" i="45"/>
  <c r="R156" i="45"/>
  <c r="Q156" i="45"/>
  <c r="O156" i="45"/>
  <c r="N156" i="45"/>
  <c r="M156" i="45"/>
  <c r="K156" i="45"/>
  <c r="J156" i="45"/>
  <c r="I156" i="45"/>
  <c r="H156" i="45"/>
  <c r="G156" i="45"/>
  <c r="F156" i="45"/>
  <c r="E156" i="45"/>
  <c r="P155" i="45"/>
  <c r="D155" i="45"/>
  <c r="P154" i="45"/>
  <c r="L154" i="45"/>
  <c r="L153" i="45" s="1"/>
  <c r="D154" i="45"/>
  <c r="U153" i="45"/>
  <c r="O153" i="45"/>
  <c r="N153" i="45"/>
  <c r="M153" i="45"/>
  <c r="K153" i="45"/>
  <c r="J153" i="45"/>
  <c r="I153" i="45"/>
  <c r="H153" i="45"/>
  <c r="G153" i="45"/>
  <c r="F153" i="45"/>
  <c r="E153" i="45"/>
  <c r="M152" i="45"/>
  <c r="M150" i="45" s="1"/>
  <c r="L152" i="45"/>
  <c r="L150" i="45" s="1"/>
  <c r="D152" i="45"/>
  <c r="P151" i="45"/>
  <c r="P150" i="45" s="1"/>
  <c r="D151" i="45"/>
  <c r="U150" i="45"/>
  <c r="R150" i="45"/>
  <c r="Q150" i="45"/>
  <c r="O150" i="45"/>
  <c r="N150" i="45"/>
  <c r="K150" i="45"/>
  <c r="J150" i="45"/>
  <c r="I150" i="45"/>
  <c r="H150" i="45"/>
  <c r="G150" i="45"/>
  <c r="F150" i="45"/>
  <c r="E150" i="45"/>
  <c r="U149" i="45"/>
  <c r="P149" i="45"/>
  <c r="D149" i="45"/>
  <c r="M148" i="45"/>
  <c r="M145" i="45" s="1"/>
  <c r="D148" i="45"/>
  <c r="P147" i="45"/>
  <c r="D147" i="45"/>
  <c r="P146" i="45"/>
  <c r="D146" i="45"/>
  <c r="U145" i="45"/>
  <c r="R145" i="45"/>
  <c r="Q145" i="45"/>
  <c r="O145" i="45"/>
  <c r="N145" i="45"/>
  <c r="L145" i="45"/>
  <c r="K145" i="45"/>
  <c r="J145" i="45"/>
  <c r="I145" i="45"/>
  <c r="H145" i="45"/>
  <c r="G145" i="45"/>
  <c r="F145" i="45"/>
  <c r="E145" i="45"/>
  <c r="M144" i="45"/>
  <c r="D144" i="45"/>
  <c r="M143" i="45"/>
  <c r="D143" i="45"/>
  <c r="P142" i="45"/>
  <c r="D142" i="45"/>
  <c r="P141" i="45"/>
  <c r="D141" i="45"/>
  <c r="U140" i="45"/>
  <c r="R140" i="45"/>
  <c r="Q140" i="45"/>
  <c r="O140" i="45"/>
  <c r="N140" i="45"/>
  <c r="L140" i="45"/>
  <c r="K140" i="45"/>
  <c r="J140" i="45"/>
  <c r="I140" i="45"/>
  <c r="H140" i="45"/>
  <c r="G140" i="45"/>
  <c r="F140" i="45"/>
  <c r="E140" i="45"/>
  <c r="U139" i="45"/>
  <c r="P139" i="45"/>
  <c r="D139" i="45"/>
  <c r="N138" i="45"/>
  <c r="M138" i="45" s="1"/>
  <c r="D138" i="45"/>
  <c r="P137" i="45"/>
  <c r="M137" i="45"/>
  <c r="D137" i="45"/>
  <c r="P136" i="45"/>
  <c r="M136" i="45"/>
  <c r="D136" i="45"/>
  <c r="U135" i="45"/>
  <c r="R135" i="45"/>
  <c r="Q135" i="45"/>
  <c r="O135" i="45"/>
  <c r="L135" i="45"/>
  <c r="K135" i="45"/>
  <c r="J135" i="45"/>
  <c r="I135" i="45"/>
  <c r="H135" i="45"/>
  <c r="G135" i="45"/>
  <c r="F135" i="45"/>
  <c r="E135" i="45"/>
  <c r="P134" i="45"/>
  <c r="M134" i="45"/>
  <c r="D134" i="45"/>
  <c r="M133" i="45"/>
  <c r="D133" i="45"/>
  <c r="P132" i="45"/>
  <c r="M132" i="45"/>
  <c r="D132" i="45"/>
  <c r="U131" i="45"/>
  <c r="R131" i="45"/>
  <c r="Q131" i="45"/>
  <c r="O131" i="45"/>
  <c r="N131" i="45"/>
  <c r="L131" i="45"/>
  <c r="K131" i="45"/>
  <c r="J131" i="45"/>
  <c r="I131" i="45"/>
  <c r="H131" i="45"/>
  <c r="G131" i="45"/>
  <c r="F131" i="45"/>
  <c r="E131" i="45"/>
  <c r="R130" i="45"/>
  <c r="R128" i="45" s="1"/>
  <c r="D130" i="45"/>
  <c r="P129" i="45"/>
  <c r="P128" i="45" s="1"/>
  <c r="D129" i="45"/>
  <c r="U128" i="45"/>
  <c r="Q128" i="45"/>
  <c r="O128" i="45"/>
  <c r="N128" i="45"/>
  <c r="M128" i="45"/>
  <c r="L128" i="45"/>
  <c r="K128" i="45"/>
  <c r="J128" i="45"/>
  <c r="I128" i="45"/>
  <c r="H128" i="45"/>
  <c r="G128" i="45"/>
  <c r="F128" i="45"/>
  <c r="E128" i="45"/>
  <c r="M127" i="45"/>
  <c r="D127" i="45"/>
  <c r="M126" i="45"/>
  <c r="D126" i="45"/>
  <c r="P125" i="45"/>
  <c r="P124" i="45" s="1"/>
  <c r="D125" i="45"/>
  <c r="U124" i="45"/>
  <c r="R124" i="45"/>
  <c r="Q124" i="45"/>
  <c r="O124" i="45"/>
  <c r="N124" i="45"/>
  <c r="L124" i="45"/>
  <c r="K124" i="45"/>
  <c r="J124" i="45"/>
  <c r="I124" i="45"/>
  <c r="H124" i="45"/>
  <c r="G124" i="45"/>
  <c r="F124" i="45"/>
  <c r="E124" i="45"/>
  <c r="P123" i="45"/>
  <c r="D123" i="45"/>
  <c r="P122" i="45"/>
  <c r="D122" i="45"/>
  <c r="P121" i="45"/>
  <c r="C121" i="45" s="1"/>
  <c r="P120" i="45"/>
  <c r="D120" i="45"/>
  <c r="P119" i="45"/>
  <c r="D119" i="45"/>
  <c r="P118" i="45"/>
  <c r="D118" i="45"/>
  <c r="U117" i="45"/>
  <c r="R117" i="45"/>
  <c r="Q117" i="45"/>
  <c r="O117" i="45"/>
  <c r="N117" i="45"/>
  <c r="M117" i="45"/>
  <c r="L117" i="45"/>
  <c r="K117" i="45"/>
  <c r="J117" i="45"/>
  <c r="I117" i="45"/>
  <c r="H117" i="45"/>
  <c r="G117" i="45"/>
  <c r="F117" i="45"/>
  <c r="E117" i="45"/>
  <c r="R116" i="45"/>
  <c r="R114" i="45" s="1"/>
  <c r="D116" i="45"/>
  <c r="P115" i="45"/>
  <c r="D115" i="45"/>
  <c r="U114" i="45"/>
  <c r="Q114" i="45"/>
  <c r="P114" i="45"/>
  <c r="O114" i="45"/>
  <c r="N114" i="45"/>
  <c r="M114" i="45"/>
  <c r="L114" i="45"/>
  <c r="K114" i="45"/>
  <c r="J114" i="45"/>
  <c r="I114" i="45"/>
  <c r="H114" i="45"/>
  <c r="G114" i="45"/>
  <c r="F114" i="45"/>
  <c r="E114" i="45"/>
  <c r="U113" i="45"/>
  <c r="P113" i="45"/>
  <c r="D113" i="45"/>
  <c r="M112" i="45"/>
  <c r="D112" i="45"/>
  <c r="P111" i="45"/>
  <c r="D111" i="45"/>
  <c r="P110" i="45"/>
  <c r="D110" i="45"/>
  <c r="U109" i="45"/>
  <c r="R109" i="45"/>
  <c r="Q109" i="45"/>
  <c r="O109" i="45"/>
  <c r="N109" i="45"/>
  <c r="L109" i="45"/>
  <c r="K109" i="45"/>
  <c r="J109" i="45"/>
  <c r="I109" i="45"/>
  <c r="H109" i="45"/>
  <c r="G109" i="45"/>
  <c r="F109" i="45"/>
  <c r="E109" i="45"/>
  <c r="M108" i="45"/>
  <c r="C108" i="45" s="1"/>
  <c r="Y108" i="45" s="1"/>
  <c r="U107" i="45"/>
  <c r="P107" i="45"/>
  <c r="M107" i="45"/>
  <c r="D107" i="45"/>
  <c r="U106" i="45"/>
  <c r="P106" i="45"/>
  <c r="M106" i="45"/>
  <c r="D106" i="45"/>
  <c r="U105" i="45"/>
  <c r="D105" i="45"/>
  <c r="U104" i="45"/>
  <c r="P104" i="45"/>
  <c r="O104" i="45"/>
  <c r="M104" i="45" s="1"/>
  <c r="D104" i="45"/>
  <c r="U103" i="45"/>
  <c r="O103" i="45"/>
  <c r="M103" i="45" s="1"/>
  <c r="D103" i="45"/>
  <c r="U102" i="45"/>
  <c r="O102" i="45"/>
  <c r="M102" i="45" s="1"/>
  <c r="D102" i="45"/>
  <c r="U101" i="45"/>
  <c r="O101" i="45"/>
  <c r="M101" i="45" s="1"/>
  <c r="D101" i="45"/>
  <c r="U100" i="45"/>
  <c r="O100" i="45"/>
  <c r="M100" i="45" s="1"/>
  <c r="D100" i="45"/>
  <c r="U99" i="45"/>
  <c r="O99" i="45"/>
  <c r="M99" i="45" s="1"/>
  <c r="D99" i="45"/>
  <c r="U98" i="45"/>
  <c r="O98" i="45"/>
  <c r="M98" i="45" s="1"/>
  <c r="D98" i="45"/>
  <c r="U97" i="45"/>
  <c r="O97" i="45"/>
  <c r="M97" i="45" s="1"/>
  <c r="D97" i="45"/>
  <c r="U96" i="45"/>
  <c r="D96" i="45"/>
  <c r="U95" i="45"/>
  <c r="O95" i="45"/>
  <c r="M95" i="45" s="1"/>
  <c r="D95" i="45"/>
  <c r="U94" i="45"/>
  <c r="O94" i="45"/>
  <c r="M94" i="45" s="1"/>
  <c r="D94" i="45"/>
  <c r="W93" i="45"/>
  <c r="O93" i="45"/>
  <c r="M93" i="45" s="1"/>
  <c r="C93" i="45" s="1"/>
  <c r="Y93" i="45" s="1"/>
  <c r="U92" i="45"/>
  <c r="O92" i="45"/>
  <c r="M92" i="45" s="1"/>
  <c r="D92" i="45"/>
  <c r="U91" i="45"/>
  <c r="O91" i="45"/>
  <c r="M91" i="45" s="1"/>
  <c r="D91" i="45"/>
  <c r="U90" i="45"/>
  <c r="O90" i="45"/>
  <c r="D90" i="45"/>
  <c r="U89" i="45"/>
  <c r="O89" i="45"/>
  <c r="M89" i="45" s="1"/>
  <c r="D89" i="45"/>
  <c r="R88" i="45"/>
  <c r="Q88" i="45"/>
  <c r="N88" i="45"/>
  <c r="L88" i="45"/>
  <c r="K88" i="45"/>
  <c r="J88" i="45"/>
  <c r="I88" i="45"/>
  <c r="H88" i="45"/>
  <c r="G88" i="45"/>
  <c r="F88" i="45"/>
  <c r="E88" i="45"/>
  <c r="U87" i="45"/>
  <c r="N87" i="45"/>
  <c r="M87" i="45" s="1"/>
  <c r="D87" i="45"/>
  <c r="C86" i="45"/>
  <c r="Y86" i="45" s="1"/>
  <c r="M85" i="45"/>
  <c r="D85" i="45"/>
  <c r="M84" i="45"/>
  <c r="D84" i="45"/>
  <c r="M83" i="45"/>
  <c r="D83" i="45"/>
  <c r="M82" i="45"/>
  <c r="D82" i="45"/>
  <c r="P81" i="45"/>
  <c r="P80" i="45" s="1"/>
  <c r="M81" i="45"/>
  <c r="L81" i="45"/>
  <c r="L80" i="45" s="1"/>
  <c r="D81" i="45"/>
  <c r="U80" i="45"/>
  <c r="R80" i="45"/>
  <c r="Q80" i="45"/>
  <c r="O80" i="45"/>
  <c r="N80" i="45"/>
  <c r="K80" i="45"/>
  <c r="J80" i="45"/>
  <c r="I80" i="45"/>
  <c r="H80" i="45"/>
  <c r="G80" i="45"/>
  <c r="F80" i="45"/>
  <c r="E80" i="45"/>
  <c r="U79" i="45"/>
  <c r="J79" i="45"/>
  <c r="D79" i="45"/>
  <c r="M78" i="45"/>
  <c r="D78" i="45"/>
  <c r="K77" i="45"/>
  <c r="K69" i="45" s="1"/>
  <c r="D77" i="45"/>
  <c r="D76" i="45"/>
  <c r="C76" i="45" s="1"/>
  <c r="Y76" i="45" s="1"/>
  <c r="I75" i="45"/>
  <c r="D75" i="45"/>
  <c r="I74" i="45"/>
  <c r="D74" i="45"/>
  <c r="I73" i="45"/>
  <c r="D73" i="45"/>
  <c r="I72" i="45"/>
  <c r="D72" i="45"/>
  <c r="I71" i="45"/>
  <c r="D71" i="45"/>
  <c r="P70" i="45"/>
  <c r="P69" i="45" s="1"/>
  <c r="I70" i="45"/>
  <c r="D70" i="45"/>
  <c r="U69" i="45"/>
  <c r="R69" i="45"/>
  <c r="Q69" i="45"/>
  <c r="O69" i="45"/>
  <c r="N69" i="45"/>
  <c r="L69" i="45"/>
  <c r="J69" i="45"/>
  <c r="H69" i="45"/>
  <c r="G69" i="45"/>
  <c r="F69" i="45"/>
  <c r="E69" i="45"/>
  <c r="U68" i="45"/>
  <c r="H68" i="45"/>
  <c r="D68" i="45"/>
  <c r="H67" i="45"/>
  <c r="D67" i="45"/>
  <c r="H65" i="45"/>
  <c r="C65" i="45" s="1"/>
  <c r="Y65" i="45" s="1"/>
  <c r="H64" i="45"/>
  <c r="C64" i="45" s="1"/>
  <c r="Y64" i="45" s="1"/>
  <c r="H63" i="45"/>
  <c r="C63" i="45" s="1"/>
  <c r="Y63" i="45" s="1"/>
  <c r="H62" i="45"/>
  <c r="C62" i="45" s="1"/>
  <c r="Y62" i="45" s="1"/>
  <c r="H60" i="45"/>
  <c r="C60" i="45" s="1"/>
  <c r="Y60" i="45" s="1"/>
  <c r="H59" i="45"/>
  <c r="C59" i="45" s="1"/>
  <c r="Y59" i="45" s="1"/>
  <c r="H58" i="45"/>
  <c r="C58" i="45" s="1"/>
  <c r="Y58" i="45" s="1"/>
  <c r="H57" i="45"/>
  <c r="C57" i="45" s="1"/>
  <c r="Y57" i="45" s="1"/>
  <c r="H55" i="45"/>
  <c r="C55" i="45" s="1"/>
  <c r="Y55" i="45" s="1"/>
  <c r="H54" i="45"/>
  <c r="C54" i="45" s="1"/>
  <c r="Y54" i="45" s="1"/>
  <c r="H53" i="45"/>
  <c r="C53" i="45" s="1"/>
  <c r="Y53" i="45" s="1"/>
  <c r="D52" i="45"/>
  <c r="C52" i="45" s="1"/>
  <c r="Y52" i="45" s="1"/>
  <c r="P51" i="45"/>
  <c r="C51" i="45" s="1"/>
  <c r="Y51" i="45" s="1"/>
  <c r="H50" i="45"/>
  <c r="C50" i="45" s="1"/>
  <c r="Y50" i="45" s="1"/>
  <c r="H49" i="45"/>
  <c r="C49" i="45" s="1"/>
  <c r="Y49" i="45" s="1"/>
  <c r="H48" i="45"/>
  <c r="C48" i="45" s="1"/>
  <c r="Y48" i="45" s="1"/>
  <c r="H47" i="45"/>
  <c r="D47" i="45"/>
  <c r="H46" i="45"/>
  <c r="D46" i="45"/>
  <c r="H45" i="45"/>
  <c r="C45" i="45" s="1"/>
  <c r="Y45" i="45" s="1"/>
  <c r="H44" i="45"/>
  <c r="C44" i="45" s="1"/>
  <c r="Y44" i="45" s="1"/>
  <c r="H43" i="45"/>
  <c r="C43" i="45" s="1"/>
  <c r="Y43" i="45" s="1"/>
  <c r="H42" i="45"/>
  <c r="D42" i="45"/>
  <c r="H41" i="45"/>
  <c r="D41" i="45"/>
  <c r="P40" i="45"/>
  <c r="P39" i="45" s="1"/>
  <c r="H40" i="45"/>
  <c r="D40" i="45"/>
  <c r="R39" i="45"/>
  <c r="Q39" i="45"/>
  <c r="O39" i="45"/>
  <c r="N39" i="45"/>
  <c r="M39" i="45"/>
  <c r="L39" i="45"/>
  <c r="K39" i="45"/>
  <c r="J39" i="45"/>
  <c r="I39" i="45"/>
  <c r="G39" i="45"/>
  <c r="F39" i="45"/>
  <c r="E39" i="45"/>
  <c r="E38" i="45"/>
  <c r="C38" i="45" s="1"/>
  <c r="Y38" i="45" s="1"/>
  <c r="P37" i="45"/>
  <c r="D37" i="45"/>
  <c r="E36" i="45"/>
  <c r="D36" i="45"/>
  <c r="E35" i="45"/>
  <c r="D35" i="45"/>
  <c r="E34" i="45"/>
  <c r="D34" i="45"/>
  <c r="E33" i="45"/>
  <c r="D33" i="45"/>
  <c r="E32" i="45"/>
  <c r="C32" i="45" s="1"/>
  <c r="Y32" i="45" s="1"/>
  <c r="P31" i="45"/>
  <c r="E31" i="45"/>
  <c r="U30" i="45"/>
  <c r="R30" i="45"/>
  <c r="Q30" i="45"/>
  <c r="O30" i="45"/>
  <c r="N30" i="45"/>
  <c r="M30" i="45"/>
  <c r="L30" i="45"/>
  <c r="K30" i="45"/>
  <c r="J30" i="45"/>
  <c r="I30" i="45"/>
  <c r="H30" i="45"/>
  <c r="G30" i="45"/>
  <c r="F30" i="45"/>
  <c r="U29" i="45"/>
  <c r="D29" i="45"/>
  <c r="C29" i="45" s="1"/>
  <c r="U28" i="45"/>
  <c r="D28" i="45"/>
  <c r="C28" i="45" s="1"/>
  <c r="Y28" i="45" s="1"/>
  <c r="U27" i="45"/>
  <c r="D27" i="45"/>
  <c r="C27" i="45" s="1"/>
  <c r="Y27" i="45" s="1"/>
  <c r="D26" i="45"/>
  <c r="C26" i="45" s="1"/>
  <c r="Y26" i="45" s="1"/>
  <c r="D25" i="45"/>
  <c r="C25" i="45" s="1"/>
  <c r="Y25" i="45" s="1"/>
  <c r="U24" i="45"/>
  <c r="R24" i="45"/>
  <c r="Q24" i="45"/>
  <c r="P24" i="45"/>
  <c r="O24" i="45"/>
  <c r="N24" i="45"/>
  <c r="M24" i="45"/>
  <c r="L24" i="45"/>
  <c r="K24" i="45"/>
  <c r="J24" i="45"/>
  <c r="I24" i="45"/>
  <c r="H24" i="45"/>
  <c r="G24" i="45"/>
  <c r="F24" i="45"/>
  <c r="E24" i="45"/>
  <c r="U23" i="45"/>
  <c r="D23" i="45"/>
  <c r="C23" i="45" s="1"/>
  <c r="D22" i="45"/>
  <c r="C22" i="45" s="1"/>
  <c r="Y22" i="45" s="1"/>
  <c r="P21" i="45"/>
  <c r="D21" i="45"/>
  <c r="P20" i="45"/>
  <c r="C20" i="45" s="1"/>
  <c r="Y20" i="45" s="1"/>
  <c r="D19" i="45"/>
  <c r="U18" i="45"/>
  <c r="R18" i="45"/>
  <c r="Q18" i="45"/>
  <c r="O18" i="45"/>
  <c r="N18" i="45"/>
  <c r="M18" i="45"/>
  <c r="L18" i="45"/>
  <c r="K18" i="45"/>
  <c r="J18" i="45"/>
  <c r="I18" i="45"/>
  <c r="H18" i="45"/>
  <c r="G18" i="45"/>
  <c r="F18" i="45"/>
  <c r="E18" i="45"/>
  <c r="X16" i="45"/>
  <c r="D14" i="45"/>
  <c r="E14" i="45" s="1"/>
  <c r="F14" i="45" s="1"/>
  <c r="G14" i="45" s="1"/>
  <c r="H14" i="45" s="1"/>
  <c r="I14" i="45" s="1"/>
  <c r="J14" i="45" s="1"/>
  <c r="K14" i="45" s="1"/>
  <c r="L14" i="45" s="1"/>
  <c r="M14" i="45" s="1"/>
  <c r="N14" i="45" s="1"/>
  <c r="O14" i="45" s="1"/>
  <c r="P14" i="45" s="1"/>
  <c r="Q14" i="45" s="1"/>
  <c r="R14" i="45" s="1"/>
  <c r="I70" i="43" l="1"/>
  <c r="H70" i="43"/>
  <c r="I83" i="43"/>
  <c r="H83" i="43"/>
  <c r="I72" i="43"/>
  <c r="H72" i="43"/>
  <c r="Y74" i="46"/>
  <c r="X76" i="46"/>
  <c r="L110" i="46"/>
  <c r="K110" i="46" s="1"/>
  <c r="BJ180" i="46"/>
  <c r="BJ143" i="46" s="1"/>
  <c r="D16" i="36"/>
  <c r="F52" i="21"/>
  <c r="O54" i="36"/>
  <c r="E52" i="21"/>
  <c r="AY109" i="46"/>
  <c r="BB180" i="46"/>
  <c r="E91" i="42"/>
  <c r="C91" i="42" s="1"/>
  <c r="C57" i="46"/>
  <c r="H68" i="19"/>
  <c r="D14" i="19"/>
  <c r="M14" i="36" s="1"/>
  <c r="E16" i="23"/>
  <c r="F16" i="23"/>
  <c r="AY36" i="46"/>
  <c r="F76" i="46"/>
  <c r="H75" i="14"/>
  <c r="D72" i="14"/>
  <c r="D14" i="14"/>
  <c r="BQ135" i="46"/>
  <c r="BQ134" i="46" s="1"/>
  <c r="D72" i="16"/>
  <c r="K73" i="36" s="1"/>
  <c r="D14" i="16"/>
  <c r="F72" i="9"/>
  <c r="E72" i="9"/>
  <c r="BG13" i="46"/>
  <c r="AY20" i="46"/>
  <c r="BL60" i="46"/>
  <c r="C125" i="46"/>
  <c r="C124" i="46" s="1"/>
  <c r="G46" i="43"/>
  <c r="Y104" i="46"/>
  <c r="AB104" i="46" s="1"/>
  <c r="AC104" i="46" s="1"/>
  <c r="AD76" i="46"/>
  <c r="BB193" i="46"/>
  <c r="D55" i="23"/>
  <c r="I60" i="36"/>
  <c r="D60" i="36" s="1"/>
  <c r="G68" i="43" s="1"/>
  <c r="P156" i="45"/>
  <c r="I8" i="46"/>
  <c r="S10" i="46"/>
  <c r="S9" i="46" s="1"/>
  <c r="AG8" i="46"/>
  <c r="AW8" i="46"/>
  <c r="BV8" i="46"/>
  <c r="BI9" i="46"/>
  <c r="BI8" i="46" s="1"/>
  <c r="W8" i="46"/>
  <c r="AU93" i="46"/>
  <c r="AU91" i="46" s="1"/>
  <c r="BH127" i="46"/>
  <c r="BH126" i="46" s="1"/>
  <c r="Y142" i="46"/>
  <c r="AB142" i="46" s="1"/>
  <c r="AC142" i="46" s="1"/>
  <c r="L142" i="46" s="1"/>
  <c r="K142" i="46" s="1"/>
  <c r="U148" i="46"/>
  <c r="BN158" i="46"/>
  <c r="BN215" i="46"/>
  <c r="BN214" i="46" s="1"/>
  <c r="AY217" i="46"/>
  <c r="D52" i="14"/>
  <c r="I48" i="14" s="1"/>
  <c r="Y132" i="46"/>
  <c r="AB132" i="46" s="1"/>
  <c r="AC132" i="46" s="1"/>
  <c r="D10" i="23"/>
  <c r="H10" i="36"/>
  <c r="Y51" i="46"/>
  <c r="AB51" i="46" s="1"/>
  <c r="AC51" i="46" s="1"/>
  <c r="L51" i="46" s="1"/>
  <c r="K51" i="46" s="1"/>
  <c r="AY51" i="46"/>
  <c r="AS56" i="46"/>
  <c r="AW56" i="46"/>
  <c r="Y62" i="46"/>
  <c r="AB62" i="46" s="1"/>
  <c r="AC62" i="46" s="1"/>
  <c r="L62" i="46" s="1"/>
  <c r="K62" i="46" s="1"/>
  <c r="AY71" i="46"/>
  <c r="N93" i="46"/>
  <c r="N91" i="46" s="1"/>
  <c r="AS93" i="46"/>
  <c r="AS91" i="46" s="1"/>
  <c r="AS76" i="46" s="1"/>
  <c r="AY141" i="46"/>
  <c r="AR193" i="46"/>
  <c r="AQ193" i="46" s="1"/>
  <c r="E58" i="14"/>
  <c r="H56" i="46"/>
  <c r="AT95" i="46"/>
  <c r="AY111" i="46"/>
  <c r="BG130" i="46"/>
  <c r="AY130" i="46" s="1"/>
  <c r="BG131" i="46"/>
  <c r="AM144" i="46"/>
  <c r="AU8" i="46"/>
  <c r="E56" i="46"/>
  <c r="S57" i="46"/>
  <c r="AI56" i="46"/>
  <c r="L59" i="46"/>
  <c r="K59" i="46" s="1"/>
  <c r="Y129" i="46"/>
  <c r="AB129" i="46" s="1"/>
  <c r="X144" i="46"/>
  <c r="X143" i="46" s="1"/>
  <c r="AB164" i="46"/>
  <c r="L203" i="46"/>
  <c r="K203" i="46" s="1"/>
  <c r="AY207" i="46"/>
  <c r="BG213" i="46"/>
  <c r="L234" i="46"/>
  <c r="K234" i="46" s="1"/>
  <c r="L28" i="46"/>
  <c r="K28" i="46" s="1"/>
  <c r="Y64" i="46"/>
  <c r="AB64" i="46" s="1"/>
  <c r="AC64" i="46" s="1"/>
  <c r="AV56" i="46"/>
  <c r="Y73" i="46"/>
  <c r="C46" i="45"/>
  <c r="Y46" i="45" s="1"/>
  <c r="C72" i="45"/>
  <c r="Y72" i="45" s="1"/>
  <c r="L32" i="46"/>
  <c r="K32" i="46" s="1"/>
  <c r="T44" i="46"/>
  <c r="U44" i="46" s="1"/>
  <c r="AY64" i="46"/>
  <c r="G76" i="46"/>
  <c r="N76" i="46"/>
  <c r="BS76" i="46"/>
  <c r="BW76" i="46"/>
  <c r="BA93" i="46"/>
  <c r="BA91" i="46" s="1"/>
  <c r="BA76" i="46" s="1"/>
  <c r="BH93" i="46"/>
  <c r="BH91" i="46" s="1"/>
  <c r="BO93" i="46"/>
  <c r="BO91" i="46" s="1"/>
  <c r="AY113" i="46"/>
  <c r="H144" i="46"/>
  <c r="H143" i="46" s="1"/>
  <c r="BT144" i="46"/>
  <c r="BT143" i="46" s="1"/>
  <c r="Y162" i="46"/>
  <c r="AB162" i="46" s="1"/>
  <c r="AB160" i="46" s="1"/>
  <c r="L166" i="46"/>
  <c r="K166" i="46" s="1"/>
  <c r="R180" i="46"/>
  <c r="BN182" i="46"/>
  <c r="BN181" i="46" s="1"/>
  <c r="AY226" i="46"/>
  <c r="AY228" i="46"/>
  <c r="AY232" i="46"/>
  <c r="R270" i="46"/>
  <c r="BR56" i="46"/>
  <c r="BM96" i="46"/>
  <c r="BN96" i="46" s="1"/>
  <c r="BL95" i="46"/>
  <c r="L122" i="46"/>
  <c r="K122" i="46" s="1"/>
  <c r="G144" i="46"/>
  <c r="G143" i="46" s="1"/>
  <c r="R204" i="46"/>
  <c r="T204" i="46" s="1"/>
  <c r="U204" i="46" s="1"/>
  <c r="L204" i="46" s="1"/>
  <c r="K204" i="46" s="1"/>
  <c r="BA196" i="46"/>
  <c r="AK8" i="46"/>
  <c r="AC12" i="46"/>
  <c r="BN14" i="46"/>
  <c r="Y23" i="46"/>
  <c r="AB23" i="46" s="1"/>
  <c r="AC23" i="46" s="1"/>
  <c r="AD23" i="46" s="1"/>
  <c r="AJ56" i="46"/>
  <c r="Z57" i="46"/>
  <c r="BK56" i="46"/>
  <c r="H76" i="46"/>
  <c r="BG85" i="46"/>
  <c r="AY85" i="46" s="1"/>
  <c r="AW93" i="46"/>
  <c r="AW91" i="46" s="1"/>
  <c r="AW76" i="46" s="1"/>
  <c r="AY121" i="46"/>
  <c r="D126" i="46"/>
  <c r="C126" i="46" s="1"/>
  <c r="BL128" i="46"/>
  <c r="BM128" i="46" s="1"/>
  <c r="BG183" i="46"/>
  <c r="AY183" i="46" s="1"/>
  <c r="AZ181" i="46"/>
  <c r="AZ180" i="46" s="1"/>
  <c r="BG200" i="46"/>
  <c r="AY200" i="46" s="1"/>
  <c r="L38" i="46"/>
  <c r="K38" i="46" s="1"/>
  <c r="BC93" i="46"/>
  <c r="BC91" i="46" s="1"/>
  <c r="BC76" i="46" s="1"/>
  <c r="T161" i="46"/>
  <c r="T160" i="46" s="1"/>
  <c r="R160" i="46"/>
  <c r="C32" i="46"/>
  <c r="D30" i="46"/>
  <c r="BG108" i="46"/>
  <c r="AY108" i="46" s="1"/>
  <c r="BG133" i="46"/>
  <c r="AY133" i="46" s="1"/>
  <c r="Z136" i="46"/>
  <c r="Y136" i="46" s="1"/>
  <c r="AB136" i="46" s="1"/>
  <c r="V135" i="46"/>
  <c r="V134" i="46" s="1"/>
  <c r="BL137" i="46"/>
  <c r="BM137" i="46" s="1"/>
  <c r="BN137" i="46" s="1"/>
  <c r="AY137" i="46" s="1"/>
  <c r="BH135" i="46"/>
  <c r="BH134" i="46" s="1"/>
  <c r="AR180" i="46"/>
  <c r="AQ180" i="46" s="1"/>
  <c r="Y206" i="46"/>
  <c r="AB206" i="46" s="1"/>
  <c r="AC206" i="46" s="1"/>
  <c r="L206" i="46" s="1"/>
  <c r="K206" i="46" s="1"/>
  <c r="P18" i="49"/>
  <c r="I14" i="22"/>
  <c r="D14" i="22" s="1"/>
  <c r="P12" i="49"/>
  <c r="I14" i="15"/>
  <c r="P8" i="46"/>
  <c r="X8" i="46"/>
  <c r="AL8" i="46"/>
  <c r="BB8" i="46"/>
  <c r="BP8" i="46"/>
  <c r="BG17" i="46"/>
  <c r="BJ10" i="46"/>
  <c r="BJ9" i="46" s="1"/>
  <c r="BJ8" i="46" s="1"/>
  <c r="N8" i="46"/>
  <c r="L39" i="46"/>
  <c r="K39" i="46" s="1"/>
  <c r="E8" i="46"/>
  <c r="BG44" i="46"/>
  <c r="AY44" i="46" s="1"/>
  <c r="L53" i="46"/>
  <c r="K53" i="46" s="1"/>
  <c r="AG56" i="46"/>
  <c r="AK56" i="46"/>
  <c r="Y63" i="46"/>
  <c r="AB63" i="46" s="1"/>
  <c r="AC63" i="46" s="1"/>
  <c r="L63" i="46" s="1"/>
  <c r="K63" i="46" s="1"/>
  <c r="BN63" i="46"/>
  <c r="BG67" i="46"/>
  <c r="AY67" i="46" s="1"/>
  <c r="T72" i="46"/>
  <c r="I76" i="46"/>
  <c r="I236" i="46" s="1"/>
  <c r="F260" i="46" s="1"/>
  <c r="BG81" i="46"/>
  <c r="AY81" i="46" s="1"/>
  <c r="BD93" i="46"/>
  <c r="BD91" i="46" s="1"/>
  <c r="BD76" i="46" s="1"/>
  <c r="BK93" i="46"/>
  <c r="BK91" i="46" s="1"/>
  <c r="O93" i="46"/>
  <c r="O91" i="46" s="1"/>
  <c r="O76" i="46" s="1"/>
  <c r="L113" i="46"/>
  <c r="K113" i="46" s="1"/>
  <c r="F55" i="43" s="1"/>
  <c r="AY129" i="46"/>
  <c r="I144" i="46"/>
  <c r="I143" i="46" s="1"/>
  <c r="AZ145" i="46"/>
  <c r="Y152" i="46"/>
  <c r="AB152" i="46" s="1"/>
  <c r="AC152" i="46" s="1"/>
  <c r="L152" i="46" s="1"/>
  <c r="K152" i="46" s="1"/>
  <c r="BG190" i="46"/>
  <c r="L207" i="46"/>
  <c r="K207" i="46" s="1"/>
  <c r="BH214" i="46"/>
  <c r="L222" i="46"/>
  <c r="K222" i="46" s="1"/>
  <c r="AY231" i="46"/>
  <c r="P14" i="49"/>
  <c r="I14" i="17"/>
  <c r="D14" i="17" s="1"/>
  <c r="AV8" i="46"/>
  <c r="Y24" i="46"/>
  <c r="AB24" i="46" s="1"/>
  <c r="AC24" i="46" s="1"/>
  <c r="L24" i="46" s="1"/>
  <c r="K24" i="46" s="1"/>
  <c r="Z30" i="46"/>
  <c r="AY39" i="46"/>
  <c r="AA42" i="46"/>
  <c r="AA8" i="46" s="1"/>
  <c r="Y53" i="46"/>
  <c r="BQ56" i="46"/>
  <c r="Y72" i="46"/>
  <c r="AZ60" i="46"/>
  <c r="AZ56" i="46" s="1"/>
  <c r="AI76" i="46"/>
  <c r="BO76" i="46"/>
  <c r="M93" i="46"/>
  <c r="M91" i="46" s="1"/>
  <c r="Q93" i="46"/>
  <c r="Q91" i="46" s="1"/>
  <c r="Q76" i="46" s="1"/>
  <c r="BI93" i="46"/>
  <c r="BI91" i="46" s="1"/>
  <c r="BI76" i="46" s="1"/>
  <c r="AY105" i="46"/>
  <c r="D115" i="46"/>
  <c r="C115" i="46" s="1"/>
  <c r="BE146" i="46"/>
  <c r="BF146" i="46" s="1"/>
  <c r="BF145" i="46" s="1"/>
  <c r="L147" i="46"/>
  <c r="K147" i="46" s="1"/>
  <c r="E144" i="46"/>
  <c r="BS144" i="46"/>
  <c r="BS143" i="46" s="1"/>
  <c r="AZ150" i="46"/>
  <c r="L159" i="46"/>
  <c r="K159" i="46" s="1"/>
  <c r="T181" i="46"/>
  <c r="T180" i="46" s="1"/>
  <c r="BG185" i="46"/>
  <c r="AY206" i="46"/>
  <c r="L219" i="46"/>
  <c r="K219" i="46" s="1"/>
  <c r="P16" i="49"/>
  <c r="I14" i="20"/>
  <c r="D109" i="45"/>
  <c r="C122" i="45"/>
  <c r="Y122" i="45" s="1"/>
  <c r="D128" i="45"/>
  <c r="C128" i="45" s="1"/>
  <c r="Y17" i="46"/>
  <c r="AB17" i="46" s="1"/>
  <c r="AC17" i="46" s="1"/>
  <c r="AD17" i="46" s="1"/>
  <c r="L19" i="46"/>
  <c r="K19" i="46" s="1"/>
  <c r="AY28" i="46"/>
  <c r="K16" i="45"/>
  <c r="Q177" i="45"/>
  <c r="Q16" i="45" s="1"/>
  <c r="BE14" i="46"/>
  <c r="BF14" i="46" s="1"/>
  <c r="BG14" i="46" s="1"/>
  <c r="R14" i="46"/>
  <c r="T14" i="46" s="1"/>
  <c r="U14" i="46" s="1"/>
  <c r="BE18" i="46"/>
  <c r="BF18" i="46" s="1"/>
  <c r="BG18" i="46" s="1"/>
  <c r="R18" i="46"/>
  <c r="T18" i="46" s="1"/>
  <c r="U18" i="46" s="1"/>
  <c r="Z34" i="46"/>
  <c r="Z33" i="46" s="1"/>
  <c r="BU8" i="46"/>
  <c r="BL179" i="46"/>
  <c r="BM179" i="46" s="1"/>
  <c r="BN179" i="46" s="1"/>
  <c r="AY179" i="46" s="1"/>
  <c r="D153" i="45"/>
  <c r="R188" i="45"/>
  <c r="C188" i="45" s="1"/>
  <c r="Y188" i="45" s="1"/>
  <c r="BG16" i="46"/>
  <c r="AY16" i="46" s="1"/>
  <c r="L26" i="46"/>
  <c r="K26" i="46" s="1"/>
  <c r="AY29" i="46"/>
  <c r="AT34" i="46"/>
  <c r="AT33" i="46" s="1"/>
  <c r="S42" i="46"/>
  <c r="U46" i="46"/>
  <c r="AY52" i="46"/>
  <c r="L73" i="46"/>
  <c r="K73" i="46" s="1"/>
  <c r="Z84" i="46"/>
  <c r="AC84" i="46"/>
  <c r="R127" i="46"/>
  <c r="R126" i="46" s="1"/>
  <c r="AF144" i="46"/>
  <c r="AF143" i="46" s="1"/>
  <c r="AT144" i="46"/>
  <c r="AT143" i="46" s="1"/>
  <c r="AX144" i="46"/>
  <c r="AX143" i="46" s="1"/>
  <c r="R177" i="46"/>
  <c r="T177" i="46" s="1"/>
  <c r="U177" i="46" s="1"/>
  <c r="J8" i="46"/>
  <c r="AE8" i="46"/>
  <c r="BR8" i="46"/>
  <c r="AY32" i="46"/>
  <c r="AY73" i="46"/>
  <c r="E76" i="46"/>
  <c r="BA145" i="46"/>
  <c r="BM168" i="46"/>
  <c r="BM167" i="46" s="1"/>
  <c r="BL167" i="46"/>
  <c r="T194" i="46"/>
  <c r="T193" i="46" s="1"/>
  <c r="S193" i="46"/>
  <c r="H8" i="46"/>
  <c r="Q8" i="46"/>
  <c r="AH8" i="46"/>
  <c r="BQ8" i="46"/>
  <c r="BN23" i="46"/>
  <c r="Y49" i="46"/>
  <c r="AB49" i="46" s="1"/>
  <c r="AC49" i="46" s="1"/>
  <c r="L49" i="46" s="1"/>
  <c r="K49" i="46" s="1"/>
  <c r="N56" i="46"/>
  <c r="BF58" i="46"/>
  <c r="BF57" i="46" s="1"/>
  <c r="AY59" i="46"/>
  <c r="AY66" i="46"/>
  <c r="AY68" i="46"/>
  <c r="BS56" i="46"/>
  <c r="L74" i="46"/>
  <c r="K74" i="46" s="1"/>
  <c r="AY74" i="46"/>
  <c r="T88" i="46"/>
  <c r="U88" i="46" s="1"/>
  <c r="BR76" i="46"/>
  <c r="BV76" i="46"/>
  <c r="AA116" i="46"/>
  <c r="AA115" i="46" s="1"/>
  <c r="BJ116" i="46"/>
  <c r="BJ115" i="46" s="1"/>
  <c r="AZ127" i="46"/>
  <c r="AZ126" i="46" s="1"/>
  <c r="AG144" i="46"/>
  <c r="AG143" i="46" s="1"/>
  <c r="AK144" i="46"/>
  <c r="AK143" i="46" s="1"/>
  <c r="AV144" i="46"/>
  <c r="AV143" i="46" s="1"/>
  <c r="BG89" i="46"/>
  <c r="AY89" i="46" s="1"/>
  <c r="C98" i="46"/>
  <c r="Y106" i="46"/>
  <c r="AB106" i="46" s="1"/>
  <c r="AC106" i="46" s="1"/>
  <c r="L106" i="46" s="1"/>
  <c r="K106" i="46" s="1"/>
  <c r="Y120" i="46"/>
  <c r="AB120" i="46" s="1"/>
  <c r="AC120" i="46" s="1"/>
  <c r="L120" i="46" s="1"/>
  <c r="K120" i="46" s="1"/>
  <c r="T121" i="46"/>
  <c r="U121" i="46" s="1"/>
  <c r="L121" i="46" s="1"/>
  <c r="K121" i="46" s="1"/>
  <c r="AD144" i="46"/>
  <c r="AD143" i="46" s="1"/>
  <c r="AH144" i="46"/>
  <c r="AH143" i="46" s="1"/>
  <c r="AL144" i="46"/>
  <c r="AL143" i="46" s="1"/>
  <c r="Z164" i="46"/>
  <c r="Z167" i="46"/>
  <c r="BG172" i="46"/>
  <c r="O180" i="46"/>
  <c r="Y185" i="46"/>
  <c r="AB185" i="46" s="1"/>
  <c r="L188" i="46"/>
  <c r="K188" i="46" s="1"/>
  <c r="BE204" i="46"/>
  <c r="BF204" i="46" s="1"/>
  <c r="BG204" i="46" s="1"/>
  <c r="AY204" i="46" s="1"/>
  <c r="AA76" i="46"/>
  <c r="L85" i="46"/>
  <c r="K85" i="46" s="1"/>
  <c r="AQ88" i="46"/>
  <c r="AR115" i="46"/>
  <c r="AQ115" i="46" s="1"/>
  <c r="L132" i="46"/>
  <c r="K132" i="46" s="1"/>
  <c r="AY142" i="46"/>
  <c r="M144" i="46"/>
  <c r="M143" i="46" s="1"/>
  <c r="BJ144" i="46"/>
  <c r="BQ144" i="46"/>
  <c r="BU144" i="46"/>
  <c r="BU143" i="46" s="1"/>
  <c r="O144" i="46"/>
  <c r="O143" i="46" s="1"/>
  <c r="BK144" i="46"/>
  <c r="BO144" i="46"/>
  <c r="AJ144" i="46"/>
  <c r="AJ143" i="46" s="1"/>
  <c r="BW144" i="46"/>
  <c r="BW143" i="46" s="1"/>
  <c r="D180" i="46"/>
  <c r="AY188" i="46"/>
  <c r="BG199" i="46"/>
  <c r="AY220" i="46"/>
  <c r="AY223" i="46"/>
  <c r="U224" i="46"/>
  <c r="U19" i="49"/>
  <c r="N196" i="46"/>
  <c r="AY203" i="46"/>
  <c r="L220" i="46"/>
  <c r="K220" i="46" s="1"/>
  <c r="D224" i="46"/>
  <c r="O19" i="49"/>
  <c r="U190" i="46"/>
  <c r="AY218" i="46"/>
  <c r="AY222" i="46"/>
  <c r="L223" i="46"/>
  <c r="K223" i="46" s="1"/>
  <c r="L225" i="46"/>
  <c r="K225" i="46" s="1"/>
  <c r="U227" i="46"/>
  <c r="BN227" i="46"/>
  <c r="AY229" i="46"/>
  <c r="AY227" i="46" s="1"/>
  <c r="C33" i="45"/>
  <c r="Y33" i="45" s="1"/>
  <c r="C91" i="45"/>
  <c r="Y91" i="45" s="1"/>
  <c r="C41" i="45"/>
  <c r="Y41" i="45" s="1"/>
  <c r="W99" i="45"/>
  <c r="P88" i="45"/>
  <c r="C149" i="45"/>
  <c r="Y149" i="45" s="1"/>
  <c r="C89" i="45"/>
  <c r="Y89" i="45" s="1"/>
  <c r="C99" i="45"/>
  <c r="Y99" i="45" s="1"/>
  <c r="C116" i="45"/>
  <c r="Y116" i="45" s="1"/>
  <c r="C37" i="45"/>
  <c r="Y37" i="45" s="1"/>
  <c r="C42" i="45"/>
  <c r="Y42" i="45" s="1"/>
  <c r="C47" i="45"/>
  <c r="Y47" i="45" s="1"/>
  <c r="C74" i="45"/>
  <c r="Y74" i="45" s="1"/>
  <c r="D140" i="45"/>
  <c r="D69" i="45"/>
  <c r="C138" i="45"/>
  <c r="Y138" i="45" s="1"/>
  <c r="C77" i="45"/>
  <c r="Y77" i="45" s="1"/>
  <c r="P135" i="45"/>
  <c r="C146" i="45"/>
  <c r="Y146" i="45" s="1"/>
  <c r="C148" i="45"/>
  <c r="Y148" i="45" s="1"/>
  <c r="D163" i="45"/>
  <c r="C43" i="46"/>
  <c r="C42" i="46" s="1"/>
  <c r="D42" i="46"/>
  <c r="L66" i="46"/>
  <c r="K66" i="46" s="1"/>
  <c r="AY69" i="46"/>
  <c r="AC162" i="46"/>
  <c r="AC160" i="46" s="1"/>
  <c r="C97" i="45"/>
  <c r="Y97" i="45" s="1"/>
  <c r="C10" i="46"/>
  <c r="C9" i="46" s="1"/>
  <c r="BK8" i="46"/>
  <c r="Z60" i="46"/>
  <c r="Y65" i="46"/>
  <c r="AB65" i="46" s="1"/>
  <c r="AC65" i="46" s="1"/>
  <c r="L65" i="46" s="1"/>
  <c r="K65" i="46" s="1"/>
  <c r="BD56" i="46"/>
  <c r="BP56" i="46"/>
  <c r="BL84" i="46"/>
  <c r="BM84" i="46" s="1"/>
  <c r="BN84" i="46" s="1"/>
  <c r="L89" i="46"/>
  <c r="K89" i="46" s="1"/>
  <c r="AG76" i="46"/>
  <c r="AG235" i="46" s="1"/>
  <c r="BL161" i="46"/>
  <c r="BH160" i="46"/>
  <c r="BH144" i="46" s="1"/>
  <c r="BE194" i="46"/>
  <c r="BA193" i="46"/>
  <c r="C78" i="45"/>
  <c r="Y78" i="45" s="1"/>
  <c r="BL18" i="46"/>
  <c r="BM18" i="46" s="1"/>
  <c r="Y18" i="46" s="1"/>
  <c r="AB18" i="46" s="1"/>
  <c r="AC18" i="46" s="1"/>
  <c r="BN24" i="46"/>
  <c r="BO8" i="46"/>
  <c r="BA42" i="46"/>
  <c r="J56" i="46"/>
  <c r="P56" i="46"/>
  <c r="BI56" i="46"/>
  <c r="BU56" i="46"/>
  <c r="T57" i="46"/>
  <c r="U58" i="46"/>
  <c r="U57" i="46" s="1"/>
  <c r="BO56" i="46"/>
  <c r="V60" i="46"/>
  <c r="V56" i="46" s="1"/>
  <c r="AF56" i="46"/>
  <c r="BJ60" i="46"/>
  <c r="S69" i="46"/>
  <c r="T69" i="46" s="1"/>
  <c r="U69" i="46" s="1"/>
  <c r="Y70" i="46"/>
  <c r="AB70" i="46" s="1"/>
  <c r="AC70" i="46" s="1"/>
  <c r="AK76" i="46"/>
  <c r="BG86" i="46"/>
  <c r="AY86" i="46" s="1"/>
  <c r="BH116" i="46"/>
  <c r="BH115" i="46" s="1"/>
  <c r="BL117" i="46"/>
  <c r="BM117" i="46" s="1"/>
  <c r="BN117" i="46" s="1"/>
  <c r="Y118" i="46"/>
  <c r="AB118" i="46" s="1"/>
  <c r="AC118" i="46" s="1"/>
  <c r="BN118" i="46"/>
  <c r="AY118" i="46" s="1"/>
  <c r="T137" i="46"/>
  <c r="U137" i="46" s="1"/>
  <c r="R135" i="46"/>
  <c r="R134" i="46" s="1"/>
  <c r="BC144" i="46"/>
  <c r="BC143" i="46" s="1"/>
  <c r="BQ143" i="46"/>
  <c r="BL145" i="46"/>
  <c r="BM146" i="46"/>
  <c r="AY24" i="46"/>
  <c r="BL42" i="46"/>
  <c r="BM43" i="46"/>
  <c r="BN43" i="46" s="1"/>
  <c r="AR50" i="46"/>
  <c r="AQ50" i="46" s="1"/>
  <c r="AT42" i="46"/>
  <c r="Z56" i="46"/>
  <c r="AT56" i="46"/>
  <c r="Z79" i="46"/>
  <c r="V78" i="46"/>
  <c r="V77" i="46" s="1"/>
  <c r="V76" i="46" s="1"/>
  <c r="BN107" i="46"/>
  <c r="Y107" i="46"/>
  <c r="AB107" i="46" s="1"/>
  <c r="AC107" i="46" s="1"/>
  <c r="L107" i="46" s="1"/>
  <c r="K107" i="46" s="1"/>
  <c r="AC125" i="46"/>
  <c r="AC124" i="46" s="1"/>
  <c r="AB124" i="46"/>
  <c r="BE12" i="46"/>
  <c r="BF12" i="46" s="1"/>
  <c r="AC14" i="46"/>
  <c r="AI8" i="46"/>
  <c r="BE49" i="46"/>
  <c r="BF49" i="46" s="1"/>
  <c r="BG49" i="46" s="1"/>
  <c r="AY49" i="46" s="1"/>
  <c r="O56" i="46"/>
  <c r="BT56" i="46"/>
  <c r="AJ76" i="46"/>
  <c r="Y87" i="46"/>
  <c r="AB87" i="46" s="1"/>
  <c r="AC87" i="46" s="1"/>
  <c r="L87" i="46" s="1"/>
  <c r="K87" i="46" s="1"/>
  <c r="C116" i="46"/>
  <c r="BE149" i="46"/>
  <c r="BF149" i="46" s="1"/>
  <c r="BG149" i="46" s="1"/>
  <c r="AY149" i="46" s="1"/>
  <c r="R149" i="46"/>
  <c r="T149" i="46" s="1"/>
  <c r="U149" i="46" s="1"/>
  <c r="AY158" i="46"/>
  <c r="C68" i="45"/>
  <c r="Y68" i="45" s="1"/>
  <c r="C106" i="45"/>
  <c r="Y106" i="45" s="1"/>
  <c r="BN12" i="46"/>
  <c r="G16" i="45"/>
  <c r="D18" i="45"/>
  <c r="D17" i="45" s="1"/>
  <c r="C17" i="45" s="1"/>
  <c r="C126" i="45"/>
  <c r="Y126" i="45" s="1"/>
  <c r="C130" i="45"/>
  <c r="Y130" i="45" s="1"/>
  <c r="C139" i="45"/>
  <c r="Y139" i="45" s="1"/>
  <c r="BT8" i="46"/>
  <c r="G8" i="46"/>
  <c r="AX8" i="46"/>
  <c r="AC16" i="46"/>
  <c r="L16" i="46" s="1"/>
  <c r="K16" i="46" s="1"/>
  <c r="BG23" i="46"/>
  <c r="AY23" i="46" s="1"/>
  <c r="O8" i="46"/>
  <c r="V34" i="46"/>
  <c r="V33" i="46" s="1"/>
  <c r="L37" i="46"/>
  <c r="K37" i="46" s="1"/>
  <c r="Y46" i="46"/>
  <c r="AB46" i="46" s="1"/>
  <c r="AC46" i="46" s="1"/>
  <c r="Y50" i="46"/>
  <c r="AB50" i="46" s="1"/>
  <c r="AC50" i="46" s="1"/>
  <c r="L50" i="46" s="1"/>
  <c r="K50" i="46" s="1"/>
  <c r="Y69" i="46"/>
  <c r="AB69" i="46" s="1"/>
  <c r="AC69" i="46" s="1"/>
  <c r="Y75" i="46"/>
  <c r="AB75" i="46" s="1"/>
  <c r="AC75" i="46" s="1"/>
  <c r="L75" i="46" s="1"/>
  <c r="K75" i="46" s="1"/>
  <c r="J76" i="46"/>
  <c r="BG83" i="46"/>
  <c r="AY83" i="46" s="1"/>
  <c r="L104" i="46"/>
  <c r="K104" i="46" s="1"/>
  <c r="AY110" i="46"/>
  <c r="BL172" i="46"/>
  <c r="BM172" i="46" s="1"/>
  <c r="Y172" i="46" s="1"/>
  <c r="AB172" i="46" s="1"/>
  <c r="AC172" i="46" s="1"/>
  <c r="L172" i="46" s="1"/>
  <c r="K172" i="46" s="1"/>
  <c r="W97" i="45"/>
  <c r="W106" i="45"/>
  <c r="D117" i="45"/>
  <c r="C169" i="45"/>
  <c r="V169" i="45" s="1"/>
  <c r="AS8" i="46"/>
  <c r="BD8" i="46"/>
  <c r="L21" i="46"/>
  <c r="K21" i="46" s="1"/>
  <c r="C30" i="46"/>
  <c r="BE34" i="46"/>
  <c r="BE33" i="46" s="1"/>
  <c r="L41" i="46"/>
  <c r="K41" i="46" s="1"/>
  <c r="AD56" i="46"/>
  <c r="AH56" i="46"/>
  <c r="AL56" i="46"/>
  <c r="BV56" i="46"/>
  <c r="X56" i="46"/>
  <c r="AQ60" i="46"/>
  <c r="U72" i="46"/>
  <c r="W56" i="46"/>
  <c r="AV76" i="46"/>
  <c r="AU76" i="46"/>
  <c r="Y80" i="46"/>
  <c r="AB80" i="46" s="1"/>
  <c r="AC80" i="46" s="1"/>
  <c r="L80" i="46" s="1"/>
  <c r="K80" i="46" s="1"/>
  <c r="Y83" i="46"/>
  <c r="AB83" i="46" s="1"/>
  <c r="AC83" i="46" s="1"/>
  <c r="L83" i="46" s="1"/>
  <c r="K83" i="46" s="1"/>
  <c r="BG87" i="46"/>
  <c r="AY87" i="46" s="1"/>
  <c r="BB93" i="46"/>
  <c r="BB91" i="46" s="1"/>
  <c r="BB76" i="46" s="1"/>
  <c r="BF135" i="46"/>
  <c r="BF134" i="46" s="1"/>
  <c r="BG136" i="46"/>
  <c r="BG135" i="46" s="1"/>
  <c r="BG134" i="46" s="1"/>
  <c r="F16" i="45"/>
  <c r="J16" i="45"/>
  <c r="C71" i="45"/>
  <c r="Y71" i="45" s="1"/>
  <c r="C73" i="45"/>
  <c r="Y73" i="45" s="1"/>
  <c r="C75" i="45"/>
  <c r="Y75" i="45" s="1"/>
  <c r="W92" i="45"/>
  <c r="W100" i="45"/>
  <c r="W101" i="45"/>
  <c r="C107" i="45"/>
  <c r="Y107" i="45" s="1"/>
  <c r="D131" i="45"/>
  <c r="P145" i="45"/>
  <c r="C155" i="45"/>
  <c r="Y155" i="45" s="1"/>
  <c r="C158" i="45"/>
  <c r="Y158" i="45" s="1"/>
  <c r="C166" i="45"/>
  <c r="Y166" i="45" s="1"/>
  <c r="C172" i="45"/>
  <c r="Y172" i="45" s="1"/>
  <c r="C176" i="45"/>
  <c r="Y176" i="45" s="1"/>
  <c r="F8" i="46"/>
  <c r="M8" i="46"/>
  <c r="AF8" i="46"/>
  <c r="AJ8" i="46"/>
  <c r="BS8" i="46"/>
  <c r="BW8" i="46"/>
  <c r="AY15" i="46"/>
  <c r="BG21" i="46"/>
  <c r="D34" i="46"/>
  <c r="D33" i="46" s="1"/>
  <c r="L47" i="46"/>
  <c r="K47" i="46" s="1"/>
  <c r="L52" i="46"/>
  <c r="K52" i="46" s="1"/>
  <c r="AY53" i="46"/>
  <c r="AY54" i="46"/>
  <c r="AE56" i="46"/>
  <c r="BB56" i="46"/>
  <c r="BW56" i="46"/>
  <c r="G56" i="46"/>
  <c r="Y67" i="46"/>
  <c r="AB67" i="46" s="1"/>
  <c r="AC67" i="46" s="1"/>
  <c r="BN72" i="46"/>
  <c r="AH76" i="46"/>
  <c r="AL76" i="46"/>
  <c r="BN80" i="46"/>
  <c r="BG84" i="46"/>
  <c r="BN94" i="46"/>
  <c r="AY94" i="46" s="1"/>
  <c r="BJ93" i="46"/>
  <c r="BJ91" i="46" s="1"/>
  <c r="BJ76" i="46" s="1"/>
  <c r="BP93" i="46"/>
  <c r="BP91" i="46" s="1"/>
  <c r="BP76" i="46" s="1"/>
  <c r="Y97" i="46"/>
  <c r="AB97" i="46" s="1"/>
  <c r="AC97" i="46" s="1"/>
  <c r="L97" i="46" s="1"/>
  <c r="K97" i="46" s="1"/>
  <c r="R98" i="46"/>
  <c r="T98" i="46" s="1"/>
  <c r="U98" i="46" s="1"/>
  <c r="BM99" i="46"/>
  <c r="BN99" i="46" s="1"/>
  <c r="BN98" i="46" s="1"/>
  <c r="BL98" i="46"/>
  <c r="AY102" i="46"/>
  <c r="BG106" i="46"/>
  <c r="AY106" i="46" s="1"/>
  <c r="L114" i="46"/>
  <c r="K114" i="46" s="1"/>
  <c r="BA116" i="46"/>
  <c r="BA115" i="46" s="1"/>
  <c r="BE123" i="46"/>
  <c r="BF123" i="46" s="1"/>
  <c r="BG123" i="46" s="1"/>
  <c r="BP144" i="46"/>
  <c r="BP143" i="46" s="1"/>
  <c r="AR146" i="46"/>
  <c r="AQ146" i="46" s="1"/>
  <c r="AQ145" i="46" s="1"/>
  <c r="AS145" i="46"/>
  <c r="AS144" i="46" s="1"/>
  <c r="AS143" i="46" s="1"/>
  <c r="P93" i="46"/>
  <c r="P91" i="46" s="1"/>
  <c r="P76" i="46" s="1"/>
  <c r="BK76" i="46"/>
  <c r="BG107" i="46"/>
  <c r="L109" i="46"/>
  <c r="K109" i="46" s="1"/>
  <c r="AY114" i="46"/>
  <c r="AY120" i="46"/>
  <c r="L130" i="46"/>
  <c r="K130" i="46" s="1"/>
  <c r="Z127" i="46"/>
  <c r="Z126" i="46" s="1"/>
  <c r="AY140" i="46"/>
  <c r="P144" i="46"/>
  <c r="P143" i="46" s="1"/>
  <c r="V144" i="46"/>
  <c r="AA144" i="46"/>
  <c r="AA143" i="46" s="1"/>
  <c r="AU144" i="46"/>
  <c r="AU143" i="46" s="1"/>
  <c r="BD144" i="46"/>
  <c r="BD143" i="46" s="1"/>
  <c r="BG147" i="46"/>
  <c r="AY147" i="46" s="1"/>
  <c r="AR150" i="46"/>
  <c r="BE166" i="46"/>
  <c r="BA164" i="46"/>
  <c r="BE173" i="46"/>
  <c r="BF173" i="46" s="1"/>
  <c r="BG173" i="46" s="1"/>
  <c r="AY173" i="46" s="1"/>
  <c r="R173" i="46"/>
  <c r="T173" i="46" s="1"/>
  <c r="U173" i="46" s="1"/>
  <c r="Y178" i="46"/>
  <c r="AB178" i="46" s="1"/>
  <c r="AC178" i="46" s="1"/>
  <c r="L178" i="46" s="1"/>
  <c r="K178" i="46" s="1"/>
  <c r="BH180" i="46"/>
  <c r="Z182" i="46"/>
  <c r="Y182" i="46" s="1"/>
  <c r="V181" i="46"/>
  <c r="BN210" i="46"/>
  <c r="Y210" i="46"/>
  <c r="AB210" i="46" s="1"/>
  <c r="AC210" i="46" s="1"/>
  <c r="L210" i="46" s="1"/>
  <c r="K210" i="46" s="1"/>
  <c r="AY101" i="46"/>
  <c r="L108" i="46"/>
  <c r="K108" i="46" s="1"/>
  <c r="L131" i="46"/>
  <c r="K131" i="46" s="1"/>
  <c r="BG132" i="46"/>
  <c r="AY132" i="46" s="1"/>
  <c r="D134" i="46"/>
  <c r="C134" i="46" s="1"/>
  <c r="F144" i="46"/>
  <c r="F143" i="46" s="1"/>
  <c r="J144" i="46"/>
  <c r="J143" i="46" s="1"/>
  <c r="Q144" i="46"/>
  <c r="Q143" i="46" s="1"/>
  <c r="W144" i="46"/>
  <c r="W143" i="46" s="1"/>
  <c r="L153" i="46"/>
  <c r="K153" i="46" s="1"/>
  <c r="BL164" i="46"/>
  <c r="BM166" i="46"/>
  <c r="BE169" i="46"/>
  <c r="BF169" i="46" s="1"/>
  <c r="BF167" i="46" s="1"/>
  <c r="BA167" i="46"/>
  <c r="BL174" i="46"/>
  <c r="BM174" i="46" s="1"/>
  <c r="BN174" i="46" s="1"/>
  <c r="AY174" i="46" s="1"/>
  <c r="BL177" i="46"/>
  <c r="BM177" i="46" s="1"/>
  <c r="Y177" i="46" s="1"/>
  <c r="AB177" i="46" s="1"/>
  <c r="AC177" i="46" s="1"/>
  <c r="BN185" i="46"/>
  <c r="D135" i="46"/>
  <c r="AE144" i="46"/>
  <c r="AE143" i="46" s="1"/>
  <c r="AI144" i="46"/>
  <c r="AI143" i="46" s="1"/>
  <c r="BR144" i="46"/>
  <c r="BR143" i="46" s="1"/>
  <c r="BV144" i="46"/>
  <c r="BV143" i="46" s="1"/>
  <c r="T145" i="46"/>
  <c r="AC158" i="46"/>
  <c r="Z158" i="46"/>
  <c r="Z160" i="46"/>
  <c r="C160" i="46"/>
  <c r="BG163" i="46"/>
  <c r="AY163" i="46" s="1"/>
  <c r="BG168" i="46"/>
  <c r="BG175" i="46"/>
  <c r="C180" i="46"/>
  <c r="AQ181" i="46"/>
  <c r="AR126" i="46"/>
  <c r="AQ126" i="46" s="1"/>
  <c r="L133" i="46"/>
  <c r="K133" i="46" s="1"/>
  <c r="AR134" i="46"/>
  <c r="AQ134" i="46" s="1"/>
  <c r="S144" i="46"/>
  <c r="BB144" i="46"/>
  <c r="BI144" i="46"/>
  <c r="BI143" i="46" s="1"/>
  <c r="Y146" i="46"/>
  <c r="Y145" i="46" s="1"/>
  <c r="BG148" i="46"/>
  <c r="BG152" i="46"/>
  <c r="AY152" i="46" s="1"/>
  <c r="AC165" i="46"/>
  <c r="AC164" i="46" s="1"/>
  <c r="AZ164" i="46"/>
  <c r="BM181" i="46"/>
  <c r="BM180" i="46" s="1"/>
  <c r="L186" i="46"/>
  <c r="K186" i="46" s="1"/>
  <c r="BH193" i="46"/>
  <c r="BF197" i="46"/>
  <c r="BG197" i="46" s="1"/>
  <c r="AY202" i="46"/>
  <c r="Y209" i="46"/>
  <c r="AB209" i="46" s="1"/>
  <c r="AC209" i="46" s="1"/>
  <c r="Y157" i="46"/>
  <c r="AB157" i="46" s="1"/>
  <c r="AC157" i="46" s="1"/>
  <c r="Y163" i="46"/>
  <c r="AB163" i="46" s="1"/>
  <c r="AC163" i="46" s="1"/>
  <c r="L163" i="46" s="1"/>
  <c r="K163" i="46" s="1"/>
  <c r="AC170" i="46"/>
  <c r="BG171" i="46"/>
  <c r="BG177" i="46"/>
  <c r="BF181" i="46"/>
  <c r="BF180" i="46" s="1"/>
  <c r="Y183" i="46"/>
  <c r="AB183" i="46" s="1"/>
  <c r="AC183" i="46" s="1"/>
  <c r="L183" i="46" s="1"/>
  <c r="K183" i="46" s="1"/>
  <c r="L184" i="46"/>
  <c r="K184" i="46" s="1"/>
  <c r="BN187" i="46"/>
  <c r="BN190" i="46"/>
  <c r="L191" i="46"/>
  <c r="K191" i="46" s="1"/>
  <c r="BG192" i="46"/>
  <c r="Z193" i="46"/>
  <c r="L200" i="46"/>
  <c r="K200" i="46" s="1"/>
  <c r="BG225" i="46"/>
  <c r="AY225" i="46" s="1"/>
  <c r="AY224" i="46" s="1"/>
  <c r="Y199" i="46"/>
  <c r="AB199" i="46" s="1"/>
  <c r="AC199" i="46" s="1"/>
  <c r="L199" i="46" s="1"/>
  <c r="K199" i="46" s="1"/>
  <c r="BN199" i="46"/>
  <c r="BG201" i="46"/>
  <c r="AY201" i="46" s="1"/>
  <c r="T202" i="46"/>
  <c r="U202" i="46" s="1"/>
  <c r="Y208" i="46"/>
  <c r="AB208" i="46" s="1"/>
  <c r="AC208" i="46" s="1"/>
  <c r="L208" i="46" s="1"/>
  <c r="K208" i="46" s="1"/>
  <c r="BG212" i="46"/>
  <c r="L221" i="46"/>
  <c r="K221" i="46" s="1"/>
  <c r="AQ224" i="46"/>
  <c r="BG227" i="46"/>
  <c r="L229" i="46"/>
  <c r="K229" i="46" s="1"/>
  <c r="L218" i="46"/>
  <c r="K218" i="46" s="1"/>
  <c r="AY219" i="46"/>
  <c r="C224" i="46"/>
  <c r="L226" i="46"/>
  <c r="AC227" i="46"/>
  <c r="L231" i="46"/>
  <c r="K231" i="46" s="1"/>
  <c r="L232" i="46"/>
  <c r="K232" i="46" s="1"/>
  <c r="AC187" i="46"/>
  <c r="L187" i="46" s="1"/>
  <c r="K187" i="46" s="1"/>
  <c r="L201" i="46"/>
  <c r="K201" i="46" s="1"/>
  <c r="Y202" i="46"/>
  <c r="AB202" i="46" s="1"/>
  <c r="AC202" i="46" s="1"/>
  <c r="BG205" i="46"/>
  <c r="AY205" i="46" s="1"/>
  <c r="L233" i="46"/>
  <c r="K233" i="46" s="1"/>
  <c r="L55" i="46"/>
  <c r="K55" i="46" s="1"/>
  <c r="BN48" i="46"/>
  <c r="Y48" i="46"/>
  <c r="AB48" i="46" s="1"/>
  <c r="AC48" i="46" s="1"/>
  <c r="AY62" i="46"/>
  <c r="L12" i="46"/>
  <c r="K12" i="46" s="1"/>
  <c r="U20" i="46"/>
  <c r="L29" i="46"/>
  <c r="K29" i="46" s="1"/>
  <c r="AY45" i="46"/>
  <c r="L71" i="46"/>
  <c r="K71" i="46" s="1"/>
  <c r="BN22" i="46"/>
  <c r="AY22" i="46" s="1"/>
  <c r="Y22" i="46"/>
  <c r="AB22" i="46" s="1"/>
  <c r="AC22" i="46" s="1"/>
  <c r="AD22" i="46" s="1"/>
  <c r="L40" i="46"/>
  <c r="K40" i="46" s="1"/>
  <c r="AQ11" i="46"/>
  <c r="AQ10" i="46" s="1"/>
  <c r="AQ9" i="46" s="1"/>
  <c r="AR10" i="46"/>
  <c r="AR9" i="46" s="1"/>
  <c r="BG25" i="46"/>
  <c r="AY25" i="46" s="1"/>
  <c r="U35" i="46"/>
  <c r="T34" i="46"/>
  <c r="T33" i="46" s="1"/>
  <c r="AY38" i="46"/>
  <c r="AY46" i="46"/>
  <c r="R42" i="46"/>
  <c r="T48" i="46"/>
  <c r="U48" i="46" s="1"/>
  <c r="L54" i="46"/>
  <c r="K54" i="46" s="1"/>
  <c r="AQ58" i="46"/>
  <c r="AQ57" i="46" s="1"/>
  <c r="AR57" i="46"/>
  <c r="R60" i="46"/>
  <c r="R56" i="46" s="1"/>
  <c r="T64" i="46"/>
  <c r="L70" i="46"/>
  <c r="K70" i="46" s="1"/>
  <c r="AY70" i="46"/>
  <c r="Y96" i="46"/>
  <c r="AB96" i="46" s="1"/>
  <c r="AC96" i="46" s="1"/>
  <c r="Y154" i="46"/>
  <c r="Z150" i="46"/>
  <c r="D10" i="46"/>
  <c r="D9" i="46" s="1"/>
  <c r="V10" i="46"/>
  <c r="V9" i="46" s="1"/>
  <c r="BA10" i="46"/>
  <c r="BA9" i="46" s="1"/>
  <c r="Z11" i="46"/>
  <c r="BM11" i="46"/>
  <c r="BL13" i="46"/>
  <c r="BM13" i="46" s="1"/>
  <c r="Y13" i="46" s="1"/>
  <c r="AB13" i="46" s="1"/>
  <c r="AC13" i="46" s="1"/>
  <c r="L13" i="46" s="1"/>
  <c r="K13" i="46" s="1"/>
  <c r="BH10" i="46"/>
  <c r="BH9" i="46" s="1"/>
  <c r="BL19" i="46"/>
  <c r="BM19" i="46" s="1"/>
  <c r="BN19" i="46" s="1"/>
  <c r="BG27" i="46"/>
  <c r="AY27" i="46" s="1"/>
  <c r="BL31" i="46"/>
  <c r="BH30" i="46"/>
  <c r="AQ32" i="46"/>
  <c r="AQ30" i="46" s="1"/>
  <c r="AR30" i="46"/>
  <c r="BL35" i="46"/>
  <c r="BH34" i="46"/>
  <c r="BH33" i="46" s="1"/>
  <c r="AQ36" i="46"/>
  <c r="AQ34" i="46" s="1"/>
  <c r="AQ33" i="46" s="1"/>
  <c r="AR34" i="46"/>
  <c r="AR33" i="46" s="1"/>
  <c r="BF37" i="46"/>
  <c r="AY47" i="46"/>
  <c r="BJ56" i="46"/>
  <c r="BL58" i="46"/>
  <c r="BH57" i="46"/>
  <c r="BN65" i="46"/>
  <c r="AY65" i="46" s="1"/>
  <c r="U67" i="46"/>
  <c r="L67" i="46" s="1"/>
  <c r="K67" i="46" s="1"/>
  <c r="M60" i="46"/>
  <c r="M56" i="46" s="1"/>
  <c r="BE78" i="46"/>
  <c r="BE77" i="46" s="1"/>
  <c r="BF79" i="46"/>
  <c r="AQ81" i="46"/>
  <c r="AR78" i="46"/>
  <c r="AR77" i="46" s="1"/>
  <c r="S78" i="46"/>
  <c r="S77" i="46" s="1"/>
  <c r="S76" i="46" s="1"/>
  <c r="T82" i="46"/>
  <c r="U82" i="46" s="1"/>
  <c r="BF95" i="46"/>
  <c r="BG97" i="46"/>
  <c r="BG117" i="46"/>
  <c r="S116" i="46"/>
  <c r="S115" i="46" s="1"/>
  <c r="T123" i="46"/>
  <c r="U123" i="46" s="1"/>
  <c r="BM123" i="46"/>
  <c r="BN123" i="46" s="1"/>
  <c r="C128" i="46"/>
  <c r="C127" i="46" s="1"/>
  <c r="D127" i="46"/>
  <c r="AZ10" i="46"/>
  <c r="AZ9" i="46" s="1"/>
  <c r="BG11" i="46"/>
  <c r="Z14" i="46"/>
  <c r="BG19" i="46"/>
  <c r="Y20" i="46"/>
  <c r="AB20" i="46" s="1"/>
  <c r="AC20" i="46" s="1"/>
  <c r="BN21" i="46"/>
  <c r="BN37" i="46"/>
  <c r="AY40" i="46"/>
  <c r="Z42" i="46"/>
  <c r="Y44" i="46"/>
  <c r="AB44" i="46" s="1"/>
  <c r="AC44" i="46" s="1"/>
  <c r="BN50" i="46"/>
  <c r="AY50" i="46" s="1"/>
  <c r="Y68" i="46"/>
  <c r="AB68" i="46" s="1"/>
  <c r="AC68" i="46" s="1"/>
  <c r="L68" i="46" s="1"/>
  <c r="K68" i="46" s="1"/>
  <c r="AC72" i="46"/>
  <c r="BN75" i="46"/>
  <c r="AY75" i="46" s="1"/>
  <c r="BH78" i="46"/>
  <c r="BH77" i="46" s="1"/>
  <c r="BL79" i="46"/>
  <c r="T81" i="46"/>
  <c r="U81" i="46" s="1"/>
  <c r="L81" i="46" s="1"/>
  <c r="K81" i="46" s="1"/>
  <c r="R78" i="46"/>
  <c r="R77" i="46" s="1"/>
  <c r="L90" i="46"/>
  <c r="K90" i="46" s="1"/>
  <c r="L92" i="46"/>
  <c r="BG103" i="46"/>
  <c r="AY103" i="46" s="1"/>
  <c r="AZ98" i="46"/>
  <c r="AZ93" i="46" s="1"/>
  <c r="AZ91" i="46" s="1"/>
  <c r="L15" i="46"/>
  <c r="K15" i="46" s="1"/>
  <c r="U17" i="46"/>
  <c r="BN17" i="46"/>
  <c r="AY17" i="46" s="1"/>
  <c r="Z25" i="46"/>
  <c r="Y25" i="46" s="1"/>
  <c r="AB25" i="46" s="1"/>
  <c r="AC25" i="46" s="1"/>
  <c r="L25" i="46" s="1"/>
  <c r="K25" i="46" s="1"/>
  <c r="AY26" i="46"/>
  <c r="U27" i="46"/>
  <c r="L27" i="46" s="1"/>
  <c r="K27" i="46" s="1"/>
  <c r="BA30" i="46"/>
  <c r="BE31" i="46"/>
  <c r="R31" i="46"/>
  <c r="Y36" i="46"/>
  <c r="AB36" i="46" s="1"/>
  <c r="AC36" i="46" s="1"/>
  <c r="L36" i="46" s="1"/>
  <c r="K36" i="46" s="1"/>
  <c r="C37" i="46"/>
  <c r="C34" i="46" s="1"/>
  <c r="C33" i="46" s="1"/>
  <c r="AQ43" i="46"/>
  <c r="AQ42" i="46" s="1"/>
  <c r="BF43" i="46"/>
  <c r="BE48" i="46"/>
  <c r="BF48" i="46" s="1"/>
  <c r="BG48" i="46" s="1"/>
  <c r="Q56" i="46"/>
  <c r="BM61" i="46"/>
  <c r="BN61" i="46" s="1"/>
  <c r="BA60" i="46"/>
  <c r="BA56" i="46" s="1"/>
  <c r="BE63" i="46"/>
  <c r="BF63" i="46" s="1"/>
  <c r="BG63" i="46" s="1"/>
  <c r="D67" i="46"/>
  <c r="C67" i="46" s="1"/>
  <c r="C60" i="46" s="1"/>
  <c r="F60" i="46"/>
  <c r="F56" i="46" s="1"/>
  <c r="W76" i="46"/>
  <c r="D78" i="46"/>
  <c r="D77" i="46" s="1"/>
  <c r="C80" i="46"/>
  <c r="C78" i="46" s="1"/>
  <c r="C77" i="46" s="1"/>
  <c r="AZ78" i="46"/>
  <c r="AZ77" i="46" s="1"/>
  <c r="BG80" i="46"/>
  <c r="BL82" i="46"/>
  <c r="BM82" i="46" s="1"/>
  <c r="BN82" i="46" s="1"/>
  <c r="M78" i="46"/>
  <c r="M77" i="46" s="1"/>
  <c r="U84" i="46"/>
  <c r="Y88" i="46"/>
  <c r="AB88" i="46" s="1"/>
  <c r="AC88" i="46" s="1"/>
  <c r="BM92" i="46"/>
  <c r="Y92" i="46" s="1"/>
  <c r="Y94" i="46"/>
  <c r="AB94" i="46" s="1"/>
  <c r="AC94" i="46" s="1"/>
  <c r="L94" i="46" s="1"/>
  <c r="K94" i="46" s="1"/>
  <c r="Z93" i="46"/>
  <c r="Z91" i="46" s="1"/>
  <c r="AB95" i="46"/>
  <c r="AC95" i="46" s="1"/>
  <c r="BF100" i="46"/>
  <c r="BE98" i="46"/>
  <c r="AZ42" i="46"/>
  <c r="BH42" i="46"/>
  <c r="D57" i="46"/>
  <c r="AR60" i="46"/>
  <c r="BH60" i="46"/>
  <c r="BG82" i="46"/>
  <c r="BQ78" i="46"/>
  <c r="BQ77" i="46" s="1"/>
  <c r="L86" i="46"/>
  <c r="K86" i="46" s="1"/>
  <c r="BG92" i="46"/>
  <c r="R95" i="46"/>
  <c r="AT93" i="46"/>
  <c r="AT91" i="46" s="1"/>
  <c r="AT76" i="46" s="1"/>
  <c r="AX93" i="46"/>
  <c r="AX91" i="46" s="1"/>
  <c r="AX76" i="46" s="1"/>
  <c r="C95" i="46"/>
  <c r="L96" i="46"/>
  <c r="AQ97" i="46"/>
  <c r="AQ95" i="46" s="1"/>
  <c r="AR95" i="46"/>
  <c r="AY104" i="46"/>
  <c r="BQ93" i="46"/>
  <c r="BQ91" i="46" s="1"/>
  <c r="L118" i="46"/>
  <c r="K118" i="46" s="1"/>
  <c r="BT76" i="46"/>
  <c r="BG88" i="46"/>
  <c r="AY88" i="46" s="1"/>
  <c r="BM125" i="46"/>
  <c r="BL124" i="46"/>
  <c r="BM93" i="46"/>
  <c r="D98" i="46"/>
  <c r="Y100" i="46"/>
  <c r="AB100" i="46" s="1"/>
  <c r="AC100" i="46" s="1"/>
  <c r="L100" i="46" s="1"/>
  <c r="Y101" i="46"/>
  <c r="AB101" i="46" s="1"/>
  <c r="AC101" i="46" s="1"/>
  <c r="L101" i="46" s="1"/>
  <c r="K101" i="46" s="1"/>
  <c r="Y102" i="46"/>
  <c r="AB102" i="46" s="1"/>
  <c r="AC102" i="46" s="1"/>
  <c r="L102" i="46" s="1"/>
  <c r="K102" i="46" s="1"/>
  <c r="Y103" i="46"/>
  <c r="AB103" i="46" s="1"/>
  <c r="AC103" i="46" s="1"/>
  <c r="L103" i="46" s="1"/>
  <c r="K103" i="46" s="1"/>
  <c r="Y105" i="46"/>
  <c r="AB105" i="46" s="1"/>
  <c r="AC105" i="46" s="1"/>
  <c r="L105" i="46" s="1"/>
  <c r="K105" i="46" s="1"/>
  <c r="L111" i="46"/>
  <c r="T117" i="46"/>
  <c r="R116" i="46"/>
  <c r="R115" i="46" s="1"/>
  <c r="Y119" i="46"/>
  <c r="AB119" i="46" s="1"/>
  <c r="AC119" i="46" s="1"/>
  <c r="L119" i="46" s="1"/>
  <c r="K119" i="46" s="1"/>
  <c r="Y123" i="46"/>
  <c r="AB123" i="46" s="1"/>
  <c r="AC123" i="46" s="1"/>
  <c r="U124" i="46"/>
  <c r="BE127" i="46"/>
  <c r="BE126" i="46" s="1"/>
  <c r="BL127" i="46"/>
  <c r="BL126" i="46" s="1"/>
  <c r="Y127" i="46"/>
  <c r="Y126" i="46" s="1"/>
  <c r="AY139" i="46"/>
  <c r="D95" i="46"/>
  <c r="BE95" i="46"/>
  <c r="AR98" i="46"/>
  <c r="AQ98" i="46"/>
  <c r="AR116" i="46"/>
  <c r="Z116" i="46"/>
  <c r="Z115" i="46" s="1"/>
  <c r="BN122" i="46"/>
  <c r="AY122" i="46" s="1"/>
  <c r="BF125" i="46"/>
  <c r="BE124" i="46"/>
  <c r="T127" i="46"/>
  <c r="T126" i="46" s="1"/>
  <c r="U128" i="46"/>
  <c r="AR127" i="46"/>
  <c r="Z135" i="46"/>
  <c r="Z134" i="46" s="1"/>
  <c r="AQ116" i="46"/>
  <c r="BG128" i="46"/>
  <c r="BF127" i="46"/>
  <c r="BF126" i="46" s="1"/>
  <c r="BM138" i="46"/>
  <c r="Y138" i="46" s="1"/>
  <c r="AB138" i="46" s="1"/>
  <c r="AC138" i="46" s="1"/>
  <c r="L138" i="46" s="1"/>
  <c r="K138" i="46" s="1"/>
  <c r="Z148" i="46"/>
  <c r="Y148" i="46" s="1"/>
  <c r="AB148" i="46" s="1"/>
  <c r="AC148" i="46" s="1"/>
  <c r="L148" i="46" s="1"/>
  <c r="K148" i="46" s="1"/>
  <c r="BE156" i="46"/>
  <c r="BF156" i="46" s="1"/>
  <c r="BG156" i="46" s="1"/>
  <c r="AY156" i="46" s="1"/>
  <c r="D116" i="46"/>
  <c r="BN119" i="46"/>
  <c r="AQ128" i="46"/>
  <c r="AQ127" i="46" s="1"/>
  <c r="AR135" i="46"/>
  <c r="BE135" i="46"/>
  <c r="BE134" i="46" s="1"/>
  <c r="C139" i="46"/>
  <c r="C135" i="46" s="1"/>
  <c r="Y139" i="46"/>
  <c r="AB139" i="46" s="1"/>
  <c r="AC139" i="46" s="1"/>
  <c r="L139" i="46" s="1"/>
  <c r="K139" i="46" s="1"/>
  <c r="BG153" i="46"/>
  <c r="AY153" i="46" s="1"/>
  <c r="BG155" i="46"/>
  <c r="AY155" i="46" s="1"/>
  <c r="AR160" i="46"/>
  <c r="AQ161" i="46"/>
  <c r="AQ160" i="46" s="1"/>
  <c r="BE162" i="46"/>
  <c r="BA160" i="46"/>
  <c r="BN131" i="46"/>
  <c r="AY131" i="46" s="1"/>
  <c r="AQ135" i="46"/>
  <c r="Y140" i="46"/>
  <c r="AB140" i="46" s="1"/>
  <c r="AC140" i="46" s="1"/>
  <c r="L140" i="46" s="1"/>
  <c r="K140" i="46" s="1"/>
  <c r="BK143" i="46"/>
  <c r="N144" i="46"/>
  <c r="BO180" i="46"/>
  <c r="Z190" i="46"/>
  <c r="Y190" i="46" s="1"/>
  <c r="AB190" i="46" s="1"/>
  <c r="AC190" i="46" s="1"/>
  <c r="L190" i="46" s="1"/>
  <c r="K190" i="46" s="1"/>
  <c r="V180" i="46"/>
  <c r="Y197" i="46"/>
  <c r="BG211" i="46"/>
  <c r="AZ196" i="46"/>
  <c r="Y141" i="46"/>
  <c r="AB141" i="46" s="1"/>
  <c r="AC141" i="46" s="1"/>
  <c r="L141" i="46" s="1"/>
  <c r="K141" i="46" s="1"/>
  <c r="AW144" i="46"/>
  <c r="AW143" i="46" s="1"/>
  <c r="C146" i="46"/>
  <c r="C145" i="46" s="1"/>
  <c r="D145" i="46"/>
  <c r="U146" i="46"/>
  <c r="AR145" i="46"/>
  <c r="R151" i="46"/>
  <c r="BE151" i="46"/>
  <c r="BA150" i="46"/>
  <c r="R157" i="46"/>
  <c r="T157" i="46" s="1"/>
  <c r="U157" i="46" s="1"/>
  <c r="BE157" i="46"/>
  <c r="BF157" i="46" s="1"/>
  <c r="BG157" i="46" s="1"/>
  <c r="AR167" i="46"/>
  <c r="AQ168" i="46"/>
  <c r="AQ167" i="46" s="1"/>
  <c r="AZ167" i="46"/>
  <c r="BN148" i="46"/>
  <c r="Y149" i="46"/>
  <c r="AB149" i="46" s="1"/>
  <c r="AC149" i="46" s="1"/>
  <c r="L149" i="46" s="1"/>
  <c r="K149" i="46" s="1"/>
  <c r="BM150" i="46"/>
  <c r="AQ150" i="46"/>
  <c r="L155" i="46"/>
  <c r="K155" i="46" s="1"/>
  <c r="D160" i="46"/>
  <c r="BN162" i="46"/>
  <c r="C165" i="46"/>
  <c r="D164" i="46"/>
  <c r="C164" i="46" s="1"/>
  <c r="BG165" i="46"/>
  <c r="AY170" i="46"/>
  <c r="Y175" i="46"/>
  <c r="AB175" i="46" s="1"/>
  <c r="AC175" i="46" s="1"/>
  <c r="L175" i="46" s="1"/>
  <c r="K175" i="46" s="1"/>
  <c r="AY175" i="46"/>
  <c r="L176" i="46"/>
  <c r="K176" i="46" s="1"/>
  <c r="Y179" i="46"/>
  <c r="AB179" i="46" s="1"/>
  <c r="AC179" i="46" s="1"/>
  <c r="L179" i="46" s="1"/>
  <c r="K179" i="46" s="1"/>
  <c r="AR181" i="46"/>
  <c r="AC185" i="46"/>
  <c r="L185" i="46" s="1"/>
  <c r="K185" i="46" s="1"/>
  <c r="BG187" i="46"/>
  <c r="C151" i="46"/>
  <c r="C150" i="46" s="1"/>
  <c r="D150" i="46"/>
  <c r="BN150" i="46"/>
  <c r="L156" i="46"/>
  <c r="K156" i="46" s="1"/>
  <c r="BN157" i="46"/>
  <c r="U158" i="46"/>
  <c r="BG159" i="46"/>
  <c r="BN159" i="46"/>
  <c r="AQ166" i="46"/>
  <c r="AR164" i="46"/>
  <c r="AQ164" i="46" s="1"/>
  <c r="L170" i="46"/>
  <c r="K170" i="46" s="1"/>
  <c r="Y171" i="46"/>
  <c r="AB171" i="46" s="1"/>
  <c r="AC171" i="46" s="1"/>
  <c r="L171" i="46" s="1"/>
  <c r="K171" i="46" s="1"/>
  <c r="BN171" i="46"/>
  <c r="Y173" i="46"/>
  <c r="AB173" i="46" s="1"/>
  <c r="AC173" i="46" s="1"/>
  <c r="L173" i="46" s="1"/>
  <c r="K173" i="46" s="1"/>
  <c r="C182" i="46"/>
  <c r="C181" i="46" s="1"/>
  <c r="D181" i="46"/>
  <c r="Z205" i="46"/>
  <c r="Y205" i="46" s="1"/>
  <c r="AB205" i="46" s="1"/>
  <c r="AC205" i="46" s="1"/>
  <c r="L205" i="46" s="1"/>
  <c r="K205" i="46" s="1"/>
  <c r="V196" i="46"/>
  <c r="T164" i="46"/>
  <c r="U165" i="46"/>
  <c r="C168" i="46"/>
  <c r="C167" i="46" s="1"/>
  <c r="D167" i="46"/>
  <c r="BN169" i="46"/>
  <c r="Y169" i="46"/>
  <c r="AB169" i="46" s="1"/>
  <c r="AC169" i="46" s="1"/>
  <c r="BN178" i="46"/>
  <c r="AY178" i="46" s="1"/>
  <c r="U182" i="46"/>
  <c r="BG182" i="46"/>
  <c r="Y192" i="46"/>
  <c r="AB192" i="46" s="1"/>
  <c r="AC192" i="46" s="1"/>
  <c r="L192" i="46" s="1"/>
  <c r="K192" i="46" s="1"/>
  <c r="R196" i="46"/>
  <c r="AZ160" i="46"/>
  <c r="R169" i="46"/>
  <c r="D194" i="46"/>
  <c r="C194" i="46" s="1"/>
  <c r="E193" i="46"/>
  <c r="BM194" i="46"/>
  <c r="BL193" i="46"/>
  <c r="L195" i="46"/>
  <c r="K195" i="46" s="1"/>
  <c r="BG195" i="46"/>
  <c r="AY195" i="46" s="1"/>
  <c r="AR196" i="46"/>
  <c r="AQ196" i="46" s="1"/>
  <c r="BL196" i="46"/>
  <c r="U197" i="46"/>
  <c r="BM196" i="46"/>
  <c r="BN192" i="46"/>
  <c r="C199" i="46"/>
  <c r="D196" i="46"/>
  <c r="C196" i="46" s="1"/>
  <c r="L217" i="46"/>
  <c r="K217" i="46" s="1"/>
  <c r="U215" i="46"/>
  <c r="U214" i="46" s="1"/>
  <c r="BN208" i="46"/>
  <c r="AY208" i="46" s="1"/>
  <c r="U209" i="46"/>
  <c r="BG209" i="46"/>
  <c r="AY209" i="46" s="1"/>
  <c r="BN211" i="46"/>
  <c r="Y211" i="46"/>
  <c r="AB211" i="46" s="1"/>
  <c r="AC211" i="46" s="1"/>
  <c r="BN212" i="46"/>
  <c r="AY212" i="46" s="1"/>
  <c r="Y212" i="46"/>
  <c r="AB212" i="46" s="1"/>
  <c r="AC212" i="46" s="1"/>
  <c r="L212" i="46" s="1"/>
  <c r="K212" i="46" s="1"/>
  <c r="BN213" i="46"/>
  <c r="AY213" i="46" s="1"/>
  <c r="Y213" i="46"/>
  <c r="AB213" i="46" s="1"/>
  <c r="AC213" i="46" s="1"/>
  <c r="L213" i="46" s="1"/>
  <c r="K213" i="46" s="1"/>
  <c r="AY216" i="46"/>
  <c r="BG215" i="46"/>
  <c r="BG214" i="46" s="1"/>
  <c r="AC224" i="46"/>
  <c r="L228" i="46"/>
  <c r="L230" i="46"/>
  <c r="K230" i="46" s="1"/>
  <c r="AY233" i="46"/>
  <c r="BG210" i="46"/>
  <c r="L211" i="46"/>
  <c r="K211" i="46" s="1"/>
  <c r="AC215" i="46"/>
  <c r="AC214" i="46" s="1"/>
  <c r="L216" i="46"/>
  <c r="AY221" i="46"/>
  <c r="AY234" i="46"/>
  <c r="O96" i="45"/>
  <c r="M96" i="45" s="1"/>
  <c r="C96" i="45" s="1"/>
  <c r="Y96" i="45" s="1"/>
  <c r="C83" i="45"/>
  <c r="Y83" i="45" s="1"/>
  <c r="C85" i="45"/>
  <c r="Y85" i="45" s="1"/>
  <c r="C110" i="45"/>
  <c r="Y110" i="45" s="1"/>
  <c r="D156" i="45"/>
  <c r="C185" i="45"/>
  <c r="Y185" i="45" s="1"/>
  <c r="D24" i="45"/>
  <c r="C24" i="45" s="1"/>
  <c r="Y24" i="45" s="1"/>
  <c r="C67" i="45"/>
  <c r="Y67" i="45" s="1"/>
  <c r="M69" i="45"/>
  <c r="I69" i="45"/>
  <c r="I16" i="45" s="1"/>
  <c r="D80" i="45"/>
  <c r="C101" i="45"/>
  <c r="Y101" i="45" s="1"/>
  <c r="C103" i="45"/>
  <c r="Y103" i="45" s="1"/>
  <c r="P153" i="45"/>
  <c r="C100" i="45"/>
  <c r="Y100" i="45" s="1"/>
  <c r="W105" i="45"/>
  <c r="C113" i="45"/>
  <c r="Y113" i="45" s="1"/>
  <c r="C123" i="45"/>
  <c r="Y123" i="45" s="1"/>
  <c r="C133" i="45"/>
  <c r="Y133" i="45" s="1"/>
  <c r="M140" i="45"/>
  <c r="C154" i="45"/>
  <c r="Y154" i="45" s="1"/>
  <c r="C164" i="45"/>
  <c r="C163" i="45" s="1"/>
  <c r="Y163" i="45" s="1"/>
  <c r="C170" i="45"/>
  <c r="Y170" i="45" s="1"/>
  <c r="C174" i="45"/>
  <c r="Y174" i="45" s="1"/>
  <c r="C178" i="45"/>
  <c r="Y178" i="45" s="1"/>
  <c r="C180" i="45"/>
  <c r="Y180" i="45" s="1"/>
  <c r="C182" i="45"/>
  <c r="Y182" i="45" s="1"/>
  <c r="C189" i="45"/>
  <c r="Y189" i="45" s="1"/>
  <c r="E30" i="45"/>
  <c r="E16" i="45" s="1"/>
  <c r="C35" i="45"/>
  <c r="Y35" i="45" s="1"/>
  <c r="C82" i="45"/>
  <c r="Y82" i="45" s="1"/>
  <c r="C84" i="45"/>
  <c r="Y84" i="45" s="1"/>
  <c r="W103" i="45"/>
  <c r="C147" i="45"/>
  <c r="Y147" i="45" s="1"/>
  <c r="C179" i="45"/>
  <c r="Y179" i="45" s="1"/>
  <c r="C181" i="45"/>
  <c r="Y181" i="45" s="1"/>
  <c r="C183" i="45"/>
  <c r="Y183" i="45" s="1"/>
  <c r="C34" i="45"/>
  <c r="Y34" i="45" s="1"/>
  <c r="C36" i="45"/>
  <c r="Y36" i="45" s="1"/>
  <c r="M80" i="45"/>
  <c r="N135" i="45"/>
  <c r="N16" i="45" s="1"/>
  <c r="P140" i="45"/>
  <c r="C31" i="45"/>
  <c r="Y31" i="45" s="1"/>
  <c r="C95" i="45"/>
  <c r="Y95" i="45" s="1"/>
  <c r="C111" i="45"/>
  <c r="Y111" i="45" s="1"/>
  <c r="C118" i="45"/>
  <c r="Y118" i="45" s="1"/>
  <c r="C120" i="45"/>
  <c r="Y120" i="45" s="1"/>
  <c r="Y29" i="45"/>
  <c r="V29" i="45"/>
  <c r="Y23" i="45"/>
  <c r="V23" i="45"/>
  <c r="C81" i="45"/>
  <c r="Y81" i="45" s="1"/>
  <c r="W90" i="45"/>
  <c r="C94" i="45"/>
  <c r="Y94" i="45" s="1"/>
  <c r="M135" i="45"/>
  <c r="C152" i="45"/>
  <c r="Y152" i="45" s="1"/>
  <c r="C157" i="45"/>
  <c r="Y157" i="45" s="1"/>
  <c r="C171" i="45"/>
  <c r="C173" i="45"/>
  <c r="C175" i="45"/>
  <c r="D177" i="45"/>
  <c r="P177" i="45"/>
  <c r="D30" i="45"/>
  <c r="D39" i="45"/>
  <c r="C40" i="45"/>
  <c r="C70" i="45"/>
  <c r="Y70" i="45" s="1"/>
  <c r="C79" i="45"/>
  <c r="Y79" i="45" s="1"/>
  <c r="C87" i="45"/>
  <c r="Y87" i="45" s="1"/>
  <c r="W89" i="45"/>
  <c r="W91" i="45"/>
  <c r="C98" i="45"/>
  <c r="Y98" i="45" s="1"/>
  <c r="C102" i="45"/>
  <c r="Y102" i="45" s="1"/>
  <c r="W104" i="45"/>
  <c r="P109" i="45"/>
  <c r="C186" i="45"/>
  <c r="Y186" i="45" s="1"/>
  <c r="V28" i="45"/>
  <c r="P30" i="45"/>
  <c r="C119" i="45"/>
  <c r="Y119" i="45" s="1"/>
  <c r="M124" i="45"/>
  <c r="C137" i="45"/>
  <c r="Y137" i="45" s="1"/>
  <c r="C141" i="45"/>
  <c r="Y141" i="45" s="1"/>
  <c r="C143" i="45"/>
  <c r="Y143" i="45" s="1"/>
  <c r="D145" i="45"/>
  <c r="D150" i="45"/>
  <c r="C150" i="45" s="1"/>
  <c r="Y150" i="45" s="1"/>
  <c r="C19" i="45"/>
  <c r="Y19" i="45" s="1"/>
  <c r="C21" i="45"/>
  <c r="Y21" i="45" s="1"/>
  <c r="W95" i="45"/>
  <c r="W96" i="45"/>
  <c r="C104" i="45"/>
  <c r="Y104" i="45" s="1"/>
  <c r="C127" i="45"/>
  <c r="Y127" i="45" s="1"/>
  <c r="M131" i="45"/>
  <c r="C167" i="45"/>
  <c r="Y167" i="45" s="1"/>
  <c r="C187" i="45"/>
  <c r="Y187" i="45" s="1"/>
  <c r="V27" i="45"/>
  <c r="P131" i="45"/>
  <c r="C132" i="45"/>
  <c r="Y132" i="45" s="1"/>
  <c r="M90" i="45"/>
  <c r="W98" i="45"/>
  <c r="C161" i="45"/>
  <c r="Y161" i="45" s="1"/>
  <c r="D159" i="45"/>
  <c r="C92" i="45"/>
  <c r="Y92" i="45" s="1"/>
  <c r="D88" i="45"/>
  <c r="C125" i="45"/>
  <c r="Y125" i="45" s="1"/>
  <c r="D124" i="45"/>
  <c r="P18" i="45"/>
  <c r="W107" i="45"/>
  <c r="V113" i="45"/>
  <c r="C115" i="45"/>
  <c r="Y115" i="45" s="1"/>
  <c r="D114" i="45"/>
  <c r="C114" i="45" s="1"/>
  <c r="Y114" i="45" s="1"/>
  <c r="P117" i="45"/>
  <c r="C129" i="45"/>
  <c r="Y129" i="45" s="1"/>
  <c r="D135" i="45"/>
  <c r="C136" i="45"/>
  <c r="Y136" i="45" s="1"/>
  <c r="C142" i="45"/>
  <c r="Y142" i="45" s="1"/>
  <c r="C144" i="45"/>
  <c r="Y144" i="45" s="1"/>
  <c r="C151" i="45"/>
  <c r="Y151" i="45" s="1"/>
  <c r="W94" i="45"/>
  <c r="W102" i="45"/>
  <c r="C112" i="45"/>
  <c r="Y112" i="45" s="1"/>
  <c r="M109" i="45"/>
  <c r="C134" i="45"/>
  <c r="Y134" i="45" s="1"/>
  <c r="C160" i="45"/>
  <c r="Y160" i="45" s="1"/>
  <c r="L159" i="45"/>
  <c r="L16" i="45" s="1"/>
  <c r="D78" i="42"/>
  <c r="I36" i="40" s="1"/>
  <c r="I39" i="40"/>
  <c r="C10" i="35"/>
  <c r="I49" i="40"/>
  <c r="I46" i="40"/>
  <c r="I45" i="40"/>
  <c r="I44" i="40"/>
  <c r="I42" i="40"/>
  <c r="I40" i="40"/>
  <c r="I37" i="40"/>
  <c r="I34" i="40"/>
  <c r="I33" i="40"/>
  <c r="I32" i="40"/>
  <c r="I31" i="40"/>
  <c r="I29" i="40"/>
  <c r="I28" i="40"/>
  <c r="I27" i="40"/>
  <c r="I26" i="40"/>
  <c r="I24" i="40"/>
  <c r="I16" i="40"/>
  <c r="J39" i="40"/>
  <c r="J31" i="40"/>
  <c r="C156" i="45" l="1"/>
  <c r="Y156" i="45" s="1"/>
  <c r="AY171" i="46"/>
  <c r="C93" i="46"/>
  <c r="C91" i="46" s="1"/>
  <c r="I235" i="46"/>
  <c r="BS235" i="46"/>
  <c r="X236" i="46"/>
  <c r="I54" i="40"/>
  <c r="M76" i="46"/>
  <c r="C56" i="46"/>
  <c r="AY157" i="46"/>
  <c r="AA235" i="46"/>
  <c r="D72" i="15"/>
  <c r="H71" i="15"/>
  <c r="D14" i="15"/>
  <c r="BC235" i="46"/>
  <c r="D72" i="20"/>
  <c r="D14" i="20"/>
  <c r="AV235" i="46"/>
  <c r="E72" i="16"/>
  <c r="F72" i="16"/>
  <c r="F72" i="14"/>
  <c r="E72" i="14"/>
  <c r="V167" i="45"/>
  <c r="BH76" i="46"/>
  <c r="AT8" i="46"/>
  <c r="I54" i="36"/>
  <c r="AZ144" i="46"/>
  <c r="AZ143" i="46" s="1"/>
  <c r="E52" i="14"/>
  <c r="F55" i="23"/>
  <c r="E55" i="23"/>
  <c r="Y169" i="45"/>
  <c r="U194" i="46"/>
  <c r="BB143" i="46"/>
  <c r="S8" i="46"/>
  <c r="AG236" i="46"/>
  <c r="F52" i="14"/>
  <c r="L202" i="46"/>
  <c r="K202" i="46" s="1"/>
  <c r="R16" i="45"/>
  <c r="BG224" i="46"/>
  <c r="L23" i="46"/>
  <c r="K23" i="46" s="1"/>
  <c r="V8" i="46"/>
  <c r="AY190" i="46"/>
  <c r="L125" i="46"/>
  <c r="L124" i="46" s="1"/>
  <c r="K124" i="46" s="1"/>
  <c r="D59" i="43" s="1"/>
  <c r="X235" i="46"/>
  <c r="BV236" i="46"/>
  <c r="AR42" i="46"/>
  <c r="AK235" i="46"/>
  <c r="AF236" i="46"/>
  <c r="P19" i="49"/>
  <c r="Z181" i="46"/>
  <c r="Z180" i="46" s="1"/>
  <c r="BB235" i="46"/>
  <c r="L162" i="46"/>
  <c r="K162" i="46" s="1"/>
  <c r="Y160" i="46"/>
  <c r="N143" i="46"/>
  <c r="L84" i="46"/>
  <c r="K84" i="46" s="1"/>
  <c r="L22" i="46"/>
  <c r="K22" i="46" s="1"/>
  <c r="K84" i="43"/>
  <c r="U161" i="46"/>
  <c r="L161" i="46" s="1"/>
  <c r="K161" i="46" s="1"/>
  <c r="AU235" i="46"/>
  <c r="G235" i="46"/>
  <c r="BF10" i="46"/>
  <c r="BF9" i="46" s="1"/>
  <c r="BU235" i="46"/>
  <c r="BR235" i="46"/>
  <c r="H236" i="46"/>
  <c r="BN95" i="46"/>
  <c r="AY96" i="46"/>
  <c r="BH143" i="46"/>
  <c r="J235" i="46"/>
  <c r="BM42" i="46"/>
  <c r="AK236" i="46"/>
  <c r="BV235" i="46"/>
  <c r="H235" i="46"/>
  <c r="Y99" i="46"/>
  <c r="AB99" i="46" s="1"/>
  <c r="AC99" i="46" s="1"/>
  <c r="L99" i="46" s="1"/>
  <c r="K99" i="46" s="1"/>
  <c r="L46" i="46"/>
  <c r="K46" i="46" s="1"/>
  <c r="AY215" i="46"/>
  <c r="AY214" i="46" s="1"/>
  <c r="L209" i="46"/>
  <c r="K209" i="46" s="1"/>
  <c r="T196" i="46"/>
  <c r="AW235" i="46"/>
  <c r="BL135" i="46"/>
  <c r="BL134" i="46" s="1"/>
  <c r="BE145" i="46"/>
  <c r="W236" i="46"/>
  <c r="AY63" i="46"/>
  <c r="BN13" i="46"/>
  <c r="AY13" i="46" s="1"/>
  <c r="AV236" i="46"/>
  <c r="AQ78" i="46"/>
  <c r="AQ77" i="46" s="1"/>
  <c r="L48" i="46"/>
  <c r="K48" i="46" s="1"/>
  <c r="AY185" i="46"/>
  <c r="AS235" i="46"/>
  <c r="AJ236" i="46"/>
  <c r="AU236" i="46"/>
  <c r="AI235" i="46"/>
  <c r="L137" i="46"/>
  <c r="K137" i="46" s="1"/>
  <c r="Y137" i="46"/>
  <c r="AB137" i="46" s="1"/>
  <c r="AC137" i="46" s="1"/>
  <c r="AB146" i="46"/>
  <c r="AB145" i="46" s="1"/>
  <c r="BS236" i="46"/>
  <c r="AL236" i="46"/>
  <c r="BN172" i="46"/>
  <c r="AY172" i="46" s="1"/>
  <c r="V163" i="45"/>
  <c r="Y164" i="45"/>
  <c r="C124" i="45"/>
  <c r="Y124" i="45" s="1"/>
  <c r="V149" i="45"/>
  <c r="C80" i="45"/>
  <c r="Y80" i="45" s="1"/>
  <c r="AY192" i="46"/>
  <c r="BA144" i="46"/>
  <c r="BA143" i="46" s="1"/>
  <c r="Y168" i="46"/>
  <c r="AY14" i="46"/>
  <c r="AY199" i="46"/>
  <c r="BF196" i="46"/>
  <c r="Y174" i="46"/>
  <c r="AB174" i="46" s="1"/>
  <c r="AC174" i="46" s="1"/>
  <c r="L174" i="46" s="1"/>
  <c r="K174" i="46" s="1"/>
  <c r="S143" i="46"/>
  <c r="L177" i="46"/>
  <c r="K177" i="46" s="1"/>
  <c r="BL93" i="46"/>
  <c r="BL91" i="46" s="1"/>
  <c r="BP236" i="46"/>
  <c r="AD14" i="46"/>
  <c r="L14" i="46" s="1"/>
  <c r="K14" i="46" s="1"/>
  <c r="Z78" i="46"/>
  <c r="Z77" i="46" s="1"/>
  <c r="Z76" i="46" s="1"/>
  <c r="C140" i="45"/>
  <c r="V140" i="45" s="1"/>
  <c r="C153" i="45"/>
  <c r="Y153" i="45" s="1"/>
  <c r="V166" i="45"/>
  <c r="BE196" i="46"/>
  <c r="BG12" i="46"/>
  <c r="AY12" i="46" s="1"/>
  <c r="BD236" i="46"/>
  <c r="BG58" i="46"/>
  <c r="BG57" i="46" s="1"/>
  <c r="V87" i="45"/>
  <c r="V170" i="45"/>
  <c r="V139" i="45"/>
  <c r="AY148" i="46"/>
  <c r="T135" i="46"/>
  <c r="T134" i="46" s="1"/>
  <c r="M235" i="46"/>
  <c r="C8" i="46"/>
  <c r="R10" i="46"/>
  <c r="R9" i="46" s="1"/>
  <c r="BE10" i="46"/>
  <c r="BE9" i="46" s="1"/>
  <c r="BR236" i="46"/>
  <c r="AY123" i="46"/>
  <c r="BW235" i="46"/>
  <c r="AF235" i="46"/>
  <c r="L69" i="46"/>
  <c r="K69" i="46" s="1"/>
  <c r="BI235" i="46"/>
  <c r="BK235" i="46"/>
  <c r="J236" i="46"/>
  <c r="BN168" i="46"/>
  <c r="Q235" i="46"/>
  <c r="AL235" i="46"/>
  <c r="AH235" i="46"/>
  <c r="AI236" i="46"/>
  <c r="L88" i="46"/>
  <c r="K88" i="46" s="1"/>
  <c r="AY80" i="46"/>
  <c r="T78" i="46"/>
  <c r="T77" i="46" s="1"/>
  <c r="AY48" i="46"/>
  <c r="L17" i="46"/>
  <c r="K17" i="46" s="1"/>
  <c r="AY72" i="46"/>
  <c r="Z144" i="46"/>
  <c r="T10" i="46"/>
  <c r="T9" i="46" s="1"/>
  <c r="AY84" i="46"/>
  <c r="BB236" i="46"/>
  <c r="G236" i="46"/>
  <c r="BN42" i="46"/>
  <c r="BD235" i="46"/>
  <c r="V68" i="45"/>
  <c r="C69" i="45"/>
  <c r="P236" i="46"/>
  <c r="P235" i="46"/>
  <c r="AD18" i="46"/>
  <c r="BF194" i="46"/>
  <c r="BE193" i="46"/>
  <c r="V176" i="45"/>
  <c r="AY136" i="46"/>
  <c r="BJ235" i="46"/>
  <c r="AJ235" i="46"/>
  <c r="AA236" i="46"/>
  <c r="BC236" i="46"/>
  <c r="BN177" i="46"/>
  <c r="AY177" i="46" s="1"/>
  <c r="S60" i="46"/>
  <c r="S56" i="46" s="1"/>
  <c r="S235" i="46" s="1"/>
  <c r="BN18" i="46"/>
  <c r="AY18" i="46" s="1"/>
  <c r="C109" i="45"/>
  <c r="Y109" i="45" s="1"/>
  <c r="C117" i="45"/>
  <c r="Y117" i="45" s="1"/>
  <c r="V174" i="45"/>
  <c r="C145" i="45"/>
  <c r="AY210" i="46"/>
  <c r="AY187" i="46"/>
  <c r="BG169" i="46"/>
  <c r="BG167" i="46" s="1"/>
  <c r="BO236" i="46"/>
  <c r="BG146" i="46"/>
  <c r="BG145" i="46" s="1"/>
  <c r="BE116" i="46"/>
  <c r="BE115" i="46" s="1"/>
  <c r="Y117" i="46"/>
  <c r="Y116" i="46" s="1"/>
  <c r="Y115" i="46" s="1"/>
  <c r="BE93" i="46"/>
  <c r="BE91" i="46" s="1"/>
  <c r="BE76" i="46" s="1"/>
  <c r="AZ76" i="46"/>
  <c r="BF42" i="46"/>
  <c r="BU236" i="46"/>
  <c r="BL116" i="46"/>
  <c r="BL115" i="46" s="1"/>
  <c r="AE235" i="46"/>
  <c r="AQ56" i="46"/>
  <c r="BK236" i="46"/>
  <c r="BI236" i="46"/>
  <c r="AH236" i="46"/>
  <c r="BW236" i="46"/>
  <c r="AY107" i="46"/>
  <c r="BL160" i="46"/>
  <c r="BL144" i="46" s="1"/>
  <c r="BL143" i="46" s="1"/>
  <c r="BM161" i="46"/>
  <c r="Y43" i="46"/>
  <c r="AB43" i="46" s="1"/>
  <c r="AB42" i="46" s="1"/>
  <c r="L224" i="46"/>
  <c r="K226" i="46"/>
  <c r="BN116" i="46"/>
  <c r="BN115" i="46" s="1"/>
  <c r="BF166" i="46"/>
  <c r="BE164" i="46"/>
  <c r="C135" i="45"/>
  <c r="V135" i="45" s="1"/>
  <c r="V150" i="45"/>
  <c r="C131" i="45"/>
  <c r="Y131" i="45" s="1"/>
  <c r="V172" i="45"/>
  <c r="BN196" i="46"/>
  <c r="L158" i="46"/>
  <c r="K158" i="46" s="1"/>
  <c r="L157" i="46"/>
  <c r="K157" i="46" s="1"/>
  <c r="V143" i="46"/>
  <c r="BM116" i="46"/>
  <c r="BM115" i="46" s="1"/>
  <c r="D93" i="46"/>
  <c r="D91" i="46" s="1"/>
  <c r="D76" i="46" s="1"/>
  <c r="BT235" i="46"/>
  <c r="O236" i="46"/>
  <c r="AY21" i="46"/>
  <c r="BF116" i="46"/>
  <c r="BF115" i="46" s="1"/>
  <c r="U42" i="46"/>
  <c r="D8" i="46"/>
  <c r="AE236" i="46"/>
  <c r="BN93" i="46"/>
  <c r="BN166" i="46"/>
  <c r="BN164" i="46" s="1"/>
  <c r="BM164" i="46"/>
  <c r="BE167" i="46"/>
  <c r="AY99" i="46"/>
  <c r="BN146" i="46"/>
  <c r="BN145" i="46" s="1"/>
  <c r="BM145" i="46"/>
  <c r="BN60" i="46"/>
  <c r="AY61" i="46"/>
  <c r="AY60" i="46" s="1"/>
  <c r="K100" i="46"/>
  <c r="L98" i="46"/>
  <c r="K98" i="46" s="1"/>
  <c r="AX236" i="46"/>
  <c r="AX235" i="46"/>
  <c r="AT236" i="46"/>
  <c r="AT235" i="46"/>
  <c r="F236" i="46"/>
  <c r="F235" i="46"/>
  <c r="L215" i="46"/>
  <c r="K216" i="46"/>
  <c r="Y194" i="46"/>
  <c r="BM193" i="46"/>
  <c r="T169" i="46"/>
  <c r="R167" i="46"/>
  <c r="U181" i="46"/>
  <c r="U180" i="46" s="1"/>
  <c r="AY159" i="46"/>
  <c r="D144" i="46"/>
  <c r="Z196" i="46"/>
  <c r="AB168" i="46"/>
  <c r="Y167" i="46"/>
  <c r="Y135" i="46"/>
  <c r="Y134" i="46" s="1"/>
  <c r="U127" i="46"/>
  <c r="U126" i="46" s="1"/>
  <c r="L128" i="46"/>
  <c r="U135" i="46"/>
  <c r="U134" i="46" s="1"/>
  <c r="T116" i="46"/>
  <c r="T115" i="46" s="1"/>
  <c r="U117" i="46"/>
  <c r="AR93" i="46"/>
  <c r="AR91" i="46" s="1"/>
  <c r="AR76" i="46" s="1"/>
  <c r="BQ76" i="46"/>
  <c r="Y82" i="46"/>
  <c r="AB82" i="46" s="1"/>
  <c r="AC82" i="46" s="1"/>
  <c r="L82" i="46" s="1"/>
  <c r="K82" i="46" s="1"/>
  <c r="BF60" i="46"/>
  <c r="BF56" i="46" s="1"/>
  <c r="L72" i="46"/>
  <c r="K72" i="46" s="1"/>
  <c r="D60" i="46"/>
  <c r="D56" i="46" s="1"/>
  <c r="BP235" i="46"/>
  <c r="BO143" i="46"/>
  <c r="AY119" i="46"/>
  <c r="AY97" i="46"/>
  <c r="BG95" i="46"/>
  <c r="BG37" i="46"/>
  <c r="BF34" i="46"/>
  <c r="BF33" i="46" s="1"/>
  <c r="BM35" i="46"/>
  <c r="BL34" i="46"/>
  <c r="BL33" i="46" s="1"/>
  <c r="BA8" i="46"/>
  <c r="Y150" i="46"/>
  <c r="AB154" i="46"/>
  <c r="BL10" i="46"/>
  <c r="BL9" i="46" s="1"/>
  <c r="BT236" i="46"/>
  <c r="BJ236" i="46"/>
  <c r="L20" i="46"/>
  <c r="K20" i="46" s="1"/>
  <c r="Q236" i="46"/>
  <c r="N235" i="46"/>
  <c r="BO235" i="46"/>
  <c r="U196" i="46"/>
  <c r="U164" i="46"/>
  <c r="L165" i="46"/>
  <c r="Y181" i="46"/>
  <c r="Y180" i="46" s="1"/>
  <c r="AB182" i="46"/>
  <c r="U193" i="46"/>
  <c r="BF151" i="46"/>
  <c r="BE150" i="46"/>
  <c r="AQ144" i="46"/>
  <c r="AQ143" i="46" s="1"/>
  <c r="C144" i="46"/>
  <c r="AY211" i="46"/>
  <c r="AB197" i="46"/>
  <c r="Y196" i="46"/>
  <c r="BN167" i="46"/>
  <c r="AC146" i="46"/>
  <c r="AC145" i="46" s="1"/>
  <c r="AB127" i="46"/>
  <c r="AB126" i="46" s="1"/>
  <c r="AC129" i="46"/>
  <c r="K111" i="46"/>
  <c r="D53" i="43" s="1"/>
  <c r="H4" i="46"/>
  <c r="AQ93" i="46"/>
  <c r="AQ91" i="46" s="1"/>
  <c r="AQ76" i="46" s="1"/>
  <c r="AY82" i="46"/>
  <c r="AB92" i="46"/>
  <c r="AB91" i="46" s="1"/>
  <c r="BN92" i="46"/>
  <c r="BG116" i="46"/>
  <c r="BG115" i="46" s="1"/>
  <c r="AY117" i="46"/>
  <c r="BG43" i="46"/>
  <c r="BM31" i="46"/>
  <c r="BL30" i="46"/>
  <c r="BM10" i="46"/>
  <c r="BM9" i="46" s="1"/>
  <c r="BN11" i="46"/>
  <c r="V236" i="46"/>
  <c r="V235" i="46"/>
  <c r="U34" i="46"/>
  <c r="U33" i="46" s="1"/>
  <c r="AR8" i="46"/>
  <c r="AW236" i="46"/>
  <c r="F261" i="46" s="1"/>
  <c r="O235" i="46"/>
  <c r="N236" i="46"/>
  <c r="BG60" i="46"/>
  <c r="BG56" i="46" s="1"/>
  <c r="L227" i="46"/>
  <c r="K227" i="46" s="1"/>
  <c r="K228" i="46"/>
  <c r="D46" i="43" s="1"/>
  <c r="D193" i="46"/>
  <c r="C193" i="46" s="1"/>
  <c r="E143" i="46"/>
  <c r="BN180" i="46"/>
  <c r="AY165" i="46"/>
  <c r="R150" i="46"/>
  <c r="T151" i="46"/>
  <c r="AR144" i="46"/>
  <c r="AR143" i="46" s="1"/>
  <c r="BG196" i="46"/>
  <c r="AY197" i="46"/>
  <c r="BF162" i="46"/>
  <c r="BE160" i="46"/>
  <c r="BN138" i="46"/>
  <c r="BM135" i="46"/>
  <c r="BM134" i="46" s="1"/>
  <c r="BG127" i="46"/>
  <c r="BG126" i="46" s="1"/>
  <c r="AY168" i="46"/>
  <c r="BN128" i="46"/>
  <c r="BN127" i="46" s="1"/>
  <c r="BN126" i="46" s="1"/>
  <c r="BM127" i="46"/>
  <c r="BM126" i="46" s="1"/>
  <c r="K96" i="46"/>
  <c r="L95" i="46"/>
  <c r="T95" i="46"/>
  <c r="R93" i="46"/>
  <c r="R91" i="46" s="1"/>
  <c r="R76" i="46" s="1"/>
  <c r="BF98" i="46"/>
  <c r="BF93" i="46" s="1"/>
  <c r="BF91" i="46" s="1"/>
  <c r="BG100" i="46"/>
  <c r="AC93" i="46"/>
  <c r="AC91" i="46" s="1"/>
  <c r="BM60" i="46"/>
  <c r="Y61" i="46"/>
  <c r="T31" i="46"/>
  <c r="R30" i="46"/>
  <c r="AZ8" i="46"/>
  <c r="L123" i="46"/>
  <c r="K123" i="46" s="1"/>
  <c r="BH56" i="46"/>
  <c r="Y11" i="46"/>
  <c r="Z10" i="46"/>
  <c r="Z9" i="46" s="1"/>
  <c r="Z8" i="46" s="1"/>
  <c r="AR56" i="46"/>
  <c r="AQ8" i="46"/>
  <c r="AS236" i="46"/>
  <c r="W235" i="46"/>
  <c r="M236" i="46"/>
  <c r="BN194" i="46"/>
  <c r="BN193" i="46" s="1"/>
  <c r="BG181" i="46"/>
  <c r="BG180" i="46" s="1"/>
  <c r="AY182" i="46"/>
  <c r="AY181" i="46" s="1"/>
  <c r="U145" i="46"/>
  <c r="AC136" i="46"/>
  <c r="AB135" i="46"/>
  <c r="AB134" i="46" s="1"/>
  <c r="BG125" i="46"/>
  <c r="BF124" i="46"/>
  <c r="K125" i="46"/>
  <c r="BN125" i="46"/>
  <c r="BN124" i="46" s="1"/>
  <c r="BM124" i="46"/>
  <c r="C76" i="46"/>
  <c r="BE60" i="46"/>
  <c r="BE56" i="46" s="1"/>
  <c r="BF31" i="46"/>
  <c r="BE30" i="46"/>
  <c r="Y93" i="46"/>
  <c r="Y91" i="46" s="1"/>
  <c r="K92" i="46"/>
  <c r="BM79" i="46"/>
  <c r="BL78" i="46"/>
  <c r="BL77" i="46" s="1"/>
  <c r="BE42" i="46"/>
  <c r="AY19" i="46"/>
  <c r="BG79" i="46"/>
  <c r="BF78" i="46"/>
  <c r="BF77" i="46" s="1"/>
  <c r="BM58" i="46"/>
  <c r="BL57" i="46"/>
  <c r="BL56" i="46" s="1"/>
  <c r="L44" i="46"/>
  <c r="K44" i="46" s="1"/>
  <c r="BH8" i="46"/>
  <c r="U78" i="46"/>
  <c r="U77" i="46" s="1"/>
  <c r="U64" i="46"/>
  <c r="T60" i="46"/>
  <c r="T56" i="46" s="1"/>
  <c r="T42" i="46"/>
  <c r="U10" i="46"/>
  <c r="U9" i="46" s="1"/>
  <c r="C177" i="45"/>
  <c r="U88" i="45"/>
  <c r="W88" i="45" s="1"/>
  <c r="V24" i="45"/>
  <c r="O105" i="45"/>
  <c r="H66" i="45"/>
  <c r="C66" i="45" s="1"/>
  <c r="Y66" i="45" s="1"/>
  <c r="Y40" i="45"/>
  <c r="H61" i="45"/>
  <c r="C61" i="45" s="1"/>
  <c r="Y61" i="45" s="1"/>
  <c r="V79" i="45"/>
  <c r="V171" i="45"/>
  <c r="Y171" i="45"/>
  <c r="C30" i="45"/>
  <c r="V175" i="45"/>
  <c r="Y175" i="45"/>
  <c r="D16" i="45"/>
  <c r="V173" i="45"/>
  <c r="Y173" i="45"/>
  <c r="C90" i="45"/>
  <c r="Y90" i="45" s="1"/>
  <c r="V114" i="45"/>
  <c r="C159" i="45"/>
  <c r="V156" i="45"/>
  <c r="Y128" i="45"/>
  <c r="V128" i="45"/>
  <c r="P16" i="45"/>
  <c r="Y69" i="45"/>
  <c r="V69" i="45"/>
  <c r="C18" i="45"/>
  <c r="D34" i="14"/>
  <c r="I36" i="36" s="1"/>
  <c r="D34" i="19"/>
  <c r="M36" i="36" s="1"/>
  <c r="F32" i="35"/>
  <c r="F15" i="35"/>
  <c r="F14" i="35"/>
  <c r="F13" i="35"/>
  <c r="F12" i="35"/>
  <c r="F11" i="35"/>
  <c r="F8" i="35"/>
  <c r="J27" i="40"/>
  <c r="J26" i="40"/>
  <c r="E15" i="35"/>
  <c r="E14" i="35"/>
  <c r="E13" i="35"/>
  <c r="C99" i="42"/>
  <c r="C81" i="42"/>
  <c r="N73" i="42"/>
  <c r="M73" i="42"/>
  <c r="L73" i="42"/>
  <c r="K73" i="42"/>
  <c r="J73" i="42"/>
  <c r="I73" i="42"/>
  <c r="H73" i="42"/>
  <c r="G73" i="42"/>
  <c r="F73" i="42"/>
  <c r="D73" i="42"/>
  <c r="C65" i="42"/>
  <c r="E66" i="42"/>
  <c r="J32" i="40" s="1"/>
  <c r="D63" i="42"/>
  <c r="C61" i="42"/>
  <c r="C60" i="42"/>
  <c r="D59" i="42"/>
  <c r="C38" i="42"/>
  <c r="C37" i="42"/>
  <c r="C36" i="42"/>
  <c r="C35" i="42"/>
  <c r="C34" i="42"/>
  <c r="C33" i="42"/>
  <c r="C31" i="42"/>
  <c r="C30" i="42"/>
  <c r="C29" i="42"/>
  <c r="C28" i="42"/>
  <c r="C27" i="42"/>
  <c r="C26" i="42"/>
  <c r="C24" i="42"/>
  <c r="C23" i="42"/>
  <c r="C22" i="42"/>
  <c r="C21" i="42"/>
  <c r="C20" i="42"/>
  <c r="C19" i="42"/>
  <c r="K101" i="42"/>
  <c r="L101" i="42"/>
  <c r="M101" i="42"/>
  <c r="N101" i="42"/>
  <c r="H101" i="42"/>
  <c r="I101" i="42"/>
  <c r="J101" i="42"/>
  <c r="F101" i="42"/>
  <c r="E101" i="42" s="1"/>
  <c r="D15" i="35"/>
  <c r="D14" i="35"/>
  <c r="E75" i="42"/>
  <c r="J45" i="40" s="1"/>
  <c r="E74" i="42"/>
  <c r="J44" i="40" s="1"/>
  <c r="N77" i="42"/>
  <c r="M77" i="42"/>
  <c r="L77" i="42"/>
  <c r="K77" i="42"/>
  <c r="J77" i="42"/>
  <c r="I77" i="42"/>
  <c r="H77" i="42"/>
  <c r="G77" i="42"/>
  <c r="F77" i="42"/>
  <c r="E78" i="42"/>
  <c r="J36" i="40" s="1"/>
  <c r="F136" i="43"/>
  <c r="F133" i="43"/>
  <c r="D133" i="43" s="1"/>
  <c r="D131" i="43"/>
  <c r="D127" i="43"/>
  <c r="D126" i="43"/>
  <c r="D125" i="43"/>
  <c r="D124" i="43"/>
  <c r="D123" i="43"/>
  <c r="D122" i="43"/>
  <c r="D121" i="43"/>
  <c r="G120" i="43"/>
  <c r="D115" i="43"/>
  <c r="D114" i="43"/>
  <c r="D113" i="43"/>
  <c r="D112" i="43"/>
  <c r="D110" i="43"/>
  <c r="D109" i="43"/>
  <c r="D108" i="43"/>
  <c r="D105" i="43"/>
  <c r="D104" i="43"/>
  <c r="D103" i="43"/>
  <c r="D102" i="43"/>
  <c r="D99" i="43"/>
  <c r="G98" i="43"/>
  <c r="F98" i="43"/>
  <c r="D95" i="43"/>
  <c r="D94" i="43"/>
  <c r="G93" i="43"/>
  <c r="F93" i="43"/>
  <c r="D92" i="43"/>
  <c r="D91" i="43"/>
  <c r="G90" i="43"/>
  <c r="F90" i="43"/>
  <c r="D85" i="43"/>
  <c r="D84" i="43"/>
  <c r="D75" i="43"/>
  <c r="D74" i="43"/>
  <c r="D73" i="43"/>
  <c r="D67" i="43"/>
  <c r="D66" i="43"/>
  <c r="D65" i="43"/>
  <c r="D64" i="43"/>
  <c r="D63" i="43"/>
  <c r="D62" i="43"/>
  <c r="H62" i="43" s="1"/>
  <c r="D58" i="43"/>
  <c r="D56" i="43"/>
  <c r="D55" i="43"/>
  <c r="D54" i="43"/>
  <c r="D52" i="43"/>
  <c r="D51" i="43"/>
  <c r="D50" i="43"/>
  <c r="G48" i="43"/>
  <c r="D48" i="43" s="1"/>
  <c r="D47" i="43"/>
  <c r="D42" i="43"/>
  <c r="D41" i="43"/>
  <c r="F29" i="43"/>
  <c r="D28" i="43"/>
  <c r="D27" i="43"/>
  <c r="D26" i="43"/>
  <c r="D25" i="43"/>
  <c r="D24" i="43"/>
  <c r="D23" i="43"/>
  <c r="D22" i="43"/>
  <c r="D21" i="43"/>
  <c r="D20" i="43"/>
  <c r="D19" i="43"/>
  <c r="D18" i="43"/>
  <c r="D17" i="43"/>
  <c r="D16" i="43"/>
  <c r="Y135" i="45" l="1"/>
  <c r="V80" i="45"/>
  <c r="V124" i="45"/>
  <c r="I74" i="43"/>
  <c r="H74" i="43"/>
  <c r="I66" i="43"/>
  <c r="H66" i="43"/>
  <c r="I75" i="43"/>
  <c r="H75" i="43"/>
  <c r="I50" i="43"/>
  <c r="H50" i="43"/>
  <c r="I63" i="43"/>
  <c r="H63" i="43"/>
  <c r="I64" i="43"/>
  <c r="H64" i="43"/>
  <c r="I73" i="43"/>
  <c r="H73" i="43"/>
  <c r="I47" i="43"/>
  <c r="H47" i="43"/>
  <c r="H52" i="43"/>
  <c r="I52" i="43"/>
  <c r="H58" i="43"/>
  <c r="I58" i="43"/>
  <c r="I65" i="43"/>
  <c r="H65" i="43"/>
  <c r="I48" i="43"/>
  <c r="H48" i="43"/>
  <c r="H54" i="43"/>
  <c r="I54" i="43"/>
  <c r="I53" i="43"/>
  <c r="H53" i="43"/>
  <c r="I41" i="43"/>
  <c r="H41" i="43"/>
  <c r="I55" i="43"/>
  <c r="H55" i="43"/>
  <c r="I67" i="43"/>
  <c r="H67" i="43"/>
  <c r="H84" i="43"/>
  <c r="I84" i="43"/>
  <c r="I59" i="43"/>
  <c r="H59" i="43"/>
  <c r="I42" i="43"/>
  <c r="H42" i="43"/>
  <c r="I51" i="43"/>
  <c r="H51" i="43"/>
  <c r="H56" i="43"/>
  <c r="I56" i="43"/>
  <c r="I85" i="43"/>
  <c r="H85" i="43"/>
  <c r="I46" i="43"/>
  <c r="H46" i="43"/>
  <c r="D136" i="43"/>
  <c r="F132" i="43"/>
  <c r="D132" i="43" s="1"/>
  <c r="K47" i="43"/>
  <c r="K58" i="43"/>
  <c r="K59" i="43"/>
  <c r="K46" i="43"/>
  <c r="V153" i="45"/>
  <c r="E72" i="20"/>
  <c r="F72" i="20"/>
  <c r="E72" i="15"/>
  <c r="F72" i="15"/>
  <c r="S236" i="46"/>
  <c r="U160" i="46"/>
  <c r="Y140" i="45"/>
  <c r="L146" i="46"/>
  <c r="AY95" i="46"/>
  <c r="L160" i="46"/>
  <c r="K160" i="46" s="1"/>
  <c r="Z143" i="46"/>
  <c r="BL76" i="46"/>
  <c r="AD10" i="46"/>
  <c r="AD9" i="46" s="1"/>
  <c r="AD8" i="46" s="1"/>
  <c r="AD236" i="46" s="1"/>
  <c r="D39" i="43" s="1"/>
  <c r="AY116" i="46"/>
  <c r="AY115" i="46" s="1"/>
  <c r="AB117" i="46"/>
  <c r="AB116" i="46" s="1"/>
  <c r="AB115" i="46" s="1"/>
  <c r="BE8" i="46"/>
  <c r="V131" i="45"/>
  <c r="AY180" i="46"/>
  <c r="BE144" i="46"/>
  <c r="BE143" i="46" s="1"/>
  <c r="C101" i="42"/>
  <c r="C75" i="42"/>
  <c r="V117" i="45"/>
  <c r="AY128" i="46"/>
  <c r="AY127" i="46" s="1"/>
  <c r="AY126" i="46" s="1"/>
  <c r="BG10" i="46"/>
  <c r="BG9" i="46" s="1"/>
  <c r="L18" i="46"/>
  <c r="K18" i="46" s="1"/>
  <c r="Y144" i="46"/>
  <c r="C66" i="42"/>
  <c r="C78" i="42"/>
  <c r="AC43" i="46"/>
  <c r="Y42" i="46"/>
  <c r="R8" i="46"/>
  <c r="O260" i="46"/>
  <c r="BN91" i="46"/>
  <c r="BG166" i="46"/>
  <c r="BF164" i="46"/>
  <c r="V109" i="45"/>
  <c r="BF193" i="46"/>
  <c r="BG194" i="46"/>
  <c r="BG193" i="46" s="1"/>
  <c r="AY196" i="46"/>
  <c r="R144" i="46"/>
  <c r="R143" i="46" s="1"/>
  <c r="BN161" i="46"/>
  <c r="BM160" i="46"/>
  <c r="BM144" i="46" s="1"/>
  <c r="BM143" i="46" s="1"/>
  <c r="E73" i="42"/>
  <c r="C73" i="42" s="1"/>
  <c r="V145" i="45"/>
  <c r="Y145" i="45"/>
  <c r="C74" i="42"/>
  <c r="D261" i="46"/>
  <c r="AY169" i="46"/>
  <c r="AY167" i="46" s="1"/>
  <c r="BN10" i="46"/>
  <c r="BN9" i="46" s="1"/>
  <c r="AY146" i="46"/>
  <c r="AY145" i="46" s="1"/>
  <c r="K224" i="46"/>
  <c r="D79" i="43"/>
  <c r="D93" i="43"/>
  <c r="F89" i="43"/>
  <c r="D120" i="43"/>
  <c r="G89" i="43"/>
  <c r="G97" i="43"/>
  <c r="D98" i="43"/>
  <c r="BG78" i="46"/>
  <c r="BG77" i="46" s="1"/>
  <c r="T93" i="46"/>
  <c r="T91" i="46" s="1"/>
  <c r="T76" i="46" s="1"/>
  <c r="U95" i="46"/>
  <c r="U93" i="46" s="1"/>
  <c r="U91" i="46" s="1"/>
  <c r="U76" i="46" s="1"/>
  <c r="BF160" i="46"/>
  <c r="BG162" i="46"/>
  <c r="T150" i="46"/>
  <c r="U151" i="46"/>
  <c r="AY11" i="46"/>
  <c r="AY10" i="46" s="1"/>
  <c r="AY9" i="46" s="1"/>
  <c r="C143" i="46"/>
  <c r="C235" i="46" s="1"/>
  <c r="AB167" i="46"/>
  <c r="AC168" i="46"/>
  <c r="T167" i="46"/>
  <c r="U169" i="46"/>
  <c r="L214" i="46"/>
  <c r="K214" i="46" s="1"/>
  <c r="K215" i="46"/>
  <c r="D78" i="43" s="1"/>
  <c r="BH236" i="46"/>
  <c r="BH235" i="46"/>
  <c r="AY125" i="46"/>
  <c r="AY124" i="46" s="1"/>
  <c r="BG124" i="46"/>
  <c r="L145" i="46"/>
  <c r="K146" i="46"/>
  <c r="AQ236" i="46"/>
  <c r="AQ235" i="46"/>
  <c r="T30" i="46"/>
  <c r="T8" i="46" s="1"/>
  <c r="U31" i="46"/>
  <c r="AY100" i="46"/>
  <c r="AY98" i="46" s="1"/>
  <c r="AY93" i="46" s="1"/>
  <c r="BG98" i="46"/>
  <c r="BG93" i="46" s="1"/>
  <c r="BG91" i="46" s="1"/>
  <c r="L93" i="46"/>
  <c r="K95" i="46"/>
  <c r="AY138" i="46"/>
  <c r="AY135" i="46" s="1"/>
  <c r="AY134" i="46" s="1"/>
  <c r="BN135" i="46"/>
  <c r="BN134" i="46" s="1"/>
  <c r="L164" i="46"/>
  <c r="K164" i="46" s="1"/>
  <c r="K165" i="46"/>
  <c r="BA235" i="46"/>
  <c r="BA236" i="46"/>
  <c r="AY37" i="46"/>
  <c r="BG34" i="46"/>
  <c r="BG33" i="46" s="1"/>
  <c r="BQ235" i="46"/>
  <c r="BQ236" i="46"/>
  <c r="K128" i="46"/>
  <c r="L64" i="46"/>
  <c r="K64" i="46" s="1"/>
  <c r="U60" i="46"/>
  <c r="U56" i="46" s="1"/>
  <c r="BM57" i="46"/>
  <c r="BM56" i="46" s="1"/>
  <c r="BN58" i="46"/>
  <c r="Y58" i="46"/>
  <c r="BM78" i="46"/>
  <c r="BM77" i="46" s="1"/>
  <c r="BM76" i="46" s="1"/>
  <c r="Y79" i="46"/>
  <c r="BN79" i="46"/>
  <c r="BN78" i="46" s="1"/>
  <c r="BN77" i="46" s="1"/>
  <c r="BN76" i="46" s="1"/>
  <c r="M260" i="46"/>
  <c r="M264" i="46" s="1"/>
  <c r="Y10" i="46"/>
  <c r="Y9" i="46" s="1"/>
  <c r="AB11" i="46"/>
  <c r="AB61" i="46"/>
  <c r="Y60" i="46"/>
  <c r="E235" i="46"/>
  <c r="E236" i="46"/>
  <c r="D260" i="46" s="1"/>
  <c r="AR236" i="46"/>
  <c r="AR235" i="46"/>
  <c r="BM30" i="46"/>
  <c r="Y31" i="46"/>
  <c r="BN31" i="46"/>
  <c r="BN30" i="46" s="1"/>
  <c r="AY92" i="46"/>
  <c r="L129" i="46"/>
  <c r="K129" i="46" s="1"/>
  <c r="AC127" i="46"/>
  <c r="AC126" i="46" s="1"/>
  <c r="AB196" i="46"/>
  <c r="AC197" i="46"/>
  <c r="AB181" i="46"/>
  <c r="AB180" i="46" s="1"/>
  <c r="AC182" i="46"/>
  <c r="BL8" i="46"/>
  <c r="Y193" i="46"/>
  <c r="AB194" i="46"/>
  <c r="AC42" i="46"/>
  <c r="L43" i="46"/>
  <c r="BF76" i="46"/>
  <c r="BF30" i="46"/>
  <c r="BF8" i="46" s="1"/>
  <c r="BG31" i="46"/>
  <c r="AC135" i="46"/>
  <c r="AC134" i="46" s="1"/>
  <c r="L136" i="46"/>
  <c r="AZ236" i="46"/>
  <c r="AZ235" i="46"/>
  <c r="AY43" i="46"/>
  <c r="AY42" i="46" s="1"/>
  <c r="BG42" i="46"/>
  <c r="BF150" i="46"/>
  <c r="BG151" i="46"/>
  <c r="AC154" i="46"/>
  <c r="AB150" i="46"/>
  <c r="BM34" i="46"/>
  <c r="BM33" i="46" s="1"/>
  <c r="BN35" i="46"/>
  <c r="Y35" i="46"/>
  <c r="U116" i="46"/>
  <c r="U115" i="46" s="1"/>
  <c r="D143" i="46"/>
  <c r="Y177" i="45"/>
  <c r="V177" i="45"/>
  <c r="M105" i="45"/>
  <c r="O88" i="45"/>
  <c r="O16" i="45" s="1"/>
  <c r="H56" i="45"/>
  <c r="Y30" i="45"/>
  <c r="V30" i="45"/>
  <c r="Y159" i="45"/>
  <c r="V159" i="45"/>
  <c r="Y18" i="45"/>
  <c r="V18" i="45"/>
  <c r="I48" i="40"/>
  <c r="I47" i="40" s="1"/>
  <c r="D90" i="43"/>
  <c r="F97" i="43"/>
  <c r="H39" i="43" l="1"/>
  <c r="I39" i="43"/>
  <c r="I79" i="43"/>
  <c r="H79" i="43"/>
  <c r="I78" i="43"/>
  <c r="H78" i="43"/>
  <c r="D97" i="43"/>
  <c r="E98" i="43"/>
  <c r="E97" i="43" s="1"/>
  <c r="E96" i="43" s="1"/>
  <c r="AB144" i="46"/>
  <c r="R235" i="46"/>
  <c r="BF144" i="46"/>
  <c r="BF143" i="46" s="1"/>
  <c r="AD235" i="46"/>
  <c r="AD237" i="46" s="1"/>
  <c r="D40" i="43" s="1"/>
  <c r="AC117" i="46"/>
  <c r="AY194" i="46"/>
  <c r="AY193" i="46" s="1"/>
  <c r="BM8" i="46"/>
  <c r="BM235" i="46" s="1"/>
  <c r="R236" i="46"/>
  <c r="Y143" i="46"/>
  <c r="BE235" i="46"/>
  <c r="BE236" i="46"/>
  <c r="T144" i="46"/>
  <c r="T143" i="46" s="1"/>
  <c r="AY161" i="46"/>
  <c r="BN160" i="46"/>
  <c r="BN144" i="46" s="1"/>
  <c r="BN143" i="46" s="1"/>
  <c r="AY91" i="46"/>
  <c r="AY166" i="46"/>
  <c r="AY164" i="46" s="1"/>
  <c r="BG164" i="46"/>
  <c r="F106" i="43"/>
  <c r="F96" i="43" s="1"/>
  <c r="F88" i="43" s="1"/>
  <c r="BN34" i="46"/>
  <c r="BN33" i="46" s="1"/>
  <c r="BN8" i="46" s="1"/>
  <c r="AY35" i="46"/>
  <c r="AY34" i="46" s="1"/>
  <c r="AY33" i="46" s="1"/>
  <c r="AY31" i="46"/>
  <c r="AY30" i="46" s="1"/>
  <c r="BG30" i="46"/>
  <c r="BG8" i="46" s="1"/>
  <c r="BL236" i="46"/>
  <c r="BL235" i="46"/>
  <c r="AB60" i="46"/>
  <c r="AC61" i="46"/>
  <c r="L127" i="46"/>
  <c r="C236" i="46"/>
  <c r="AY79" i="46"/>
  <c r="AY78" i="46" s="1"/>
  <c r="AY77" i="46" s="1"/>
  <c r="AY76" i="46" s="1"/>
  <c r="AY151" i="46"/>
  <c r="AY150" i="46" s="1"/>
  <c r="BG150" i="46"/>
  <c r="AC181" i="46"/>
  <c r="AC180" i="46" s="1"/>
  <c r="L182" i="46"/>
  <c r="AB10" i="46"/>
  <c r="AB9" i="46" s="1"/>
  <c r="AC11" i="46"/>
  <c r="Y78" i="46"/>
  <c r="Y77" i="46" s="1"/>
  <c r="Y76" i="46" s="1"/>
  <c r="AB79" i="46"/>
  <c r="Y57" i="46"/>
  <c r="Y56" i="46" s="1"/>
  <c r="AB58" i="46"/>
  <c r="N252" i="46"/>
  <c r="N258" i="46" s="1"/>
  <c r="O261" i="46"/>
  <c r="O264" i="46" s="1"/>
  <c r="U30" i="46"/>
  <c r="U8" i="46" s="1"/>
  <c r="AC167" i="46"/>
  <c r="L168" i="46"/>
  <c r="U150" i="46"/>
  <c r="L151" i="46"/>
  <c r="K136" i="46"/>
  <c r="L135" i="46"/>
  <c r="AB31" i="46"/>
  <c r="Y30" i="46"/>
  <c r="BN57" i="46"/>
  <c r="BN56" i="46" s="1"/>
  <c r="AY58" i="46"/>
  <c r="AY57" i="46" s="1"/>
  <c r="AY56" i="46" s="1"/>
  <c r="K93" i="46"/>
  <c r="L91" i="46"/>
  <c r="K91" i="46" s="1"/>
  <c r="T235" i="46"/>
  <c r="K145" i="46"/>
  <c r="AC194" i="46"/>
  <c r="AB193" i="46"/>
  <c r="AB143" i="46" s="1"/>
  <c r="D235" i="46"/>
  <c r="D236" i="46"/>
  <c r="AB35" i="46"/>
  <c r="Y34" i="46"/>
  <c r="Y33" i="46" s="1"/>
  <c r="AC150" i="46"/>
  <c r="AC144" i="46" s="1"/>
  <c r="L154" i="46"/>
  <c r="K154" i="46" s="1"/>
  <c r="K43" i="46"/>
  <c r="L42" i="46"/>
  <c r="K42" i="46" s="1"/>
  <c r="AC196" i="46"/>
  <c r="L197" i="46"/>
  <c r="L169" i="46"/>
  <c r="K169" i="46" s="1"/>
  <c r="U167" i="46"/>
  <c r="AY162" i="46"/>
  <c r="BG160" i="46"/>
  <c r="BG76" i="46"/>
  <c r="C105" i="45"/>
  <c r="Y105" i="45" s="1"/>
  <c r="M88" i="45"/>
  <c r="U39" i="45"/>
  <c r="C56" i="45"/>
  <c r="H39" i="45"/>
  <c r="H16" i="45" s="1"/>
  <c r="H9" i="45" s="1"/>
  <c r="U108" i="45"/>
  <c r="D89" i="43"/>
  <c r="I40" i="43" l="1"/>
  <c r="H40" i="43"/>
  <c r="BM236" i="46"/>
  <c r="BF235" i="46"/>
  <c r="BF236" i="46"/>
  <c r="BG238" i="46" s="1"/>
  <c r="AC116" i="46"/>
  <c r="AC115" i="46" s="1"/>
  <c r="L117" i="46"/>
  <c r="Y8" i="46"/>
  <c r="Y235" i="46" s="1"/>
  <c r="AY160" i="46"/>
  <c r="AY144" i="46" s="1"/>
  <c r="AY143" i="46" s="1"/>
  <c r="AY8" i="46"/>
  <c r="T236" i="46"/>
  <c r="U238" i="46"/>
  <c r="AC31" i="46"/>
  <c r="AB30" i="46"/>
  <c r="U144" i="46"/>
  <c r="U143" i="46" s="1"/>
  <c r="AB34" i="46"/>
  <c r="AB33" i="46" s="1"/>
  <c r="AC35" i="46"/>
  <c r="AC193" i="46"/>
  <c r="AC143" i="46" s="1"/>
  <c r="L194" i="46"/>
  <c r="K135" i="46"/>
  <c r="L134" i="46"/>
  <c r="K134" i="46" s="1"/>
  <c r="L167" i="46"/>
  <c r="K167" i="46" s="1"/>
  <c r="K168" i="46"/>
  <c r="AB78" i="46"/>
  <c r="AB77" i="46" s="1"/>
  <c r="AB76" i="46" s="1"/>
  <c r="AC79" i="46"/>
  <c r="K182" i="46"/>
  <c r="L181" i="46"/>
  <c r="L196" i="46"/>
  <c r="K196" i="46" s="1"/>
  <c r="K197" i="46"/>
  <c r="BG144" i="46"/>
  <c r="BG143" i="46" s="1"/>
  <c r="K127" i="46"/>
  <c r="L126" i="46"/>
  <c r="K126" i="46" s="1"/>
  <c r="BN236" i="46"/>
  <c r="BN235" i="46"/>
  <c r="L150" i="46"/>
  <c r="K151" i="46"/>
  <c r="AB57" i="46"/>
  <c r="AB56" i="46" s="1"/>
  <c r="AC58" i="46"/>
  <c r="AC10" i="46"/>
  <c r="AC9" i="46" s="1"/>
  <c r="L11" i="46"/>
  <c r="AC60" i="46"/>
  <c r="L61" i="46"/>
  <c r="M16" i="45"/>
  <c r="C88" i="45"/>
  <c r="Y56" i="45"/>
  <c r="C39" i="45"/>
  <c r="V108" i="45"/>
  <c r="U16" i="45"/>
  <c r="Y236" i="46" l="1"/>
  <c r="K117" i="46"/>
  <c r="L116" i="46"/>
  <c r="AB8" i="46"/>
  <c r="AB236" i="46" s="1"/>
  <c r="BG235" i="46"/>
  <c r="BG236" i="46"/>
  <c r="U235" i="46"/>
  <c r="K70" i="43"/>
  <c r="AY236" i="46"/>
  <c r="L180" i="46"/>
  <c r="K180" i="46" s="1"/>
  <c r="K181" i="46"/>
  <c r="K194" i="46"/>
  <c r="L193" i="46"/>
  <c r="K193" i="46" s="1"/>
  <c r="K61" i="46"/>
  <c r="L60" i="46"/>
  <c r="K150" i="46"/>
  <c r="L144" i="46"/>
  <c r="AC78" i="46"/>
  <c r="AC77" i="46" s="1"/>
  <c r="AC76" i="46" s="1"/>
  <c r="L79" i="46"/>
  <c r="AC34" i="46"/>
  <c r="AC33" i="46" s="1"/>
  <c r="L35" i="46"/>
  <c r="AB235" i="46"/>
  <c r="AC57" i="46"/>
  <c r="AC56" i="46" s="1"/>
  <c r="L58" i="46"/>
  <c r="AY235" i="46"/>
  <c r="U236" i="46"/>
  <c r="AC30" i="46"/>
  <c r="L31" i="46"/>
  <c r="K11" i="46"/>
  <c r="L10" i="46"/>
  <c r="Y88" i="45"/>
  <c r="V88" i="45"/>
  <c r="Y39" i="45"/>
  <c r="C16" i="45"/>
  <c r="V39" i="45"/>
  <c r="C8" i="45"/>
  <c r="K60" i="46" l="1"/>
  <c r="B4" i="46"/>
  <c r="L1" i="46"/>
  <c r="AC8" i="46"/>
  <c r="AC236" i="46" s="1"/>
  <c r="L252" i="46" s="1"/>
  <c r="L115" i="46"/>
  <c r="K115" i="46" s="1"/>
  <c r="D57" i="43" s="1"/>
  <c r="K116" i="46"/>
  <c r="AC238" i="46"/>
  <c r="U240" i="46" s="1"/>
  <c r="U241" i="46" s="1"/>
  <c r="T239" i="46"/>
  <c r="K10" i="46"/>
  <c r="L9" i="46"/>
  <c r="U252" i="46"/>
  <c r="L78" i="46"/>
  <c r="K79" i="46"/>
  <c r="K31" i="46"/>
  <c r="L30" i="46"/>
  <c r="K30" i="46" s="1"/>
  <c r="L57" i="46"/>
  <c r="K58" i="46"/>
  <c r="L34" i="46"/>
  <c r="K35" i="46"/>
  <c r="K144" i="46"/>
  <c r="L143" i="46"/>
  <c r="K143" i="46" s="1"/>
  <c r="D76" i="43" s="1"/>
  <c r="V16" i="45"/>
  <c r="D8" i="45"/>
  <c r="I76" i="43" l="1"/>
  <c r="H76" i="43"/>
  <c r="I57" i="43"/>
  <c r="H57" i="43"/>
  <c r="AC235" i="46"/>
  <c r="K57" i="43"/>
  <c r="K76" i="43"/>
  <c r="K34" i="46"/>
  <c r="L33" i="46"/>
  <c r="K33" i="46" s="1"/>
  <c r="K9" i="46"/>
  <c r="K57" i="46"/>
  <c r="L56" i="46"/>
  <c r="L77" i="46"/>
  <c r="K78" i="46"/>
  <c r="K1" i="46" l="1"/>
  <c r="AY3" i="46"/>
  <c r="K4" i="46"/>
  <c r="M4" i="46"/>
  <c r="K56" i="46"/>
  <c r="AM56" i="46"/>
  <c r="L8" i="46"/>
  <c r="K8" i="46" s="1"/>
  <c r="K77" i="46"/>
  <c r="L76" i="46"/>
  <c r="K76" i="46" s="1"/>
  <c r="D34" i="21"/>
  <c r="O36" i="36" s="1"/>
  <c r="K13" i="35"/>
  <c r="K14" i="35"/>
  <c r="K48" i="43" l="1"/>
  <c r="AM235" i="46"/>
  <c r="AM236" i="46"/>
  <c r="L236" i="46"/>
  <c r="K236" i="46" s="1"/>
  <c r="L235" i="46"/>
  <c r="D34" i="22"/>
  <c r="J15" i="35"/>
  <c r="J14" i="35"/>
  <c r="P36" i="36" l="1"/>
  <c r="E34" i="22"/>
  <c r="F34" i="22"/>
  <c r="L242" i="46"/>
  <c r="L238" i="46"/>
  <c r="K235" i="46"/>
  <c r="K238" i="46" s="1"/>
  <c r="K239" i="46" s="1"/>
  <c r="J9" i="35"/>
  <c r="J8" i="35"/>
  <c r="D34" i="17"/>
  <c r="L36" i="36" s="1"/>
  <c r="I14" i="35"/>
  <c r="I12" i="35"/>
  <c r="D34" i="15"/>
  <c r="J36" i="36" s="1"/>
  <c r="G15" i="35"/>
  <c r="G14" i="35"/>
  <c r="G12" i="35"/>
  <c r="D37" i="36"/>
  <c r="D34" i="20"/>
  <c r="N36" i="36" s="1"/>
  <c r="H15" i="35" l="1"/>
  <c r="H14" i="35"/>
  <c r="H13" i="35"/>
  <c r="H12" i="35"/>
  <c r="D34" i="16"/>
  <c r="K36" i="36" s="1"/>
  <c r="D34" i="9"/>
  <c r="D31" i="23" l="1"/>
  <c r="H36" i="36"/>
  <c r="L15" i="35"/>
  <c r="D40" i="35" l="1"/>
  <c r="E40" i="35"/>
  <c r="F40" i="35"/>
  <c r="G40" i="35"/>
  <c r="H40" i="35"/>
  <c r="I40" i="35"/>
  <c r="J40" i="35"/>
  <c r="K40" i="35"/>
  <c r="L40" i="35"/>
  <c r="D19" i="21"/>
  <c r="O19" i="36" s="1"/>
  <c r="M13" i="36"/>
  <c r="E83" i="42"/>
  <c r="E82" i="42"/>
  <c r="E79" i="42"/>
  <c r="E76" i="42"/>
  <c r="D76" i="42" s="1"/>
  <c r="E72" i="42"/>
  <c r="E71" i="42"/>
  <c r="E70" i="42"/>
  <c r="E69" i="42"/>
  <c r="E68" i="42"/>
  <c r="J28" i="40" s="1"/>
  <c r="E67" i="42"/>
  <c r="D67" i="42" s="1"/>
  <c r="E64" i="42"/>
  <c r="C64" i="42" s="1"/>
  <c r="E63" i="42"/>
  <c r="E62" i="42"/>
  <c r="E59" i="42"/>
  <c r="C59" i="42" s="1"/>
  <c r="E58" i="42"/>
  <c r="E57" i="42"/>
  <c r="C57" i="42" s="1"/>
  <c r="E56" i="42"/>
  <c r="C56" i="42" s="1"/>
  <c r="E55" i="42"/>
  <c r="C55" i="42" s="1"/>
  <c r="E54" i="42"/>
  <c r="C54" i="42" s="1"/>
  <c r="N53" i="42"/>
  <c r="M53" i="42"/>
  <c r="L53" i="42"/>
  <c r="K53" i="42"/>
  <c r="J53" i="42"/>
  <c r="I53" i="42"/>
  <c r="H53" i="42"/>
  <c r="G53" i="42"/>
  <c r="F53" i="42"/>
  <c r="E52" i="42"/>
  <c r="C52" i="42" s="1"/>
  <c r="E51" i="42"/>
  <c r="C51" i="42" s="1"/>
  <c r="E50" i="42"/>
  <c r="C50" i="42" s="1"/>
  <c r="E49" i="42"/>
  <c r="C49" i="42" s="1"/>
  <c r="E48" i="42"/>
  <c r="C48" i="42" s="1"/>
  <c r="E47" i="42"/>
  <c r="C47" i="42" s="1"/>
  <c r="N46" i="42"/>
  <c r="M46" i="42"/>
  <c r="L46" i="42"/>
  <c r="K46" i="42"/>
  <c r="J46" i="42"/>
  <c r="I46" i="42"/>
  <c r="H46" i="42"/>
  <c r="G46" i="42"/>
  <c r="F46" i="42"/>
  <c r="N45" i="42"/>
  <c r="M45" i="42"/>
  <c r="L45" i="42"/>
  <c r="K45" i="42"/>
  <c r="J45" i="42"/>
  <c r="I45" i="42"/>
  <c r="H45" i="42"/>
  <c r="G45" i="42"/>
  <c r="F45" i="42"/>
  <c r="N44" i="42"/>
  <c r="M44" i="42"/>
  <c r="L44" i="42"/>
  <c r="K44" i="42"/>
  <c r="J44" i="42"/>
  <c r="I44" i="42"/>
  <c r="H44" i="42"/>
  <c r="G44" i="42"/>
  <c r="F44" i="42"/>
  <c r="N43" i="42"/>
  <c r="M43" i="42"/>
  <c r="L43" i="42"/>
  <c r="K43" i="42"/>
  <c r="J43" i="42"/>
  <c r="I43" i="42"/>
  <c r="H43" i="42"/>
  <c r="G43" i="42"/>
  <c r="F43" i="42"/>
  <c r="N42" i="42"/>
  <c r="M42" i="42"/>
  <c r="L42" i="42"/>
  <c r="K42" i="42"/>
  <c r="J42" i="42"/>
  <c r="I42" i="42"/>
  <c r="H42" i="42"/>
  <c r="G42" i="42"/>
  <c r="F42" i="42"/>
  <c r="N41" i="42"/>
  <c r="M41" i="42"/>
  <c r="L41" i="42"/>
  <c r="K41" i="42"/>
  <c r="J41" i="42"/>
  <c r="I41" i="42"/>
  <c r="H41" i="42"/>
  <c r="G41" i="42"/>
  <c r="F41" i="42"/>
  <c r="N40" i="42"/>
  <c r="M40" i="42"/>
  <c r="L40" i="42"/>
  <c r="K40" i="42"/>
  <c r="J40" i="42"/>
  <c r="I40" i="42"/>
  <c r="H40" i="42"/>
  <c r="G40" i="42"/>
  <c r="F40" i="42"/>
  <c r="N32" i="42"/>
  <c r="M32" i="42"/>
  <c r="L32" i="42"/>
  <c r="K32" i="42"/>
  <c r="J32" i="42"/>
  <c r="I32" i="42"/>
  <c r="H32" i="42"/>
  <c r="G32" i="42"/>
  <c r="F32" i="42"/>
  <c r="E32" i="42"/>
  <c r="D32" i="42"/>
  <c r="N25" i="42"/>
  <c r="M25" i="42"/>
  <c r="L25" i="42"/>
  <c r="K25" i="42"/>
  <c r="J25" i="42"/>
  <c r="I25" i="42"/>
  <c r="H25" i="42"/>
  <c r="G25" i="42"/>
  <c r="F25" i="42"/>
  <c r="E25" i="42"/>
  <c r="D25" i="42"/>
  <c r="N18" i="42"/>
  <c r="M18" i="42"/>
  <c r="L18" i="42"/>
  <c r="K18" i="42"/>
  <c r="J18" i="42"/>
  <c r="I18" i="42"/>
  <c r="H18" i="42"/>
  <c r="G18" i="42"/>
  <c r="F18" i="42"/>
  <c r="E18" i="42"/>
  <c r="I17" i="42" l="1"/>
  <c r="M17" i="42"/>
  <c r="N39" i="42"/>
  <c r="E17" i="42"/>
  <c r="C18" i="42"/>
  <c r="J24" i="40"/>
  <c r="C62" i="42"/>
  <c r="F17" i="42"/>
  <c r="N17" i="42"/>
  <c r="J33" i="40"/>
  <c r="C69" i="42"/>
  <c r="K17" i="42"/>
  <c r="D17" i="42"/>
  <c r="I17" i="40"/>
  <c r="C25" i="42"/>
  <c r="J29" i="40"/>
  <c r="C58" i="42"/>
  <c r="J40" i="40"/>
  <c r="C70" i="42"/>
  <c r="J37" i="40"/>
  <c r="C79" i="42"/>
  <c r="J42" i="40"/>
  <c r="C72" i="42"/>
  <c r="J46" i="40"/>
  <c r="C83" i="42"/>
  <c r="J17" i="42"/>
  <c r="I18" i="40"/>
  <c r="C32" i="42"/>
  <c r="G17" i="42"/>
  <c r="H17" i="42"/>
  <c r="L17" i="42"/>
  <c r="J34" i="40"/>
  <c r="C71" i="42"/>
  <c r="D82" i="42"/>
  <c r="I41" i="40" s="1"/>
  <c r="J41" i="40"/>
  <c r="H39" i="42"/>
  <c r="L39" i="42"/>
  <c r="I39" i="42"/>
  <c r="M39" i="42"/>
  <c r="D77" i="42"/>
  <c r="E77" i="42"/>
  <c r="F39" i="42"/>
  <c r="J39" i="42"/>
  <c r="D53" i="42"/>
  <c r="G39" i="42"/>
  <c r="K39" i="42"/>
  <c r="N14" i="42"/>
  <c r="E53" i="42"/>
  <c r="E41" i="42"/>
  <c r="J23" i="40" s="1"/>
  <c r="E45" i="42"/>
  <c r="E44" i="42"/>
  <c r="E43" i="42"/>
  <c r="J21" i="40" s="1"/>
  <c r="E40" i="42"/>
  <c r="J22" i="40" s="1"/>
  <c r="E42" i="42"/>
  <c r="J20" i="40" s="1"/>
  <c r="E46" i="42"/>
  <c r="F34" i="20"/>
  <c r="E34" i="20"/>
  <c r="F26" i="20"/>
  <c r="E26" i="20"/>
  <c r="F45" i="19"/>
  <c r="E45" i="19"/>
  <c r="F44" i="19"/>
  <c r="E44" i="19"/>
  <c r="F34" i="19"/>
  <c r="E34" i="19"/>
  <c r="F26" i="19"/>
  <c r="E26" i="19"/>
  <c r="D19" i="19"/>
  <c r="C77" i="42" l="1"/>
  <c r="N19" i="36"/>
  <c r="I14" i="42"/>
  <c r="E19" i="19"/>
  <c r="M19" i="36"/>
  <c r="C53" i="42"/>
  <c r="L14" i="42"/>
  <c r="H14" i="42"/>
  <c r="H15" i="42" s="1"/>
  <c r="H16" i="42" s="1"/>
  <c r="J14" i="42"/>
  <c r="J15" i="42" s="1"/>
  <c r="J16" i="42" s="1"/>
  <c r="M14" i="42"/>
  <c r="M15" i="42" s="1"/>
  <c r="M16" i="42" s="1"/>
  <c r="L15" i="42"/>
  <c r="L16" i="42" s="1"/>
  <c r="K14" i="42"/>
  <c r="F14" i="42"/>
  <c r="F15" i="42" s="1"/>
  <c r="F16" i="42" s="1"/>
  <c r="I15" i="42"/>
  <c r="I16" i="42" s="1"/>
  <c r="N15" i="42"/>
  <c r="N16" i="42" s="1"/>
  <c r="C17" i="42"/>
  <c r="E39" i="42"/>
  <c r="E14" i="42" s="1"/>
  <c r="G14" i="42"/>
  <c r="F19" i="19"/>
  <c r="E13" i="19"/>
  <c r="F13" i="19"/>
  <c r="K15" i="42" l="1"/>
  <c r="K16" i="42" s="1"/>
  <c r="G15" i="42"/>
  <c r="F34" i="15"/>
  <c r="E34" i="15"/>
  <c r="F26" i="15"/>
  <c r="E26" i="15"/>
  <c r="E15" i="42" l="1"/>
  <c r="E16" i="42" s="1"/>
  <c r="G16" i="42"/>
  <c r="D19" i="15"/>
  <c r="J19" i="36" s="1"/>
  <c r="E19" i="15" l="1"/>
  <c r="F19" i="15"/>
  <c r="F45" i="17"/>
  <c r="E45" i="17"/>
  <c r="F44" i="17"/>
  <c r="E44" i="17"/>
  <c r="F34" i="17"/>
  <c r="E34" i="17"/>
  <c r="F26" i="17"/>
  <c r="E26" i="17"/>
  <c r="D19" i="17"/>
  <c r="F19" i="17" l="1"/>
  <c r="L19" i="36"/>
  <c r="E19" i="17"/>
  <c r="L19" i="9" l="1"/>
  <c r="K19" i="9"/>
  <c r="D19" i="9" l="1"/>
  <c r="H19" i="36" l="1"/>
  <c r="E74" i="41"/>
  <c r="D74" i="41" s="1"/>
  <c r="E73" i="41"/>
  <c r="D73" i="41" s="1"/>
  <c r="E72" i="41"/>
  <c r="D72" i="41" s="1"/>
  <c r="E71" i="41"/>
  <c r="D71" i="41" s="1"/>
  <c r="E70" i="41"/>
  <c r="D70" i="41" s="1"/>
  <c r="E69" i="41"/>
  <c r="D69" i="41" s="1"/>
  <c r="E68" i="41"/>
  <c r="D68" i="41" s="1"/>
  <c r="E67" i="41"/>
  <c r="D67" i="41" s="1"/>
  <c r="E66" i="41"/>
  <c r="D66" i="41" s="1"/>
  <c r="E65" i="41"/>
  <c r="D65" i="41" s="1"/>
  <c r="E64" i="41"/>
  <c r="D64" i="41" s="1"/>
  <c r="E63" i="41"/>
  <c r="D63" i="41" s="1"/>
  <c r="E62" i="41"/>
  <c r="E61" i="41"/>
  <c r="D61" i="41" s="1"/>
  <c r="E60" i="41"/>
  <c r="D60" i="41" s="1"/>
  <c r="E59" i="41"/>
  <c r="D59" i="41" s="1"/>
  <c r="E58" i="41"/>
  <c r="D58" i="41" s="1"/>
  <c r="E57" i="41"/>
  <c r="D57" i="41" s="1"/>
  <c r="E56" i="41"/>
  <c r="D56" i="41" s="1"/>
  <c r="E55" i="41"/>
  <c r="D55" i="41" s="1"/>
  <c r="E54" i="41"/>
  <c r="D54" i="41" s="1"/>
  <c r="N53" i="41"/>
  <c r="M53" i="41"/>
  <c r="L53" i="41"/>
  <c r="K53" i="41"/>
  <c r="J53" i="41"/>
  <c r="I53" i="41"/>
  <c r="H53" i="41"/>
  <c r="G53" i="41"/>
  <c r="F53" i="41"/>
  <c r="C53" i="41"/>
  <c r="E52" i="41"/>
  <c r="D52" i="41" s="1"/>
  <c r="E51" i="41"/>
  <c r="D51" i="41" s="1"/>
  <c r="D44" i="41" s="1"/>
  <c r="E50" i="41"/>
  <c r="D50" i="41" s="1"/>
  <c r="E49" i="41"/>
  <c r="D49" i="41" s="1"/>
  <c r="D42" i="41" s="1"/>
  <c r="E48" i="41"/>
  <c r="D48" i="41" s="1"/>
  <c r="E47" i="41"/>
  <c r="C47" i="41"/>
  <c r="C46" i="41" s="1"/>
  <c r="N46" i="41"/>
  <c r="M46" i="41"/>
  <c r="L46" i="41"/>
  <c r="K46" i="41"/>
  <c r="J46" i="41"/>
  <c r="I46" i="41"/>
  <c r="H46" i="41"/>
  <c r="G46" i="41"/>
  <c r="F46" i="41"/>
  <c r="N45" i="41"/>
  <c r="M45" i="41"/>
  <c r="L45" i="41"/>
  <c r="K45" i="41"/>
  <c r="J45" i="41"/>
  <c r="I45" i="41"/>
  <c r="H45" i="41"/>
  <c r="G45" i="41"/>
  <c r="F45" i="41"/>
  <c r="C45" i="41"/>
  <c r="N44" i="41"/>
  <c r="M44" i="41"/>
  <c r="L44" i="41"/>
  <c r="K44" i="41"/>
  <c r="J44" i="41"/>
  <c r="I44" i="41"/>
  <c r="H44" i="41"/>
  <c r="G44" i="41"/>
  <c r="F44" i="41"/>
  <c r="C44" i="41"/>
  <c r="N43" i="41"/>
  <c r="M43" i="41"/>
  <c r="L43" i="41"/>
  <c r="K43" i="41"/>
  <c r="J43" i="41"/>
  <c r="I43" i="41"/>
  <c r="H43" i="41"/>
  <c r="G43" i="41"/>
  <c r="F43" i="41"/>
  <c r="C43" i="41"/>
  <c r="N42" i="41"/>
  <c r="M42" i="41"/>
  <c r="L42" i="41"/>
  <c r="K42" i="41"/>
  <c r="J42" i="41"/>
  <c r="I42" i="41"/>
  <c r="H42" i="41"/>
  <c r="G42" i="41"/>
  <c r="F42" i="41"/>
  <c r="C42" i="41"/>
  <c r="N41" i="41"/>
  <c r="M41" i="41"/>
  <c r="L41" i="41"/>
  <c r="K41" i="41"/>
  <c r="J41" i="41"/>
  <c r="I41" i="41"/>
  <c r="H41" i="41"/>
  <c r="G41" i="41"/>
  <c r="F41" i="41"/>
  <c r="C41" i="41"/>
  <c r="N40" i="41"/>
  <c r="M40" i="41"/>
  <c r="L40" i="41"/>
  <c r="K40" i="41"/>
  <c r="J40" i="41"/>
  <c r="I40" i="41"/>
  <c r="H40" i="41"/>
  <c r="G40" i="41"/>
  <c r="F40" i="41"/>
  <c r="N32" i="41"/>
  <c r="M32" i="41"/>
  <c r="L32" i="41"/>
  <c r="K32" i="41"/>
  <c r="J32" i="41"/>
  <c r="I32" i="41"/>
  <c r="H32" i="41"/>
  <c r="G32" i="41"/>
  <c r="F32" i="41"/>
  <c r="E32" i="41"/>
  <c r="D32" i="41"/>
  <c r="C32" i="41"/>
  <c r="N25" i="41"/>
  <c r="M25" i="41"/>
  <c r="L25" i="41"/>
  <c r="K25" i="41"/>
  <c r="J25" i="41"/>
  <c r="I25" i="41"/>
  <c r="H25" i="41"/>
  <c r="G25" i="41"/>
  <c r="F25" i="41"/>
  <c r="E25" i="41"/>
  <c r="D25" i="41"/>
  <c r="D17" i="41" s="1"/>
  <c r="C25" i="41"/>
  <c r="N18" i="41"/>
  <c r="M18" i="41"/>
  <c r="M17" i="41" s="1"/>
  <c r="L18" i="41"/>
  <c r="K18" i="41"/>
  <c r="J18" i="41"/>
  <c r="I18" i="41"/>
  <c r="I17" i="41" s="1"/>
  <c r="H18" i="41"/>
  <c r="G18" i="41"/>
  <c r="G17" i="41" s="1"/>
  <c r="F18" i="41"/>
  <c r="E18" i="41"/>
  <c r="E17" i="41" s="1"/>
  <c r="C18" i="41"/>
  <c r="K17" i="41"/>
  <c r="C40" i="41" l="1"/>
  <c r="E46" i="41"/>
  <c r="H39" i="41"/>
  <c r="C17" i="41"/>
  <c r="E44" i="41"/>
  <c r="E43" i="41"/>
  <c r="D47" i="41"/>
  <c r="D46" i="41" s="1"/>
  <c r="C39" i="41"/>
  <c r="C14" i="41" s="1"/>
  <c r="I39" i="41"/>
  <c r="I14" i="41" s="1"/>
  <c r="M39" i="41"/>
  <c r="M14" i="41" s="1"/>
  <c r="M12" i="41" s="1"/>
  <c r="L39" i="41"/>
  <c r="J39" i="41"/>
  <c r="N39" i="41"/>
  <c r="E42" i="41"/>
  <c r="H17" i="41"/>
  <c r="H14" i="41" s="1"/>
  <c r="H12" i="41" s="1"/>
  <c r="L17" i="41"/>
  <c r="D45" i="41"/>
  <c r="F39" i="41"/>
  <c r="E41" i="41"/>
  <c r="E53" i="41"/>
  <c r="D43" i="41"/>
  <c r="F17" i="41"/>
  <c r="F14" i="41" s="1"/>
  <c r="F12" i="41" s="1"/>
  <c r="J17" i="41"/>
  <c r="N17" i="41"/>
  <c r="G39" i="41"/>
  <c r="G14" i="41" s="1"/>
  <c r="G12" i="41" s="1"/>
  <c r="K39" i="41"/>
  <c r="K14" i="41" s="1"/>
  <c r="K16" i="41" s="1"/>
  <c r="D41" i="41"/>
  <c r="E45" i="41"/>
  <c r="D53" i="41"/>
  <c r="F16" i="41"/>
  <c r="E40" i="41"/>
  <c r="D40" i="41"/>
  <c r="N14" i="41" l="1"/>
  <c r="N16" i="41" s="1"/>
  <c r="L14" i="41"/>
  <c r="L16" i="41" s="1"/>
  <c r="K12" i="41"/>
  <c r="C16" i="41"/>
  <c r="C12" i="41"/>
  <c r="I12" i="41"/>
  <c r="I16" i="41"/>
  <c r="E39" i="41"/>
  <c r="E14" i="41" s="1"/>
  <c r="E12" i="41" s="1"/>
  <c r="M16" i="41"/>
  <c r="J14" i="41"/>
  <c r="J12" i="41" s="1"/>
  <c r="D39" i="41"/>
  <c r="D14" i="41" s="1"/>
  <c r="D12" i="41" s="1"/>
  <c r="H16" i="41"/>
  <c r="G16" i="41"/>
  <c r="N12" i="41" l="1"/>
  <c r="L12" i="41"/>
  <c r="E16" i="41"/>
  <c r="D16" i="41"/>
  <c r="J16" i="41"/>
  <c r="F34" i="9"/>
  <c r="E34" i="9"/>
  <c r="F26" i="9"/>
  <c r="E26" i="9"/>
  <c r="F19" i="9"/>
  <c r="E19" i="9"/>
  <c r="F45" i="14" l="1"/>
  <c r="E45" i="14"/>
  <c r="F44" i="14"/>
  <c r="F34" i="14"/>
  <c r="E34" i="14"/>
  <c r="F26" i="14"/>
  <c r="E26" i="14"/>
  <c r="D19" i="14"/>
  <c r="E19" i="14" l="1"/>
  <c r="I19" i="36"/>
  <c r="F19" i="14"/>
  <c r="D19" i="16" l="1"/>
  <c r="K19" i="36" l="1"/>
  <c r="F34" i="16"/>
  <c r="E34" i="16"/>
  <c r="F26" i="16"/>
  <c r="E26" i="16"/>
  <c r="F19" i="16"/>
  <c r="E19" i="16"/>
  <c r="F45" i="21"/>
  <c r="F44" i="21"/>
  <c r="F34" i="21"/>
  <c r="F26" i="21"/>
  <c r="E45" i="21"/>
  <c r="E44" i="21"/>
  <c r="E34" i="21"/>
  <c r="E26" i="21"/>
  <c r="D19" i="22"/>
  <c r="D19" i="23" l="1"/>
  <c r="E19" i="22"/>
  <c r="F19" i="22"/>
  <c r="P19" i="36"/>
  <c r="E19" i="21" l="1"/>
  <c r="F19" i="21"/>
  <c r="J54" i="40" l="1"/>
  <c r="F54" i="40"/>
  <c r="E54" i="40"/>
  <c r="B54" i="40" s="1"/>
  <c r="N49" i="40"/>
  <c r="G49" i="40"/>
  <c r="D49" i="40"/>
  <c r="C49" i="40"/>
  <c r="G48" i="40"/>
  <c r="F48" i="40"/>
  <c r="W47" i="40"/>
  <c r="B47" i="40"/>
  <c r="O46" i="40"/>
  <c r="M46" i="40"/>
  <c r="H46" i="40"/>
  <c r="K46" i="40" s="1"/>
  <c r="O45" i="40"/>
  <c r="M45" i="40"/>
  <c r="H45" i="40"/>
  <c r="K45" i="40" s="1"/>
  <c r="O44" i="40"/>
  <c r="M44" i="40"/>
  <c r="H44" i="40"/>
  <c r="K44" i="40" s="1"/>
  <c r="J43" i="40"/>
  <c r="O43" i="40" s="1"/>
  <c r="I43" i="40"/>
  <c r="M43" i="40" s="1"/>
  <c r="O42" i="40"/>
  <c r="N42" i="40"/>
  <c r="M42" i="40"/>
  <c r="H42" i="40"/>
  <c r="B42" i="40"/>
  <c r="C42" i="40" s="1"/>
  <c r="M41" i="40"/>
  <c r="H41" i="40"/>
  <c r="F41" i="40"/>
  <c r="B41" i="40" s="1"/>
  <c r="Z40" i="40"/>
  <c r="N40" i="40"/>
  <c r="M40" i="40"/>
  <c r="H40" i="40"/>
  <c r="F40" i="40"/>
  <c r="B40" i="40" s="1"/>
  <c r="O39" i="40"/>
  <c r="N39" i="40"/>
  <c r="M39" i="40"/>
  <c r="H39" i="40"/>
  <c r="L39" i="40" s="1"/>
  <c r="P37" i="40"/>
  <c r="O37" i="40"/>
  <c r="N37" i="40"/>
  <c r="M37" i="40"/>
  <c r="H37" i="40"/>
  <c r="L37" i="40" s="1"/>
  <c r="P36" i="40"/>
  <c r="O36" i="40"/>
  <c r="N36" i="40"/>
  <c r="M36" i="40"/>
  <c r="H36" i="40"/>
  <c r="K36" i="40" s="1"/>
  <c r="J35" i="40"/>
  <c r="I35" i="40"/>
  <c r="N35" i="40" s="1"/>
  <c r="F35" i="40"/>
  <c r="N34" i="40"/>
  <c r="M34" i="40"/>
  <c r="H34" i="40"/>
  <c r="F34" i="40"/>
  <c r="B34" i="40" s="1"/>
  <c r="AA33" i="40"/>
  <c r="N33" i="40"/>
  <c r="M33" i="40"/>
  <c r="H33" i="40"/>
  <c r="F33" i="40"/>
  <c r="B33" i="40" s="1"/>
  <c r="P32" i="40"/>
  <c r="O32" i="40"/>
  <c r="N32" i="40"/>
  <c r="M32" i="40"/>
  <c r="H32" i="40"/>
  <c r="L32" i="40" s="1"/>
  <c r="G32" i="40"/>
  <c r="D32" i="40"/>
  <c r="C32" i="40"/>
  <c r="AA31" i="40"/>
  <c r="O31" i="40"/>
  <c r="N31" i="40"/>
  <c r="M31" i="40"/>
  <c r="H31" i="40"/>
  <c r="L31" i="40" s="1"/>
  <c r="G31" i="40"/>
  <c r="D31" i="40"/>
  <c r="J30" i="40"/>
  <c r="I30" i="40"/>
  <c r="M30" i="40" s="1"/>
  <c r="F30" i="40"/>
  <c r="N29" i="40"/>
  <c r="M29" i="40"/>
  <c r="H29" i="40"/>
  <c r="F29" i="40"/>
  <c r="P29" i="40" s="1"/>
  <c r="N28" i="40"/>
  <c r="M28" i="40"/>
  <c r="H28" i="40"/>
  <c r="F28" i="40"/>
  <c r="P28" i="40" s="1"/>
  <c r="O27" i="40"/>
  <c r="N27" i="40"/>
  <c r="M27" i="40"/>
  <c r="H27" i="40"/>
  <c r="B27" i="40"/>
  <c r="O26" i="40"/>
  <c r="N26" i="40"/>
  <c r="M26" i="40"/>
  <c r="H26" i="40"/>
  <c r="B26" i="40"/>
  <c r="J25" i="40"/>
  <c r="I25" i="40"/>
  <c r="M25" i="40" s="1"/>
  <c r="F25" i="40"/>
  <c r="Z24" i="40"/>
  <c r="M24" i="40"/>
  <c r="H24" i="40"/>
  <c r="F24" i="40"/>
  <c r="P24" i="40" s="1"/>
  <c r="F23" i="40"/>
  <c r="O23" i="40" s="1"/>
  <c r="F22" i="40"/>
  <c r="O22" i="40" s="1"/>
  <c r="F21" i="40"/>
  <c r="O21" i="40" s="1"/>
  <c r="F20" i="40"/>
  <c r="O20" i="40" s="1"/>
  <c r="J19" i="40"/>
  <c r="F19" i="40"/>
  <c r="B19" i="40" s="1"/>
  <c r="O18" i="40"/>
  <c r="N18" i="40"/>
  <c r="M18" i="40"/>
  <c r="H18" i="40"/>
  <c r="B18" i="40"/>
  <c r="D18" i="40" s="1"/>
  <c r="O17" i="40"/>
  <c r="N17" i="40"/>
  <c r="M17" i="40"/>
  <c r="H17" i="40"/>
  <c r="B17" i="40"/>
  <c r="C17" i="40" s="1"/>
  <c r="Y16" i="40"/>
  <c r="O16" i="40"/>
  <c r="N16" i="40"/>
  <c r="M16" i="40"/>
  <c r="H16" i="40"/>
  <c r="B16" i="40"/>
  <c r="G16" i="40" s="1"/>
  <c r="W13" i="40"/>
  <c r="Y13" i="40" s="1"/>
  <c r="E13" i="40"/>
  <c r="AA16" i="40" s="1"/>
  <c r="D7" i="40"/>
  <c r="C7" i="40"/>
  <c r="AA34" i="40" l="1"/>
  <c r="D16" i="40"/>
  <c r="D17" i="40"/>
  <c r="L16" i="40"/>
  <c r="L17" i="40"/>
  <c r="C16" i="40"/>
  <c r="D42" i="40"/>
  <c r="L42" i="40"/>
  <c r="O25" i="40"/>
  <c r="L26" i="40"/>
  <c r="K17" i="40"/>
  <c r="H35" i="40"/>
  <c r="N30" i="40"/>
  <c r="O35" i="40"/>
  <c r="L36" i="40"/>
  <c r="J13" i="40"/>
  <c r="H54" i="40"/>
  <c r="K27" i="40"/>
  <c r="B24" i="40"/>
  <c r="K24" i="40" s="1"/>
  <c r="X51" i="40"/>
  <c r="L18" i="40"/>
  <c r="K32" i="40"/>
  <c r="G17" i="40"/>
  <c r="L27" i="40"/>
  <c r="P30" i="40"/>
  <c r="B35" i="40"/>
  <c r="D35" i="40" s="1"/>
  <c r="B20" i="40"/>
  <c r="C20" i="40" s="1"/>
  <c r="F13" i="40"/>
  <c r="P35" i="40"/>
  <c r="O41" i="40"/>
  <c r="G47" i="40"/>
  <c r="L34" i="40"/>
  <c r="P41" i="40"/>
  <c r="B21" i="40"/>
  <c r="C21" i="40" s="1"/>
  <c r="B25" i="40"/>
  <c r="D25" i="40" s="1"/>
  <c r="O33" i="40"/>
  <c r="B22" i="40"/>
  <c r="C22" i="40" s="1"/>
  <c r="O40" i="40"/>
  <c r="O19" i="40"/>
  <c r="B23" i="40"/>
  <c r="C23" i="40" s="1"/>
  <c r="O34" i="40"/>
  <c r="K40" i="40"/>
  <c r="D40" i="40"/>
  <c r="C40" i="40"/>
  <c r="G40" i="40"/>
  <c r="L40" i="40"/>
  <c r="C34" i="40"/>
  <c r="G34" i="40"/>
  <c r="D34" i="40"/>
  <c r="C41" i="40"/>
  <c r="G41" i="40"/>
  <c r="D41" i="40"/>
  <c r="G19" i="40"/>
  <c r="D19" i="40"/>
  <c r="C19" i="40"/>
  <c r="K33" i="40"/>
  <c r="D33" i="40"/>
  <c r="C33" i="40"/>
  <c r="G33" i="40"/>
  <c r="L33" i="40"/>
  <c r="L41" i="40"/>
  <c r="E14" i="40"/>
  <c r="K16" i="40"/>
  <c r="G18" i="40"/>
  <c r="P19" i="40"/>
  <c r="P20" i="40"/>
  <c r="P21" i="40"/>
  <c r="P22" i="40"/>
  <c r="P23" i="40"/>
  <c r="N25" i="40"/>
  <c r="K26" i="40"/>
  <c r="B28" i="40"/>
  <c r="B29" i="40"/>
  <c r="K29" i="40" s="1"/>
  <c r="B30" i="40"/>
  <c r="O30" i="40"/>
  <c r="P33" i="40"/>
  <c r="K34" i="40"/>
  <c r="K39" i="40"/>
  <c r="P40" i="40"/>
  <c r="K41" i="40"/>
  <c r="F47" i="40"/>
  <c r="D47" i="40" s="1"/>
  <c r="W51" i="40"/>
  <c r="G24" i="40"/>
  <c r="H30" i="40"/>
  <c r="K31" i="40"/>
  <c r="P34" i="40"/>
  <c r="M35" i="40"/>
  <c r="K37" i="40"/>
  <c r="K42" i="40"/>
  <c r="D48" i="40"/>
  <c r="C18" i="40"/>
  <c r="K18" i="40"/>
  <c r="O24" i="40"/>
  <c r="H25" i="40"/>
  <c r="O28" i="40"/>
  <c r="O29" i="40"/>
  <c r="H43" i="40"/>
  <c r="E48" i="40"/>
  <c r="L24" i="40" l="1"/>
  <c r="K43" i="40"/>
  <c r="K54" i="40"/>
  <c r="L54" i="40"/>
  <c r="D20" i="40"/>
  <c r="D24" i="40"/>
  <c r="G20" i="40"/>
  <c r="C25" i="40"/>
  <c r="G25" i="40"/>
  <c r="G23" i="40"/>
  <c r="G21" i="40"/>
  <c r="C35" i="40"/>
  <c r="D21" i="40"/>
  <c r="G35" i="40"/>
  <c r="C24" i="40"/>
  <c r="O13" i="40"/>
  <c r="K35" i="40"/>
  <c r="J14" i="40"/>
  <c r="J15" i="40" s="1"/>
  <c r="P13" i="40"/>
  <c r="D29" i="40"/>
  <c r="D22" i="40"/>
  <c r="B13" i="40"/>
  <c r="B51" i="40" s="1"/>
  <c r="D23" i="40"/>
  <c r="G22" i="40"/>
  <c r="F14" i="40"/>
  <c r="F15" i="40" s="1"/>
  <c r="L35" i="40"/>
  <c r="L25" i="40"/>
  <c r="K25" i="40"/>
  <c r="E47" i="40"/>
  <c r="C48" i="40"/>
  <c r="L30" i="40"/>
  <c r="K30" i="40"/>
  <c r="L29" i="40"/>
  <c r="C29" i="40"/>
  <c r="G29" i="40"/>
  <c r="L28" i="40"/>
  <c r="C28" i="40"/>
  <c r="G28" i="40"/>
  <c r="E15" i="40"/>
  <c r="F51" i="40"/>
  <c r="Y10" i="40"/>
  <c r="D28" i="40"/>
  <c r="K28" i="40"/>
  <c r="C30" i="40"/>
  <c r="G30" i="40"/>
  <c r="D30" i="40"/>
  <c r="B14" i="40" l="1"/>
  <c r="G13" i="40"/>
  <c r="B15" i="40"/>
  <c r="P14" i="40"/>
  <c r="O14" i="40"/>
  <c r="B52" i="40"/>
  <c r="G51" i="40"/>
  <c r="C47" i="40"/>
  <c r="E51" i="40"/>
  <c r="D51" i="40"/>
  <c r="F52" i="40"/>
  <c r="P15" i="40"/>
  <c r="O15" i="40"/>
  <c r="C51" i="40" l="1"/>
  <c r="E52" i="40"/>
  <c r="G52" i="40"/>
  <c r="Y51" i="40"/>
  <c r="C15" i="37" l="1"/>
  <c r="C14" i="37"/>
  <c r="C13" i="37"/>
  <c r="C12" i="37"/>
  <c r="C11" i="37"/>
  <c r="C10" i="37"/>
  <c r="C9" i="37"/>
  <c r="C8" i="37"/>
  <c r="C7" i="37"/>
  <c r="E71" i="36"/>
  <c r="E43" i="36"/>
  <c r="G94" i="42"/>
  <c r="N94" i="42"/>
  <c r="M94" i="42"/>
  <c r="L94" i="42"/>
  <c r="K94" i="42"/>
  <c r="J94" i="42"/>
  <c r="I94" i="42"/>
  <c r="H94" i="42"/>
  <c r="F94" i="42"/>
  <c r="L88" i="42"/>
  <c r="C44" i="35"/>
  <c r="C41" i="35"/>
  <c r="C40" i="35"/>
  <c r="N39" i="35"/>
  <c r="M39" i="35"/>
  <c r="M31" i="35" s="1"/>
  <c r="C39" i="35"/>
  <c r="C38" i="35"/>
  <c r="C37" i="35"/>
  <c r="C36" i="35"/>
  <c r="L35" i="35"/>
  <c r="K35" i="35"/>
  <c r="K31" i="35" s="1"/>
  <c r="J35" i="35"/>
  <c r="J31" i="35" s="1"/>
  <c r="I35" i="35"/>
  <c r="I31" i="35" s="1"/>
  <c r="H35" i="35"/>
  <c r="H31" i="35" s="1"/>
  <c r="G35" i="35"/>
  <c r="G31" i="35" s="1"/>
  <c r="F35" i="35"/>
  <c r="F31" i="35" s="1"/>
  <c r="E35" i="35"/>
  <c r="E31" i="35" s="1"/>
  <c r="D35" i="35"/>
  <c r="D31" i="35" s="1"/>
  <c r="C34" i="35"/>
  <c r="N34" i="35" s="1"/>
  <c r="C33" i="35"/>
  <c r="N33" i="35" s="1"/>
  <c r="C32" i="35"/>
  <c r="L31" i="35"/>
  <c r="C18" i="35"/>
  <c r="N18" i="35" s="1"/>
  <c r="C15" i="35"/>
  <c r="N15" i="35" s="1"/>
  <c r="C11" i="35"/>
  <c r="N11" i="35" s="1"/>
  <c r="C9" i="35"/>
  <c r="C8" i="35"/>
  <c r="N9" i="35" l="1"/>
  <c r="N8" i="35"/>
  <c r="M6" i="35"/>
  <c r="C35" i="35"/>
  <c r="N35" i="35" s="1"/>
  <c r="N31" i="35" s="1"/>
  <c r="E94" i="42"/>
  <c r="D18" i="19"/>
  <c r="D17" i="19" s="1"/>
  <c r="E6" i="35"/>
  <c r="D18" i="21"/>
  <c r="D17" i="21" s="1"/>
  <c r="D18" i="22"/>
  <c r="D17" i="22" s="1"/>
  <c r="D18" i="20"/>
  <c r="D17" i="20" s="1"/>
  <c r="C13" i="35"/>
  <c r="N13" i="35" s="1"/>
  <c r="G6" i="35"/>
  <c r="D18" i="16"/>
  <c r="D17" i="16" s="1"/>
  <c r="H6" i="35"/>
  <c r="L6" i="35"/>
  <c r="D18" i="9"/>
  <c r="D17" i="9" s="1"/>
  <c r="D15" i="22"/>
  <c r="P15" i="36" s="1"/>
  <c r="K6" i="35"/>
  <c r="C12" i="35"/>
  <c r="N12" i="35" s="1"/>
  <c r="C14" i="35"/>
  <c r="N14" i="35" s="1"/>
  <c r="D15" i="14"/>
  <c r="I15" i="36" s="1"/>
  <c r="D15" i="17"/>
  <c r="L15" i="36" s="1"/>
  <c r="F6" i="35"/>
  <c r="D15" i="20"/>
  <c r="N15" i="36" s="1"/>
  <c r="D15" i="16"/>
  <c r="K15" i="36" s="1"/>
  <c r="D15" i="9"/>
  <c r="D15" i="19"/>
  <c r="M15" i="36" s="1"/>
  <c r="D15" i="15"/>
  <c r="J15" i="36" s="1"/>
  <c r="C16" i="37"/>
  <c r="D18" i="17"/>
  <c r="D17" i="17" s="1"/>
  <c r="J6" i="35"/>
  <c r="D36" i="36"/>
  <c r="G33" i="43" s="1"/>
  <c r="D26" i="36"/>
  <c r="G15" i="43" s="1"/>
  <c r="D19" i="36"/>
  <c r="C31" i="35" l="1"/>
  <c r="L18" i="36"/>
  <c r="K93" i="42" s="1"/>
  <c r="K92" i="42" s="1"/>
  <c r="H17" i="36"/>
  <c r="F15" i="43"/>
  <c r="C94" i="42"/>
  <c r="G118" i="43"/>
  <c r="F18" i="22"/>
  <c r="E18" i="22"/>
  <c r="E18" i="21"/>
  <c r="O18" i="36"/>
  <c r="N93" i="42" s="1"/>
  <c r="N92" i="42" s="1"/>
  <c r="F18" i="16"/>
  <c r="K18" i="36"/>
  <c r="J93" i="42" s="1"/>
  <c r="J92" i="42" s="1"/>
  <c r="P18" i="36"/>
  <c r="G93" i="42" s="1"/>
  <c r="G92" i="42" s="1"/>
  <c r="H18" i="36"/>
  <c r="F93" i="42" s="1"/>
  <c r="F92" i="42" s="1"/>
  <c r="N18" i="36"/>
  <c r="M93" i="42" s="1"/>
  <c r="M92" i="42" s="1"/>
  <c r="F18" i="19"/>
  <c r="M18" i="36"/>
  <c r="L93" i="42" s="1"/>
  <c r="L92" i="42" s="1"/>
  <c r="H15" i="36"/>
  <c r="F90" i="42" s="1"/>
  <c r="F33" i="43"/>
  <c r="D33" i="43" s="1"/>
  <c r="D18" i="14"/>
  <c r="D17" i="14" s="1"/>
  <c r="E18" i="19"/>
  <c r="F18" i="21"/>
  <c r="I6" i="35"/>
  <c r="D18" i="15"/>
  <c r="D17" i="15" s="1"/>
  <c r="F18" i="20"/>
  <c r="E18" i="20"/>
  <c r="D6" i="35"/>
  <c r="D15" i="21"/>
  <c r="E18" i="16"/>
  <c r="F15" i="15"/>
  <c r="E15" i="15"/>
  <c r="I90" i="42"/>
  <c r="E15" i="16"/>
  <c r="F15" i="16"/>
  <c r="J90" i="42"/>
  <c r="F15" i="20"/>
  <c r="E15" i="20"/>
  <c r="M90" i="42"/>
  <c r="E15" i="14"/>
  <c r="F15" i="14"/>
  <c r="H90" i="42"/>
  <c r="E15" i="19"/>
  <c r="F15" i="19"/>
  <c r="L90" i="42"/>
  <c r="F15" i="9"/>
  <c r="E15" i="9"/>
  <c r="F15" i="17"/>
  <c r="E15" i="17"/>
  <c r="K90" i="42"/>
  <c r="E15" i="22"/>
  <c r="F15" i="22"/>
  <c r="G90" i="42"/>
  <c r="N6" i="35"/>
  <c r="F18" i="17"/>
  <c r="E18" i="17"/>
  <c r="F18" i="14" l="1"/>
  <c r="C6" i="35"/>
  <c r="F14" i="43"/>
  <c r="D118" i="43"/>
  <c r="K33" i="43"/>
  <c r="D18" i="23"/>
  <c r="E15" i="21"/>
  <c r="O15" i="36"/>
  <c r="N90" i="42" s="1"/>
  <c r="E90" i="42" s="1"/>
  <c r="J18" i="36"/>
  <c r="I93" i="42" s="1"/>
  <c r="I92" i="42" s="1"/>
  <c r="E18" i="14"/>
  <c r="I18" i="36"/>
  <c r="H93" i="42" s="1"/>
  <c r="H92" i="42" s="1"/>
  <c r="D15" i="23"/>
  <c r="F15" i="23" s="1"/>
  <c r="D15" i="43"/>
  <c r="F18" i="15"/>
  <c r="E18" i="15"/>
  <c r="F15" i="21"/>
  <c r="I118" i="43" l="1"/>
  <c r="H118" i="43"/>
  <c r="K15" i="43"/>
  <c r="E93" i="42"/>
  <c r="E92" i="42" s="1"/>
  <c r="D15" i="36"/>
  <c r="D18" i="36"/>
  <c r="C90" i="42"/>
  <c r="F31" i="17"/>
  <c r="E31" i="17"/>
  <c r="F32" i="22"/>
  <c r="E32" i="22"/>
  <c r="F32" i="17"/>
  <c r="E32" i="17"/>
  <c r="F32" i="9"/>
  <c r="E32" i="9"/>
  <c r="E33" i="20"/>
  <c r="F33" i="20"/>
  <c r="F33" i="15"/>
  <c r="E33" i="15"/>
  <c r="F47" i="21"/>
  <c r="E47" i="21"/>
  <c r="F31" i="21"/>
  <c r="E31" i="21"/>
  <c r="E31" i="16"/>
  <c r="F31" i="16"/>
  <c r="F32" i="21"/>
  <c r="E32" i="21"/>
  <c r="F32" i="16"/>
  <c r="E32" i="16"/>
  <c r="F33" i="9"/>
  <c r="E33" i="9"/>
  <c r="E33" i="19"/>
  <c r="F33" i="19"/>
  <c r="E47" i="20"/>
  <c r="F47" i="20"/>
  <c r="F31" i="20"/>
  <c r="E31" i="20"/>
  <c r="F31" i="15"/>
  <c r="E31" i="15"/>
  <c r="E32" i="20"/>
  <c r="F32" i="20"/>
  <c r="E32" i="15"/>
  <c r="F32" i="15"/>
  <c r="F33" i="22"/>
  <c r="F33" i="17"/>
  <c r="E33" i="17"/>
  <c r="F47" i="9"/>
  <c r="E47" i="9"/>
  <c r="F31" i="9"/>
  <c r="E31" i="9"/>
  <c r="E31" i="19"/>
  <c r="F31" i="19"/>
  <c r="F32" i="19"/>
  <c r="E32" i="19"/>
  <c r="F33" i="21"/>
  <c r="E33" i="21"/>
  <c r="E33" i="16"/>
  <c r="F33" i="16"/>
  <c r="F47" i="22"/>
  <c r="E47" i="22"/>
  <c r="F47" i="17"/>
  <c r="E47" i="17"/>
  <c r="E47" i="14"/>
  <c r="F47" i="14"/>
  <c r="E33" i="14"/>
  <c r="F33" i="14"/>
  <c r="E31" i="14"/>
  <c r="F31" i="14"/>
  <c r="D30" i="14"/>
  <c r="I30" i="36" s="1"/>
  <c r="E32" i="14"/>
  <c r="F32" i="14"/>
  <c r="C93" i="42" l="1"/>
  <c r="C92" i="42" s="1"/>
  <c r="C104" i="42" s="1"/>
  <c r="G129" i="43"/>
  <c r="G107" i="43" s="1"/>
  <c r="D34" i="36"/>
  <c r="D49" i="36"/>
  <c r="D35" i="36"/>
  <c r="D32" i="43" s="1"/>
  <c r="F31" i="22"/>
  <c r="E31" i="22"/>
  <c r="J49" i="40" l="1"/>
  <c r="H49" i="40" s="1"/>
  <c r="K49" i="40" s="1"/>
  <c r="G31" i="43"/>
  <c r="D129" i="43"/>
  <c r="G106" i="43"/>
  <c r="G96" i="43" s="1"/>
  <c r="G88" i="43" s="1"/>
  <c r="K32" i="43"/>
  <c r="D68" i="43"/>
  <c r="D30" i="43"/>
  <c r="F9" i="16"/>
  <c r="E9" i="16"/>
  <c r="E9" i="19"/>
  <c r="F9" i="19"/>
  <c r="E9" i="22"/>
  <c r="H9" i="22"/>
  <c r="F9" i="22"/>
  <c r="E9" i="9"/>
  <c r="F9" i="9"/>
  <c r="E9" i="20"/>
  <c r="F9" i="20"/>
  <c r="F9" i="17"/>
  <c r="E9" i="17"/>
  <c r="F9" i="15"/>
  <c r="E9" i="15"/>
  <c r="E9" i="21"/>
  <c r="F9" i="21"/>
  <c r="E9" i="14"/>
  <c r="F9" i="14"/>
  <c r="D107" i="43" l="1"/>
  <c r="H129" i="43"/>
  <c r="I129" i="43"/>
  <c r="I68" i="43"/>
  <c r="H68" i="43"/>
  <c r="L49" i="40"/>
  <c r="D106" i="43"/>
  <c r="D31" i="43"/>
  <c r="D29" i="43" s="1"/>
  <c r="G29" i="43"/>
  <c r="G14" i="43" s="1"/>
  <c r="K30" i="43"/>
  <c r="F10" i="16"/>
  <c r="E10" i="16"/>
  <c r="O14" i="36"/>
  <c r="E10" i="22"/>
  <c r="F10" i="22"/>
  <c r="H10" i="22"/>
  <c r="D9" i="36"/>
  <c r="H106" i="43" l="1"/>
  <c r="I106" i="43"/>
  <c r="I107" i="43"/>
  <c r="H107" i="43"/>
  <c r="K31" i="43"/>
  <c r="K29" i="43"/>
  <c r="D14" i="43"/>
  <c r="D96" i="43"/>
  <c r="H11" i="22"/>
  <c r="D10" i="36"/>
  <c r="I41" i="19"/>
  <c r="H41" i="9"/>
  <c r="H96" i="43" l="1"/>
  <c r="I96" i="43"/>
  <c r="K14" i="43"/>
  <c r="D88" i="43"/>
  <c r="H73" i="36"/>
  <c r="H41" i="19"/>
  <c r="I88" i="43" l="1"/>
  <c r="H88" i="43"/>
  <c r="H70" i="36"/>
  <c r="G38" i="23" l="1"/>
  <c r="D72" i="22"/>
  <c r="P47" i="36"/>
  <c r="D30" i="22"/>
  <c r="P30" i="36" s="1"/>
  <c r="C30" i="22"/>
  <c r="C25" i="22" s="1"/>
  <c r="C17" i="22"/>
  <c r="P13" i="36"/>
  <c r="D12" i="22"/>
  <c r="D11" i="22" s="1"/>
  <c r="O17" i="36"/>
  <c r="D72" i="21"/>
  <c r="H41" i="21"/>
  <c r="D30" i="21"/>
  <c r="O30" i="36" s="1"/>
  <c r="C30" i="21"/>
  <c r="C25" i="21" s="1"/>
  <c r="C17" i="21"/>
  <c r="D12" i="21"/>
  <c r="O12" i="36" s="1"/>
  <c r="N17" i="36"/>
  <c r="N47" i="36"/>
  <c r="N46" i="36"/>
  <c r="H41" i="20"/>
  <c r="D30" i="20"/>
  <c r="N30" i="36" s="1"/>
  <c r="C30" i="20"/>
  <c r="C25" i="20" s="1"/>
  <c r="C17" i="20"/>
  <c r="N14" i="36"/>
  <c r="N13" i="36"/>
  <c r="D12" i="20"/>
  <c r="N12" i="36" s="1"/>
  <c r="M17" i="36"/>
  <c r="D72" i="19"/>
  <c r="D30" i="19"/>
  <c r="M30" i="36" s="1"/>
  <c r="C30" i="19"/>
  <c r="C25" i="19" s="1"/>
  <c r="C17" i="19"/>
  <c r="D11" i="19"/>
  <c r="D8" i="19" l="1"/>
  <c r="F72" i="21"/>
  <c r="E72" i="21"/>
  <c r="P73" i="36"/>
  <c r="E72" i="22"/>
  <c r="F72" i="22"/>
  <c r="P17" i="36"/>
  <c r="E17" i="22"/>
  <c r="F17" i="22"/>
  <c r="E72" i="19"/>
  <c r="F72" i="19"/>
  <c r="P46" i="36"/>
  <c r="P12" i="36"/>
  <c r="O73" i="36"/>
  <c r="M73" i="36"/>
  <c r="O43" i="36"/>
  <c r="N43" i="36"/>
  <c r="N73" i="36"/>
  <c r="M11" i="36"/>
  <c r="M12" i="36"/>
  <c r="P43" i="36"/>
  <c r="O44" i="36"/>
  <c r="D11" i="20"/>
  <c r="N11" i="36" s="1"/>
  <c r="E14" i="19"/>
  <c r="E30" i="23"/>
  <c r="F30" i="23"/>
  <c r="E15" i="23"/>
  <c r="F31" i="23"/>
  <c r="E31" i="23"/>
  <c r="E26" i="23"/>
  <c r="F26" i="23"/>
  <c r="E19" i="23"/>
  <c r="F19" i="23"/>
  <c r="E9" i="23"/>
  <c r="F9" i="23"/>
  <c r="E28" i="23"/>
  <c r="F28" i="23"/>
  <c r="F44" i="23"/>
  <c r="E44" i="23"/>
  <c r="F29" i="23"/>
  <c r="E29" i="23"/>
  <c r="E13" i="20"/>
  <c r="F13" i="20"/>
  <c r="M88" i="42"/>
  <c r="E44" i="20"/>
  <c r="F44" i="20"/>
  <c r="F30" i="22"/>
  <c r="F45" i="22"/>
  <c r="E45" i="22"/>
  <c r="H17" i="22"/>
  <c r="E14" i="20"/>
  <c r="E45" i="20"/>
  <c r="F45" i="20"/>
  <c r="F17" i="21"/>
  <c r="E17" i="21"/>
  <c r="E41" i="20"/>
  <c r="F41" i="20"/>
  <c r="N87" i="42"/>
  <c r="E12" i="21"/>
  <c r="F12" i="21"/>
  <c r="G87" i="42"/>
  <c r="E12" i="22"/>
  <c r="F12" i="22"/>
  <c r="M87" i="42"/>
  <c r="E12" i="20"/>
  <c r="F12" i="20"/>
  <c r="E14" i="21"/>
  <c r="E41" i="21"/>
  <c r="F41" i="21"/>
  <c r="G88" i="42"/>
  <c r="E13" i="22"/>
  <c r="F13" i="22"/>
  <c r="E44" i="22"/>
  <c r="F44" i="22"/>
  <c r="E30" i="20"/>
  <c r="F30" i="20"/>
  <c r="D25" i="20"/>
  <c r="N25" i="36" s="1"/>
  <c r="F17" i="20"/>
  <c r="E17" i="20"/>
  <c r="L87" i="42"/>
  <c r="F12" i="19"/>
  <c r="E12" i="19"/>
  <c r="E41" i="19"/>
  <c r="E17" i="19"/>
  <c r="F17" i="19"/>
  <c r="E30" i="19"/>
  <c r="F30" i="19"/>
  <c r="F30" i="21"/>
  <c r="E30" i="21"/>
  <c r="N89" i="42"/>
  <c r="D25" i="21"/>
  <c r="O25" i="36" s="1"/>
  <c r="C8" i="19"/>
  <c r="C46" i="19" s="1"/>
  <c r="D25" i="19"/>
  <c r="M25" i="36" s="1"/>
  <c r="E10" i="21"/>
  <c r="D25" i="22"/>
  <c r="P25" i="36" s="1"/>
  <c r="C24" i="22"/>
  <c r="C71" i="22" s="1"/>
  <c r="D70" i="19"/>
  <c r="D70" i="21"/>
  <c r="D70" i="20"/>
  <c r="E30" i="22"/>
  <c r="C8" i="22"/>
  <c r="D70" i="22"/>
  <c r="C8" i="21"/>
  <c r="C46" i="21" s="1"/>
  <c r="C8" i="20"/>
  <c r="C46" i="20" s="1"/>
  <c r="O72" i="36" l="1"/>
  <c r="F70" i="21"/>
  <c r="E70" i="21"/>
  <c r="C40" i="21"/>
  <c r="C24" i="21" s="1"/>
  <c r="C71" i="21" s="1"/>
  <c r="H50" i="21"/>
  <c r="M72" i="36"/>
  <c r="E70" i="19"/>
  <c r="F70" i="19"/>
  <c r="C40" i="19"/>
  <c r="H47" i="19"/>
  <c r="C40" i="20"/>
  <c r="C24" i="20" s="1"/>
  <c r="C71" i="20" s="1"/>
  <c r="H47" i="20"/>
  <c r="P72" i="36"/>
  <c r="F70" i="22"/>
  <c r="E70" i="22"/>
  <c r="N72" i="36"/>
  <c r="F70" i="20"/>
  <c r="E70" i="20"/>
  <c r="F25" i="22"/>
  <c r="E25" i="22"/>
  <c r="O70" i="36"/>
  <c r="O76" i="36" s="1"/>
  <c r="F68" i="21"/>
  <c r="E68" i="21"/>
  <c r="M70" i="36"/>
  <c r="M76" i="36" s="1"/>
  <c r="D11" i="21"/>
  <c r="O11" i="36" s="1"/>
  <c r="O13" i="36"/>
  <c r="N88" i="42" s="1"/>
  <c r="N86" i="42" s="1"/>
  <c r="M43" i="36"/>
  <c r="F68" i="20"/>
  <c r="E68" i="20"/>
  <c r="N70" i="36"/>
  <c r="N76" i="36" s="1"/>
  <c r="I12" i="22"/>
  <c r="P14" i="36"/>
  <c r="G89" i="42" s="1"/>
  <c r="G86" i="42" s="1"/>
  <c r="F41" i="19"/>
  <c r="E14" i="22"/>
  <c r="E11" i="22" s="1"/>
  <c r="E8" i="22" s="1"/>
  <c r="P11" i="36"/>
  <c r="L89" i="42"/>
  <c r="L86" i="42" s="1"/>
  <c r="H18" i="22"/>
  <c r="E10" i="20"/>
  <c r="F10" i="20"/>
  <c r="E13" i="21"/>
  <c r="F13" i="21"/>
  <c r="F41" i="22"/>
  <c r="E41" i="22"/>
  <c r="M89" i="42"/>
  <c r="M86" i="42" s="1"/>
  <c r="E25" i="20"/>
  <c r="F25" i="20"/>
  <c r="E11" i="20"/>
  <c r="F11" i="20"/>
  <c r="F25" i="19"/>
  <c r="E25" i="19"/>
  <c r="E10" i="19"/>
  <c r="F10" i="19"/>
  <c r="E25" i="21"/>
  <c r="F25" i="21"/>
  <c r="H24" i="20"/>
  <c r="D8" i="20"/>
  <c r="D8" i="21" l="1"/>
  <c r="O8" i="36" s="1"/>
  <c r="E11" i="21"/>
  <c r="M85" i="42"/>
  <c r="M12" i="42" s="1"/>
  <c r="M13" i="42" s="1"/>
  <c r="G85" i="42"/>
  <c r="G12" i="42" s="1"/>
  <c r="G13" i="42" s="1"/>
  <c r="N85" i="42"/>
  <c r="N12" i="42" s="1"/>
  <c r="N13" i="42" s="1"/>
  <c r="L85" i="42"/>
  <c r="L12" i="42" s="1"/>
  <c r="L13" i="42" s="1"/>
  <c r="F11" i="21"/>
  <c r="H37" i="19"/>
  <c r="C24" i="19"/>
  <c r="C71" i="19" s="1"/>
  <c r="P44" i="36"/>
  <c r="F42" i="22"/>
  <c r="E42" i="22"/>
  <c r="D69" i="20"/>
  <c r="N71" i="36" s="1"/>
  <c r="N8" i="36"/>
  <c r="F11" i="22"/>
  <c r="D8" i="22"/>
  <c r="M8" i="36"/>
  <c r="E11" i="19"/>
  <c r="F11" i="19"/>
  <c r="F8" i="20"/>
  <c r="E8" i="20"/>
  <c r="H69" i="21" l="1"/>
  <c r="E8" i="21"/>
  <c r="H8" i="21"/>
  <c r="D69" i="21"/>
  <c r="E69" i="21" s="1"/>
  <c r="F8" i="21"/>
  <c r="F8" i="22"/>
  <c r="P8" i="36"/>
  <c r="D69" i="22"/>
  <c r="H8" i="22"/>
  <c r="E8" i="19"/>
  <c r="D69" i="19"/>
  <c r="H69" i="19"/>
  <c r="F8" i="19"/>
  <c r="F69" i="20"/>
  <c r="E69" i="20"/>
  <c r="D46" i="20"/>
  <c r="D72" i="17"/>
  <c r="H41" i="17"/>
  <c r="C30" i="17"/>
  <c r="C25" i="17" s="1"/>
  <c r="L17" i="36"/>
  <c r="C17" i="17"/>
  <c r="L14" i="36"/>
  <c r="L13" i="36"/>
  <c r="D12" i="17"/>
  <c r="L12" i="36" s="1"/>
  <c r="K17" i="36"/>
  <c r="D30" i="16"/>
  <c r="K30" i="36" s="1"/>
  <c r="C30" i="16"/>
  <c r="C25" i="16" s="1"/>
  <c r="C17" i="16"/>
  <c r="K14" i="36"/>
  <c r="K13" i="36"/>
  <c r="D12" i="16"/>
  <c r="K12" i="36" s="1"/>
  <c r="J17" i="36"/>
  <c r="H41" i="15"/>
  <c r="D30" i="15"/>
  <c r="J30" i="36" s="1"/>
  <c r="C30" i="15"/>
  <c r="C25" i="15" s="1"/>
  <c r="C17" i="15"/>
  <c r="C8" i="15" s="1"/>
  <c r="J13" i="36"/>
  <c r="D12" i="15"/>
  <c r="D46" i="21" l="1"/>
  <c r="D40" i="21" s="1"/>
  <c r="O42" i="36" s="1"/>
  <c r="F69" i="21"/>
  <c r="O71" i="36"/>
  <c r="H46" i="21"/>
  <c r="C46" i="15"/>
  <c r="H50" i="15" s="1"/>
  <c r="H42" i="20"/>
  <c r="D40" i="20"/>
  <c r="N42" i="36" s="1"/>
  <c r="I47" i="20"/>
  <c r="O48" i="36"/>
  <c r="E69" i="19"/>
  <c r="F69" i="19"/>
  <c r="D46" i="19"/>
  <c r="F46" i="19" s="1"/>
  <c r="J12" i="36"/>
  <c r="I87" i="42" s="1"/>
  <c r="E12" i="15"/>
  <c r="L73" i="36"/>
  <c r="F72" i="17"/>
  <c r="E72" i="17"/>
  <c r="F69" i="22"/>
  <c r="E69" i="22"/>
  <c r="J73" i="36"/>
  <c r="I48" i="15"/>
  <c r="J14" i="36"/>
  <c r="I89" i="42" s="1"/>
  <c r="J43" i="36"/>
  <c r="L43" i="36"/>
  <c r="M71" i="36"/>
  <c r="F41" i="16"/>
  <c r="P71" i="36"/>
  <c r="N48" i="36"/>
  <c r="J44" i="36"/>
  <c r="D46" i="22"/>
  <c r="I49" i="22" s="1"/>
  <c r="D11" i="17"/>
  <c r="D11" i="16"/>
  <c r="K11" i="36" s="1"/>
  <c r="D11" i="15"/>
  <c r="J11" i="36" s="1"/>
  <c r="F12" i="15"/>
  <c r="E41" i="15"/>
  <c r="E13" i="16"/>
  <c r="F13" i="16"/>
  <c r="J88" i="42"/>
  <c r="K89" i="42"/>
  <c r="E14" i="17"/>
  <c r="F13" i="15"/>
  <c r="I88" i="42"/>
  <c r="F30" i="17"/>
  <c r="E30" i="17"/>
  <c r="L14" i="15"/>
  <c r="E14" i="15"/>
  <c r="E30" i="15"/>
  <c r="F30" i="15"/>
  <c r="E17" i="15"/>
  <c r="F17" i="15"/>
  <c r="K87" i="42"/>
  <c r="E12" i="17"/>
  <c r="F12" i="17"/>
  <c r="J87" i="42"/>
  <c r="F12" i="16"/>
  <c r="E12" i="16"/>
  <c r="E41" i="16"/>
  <c r="I41" i="16" s="1"/>
  <c r="F13" i="17"/>
  <c r="E13" i="17"/>
  <c r="K88" i="42"/>
  <c r="F41" i="17"/>
  <c r="E41" i="17"/>
  <c r="F46" i="20"/>
  <c r="E46" i="20"/>
  <c r="E17" i="17"/>
  <c r="F17" i="17"/>
  <c r="F46" i="21"/>
  <c r="E46" i="21"/>
  <c r="F30" i="16"/>
  <c r="E30" i="16"/>
  <c r="E17" i="16"/>
  <c r="F17" i="16"/>
  <c r="J89" i="42"/>
  <c r="E14" i="16"/>
  <c r="C8" i="16"/>
  <c r="C46" i="16" s="1"/>
  <c r="D25" i="15"/>
  <c r="J25" i="36" s="1"/>
  <c r="D25" i="17"/>
  <c r="L25" i="36" s="1"/>
  <c r="D25" i="16"/>
  <c r="K25" i="36" s="1"/>
  <c r="C8" i="17"/>
  <c r="C46" i="17" s="1"/>
  <c r="D70" i="17"/>
  <c r="D70" i="16"/>
  <c r="D70" i="15"/>
  <c r="I50" i="21" l="1"/>
  <c r="C40" i="15"/>
  <c r="C24" i="15" s="1"/>
  <c r="C71" i="15" s="1"/>
  <c r="H43" i="20"/>
  <c r="E46" i="22"/>
  <c r="E40" i="22" s="1"/>
  <c r="J72" i="36"/>
  <c r="E70" i="15"/>
  <c r="F70" i="15"/>
  <c r="L72" i="36"/>
  <c r="F70" i="17"/>
  <c r="E70" i="17"/>
  <c r="D40" i="19"/>
  <c r="I47" i="19"/>
  <c r="C40" i="16"/>
  <c r="C24" i="16" s="1"/>
  <c r="C71" i="16" s="1"/>
  <c r="H49" i="16"/>
  <c r="K72" i="36"/>
  <c r="E70" i="16"/>
  <c r="F70" i="16"/>
  <c r="H47" i="17"/>
  <c r="C40" i="17"/>
  <c r="C24" i="17" s="1"/>
  <c r="P48" i="36"/>
  <c r="D40" i="22"/>
  <c r="P42" i="36" s="1"/>
  <c r="F68" i="15"/>
  <c r="E68" i="15"/>
  <c r="F46" i="22"/>
  <c r="D8" i="17"/>
  <c r="L11" i="36"/>
  <c r="H44" i="19"/>
  <c r="I44" i="19" s="1"/>
  <c r="M48" i="36"/>
  <c r="E46" i="19"/>
  <c r="J70" i="36"/>
  <c r="F41" i="15"/>
  <c r="K43" i="36"/>
  <c r="C71" i="17"/>
  <c r="K86" i="42"/>
  <c r="J86" i="42"/>
  <c r="I86" i="42"/>
  <c r="F25" i="17"/>
  <c r="E25" i="17"/>
  <c r="E10" i="17"/>
  <c r="F10" i="17"/>
  <c r="E25" i="15"/>
  <c r="F25" i="15"/>
  <c r="F11" i="17"/>
  <c r="E11" i="17"/>
  <c r="F11" i="15"/>
  <c r="E11" i="15"/>
  <c r="E10" i="15"/>
  <c r="F10" i="15"/>
  <c r="F40" i="20"/>
  <c r="E40" i="20"/>
  <c r="D24" i="20"/>
  <c r="N24" i="36" s="1"/>
  <c r="F40" i="21"/>
  <c r="E40" i="21"/>
  <c r="F25" i="16"/>
  <c r="E25" i="16"/>
  <c r="E11" i="16"/>
  <c r="F11" i="16"/>
  <c r="D24" i="21"/>
  <c r="O24" i="36" s="1"/>
  <c r="D8" i="15"/>
  <c r="D8" i="16"/>
  <c r="I85" i="42" l="1"/>
  <c r="I12" i="42" s="1"/>
  <c r="I13" i="42" s="1"/>
  <c r="J85" i="42"/>
  <c r="J12" i="42" s="1"/>
  <c r="J13" i="42" s="1"/>
  <c r="K85" i="42"/>
  <c r="K12" i="42" s="1"/>
  <c r="K13" i="42" s="1"/>
  <c r="D24" i="22"/>
  <c r="F40" i="22"/>
  <c r="E40" i="19"/>
  <c r="M42" i="36"/>
  <c r="L8" i="36"/>
  <c r="K8" i="36"/>
  <c r="J8" i="36"/>
  <c r="D69" i="15"/>
  <c r="J71" i="36" s="1"/>
  <c r="D24" i="19"/>
  <c r="M24" i="36" s="1"/>
  <c r="F40" i="19"/>
  <c r="F8" i="15"/>
  <c r="E8" i="15"/>
  <c r="F24" i="20"/>
  <c r="E24" i="20"/>
  <c r="D71" i="20"/>
  <c r="E8" i="17"/>
  <c r="F8" i="17"/>
  <c r="F24" i="21"/>
  <c r="E24" i="21"/>
  <c r="E8" i="16"/>
  <c r="F8" i="16"/>
  <c r="D71" i="21"/>
  <c r="H69" i="16"/>
  <c r="D69" i="16"/>
  <c r="D46" i="16" s="1"/>
  <c r="H69" i="17"/>
  <c r="D69" i="17"/>
  <c r="H69" i="15"/>
  <c r="E24" i="22" l="1"/>
  <c r="I8" i="22" s="1"/>
  <c r="P24" i="36"/>
  <c r="D71" i="22"/>
  <c r="P7" i="36" s="1"/>
  <c r="F24" i="22"/>
  <c r="D40" i="16"/>
  <c r="I49" i="16"/>
  <c r="E69" i="17"/>
  <c r="F69" i="17"/>
  <c r="D73" i="21"/>
  <c r="E71" i="21"/>
  <c r="F71" i="21"/>
  <c r="K71" i="36"/>
  <c r="F69" i="16"/>
  <c r="E69" i="16"/>
  <c r="D46" i="17"/>
  <c r="L48" i="36" s="1"/>
  <c r="F71" i="20"/>
  <c r="E71" i="20"/>
  <c r="N7" i="36"/>
  <c r="O7" i="36"/>
  <c r="L71" i="36"/>
  <c r="D71" i="19"/>
  <c r="F24" i="19"/>
  <c r="E24" i="19"/>
  <c r="F69" i="15"/>
  <c r="E69" i="15"/>
  <c r="H46" i="16"/>
  <c r="H46" i="15"/>
  <c r="D46" i="15"/>
  <c r="E71" i="22" l="1"/>
  <c r="J8" i="22" s="1"/>
  <c r="F71" i="22"/>
  <c r="I47" i="17"/>
  <c r="D40" i="17"/>
  <c r="D40" i="15"/>
  <c r="I50" i="15"/>
  <c r="E71" i="19"/>
  <c r="F71" i="19"/>
  <c r="K48" i="36"/>
  <c r="E46" i="16"/>
  <c r="F46" i="16"/>
  <c r="J48" i="36"/>
  <c r="E46" i="15"/>
  <c r="F46" i="15"/>
  <c r="M7" i="36"/>
  <c r="D76" i="19"/>
  <c r="K42" i="36"/>
  <c r="F46" i="17"/>
  <c r="E46" i="17"/>
  <c r="H41" i="14"/>
  <c r="C30" i="14"/>
  <c r="D25" i="14"/>
  <c r="I25" i="36" s="1"/>
  <c r="C17" i="14"/>
  <c r="I13" i="36"/>
  <c r="D12" i="14"/>
  <c r="I12" i="36" s="1"/>
  <c r="I70" i="36" l="1"/>
  <c r="I76" i="36" s="1"/>
  <c r="E68" i="14"/>
  <c r="D65" i="23"/>
  <c r="I73" i="36"/>
  <c r="D73" i="36" s="1"/>
  <c r="D69" i="23"/>
  <c r="I17" i="36"/>
  <c r="D17" i="36" s="1"/>
  <c r="D17" i="23"/>
  <c r="J17" i="23" s="1"/>
  <c r="L42" i="36"/>
  <c r="F13" i="14"/>
  <c r="E13" i="14"/>
  <c r="H88" i="42"/>
  <c r="F30" i="14"/>
  <c r="E30" i="14"/>
  <c r="H87" i="42"/>
  <c r="F12" i="14"/>
  <c r="E12" i="14"/>
  <c r="F40" i="17"/>
  <c r="E40" i="17"/>
  <c r="D24" i="17"/>
  <c r="L24" i="36" s="1"/>
  <c r="F17" i="14"/>
  <c r="E17" i="14"/>
  <c r="C10" i="23"/>
  <c r="H45" i="17"/>
  <c r="D70" i="14"/>
  <c r="C25" i="14"/>
  <c r="F25" i="14" s="1"/>
  <c r="C8" i="14"/>
  <c r="I72" i="36" l="1"/>
  <c r="E70" i="14"/>
  <c r="F70" i="14"/>
  <c r="E69" i="23"/>
  <c r="F69" i="23"/>
  <c r="C46" i="14"/>
  <c r="E65" i="23"/>
  <c r="I43" i="36"/>
  <c r="D11" i="14"/>
  <c r="I11" i="36" s="1"/>
  <c r="I14" i="36"/>
  <c r="H89" i="42" s="1"/>
  <c r="H86" i="42" s="1"/>
  <c r="F41" i="14"/>
  <c r="E41" i="14"/>
  <c r="E25" i="14"/>
  <c r="F24" i="17"/>
  <c r="E24" i="17"/>
  <c r="D71" i="17"/>
  <c r="F10" i="14"/>
  <c r="E10" i="14"/>
  <c r="E14" i="14"/>
  <c r="H85" i="42" l="1"/>
  <c r="H12" i="42" s="1"/>
  <c r="H13" i="42" s="1"/>
  <c r="C40" i="14"/>
  <c r="C24" i="14" s="1"/>
  <c r="C71" i="14" s="1"/>
  <c r="I35" i="14"/>
  <c r="H49" i="14"/>
  <c r="H52" i="14" s="1"/>
  <c r="D78" i="17"/>
  <c r="F71" i="17"/>
  <c r="E71" i="17"/>
  <c r="F42" i="14"/>
  <c r="L7" i="36"/>
  <c r="E11" i="14"/>
  <c r="F11" i="14"/>
  <c r="D8" i="14"/>
  <c r="I37" i="14" l="1"/>
  <c r="I8" i="36"/>
  <c r="D69" i="14"/>
  <c r="F8" i="14"/>
  <c r="E8" i="14"/>
  <c r="C30" i="9"/>
  <c r="C18" i="9"/>
  <c r="C11" i="23"/>
  <c r="I71" i="36" l="1"/>
  <c r="F69" i="14"/>
  <c r="D46" i="14"/>
  <c r="C18" i="23"/>
  <c r="C27" i="23"/>
  <c r="C25" i="9"/>
  <c r="C25" i="23" s="1"/>
  <c r="F18" i="9"/>
  <c r="E18" i="9"/>
  <c r="E69" i="14"/>
  <c r="H46" i="14"/>
  <c r="C17" i="9"/>
  <c r="E17" i="9" s="1"/>
  <c r="I49" i="14" l="1"/>
  <c r="D40" i="14"/>
  <c r="I42" i="36" s="1"/>
  <c r="C17" i="23"/>
  <c r="H12" i="36"/>
  <c r="D12" i="23"/>
  <c r="E12" i="23" s="1"/>
  <c r="J14" i="9"/>
  <c r="D14" i="23"/>
  <c r="E14" i="23" s="1"/>
  <c r="H14" i="36"/>
  <c r="I48" i="36"/>
  <c r="E18" i="23"/>
  <c r="F18" i="23"/>
  <c r="F12" i="9"/>
  <c r="E12" i="9"/>
  <c r="F17" i="9"/>
  <c r="E10" i="9"/>
  <c r="E46" i="14"/>
  <c r="F46" i="14"/>
  <c r="D70" i="9"/>
  <c r="F70" i="9" l="1"/>
  <c r="E70" i="9"/>
  <c r="D67" i="23"/>
  <c r="H72" i="36"/>
  <c r="D72" i="36" s="1"/>
  <c r="D24" i="14"/>
  <c r="I24" i="36" s="1"/>
  <c r="F10" i="9"/>
  <c r="D12" i="36"/>
  <c r="F87" i="42"/>
  <c r="E87" i="42" s="1"/>
  <c r="F10" i="23"/>
  <c r="E10" i="23"/>
  <c r="F17" i="23"/>
  <c r="E17" i="23"/>
  <c r="E40" i="14"/>
  <c r="F40" i="14"/>
  <c r="C8" i="9"/>
  <c r="C87" i="42" l="1"/>
  <c r="C8" i="23"/>
  <c r="C46" i="9"/>
  <c r="D71" i="14"/>
  <c r="F24" i="14"/>
  <c r="E24" i="14"/>
  <c r="H8" i="14" s="1"/>
  <c r="E67" i="23"/>
  <c r="F67" i="23"/>
  <c r="E71" i="14" l="1"/>
  <c r="F71" i="14"/>
  <c r="C40" i="9"/>
  <c r="C37" i="23" s="1"/>
  <c r="C43" i="23"/>
  <c r="I7" i="36"/>
  <c r="D30" i="9"/>
  <c r="H30" i="36" s="1"/>
  <c r="D30" i="36" s="1"/>
  <c r="F67" i="9" l="1"/>
  <c r="C64" i="23"/>
  <c r="D27" i="23"/>
  <c r="F12" i="23"/>
  <c r="F13" i="9"/>
  <c r="F30" i="9"/>
  <c r="E30" i="9"/>
  <c r="D25" i="9"/>
  <c r="H25" i="36" s="1"/>
  <c r="D25" i="36" s="1"/>
  <c r="D25" i="23" l="1"/>
  <c r="H13" i="36"/>
  <c r="D13" i="36" s="1"/>
  <c r="D13" i="23"/>
  <c r="F13" i="23" s="1"/>
  <c r="D11" i="9"/>
  <c r="H11" i="36" s="1"/>
  <c r="D41" i="23"/>
  <c r="H46" i="36"/>
  <c r="D46" i="36" s="1"/>
  <c r="H47" i="36"/>
  <c r="D47" i="36" s="1"/>
  <c r="D42" i="23"/>
  <c r="D39" i="23"/>
  <c r="H44" i="36"/>
  <c r="E13" i="9"/>
  <c r="H13" i="9"/>
  <c r="I17" i="9" s="1"/>
  <c r="D38" i="23"/>
  <c r="H43" i="36"/>
  <c r="D43" i="36" s="1"/>
  <c r="F42" i="9"/>
  <c r="E42" i="9"/>
  <c r="F27" i="23"/>
  <c r="E27" i="23"/>
  <c r="F41" i="9"/>
  <c r="E41" i="9"/>
  <c r="F44" i="9"/>
  <c r="E44" i="9"/>
  <c r="F45" i="9"/>
  <c r="E45" i="9"/>
  <c r="F25" i="9"/>
  <c r="E25" i="9"/>
  <c r="C24" i="9"/>
  <c r="C24" i="23" s="1"/>
  <c r="F88" i="42" l="1"/>
  <c r="E88" i="42" s="1"/>
  <c r="C88" i="42" s="1"/>
  <c r="E13" i="23"/>
  <c r="D11" i="23"/>
  <c r="G60" i="43"/>
  <c r="G45" i="43"/>
  <c r="D45" i="43" s="1"/>
  <c r="F25" i="23"/>
  <c r="E25" i="23"/>
  <c r="E42" i="23"/>
  <c r="F42" i="23"/>
  <c r="F41" i="23"/>
  <c r="E41" i="23"/>
  <c r="E38" i="23"/>
  <c r="F38" i="23"/>
  <c r="C71" i="9"/>
  <c r="C68" i="23" s="1"/>
  <c r="I45" i="43" l="1"/>
  <c r="H45" i="43"/>
  <c r="D60" i="43"/>
  <c r="K45" i="43"/>
  <c r="D37" i="43"/>
  <c r="H60" i="43" l="1"/>
  <c r="I60" i="43"/>
  <c r="I37" i="43"/>
  <c r="H37" i="43"/>
  <c r="K60" i="43"/>
  <c r="E40" i="16"/>
  <c r="F40" i="16"/>
  <c r="D24" i="16"/>
  <c r="K24" i="36" s="1"/>
  <c r="H44" i="16"/>
  <c r="D71" i="16" l="1"/>
  <c r="E24" i="16"/>
  <c r="F24" i="16"/>
  <c r="E14" i="9"/>
  <c r="E11" i="9"/>
  <c r="F71" i="16" l="1"/>
  <c r="E71" i="16"/>
  <c r="K7" i="36"/>
  <c r="D14" i="36"/>
  <c r="F89" i="42"/>
  <c r="D11" i="36"/>
  <c r="D8" i="9"/>
  <c r="F11" i="9"/>
  <c r="H8" i="36" l="1"/>
  <c r="D8" i="36" s="1"/>
  <c r="D8" i="23"/>
  <c r="E8" i="23" s="1"/>
  <c r="F86" i="42"/>
  <c r="E89" i="42"/>
  <c r="F11" i="23"/>
  <c r="E11" i="23"/>
  <c r="E8" i="9"/>
  <c r="H69" i="9"/>
  <c r="F8" i="9"/>
  <c r="D69" i="9"/>
  <c r="D46" i="9" s="1"/>
  <c r="I50" i="9" s="1"/>
  <c r="F85" i="42" l="1"/>
  <c r="F12" i="42" s="1"/>
  <c r="F13" i="42" s="1"/>
  <c r="E86" i="42"/>
  <c r="D40" i="9"/>
  <c r="H42" i="36" s="1"/>
  <c r="F69" i="9"/>
  <c r="E69" i="9"/>
  <c r="D66" i="23"/>
  <c r="H71" i="36"/>
  <c r="D71" i="36" s="1"/>
  <c r="G86" i="43" s="1"/>
  <c r="C89" i="42"/>
  <c r="F8" i="23"/>
  <c r="G66" i="23"/>
  <c r="C86" i="42" l="1"/>
  <c r="E85" i="42"/>
  <c r="E12" i="42" s="1"/>
  <c r="E13" i="42" s="1"/>
  <c r="D24" i="9"/>
  <c r="H48" i="36"/>
  <c r="D48" i="36" s="1"/>
  <c r="D43" i="23"/>
  <c r="E48" i="36"/>
  <c r="J48" i="40"/>
  <c r="G43" i="23"/>
  <c r="E66" i="23"/>
  <c r="F66" i="23"/>
  <c r="F46" i="9"/>
  <c r="E46" i="9"/>
  <c r="C85" i="42" l="1"/>
  <c r="D71" i="9"/>
  <c r="E71" i="9" s="1"/>
  <c r="H24" i="36"/>
  <c r="D86" i="43"/>
  <c r="H48" i="40"/>
  <c r="J47" i="40"/>
  <c r="J51" i="40" s="1"/>
  <c r="E43" i="23"/>
  <c r="F43" i="23"/>
  <c r="P87" i="43" l="1"/>
  <c r="H86" i="43"/>
  <c r="I86" i="43"/>
  <c r="F71" i="9"/>
  <c r="H7" i="36"/>
  <c r="L48" i="40"/>
  <c r="K48" i="40"/>
  <c r="H47" i="40"/>
  <c r="J52" i="40"/>
  <c r="O3" i="43" s="1"/>
  <c r="L47" i="40" l="1"/>
  <c r="K47" i="40"/>
  <c r="D46" i="42"/>
  <c r="C46" i="42" s="1"/>
  <c r="D42" i="42"/>
  <c r="D44" i="42"/>
  <c r="C44" i="42" s="1"/>
  <c r="D41" i="42"/>
  <c r="D45" i="42"/>
  <c r="C45" i="42" s="1"/>
  <c r="D40" i="42"/>
  <c r="C40" i="42" l="1"/>
  <c r="I22" i="40"/>
  <c r="C42" i="42"/>
  <c r="I20" i="40"/>
  <c r="C41" i="42"/>
  <c r="I23" i="40"/>
  <c r="D43" i="42"/>
  <c r="D39" i="42" s="1"/>
  <c r="H20" i="40" l="1"/>
  <c r="M20" i="40"/>
  <c r="N20" i="40"/>
  <c r="H23" i="40"/>
  <c r="N23" i="40"/>
  <c r="M23" i="40"/>
  <c r="H22" i="40"/>
  <c r="M22" i="40"/>
  <c r="N22" i="40"/>
  <c r="C43" i="42"/>
  <c r="I21" i="40"/>
  <c r="C39" i="42"/>
  <c r="D14" i="42"/>
  <c r="D12" i="42" s="1"/>
  <c r="L23" i="40" l="1"/>
  <c r="K23" i="40"/>
  <c r="L20" i="40"/>
  <c r="K20" i="40"/>
  <c r="H21" i="40"/>
  <c r="N21" i="40"/>
  <c r="M21" i="40"/>
  <c r="K22" i="40"/>
  <c r="L22" i="40"/>
  <c r="I19" i="40"/>
  <c r="C14" i="42"/>
  <c r="D13" i="42"/>
  <c r="D15" i="42"/>
  <c r="C12" i="42" l="1"/>
  <c r="C13" i="42" s="1"/>
  <c r="N19" i="40"/>
  <c r="H19" i="40"/>
  <c r="M19" i="40"/>
  <c r="I13" i="40"/>
  <c r="I51" i="40" s="1"/>
  <c r="L21" i="40"/>
  <c r="K21" i="40"/>
  <c r="D16" i="42"/>
  <c r="C16" i="42" s="1"/>
  <c r="C15" i="42"/>
  <c r="I52" i="40" l="1"/>
  <c r="H52" i="40" s="1"/>
  <c r="I14" i="40"/>
  <c r="N13" i="40"/>
  <c r="H13" i="40"/>
  <c r="H51" i="40" s="1"/>
  <c r="M13" i="40"/>
  <c r="L19" i="40"/>
  <c r="K19" i="40"/>
  <c r="AB18" i="40" l="1"/>
  <c r="AB28" i="40"/>
  <c r="AB17" i="40"/>
  <c r="AB41" i="40"/>
  <c r="AB40" i="40"/>
  <c r="AB33" i="40"/>
  <c r="AB24" i="40"/>
  <c r="AB16" i="40"/>
  <c r="AB29" i="40"/>
  <c r="AB34" i="40"/>
  <c r="AB42" i="40"/>
  <c r="AB35" i="40"/>
  <c r="AB30" i="40"/>
  <c r="AB25" i="40"/>
  <c r="AB43" i="40"/>
  <c r="AB19" i="40"/>
  <c r="N3" i="43"/>
  <c r="L13" i="40"/>
  <c r="K13" i="40"/>
  <c r="I15" i="40"/>
  <c r="N14" i="40"/>
  <c r="M14" i="40"/>
  <c r="H14" i="40"/>
  <c r="M3" i="43" l="1"/>
  <c r="L51" i="40"/>
  <c r="K51" i="40"/>
  <c r="N15" i="40"/>
  <c r="M15" i="40"/>
  <c r="H15" i="40"/>
  <c r="K14" i="40"/>
  <c r="L14" i="40"/>
  <c r="L52" i="40" l="1"/>
  <c r="K52" i="40"/>
  <c r="K15" i="40"/>
  <c r="L15" i="40"/>
  <c r="F40" i="9" l="1"/>
  <c r="E40" i="9"/>
  <c r="F24" i="9" l="1"/>
  <c r="E24" i="9"/>
  <c r="D70" i="36" l="1"/>
  <c r="G81" i="43" l="1"/>
  <c r="D81" i="43" s="1"/>
  <c r="D64" i="23"/>
  <c r="J69" i="36"/>
  <c r="J76" i="36" s="1"/>
  <c r="D69" i="36" l="1"/>
  <c r="G77" i="43" s="1"/>
  <c r="E64" i="23"/>
  <c r="F64" i="23"/>
  <c r="J42" i="36"/>
  <c r="D42" i="36" s="1"/>
  <c r="D37" i="23"/>
  <c r="F40" i="15"/>
  <c r="D24" i="15"/>
  <c r="J24" i="36" s="1"/>
  <c r="D24" i="36" s="1"/>
  <c r="E40" i="15"/>
  <c r="D24" i="23" l="1"/>
  <c r="D77" i="43"/>
  <c r="E24" i="15"/>
  <c r="F24" i="15"/>
  <c r="D71" i="15"/>
  <c r="E37" i="23"/>
  <c r="F37" i="23"/>
  <c r="H77" i="43" l="1"/>
  <c r="I77" i="43"/>
  <c r="D80" i="43"/>
  <c r="E71" i="15"/>
  <c r="F71" i="15"/>
  <c r="J7" i="36"/>
  <c r="D7" i="36" s="1"/>
  <c r="D68" i="23"/>
  <c r="K77" i="43"/>
  <c r="E24" i="23"/>
  <c r="F24" i="23"/>
  <c r="C49" i="23"/>
  <c r="H50" i="9"/>
  <c r="C56" i="23"/>
  <c r="I80" i="43" l="1"/>
  <c r="H80" i="43"/>
  <c r="E68" i="23"/>
  <c r="F68" i="23"/>
  <c r="F59" i="9"/>
  <c r="D56" i="23"/>
  <c r="H61" i="36"/>
  <c r="D61" i="36" s="1"/>
  <c r="G69" i="43" s="1"/>
  <c r="E59" i="9"/>
  <c r="G61" i="43" l="1"/>
  <c r="E52" i="9"/>
  <c r="D49" i="23"/>
  <c r="F52" i="9"/>
  <c r="H54" i="36"/>
  <c r="F56" i="23"/>
  <c r="E56" i="23"/>
  <c r="H76" i="36" l="1"/>
  <c r="D54" i="36"/>
  <c r="F49" i="23"/>
  <c r="E49" i="23"/>
  <c r="D76" i="36" l="1"/>
  <c r="I44" i="36" l="1"/>
  <c r="D44" i="36" s="1"/>
  <c r="G36" i="43" s="1"/>
  <c r="G35" i="43" s="1"/>
  <c r="D36" i="43" l="1"/>
  <c r="I36" i="43" l="1"/>
  <c r="H36" i="43"/>
  <c r="D35" i="43"/>
  <c r="G34" i="43"/>
  <c r="I35" i="43" l="1"/>
  <c r="H35" i="43"/>
  <c r="K35" i="43"/>
  <c r="G13" i="43"/>
  <c r="G12" i="43" s="1"/>
  <c r="O4" i="43" s="1"/>
  <c r="D140" i="43" l="1"/>
  <c r="D155" i="43"/>
  <c r="D61" i="43" l="1"/>
  <c r="F34" i="43"/>
  <c r="K38" i="43" s="1"/>
  <c r="I61" i="43" l="1"/>
  <c r="H61" i="43"/>
  <c r="F13" i="43"/>
  <c r="D69" i="43"/>
  <c r="D34" i="43"/>
  <c r="K61" i="43"/>
  <c r="F12" i="43" l="1"/>
  <c r="N4" i="43" s="1"/>
  <c r="N6" i="43" s="1"/>
  <c r="O7" i="43" s="1"/>
  <c r="N13" i="43"/>
  <c r="N14" i="43" s="1"/>
  <c r="N15" i="43" s="1"/>
  <c r="H69" i="43"/>
  <c r="I69" i="43"/>
  <c r="M35" i="43"/>
  <c r="H34" i="43"/>
  <c r="I34" i="43"/>
  <c r="J35" i="43"/>
  <c r="J45" i="43"/>
  <c r="D13" i="43"/>
  <c r="F158" i="43" l="1"/>
  <c r="D158" i="43" s="1"/>
  <c r="I13" i="43"/>
  <c r="H13" i="43"/>
  <c r="L34" i="43"/>
  <c r="D12" i="43"/>
  <c r="N12" i="43" s="1"/>
  <c r="J14" i="43"/>
  <c r="L76" i="43"/>
  <c r="L45" i="43"/>
  <c r="L35" i="43"/>
  <c r="L23" i="43"/>
  <c r="L15" i="43"/>
  <c r="L81" i="43"/>
  <c r="L20" i="43"/>
  <c r="L48" i="43"/>
  <c r="L60" i="43"/>
  <c r="L87" i="43"/>
  <c r="L59" i="43"/>
  <c r="L46" i="43"/>
  <c r="L70" i="43"/>
  <c r="L25" i="43"/>
  <c r="L18" i="43"/>
  <c r="L17" i="43"/>
  <c r="L49" i="43"/>
  <c r="L57" i="43"/>
  <c r="L47" i="43"/>
  <c r="L26" i="43"/>
  <c r="L37" i="43"/>
  <c r="L86" i="43"/>
  <c r="L28" i="43"/>
  <c r="L19" i="43"/>
  <c r="L36" i="43"/>
  <c r="L85" i="43"/>
  <c r="L22" i="43"/>
  <c r="L29" i="43"/>
  <c r="L77" i="43"/>
  <c r="L83" i="43"/>
  <c r="L33" i="43"/>
  <c r="L21" i="43"/>
  <c r="L84" i="43"/>
  <c r="L14" i="43"/>
  <c r="L27" i="43"/>
  <c r="L58" i="43"/>
  <c r="L24" i="43"/>
  <c r="L16" i="43"/>
  <c r="L38" i="43"/>
  <c r="L61" i="43"/>
  <c r="J34" i="43"/>
  <c r="H12" i="43" l="1"/>
  <c r="I12" i="43"/>
  <c r="J140" i="43"/>
  <c r="J89" i="43"/>
  <c r="J88" i="43"/>
  <c r="K13" i="43"/>
  <c r="J96" i="43"/>
  <c r="J13" i="43"/>
  <c r="F11" i="53"/>
  <c r="D10" i="53"/>
  <c r="J10" i="53" s="1"/>
  <c r="J24" i="53" s="1"/>
  <c r="J11" i="53"/>
  <c r="F10" i="53" l="1"/>
  <c r="D24" i="53"/>
</calcChain>
</file>

<file path=xl/comments1.xml><?xml version="1.0" encoding="utf-8"?>
<comments xmlns="http://schemas.openxmlformats.org/spreadsheetml/2006/main">
  <authors>
    <author>Admin</author>
  </authors>
  <commentList>
    <comment ref="C18" authorId="0">
      <text>
        <r>
          <rPr>
            <b/>
            <sz val="9"/>
            <color indexed="81"/>
            <rFont val="Tahoma"/>
            <family val="2"/>
          </rPr>
          <t>Admin:</t>
        </r>
        <r>
          <rPr>
            <sz val="9"/>
            <color indexed="81"/>
            <rFont val="Tahoma"/>
            <family val="2"/>
          </rPr>
          <t xml:space="preserve">
GRDP lay tai bao cao 5 năm SKH</t>
        </r>
      </text>
    </comment>
    <comment ref="D18" authorId="0">
      <text>
        <r>
          <rPr>
            <b/>
            <sz val="9"/>
            <color indexed="81"/>
            <rFont val="Tahoma"/>
            <family val="2"/>
          </rPr>
          <t>Admin:</t>
        </r>
        <r>
          <rPr>
            <sz val="9"/>
            <color indexed="81"/>
            <rFont val="Tahoma"/>
            <family val="2"/>
          </rPr>
          <t xml:space="preserve">
GRDP lay tai bao cao 5 năm SKH</t>
        </r>
      </text>
    </comment>
    <comment ref="F18" authorId="0">
      <text>
        <r>
          <rPr>
            <b/>
            <sz val="9"/>
            <color indexed="81"/>
            <rFont val="Tahoma"/>
            <family val="2"/>
          </rPr>
          <t>Admin:</t>
        </r>
        <r>
          <rPr>
            <sz val="9"/>
            <color indexed="81"/>
            <rFont val="Tahoma"/>
            <family val="2"/>
          </rPr>
          <t xml:space="preserve">
GRDP lay tai bao cao 5 năm SKH</t>
        </r>
      </text>
    </comment>
    <comment ref="G18" authorId="0">
      <text>
        <r>
          <rPr>
            <b/>
            <sz val="9"/>
            <color indexed="81"/>
            <rFont val="Tahoma"/>
            <family val="2"/>
          </rPr>
          <t>Admin:</t>
        </r>
        <r>
          <rPr>
            <sz val="9"/>
            <color indexed="81"/>
            <rFont val="Tahoma"/>
            <family val="2"/>
          </rPr>
          <t xml:space="preserve">
GRDP lay tai bao cao 5 năm SKH</t>
        </r>
      </text>
    </comment>
  </commentList>
</comments>
</file>

<file path=xl/comments2.xml><?xml version="1.0" encoding="utf-8"?>
<comments xmlns="http://schemas.openxmlformats.org/spreadsheetml/2006/main">
  <authors>
    <author>trangminhtruc</author>
  </authors>
  <commentList>
    <comment ref="C48" authorId="0">
      <text>
        <r>
          <rPr>
            <b/>
            <sz val="9"/>
            <color indexed="81"/>
            <rFont val="Tahoma"/>
            <family val="2"/>
          </rPr>
          <t>trangminhtruc:</t>
        </r>
        <r>
          <rPr>
            <sz val="9"/>
            <color indexed="81"/>
            <rFont val="Tahoma"/>
            <family val="2"/>
          </rPr>
          <t xml:space="preserve">
DO CHI HỖ TRỢ qđ 22 </t>
        </r>
      </text>
    </comment>
  </commentList>
</comments>
</file>

<file path=xl/comments3.xml><?xml version="1.0" encoding="utf-8"?>
<comments xmlns="http://schemas.openxmlformats.org/spreadsheetml/2006/main">
  <authors>
    <author>nguyenthilienchi</author>
  </authors>
  <commentList>
    <comment ref="K6" authorId="0">
      <text>
        <r>
          <rPr>
            <b/>
            <sz val="9"/>
            <color indexed="81"/>
            <rFont val="Tahoma"/>
            <charset val="1"/>
          </rPr>
          <t>lấy đến 30/11/2018</t>
        </r>
        <r>
          <rPr>
            <sz val="9"/>
            <color indexed="81"/>
            <rFont val="Tahoma"/>
            <charset val="1"/>
          </rPr>
          <t xml:space="preserve">
</t>
        </r>
      </text>
    </comment>
  </commentList>
</comments>
</file>

<file path=xl/comments4.xml><?xml version="1.0" encoding="utf-8"?>
<comments xmlns="http://schemas.openxmlformats.org/spreadsheetml/2006/main">
  <authors>
    <author>User</author>
    <author>Windows User</author>
    <author>user</author>
    <author>phankieudiem</author>
  </authors>
  <commentList>
    <comment ref="V13" authorId="0">
      <text>
        <r>
          <rPr>
            <b/>
            <sz val="9"/>
            <color indexed="81"/>
            <rFont val="Tahoma"/>
            <family val="2"/>
          </rPr>
          <t>User:</t>
        </r>
        <r>
          <rPr>
            <sz val="9"/>
            <color indexed="81"/>
            <rFont val="Tahoma"/>
            <family val="2"/>
          </rPr>
          <t xml:space="preserve">
Ngày 11/10/18: chú Phương: Kế hoạch chống dịch được duyệt: 13.259 trđ nhưng chỉ cấp bằng KP chống dịch 2018 cộng thên 1.500 trđ (tổng cộng của chống dịch: 8.500 trđ)</t>
        </r>
      </text>
    </comment>
    <comment ref="M27" authorId="0">
      <text>
        <r>
          <rPr>
            <b/>
            <sz val="9"/>
            <color indexed="81"/>
            <rFont val="Tahoma"/>
            <family val="2"/>
          </rPr>
          <t>User:</t>
        </r>
        <r>
          <rPr>
            <sz val="9"/>
            <color indexed="81"/>
            <rFont val="Tahoma"/>
            <family val="2"/>
          </rPr>
          <t xml:space="preserve">
Cấp lương theo biên chế có mặt</t>
        </r>
      </text>
    </comment>
    <comment ref="V35" authorId="0">
      <text>
        <r>
          <rPr>
            <b/>
            <sz val="9"/>
            <color indexed="81"/>
            <rFont val="Tahoma"/>
            <family val="2"/>
          </rPr>
          <t>User:</t>
        </r>
        <r>
          <rPr>
            <sz val="9"/>
            <color indexed="81"/>
            <rFont val="Tahoma"/>
            <family val="2"/>
          </rPr>
          <t xml:space="preserve">
- Ngày 09/10/2018 Giảm (chú Trình+ Chú Lực):
 + Lĩnh vực đất đai: 3.700 trđ
 + Lĩnh vực môi trường: 7.700 trđ</t>
        </r>
      </text>
    </comment>
    <comment ref="W35" authorId="0">
      <text>
        <r>
          <rPr>
            <b/>
            <sz val="9"/>
            <color indexed="81"/>
            <rFont val="Tahoma"/>
            <family val="2"/>
          </rPr>
          <t>User:</t>
        </r>
        <r>
          <rPr>
            <sz val="9"/>
            <color indexed="81"/>
            <rFont val="Tahoma"/>
            <family val="2"/>
          </rPr>
          <t xml:space="preserve">
- Ngày 09/10/2018 Giảm (chú Trình+ Chú Lực): 1.500 trđ: mua máy chủ và xây dựng phần mềm</t>
        </r>
      </text>
    </comment>
    <comment ref="AT39" authorId="0">
      <text>
        <r>
          <rPr>
            <b/>
            <sz val="9"/>
            <color indexed="81"/>
            <rFont val="Tahoma"/>
            <family val="2"/>
          </rPr>
          <t>User:</t>
        </r>
        <r>
          <rPr>
            <sz val="9"/>
            <color indexed="81"/>
            <rFont val="Tahoma"/>
            <family val="2"/>
          </rPr>
          <t xml:space="preserve">
Trong dó: VP Đăng ký đất đai: 9
</t>
        </r>
      </text>
    </comment>
    <comment ref="AT50" authorId="0">
      <text>
        <r>
          <rPr>
            <b/>
            <sz val="9"/>
            <color indexed="81"/>
            <rFont val="Tahoma"/>
            <family val="2"/>
          </rPr>
          <t>User:</t>
        </r>
        <r>
          <rPr>
            <sz val="9"/>
            <color indexed="81"/>
            <rFont val="Tahoma"/>
            <family val="2"/>
          </rPr>
          <t xml:space="preserve">
QĐ 1610</t>
        </r>
      </text>
    </comment>
    <comment ref="S58" authorId="0">
      <text>
        <r>
          <rPr>
            <b/>
            <sz val="9"/>
            <color indexed="81"/>
            <rFont val="Tahoma"/>
            <family val="2"/>
          </rPr>
          <t>User:</t>
        </r>
        <r>
          <rPr>
            <sz val="9"/>
            <color indexed="81"/>
            <rFont val="Tahoma"/>
            <family val="2"/>
          </rPr>
          <t xml:space="preserve">
</t>
        </r>
        <r>
          <rPr>
            <sz val="10"/>
            <color indexed="81"/>
            <rFont val="Times New Roman"/>
            <family val="1"/>
          </rPr>
          <t>ko đem tiết kiệm năm 2017 vào, do 2019 tính định mức (cơ cấu 82-18) ko cấp đủ</t>
        </r>
      </text>
    </comment>
    <comment ref="V79" authorId="1">
      <text>
        <r>
          <rPr>
            <b/>
            <sz val="9"/>
            <color indexed="81"/>
            <rFont val="Tahoma"/>
            <family val="2"/>
          </rPr>
          <t>Windows User:</t>
        </r>
        <r>
          <rPr>
            <sz val="9"/>
            <color indexed="81"/>
            <rFont val="Tahoma"/>
            <family val="2"/>
          </rPr>
          <t xml:space="preserve">
</t>
        </r>
        <r>
          <rPr>
            <sz val="11"/>
            <color indexed="81"/>
            <rFont val="Tahoma"/>
            <family val="2"/>
          </rPr>
          <t>cộng 1ty (giám sát nguồn nươc của các TTYT):
Trừ 1,304 trđ (trực 73)
cộng 500 trđ (KP địa phương thực hiện CTMT Y tế - Dân số (dự án của BV Lao phổi)</t>
        </r>
        <r>
          <rPr>
            <sz val="9"/>
            <color indexed="81"/>
            <rFont val="Tahoma"/>
            <family val="2"/>
          </rPr>
          <t xml:space="preserve">
</t>
        </r>
      </text>
    </comment>
    <comment ref="M82" authorId="1">
      <text>
        <r>
          <rPr>
            <b/>
            <sz val="9"/>
            <color indexed="81"/>
            <rFont val="Tahoma"/>
            <family val="2"/>
          </rPr>
          <t>Windows User:</t>
        </r>
        <r>
          <rPr>
            <sz val="9"/>
            <color indexed="81"/>
            <rFont val="Tahoma"/>
            <family val="2"/>
          </rPr>
          <t xml:space="preserve">
tru 1.930 trd (PCUD ND 56)</t>
        </r>
      </text>
    </comment>
    <comment ref="V82" authorId="1">
      <text>
        <r>
          <rPr>
            <b/>
            <sz val="9"/>
            <color indexed="81"/>
            <rFont val="Tahoma"/>
            <family val="2"/>
          </rPr>
          <t>Windows User:</t>
        </r>
        <r>
          <rPr>
            <sz val="9"/>
            <color indexed="81"/>
            <rFont val="Tahoma"/>
            <family val="2"/>
          </rPr>
          <t xml:space="preserve">
cộng PCUD (ND 56): 1.930</t>
        </r>
      </text>
    </comment>
    <comment ref="AZ83" authorId="2">
      <text>
        <r>
          <rPr>
            <b/>
            <sz val="9"/>
            <color indexed="81"/>
            <rFont val="Tahoma"/>
            <family val="2"/>
          </rPr>
          <t>user:</t>
        </r>
        <r>
          <rPr>
            <sz val="9"/>
            <color indexed="81"/>
            <rFont val="Tahoma"/>
            <family val="2"/>
          </rPr>
          <t xml:space="preserve">
trừ 459trđ UD sang SN
</t>
        </r>
      </text>
    </comment>
    <comment ref="M84" authorId="1">
      <text>
        <r>
          <rPr>
            <b/>
            <sz val="9"/>
            <color indexed="81"/>
            <rFont val="Tahoma"/>
            <family val="2"/>
          </rPr>
          <t>Windows User:</t>
        </r>
        <r>
          <rPr>
            <sz val="9"/>
            <color indexed="81"/>
            <rFont val="Tahoma"/>
            <family val="2"/>
          </rPr>
          <t xml:space="preserve">
tru PCUD (ND 56): 301</t>
        </r>
      </text>
    </comment>
    <comment ref="V84" authorId="1">
      <text>
        <r>
          <rPr>
            <b/>
            <sz val="9"/>
            <color indexed="81"/>
            <rFont val="Tahoma"/>
            <family val="2"/>
          </rPr>
          <t>Windows User:</t>
        </r>
        <r>
          <rPr>
            <sz val="9"/>
            <color indexed="81"/>
            <rFont val="Tahoma"/>
            <family val="2"/>
          </rPr>
          <t xml:space="preserve">
co65hng PCUD (ND 56): 301</t>
        </r>
      </text>
    </comment>
    <comment ref="AZ84" authorId="2">
      <text>
        <r>
          <rPr>
            <b/>
            <sz val="9"/>
            <color indexed="81"/>
            <rFont val="Tahoma"/>
            <family val="2"/>
          </rPr>
          <t>user:</t>
        </r>
        <r>
          <rPr>
            <sz val="9"/>
            <color indexed="81"/>
            <rFont val="Tahoma"/>
            <family val="2"/>
          </rPr>
          <t xml:space="preserve">
trừ 377trđ ưu đãi NĐ 56 sang SN
</t>
        </r>
      </text>
    </comment>
    <comment ref="AZ85" authorId="2">
      <text>
        <r>
          <rPr>
            <b/>
            <sz val="9"/>
            <color indexed="81"/>
            <rFont val="Tahoma"/>
            <family val="2"/>
          </rPr>
          <t>user:</t>
        </r>
        <r>
          <rPr>
            <sz val="9"/>
            <color indexed="81"/>
            <rFont val="Tahoma"/>
            <family val="2"/>
          </rPr>
          <t xml:space="preserve">
trừ 80trd UD sang SN</t>
        </r>
      </text>
    </comment>
    <comment ref="AZ86" authorId="2">
      <text>
        <r>
          <rPr>
            <b/>
            <sz val="9"/>
            <color indexed="81"/>
            <rFont val="Tahoma"/>
            <family val="2"/>
          </rPr>
          <t>user:</t>
        </r>
        <r>
          <rPr>
            <sz val="9"/>
            <color indexed="81"/>
            <rFont val="Tahoma"/>
            <family val="2"/>
          </rPr>
          <t xml:space="preserve">
trừ 714 trđ sang SN
</t>
        </r>
      </text>
    </comment>
    <comment ref="V87" authorId="0">
      <text>
        <r>
          <rPr>
            <b/>
            <sz val="9"/>
            <color indexed="81"/>
            <rFont val="Tahoma"/>
            <family val="2"/>
          </rPr>
          <t>User:</t>
        </r>
        <r>
          <rPr>
            <sz val="9"/>
            <color indexed="81"/>
            <rFont val="Tahoma"/>
            <family val="2"/>
          </rPr>
          <t xml:space="preserve">
phụ cấp</t>
        </r>
      </text>
    </comment>
    <comment ref="AZ87" authorId="2">
      <text>
        <r>
          <rPr>
            <b/>
            <sz val="9"/>
            <color indexed="81"/>
            <rFont val="Tahoma"/>
            <family val="2"/>
          </rPr>
          <t>user:</t>
        </r>
        <r>
          <rPr>
            <sz val="9"/>
            <color indexed="81"/>
            <rFont val="Tahoma"/>
            <family val="2"/>
          </rPr>
          <t xml:space="preserve">
trừ 305 trđ (ưu đãi 56) sang sự nghiệp
</t>
        </r>
      </text>
    </comment>
    <comment ref="V88" authorId="0">
      <text>
        <r>
          <rPr>
            <b/>
            <sz val="9"/>
            <color indexed="81"/>
            <rFont val="Tahoma"/>
            <family val="2"/>
          </rPr>
          <t>User:ko trừ tiết kiệm</t>
        </r>
      </text>
    </comment>
    <comment ref="V148" authorId="0">
      <text>
        <r>
          <rPr>
            <b/>
            <sz val="9"/>
            <color indexed="81"/>
            <rFont val="Tahoma"/>
            <family val="2"/>
          </rPr>
          <t>User:</t>
        </r>
        <r>
          <rPr>
            <sz val="9"/>
            <color indexed="81"/>
            <rFont val="Times New Roman"/>
            <family val="1"/>
          </rPr>
          <t>Trừ 200trđ hỗ trợ cho Đoàn ĐBQH</t>
        </r>
      </text>
    </comment>
    <comment ref="BH172" authorId="3">
      <text>
        <r>
          <rPr>
            <b/>
            <sz val="9"/>
            <color indexed="81"/>
            <rFont val="Tahoma"/>
            <family val="2"/>
          </rPr>
          <t>phankieudiem:</t>
        </r>
        <r>
          <rPr>
            <sz val="9"/>
            <color indexed="81"/>
            <rFont val="Tahoma"/>
            <family val="2"/>
          </rPr>
          <t xml:space="preserve">
KP khoán bảo vệ rừng: 2,678trđ</t>
        </r>
      </text>
    </comment>
    <comment ref="V175" authorId="1">
      <text>
        <r>
          <rPr>
            <b/>
            <sz val="9"/>
            <color indexed="81"/>
            <rFont val="Tahoma"/>
            <family val="2"/>
          </rPr>
          <t>Windows User:</t>
        </r>
        <r>
          <rPr>
            <sz val="9"/>
            <color indexed="81"/>
            <rFont val="Tahoma"/>
            <family val="2"/>
          </rPr>
          <t xml:space="preserve">
tru 2,345 (de an thu hut bac si; dem len chi dao tao (SGDĐT); cộng 7 tỷ thực hiện CTMT y tế - DS</t>
        </r>
      </text>
    </comment>
  </commentList>
</comments>
</file>

<file path=xl/comments5.xml><?xml version="1.0" encoding="utf-8"?>
<comments xmlns="http://schemas.openxmlformats.org/spreadsheetml/2006/main">
  <authors>
    <author>ngothanhhuyen</author>
  </authors>
  <commentList>
    <comment ref="B24" authorId="0">
      <text>
        <r>
          <rPr>
            <b/>
            <sz val="9"/>
            <color indexed="81"/>
            <rFont val="Tahoma"/>
            <family val="2"/>
          </rPr>
          <t>ngothanhhuyen:</t>
        </r>
        <r>
          <rPr>
            <sz val="9"/>
            <color indexed="81"/>
            <rFont val="Tahoma"/>
            <family val="2"/>
          </rPr>
          <t xml:space="preserve">
BTC giao75,000</t>
        </r>
      </text>
    </comment>
    <comment ref="B28" authorId="0">
      <text>
        <r>
          <rPr>
            <b/>
            <sz val="9"/>
            <color indexed="81"/>
            <rFont val="Tahoma"/>
            <family val="2"/>
          </rPr>
          <t>ngothanhhuyen:</t>
        </r>
        <r>
          <rPr>
            <sz val="9"/>
            <color indexed="81"/>
            <rFont val="Tahoma"/>
            <family val="2"/>
          </rPr>
          <t xml:space="preserve">
BTC GIAO:7.300</t>
        </r>
      </text>
    </comment>
    <comment ref="B35" authorId="0">
      <text>
        <r>
          <rPr>
            <b/>
            <sz val="9"/>
            <color indexed="81"/>
            <rFont val="Tahoma"/>
            <family val="2"/>
          </rPr>
          <t>ngothanhhuyen:</t>
        </r>
        <r>
          <rPr>
            <sz val="9"/>
            <color indexed="81"/>
            <rFont val="Tahoma"/>
            <family val="2"/>
          </rPr>
          <t xml:space="preserve">
BTC GIAO:115.000</t>
        </r>
      </text>
    </comment>
    <comment ref="B41" authorId="0">
      <text>
        <r>
          <rPr>
            <b/>
            <sz val="9"/>
            <color indexed="81"/>
            <rFont val="Tahoma"/>
            <family val="2"/>
          </rPr>
          <t>ngothanhhuyen:</t>
        </r>
        <r>
          <rPr>
            <sz val="9"/>
            <color indexed="81"/>
            <rFont val="Tahoma"/>
            <family val="2"/>
          </rPr>
          <t xml:space="preserve">
1.000</t>
        </r>
      </text>
    </comment>
  </commentList>
</comments>
</file>

<file path=xl/comments6.xml><?xml version="1.0" encoding="utf-8"?>
<comments xmlns="http://schemas.openxmlformats.org/spreadsheetml/2006/main">
  <authors>
    <author>User</author>
    <author>trangminhtruc</author>
    <author>Windows User</author>
    <author>user</author>
    <author>phankieudiem</author>
  </authors>
  <commentList>
    <comment ref="V13" authorId="0">
      <text>
        <r>
          <rPr>
            <b/>
            <sz val="9"/>
            <color indexed="81"/>
            <rFont val="Tahoma"/>
            <family val="2"/>
          </rPr>
          <t>User:</t>
        </r>
        <r>
          <rPr>
            <sz val="9"/>
            <color indexed="81"/>
            <rFont val="Tahoma"/>
            <family val="2"/>
          </rPr>
          <t xml:space="preserve">
Ngày 11/10/18: chú Phương: Kế hoạch chống dịch được duyệt: 13.259 trđ nhưng chỉ cấp bằng KP chống dịch 2018 cộng thên 1.500 trđ (tổng cộng của chống dịch: 8.500 trđ)</t>
        </r>
      </text>
    </comment>
    <comment ref="M27" authorId="0">
      <text>
        <r>
          <rPr>
            <b/>
            <sz val="9"/>
            <color indexed="81"/>
            <rFont val="Tahoma"/>
            <family val="2"/>
          </rPr>
          <t>User:</t>
        </r>
        <r>
          <rPr>
            <sz val="9"/>
            <color indexed="81"/>
            <rFont val="Tahoma"/>
            <family val="2"/>
          </rPr>
          <t xml:space="preserve">
Cấp lương theo biên chế có mặt</t>
        </r>
      </text>
    </comment>
    <comment ref="AJ32" authorId="1">
      <text>
        <r>
          <rPr>
            <b/>
            <sz val="9"/>
            <color indexed="81"/>
            <rFont val="Tahoma"/>
            <family val="2"/>
          </rPr>
          <t>trangminhtruc:</t>
        </r>
        <r>
          <rPr>
            <sz val="9"/>
            <color indexed="81"/>
            <rFont val="Tahoma"/>
            <family val="2"/>
          </rPr>
          <t xml:space="preserve">
KP Quỹ BTĐB</t>
        </r>
      </text>
    </comment>
    <comment ref="V36" authorId="0">
      <text>
        <r>
          <rPr>
            <b/>
            <sz val="9"/>
            <color indexed="81"/>
            <rFont val="Tahoma"/>
            <family val="2"/>
          </rPr>
          <t>User:</t>
        </r>
        <r>
          <rPr>
            <sz val="9"/>
            <color indexed="81"/>
            <rFont val="Tahoma"/>
            <family val="2"/>
          </rPr>
          <t xml:space="preserve">
- Ngày 09/10/2018 Giảm (chú Trình+ Chú Lực):
 + Lĩnh vực đất đai: 3.700 trđ
 + Lĩnh vực môi trường: 7.700 trđ</t>
        </r>
      </text>
    </comment>
    <comment ref="W36" authorId="0">
      <text>
        <r>
          <rPr>
            <b/>
            <sz val="9"/>
            <color indexed="81"/>
            <rFont val="Tahoma"/>
            <family val="2"/>
          </rPr>
          <t>User:</t>
        </r>
        <r>
          <rPr>
            <sz val="9"/>
            <color indexed="81"/>
            <rFont val="Tahoma"/>
            <family val="2"/>
          </rPr>
          <t xml:space="preserve">
- Ngày 09/10/2018 Giảm (chú Trình+ Chú Lực): 1.500 trđ: mua máy chủ và xây dựng phần mềm</t>
        </r>
      </text>
    </comment>
    <comment ref="AT40" authorId="0">
      <text>
        <r>
          <rPr>
            <b/>
            <sz val="9"/>
            <color indexed="81"/>
            <rFont val="Tahoma"/>
            <family val="2"/>
          </rPr>
          <t>User:</t>
        </r>
        <r>
          <rPr>
            <sz val="9"/>
            <color indexed="81"/>
            <rFont val="Tahoma"/>
            <family val="2"/>
          </rPr>
          <t xml:space="preserve">
Trong dó: VP Đăng ký đất đai: 9
</t>
        </r>
      </text>
    </comment>
    <comment ref="AT51" authorId="0">
      <text>
        <r>
          <rPr>
            <b/>
            <sz val="9"/>
            <color indexed="81"/>
            <rFont val="Tahoma"/>
            <family val="2"/>
          </rPr>
          <t>User:</t>
        </r>
        <r>
          <rPr>
            <sz val="9"/>
            <color indexed="81"/>
            <rFont val="Tahoma"/>
            <family val="2"/>
          </rPr>
          <t xml:space="preserve">
QĐ 1610</t>
        </r>
      </text>
    </comment>
    <comment ref="S59" authorId="0">
      <text>
        <r>
          <rPr>
            <b/>
            <sz val="9"/>
            <color indexed="81"/>
            <rFont val="Tahoma"/>
            <family val="2"/>
          </rPr>
          <t>User:</t>
        </r>
        <r>
          <rPr>
            <sz val="9"/>
            <color indexed="81"/>
            <rFont val="Tahoma"/>
            <family val="2"/>
          </rPr>
          <t xml:space="preserve">
</t>
        </r>
        <r>
          <rPr>
            <sz val="10"/>
            <color indexed="81"/>
            <rFont val="Times New Roman"/>
            <family val="1"/>
          </rPr>
          <t>ko đem tiết kiệm năm 2017 vào, do 2019 tính định mức (cơ cấu 82-18) ko cấp đủ</t>
        </r>
      </text>
    </comment>
    <comment ref="F80" authorId="0">
      <text>
        <r>
          <rPr>
            <b/>
            <sz val="9"/>
            <color indexed="81"/>
            <rFont val="Tahoma"/>
            <family val="2"/>
          </rPr>
          <t>User:</t>
        </r>
        <r>
          <rPr>
            <sz val="9"/>
            <color indexed="81"/>
            <rFont val="Tahoma"/>
            <family val="2"/>
          </rPr>
          <t xml:space="preserve">
</t>
        </r>
        <r>
          <rPr>
            <sz val="10"/>
            <color indexed="81"/>
            <rFont val="Times New Roman"/>
            <family val="1"/>
          </rPr>
          <t>Trong đó ko tính biên chế: 648 biên chế
- BVĐK Tiểu Cần: 160
- BVĐK Cầu ngang: 170
- BV y dược cổ truyền: 83
- BV sản nhi: 235</t>
        </r>
      </text>
    </comment>
    <comment ref="V83" authorId="2">
      <text>
        <r>
          <rPr>
            <b/>
            <sz val="9"/>
            <color indexed="81"/>
            <rFont val="Tahoma"/>
            <family val="2"/>
          </rPr>
          <t>Windows User:</t>
        </r>
        <r>
          <rPr>
            <sz val="9"/>
            <color indexed="81"/>
            <rFont val="Tahoma"/>
            <family val="2"/>
          </rPr>
          <t xml:space="preserve">
</t>
        </r>
        <r>
          <rPr>
            <sz val="11"/>
            <color indexed="81"/>
            <rFont val="Tahoma"/>
            <family val="2"/>
          </rPr>
          <t>cộng 1ty (giám sát nguồn nươc của các TTYT):
Trừ 1,304 trđ (trực 73)
cộng 500 trđ (KP địa phương thực hiện CTMT Y tế - Dân số (dự án của BV Lao phổi)</t>
        </r>
        <r>
          <rPr>
            <sz val="9"/>
            <color indexed="81"/>
            <rFont val="Tahoma"/>
            <family val="2"/>
          </rPr>
          <t xml:space="preserve">
</t>
        </r>
      </text>
    </comment>
    <comment ref="M86" authorId="2">
      <text>
        <r>
          <rPr>
            <b/>
            <sz val="9"/>
            <color indexed="81"/>
            <rFont val="Tahoma"/>
            <family val="2"/>
          </rPr>
          <t>Windows User:</t>
        </r>
        <r>
          <rPr>
            <sz val="9"/>
            <color indexed="81"/>
            <rFont val="Tahoma"/>
            <family val="2"/>
          </rPr>
          <t xml:space="preserve">
tru 1.930 trd (PCUD ND 56)</t>
        </r>
      </text>
    </comment>
    <comment ref="V86" authorId="2">
      <text>
        <r>
          <rPr>
            <b/>
            <sz val="9"/>
            <color indexed="81"/>
            <rFont val="Tahoma"/>
            <family val="2"/>
          </rPr>
          <t>Windows User:</t>
        </r>
        <r>
          <rPr>
            <sz val="9"/>
            <color indexed="81"/>
            <rFont val="Tahoma"/>
            <family val="2"/>
          </rPr>
          <t xml:space="preserve">
cộng PCUD (ND 56): 1.930</t>
        </r>
      </text>
    </comment>
    <comment ref="AZ87" authorId="3">
      <text>
        <r>
          <rPr>
            <b/>
            <sz val="9"/>
            <color indexed="81"/>
            <rFont val="Tahoma"/>
            <family val="2"/>
          </rPr>
          <t>user:</t>
        </r>
        <r>
          <rPr>
            <sz val="9"/>
            <color indexed="81"/>
            <rFont val="Tahoma"/>
            <family val="2"/>
          </rPr>
          <t xml:space="preserve">
trừ 459trđ UD sang SN
</t>
        </r>
      </text>
    </comment>
    <comment ref="M88" authorId="2">
      <text>
        <r>
          <rPr>
            <b/>
            <sz val="9"/>
            <color indexed="81"/>
            <rFont val="Tahoma"/>
            <family val="2"/>
          </rPr>
          <t>Windows User:</t>
        </r>
        <r>
          <rPr>
            <sz val="9"/>
            <color indexed="81"/>
            <rFont val="Tahoma"/>
            <family val="2"/>
          </rPr>
          <t xml:space="preserve">
tru PCUD (ND 56): 301</t>
        </r>
      </text>
    </comment>
    <comment ref="V88" authorId="2">
      <text>
        <r>
          <rPr>
            <b/>
            <sz val="9"/>
            <color indexed="81"/>
            <rFont val="Tahoma"/>
            <family val="2"/>
          </rPr>
          <t>Windows User:</t>
        </r>
        <r>
          <rPr>
            <sz val="9"/>
            <color indexed="81"/>
            <rFont val="Tahoma"/>
            <family val="2"/>
          </rPr>
          <t xml:space="preserve">
co65hng PCUD (ND 56): 301</t>
        </r>
      </text>
    </comment>
    <comment ref="AZ88" authorId="3">
      <text>
        <r>
          <rPr>
            <b/>
            <sz val="9"/>
            <color indexed="81"/>
            <rFont val="Tahoma"/>
            <family val="2"/>
          </rPr>
          <t>user:</t>
        </r>
        <r>
          <rPr>
            <sz val="9"/>
            <color indexed="81"/>
            <rFont val="Tahoma"/>
            <family val="2"/>
          </rPr>
          <t xml:space="preserve">
trừ 377trđ ưu đãi NĐ 56 sang SN
</t>
        </r>
      </text>
    </comment>
    <comment ref="AZ89" authorId="3">
      <text>
        <r>
          <rPr>
            <b/>
            <sz val="9"/>
            <color indexed="81"/>
            <rFont val="Tahoma"/>
            <family val="2"/>
          </rPr>
          <t>user:</t>
        </r>
        <r>
          <rPr>
            <sz val="9"/>
            <color indexed="81"/>
            <rFont val="Tahoma"/>
            <family val="2"/>
          </rPr>
          <t xml:space="preserve">
trừ 80trd UD sang SN</t>
        </r>
      </text>
    </comment>
    <comment ref="AZ90" authorId="3">
      <text>
        <r>
          <rPr>
            <b/>
            <sz val="9"/>
            <color indexed="81"/>
            <rFont val="Tahoma"/>
            <family val="2"/>
          </rPr>
          <t>user:</t>
        </r>
        <r>
          <rPr>
            <sz val="9"/>
            <color indexed="81"/>
            <rFont val="Tahoma"/>
            <family val="2"/>
          </rPr>
          <t xml:space="preserve">
trừ 714 trđ sang SN
</t>
        </r>
      </text>
    </comment>
    <comment ref="V91" authorId="0">
      <text>
        <r>
          <rPr>
            <b/>
            <sz val="9"/>
            <color indexed="81"/>
            <rFont val="Tahoma"/>
            <family val="2"/>
          </rPr>
          <t>User:</t>
        </r>
        <r>
          <rPr>
            <sz val="9"/>
            <color indexed="81"/>
            <rFont val="Tahoma"/>
            <family val="2"/>
          </rPr>
          <t xml:space="preserve">
phụ cấp</t>
        </r>
      </text>
    </comment>
    <comment ref="AZ91" authorId="3">
      <text>
        <r>
          <rPr>
            <b/>
            <sz val="9"/>
            <color indexed="81"/>
            <rFont val="Tahoma"/>
            <family val="2"/>
          </rPr>
          <t>user:</t>
        </r>
        <r>
          <rPr>
            <sz val="9"/>
            <color indexed="81"/>
            <rFont val="Tahoma"/>
            <family val="2"/>
          </rPr>
          <t xml:space="preserve">
trừ 305 trđ (ưu đãi 56) sang sự nghiệp
</t>
        </r>
      </text>
    </comment>
    <comment ref="V92" authorId="0">
      <text>
        <r>
          <rPr>
            <b/>
            <sz val="9"/>
            <color indexed="81"/>
            <rFont val="Tahoma"/>
            <family val="2"/>
          </rPr>
          <t>User:ko trừ tiết kiệm</t>
        </r>
      </text>
    </comment>
    <comment ref="F132" authorId="0">
      <text>
        <r>
          <rPr>
            <b/>
            <sz val="9"/>
            <color indexed="81"/>
            <rFont val="Tahoma"/>
            <family val="2"/>
          </rPr>
          <t>User:</t>
        </r>
        <r>
          <rPr>
            <sz val="9"/>
            <color indexed="81"/>
            <rFont val="Tahoma"/>
            <family val="2"/>
          </rPr>
          <t xml:space="preserve">
ko tính biên chế TT dịch vụ việc làm: 13</t>
        </r>
      </text>
    </comment>
    <comment ref="V154" authorId="0">
      <text>
        <r>
          <rPr>
            <b/>
            <sz val="9"/>
            <color indexed="81"/>
            <rFont val="Tahoma"/>
            <family val="2"/>
          </rPr>
          <t>User:</t>
        </r>
        <r>
          <rPr>
            <sz val="9"/>
            <color indexed="81"/>
            <rFont val="Times New Roman"/>
            <family val="1"/>
          </rPr>
          <t>Trừ 200trđ hỗ trợ cho Đoàn ĐBQH</t>
        </r>
      </text>
    </comment>
    <comment ref="BH178" authorId="4">
      <text>
        <r>
          <rPr>
            <b/>
            <sz val="9"/>
            <color indexed="81"/>
            <rFont val="Tahoma"/>
            <family val="2"/>
          </rPr>
          <t>phankieudiem:</t>
        </r>
        <r>
          <rPr>
            <sz val="9"/>
            <color indexed="81"/>
            <rFont val="Tahoma"/>
            <family val="2"/>
          </rPr>
          <t xml:space="preserve">
KP khoán bảo vệ rừng: 2,678trđ</t>
        </r>
      </text>
    </comment>
    <comment ref="I179" authorId="0">
      <text>
        <r>
          <rPr>
            <b/>
            <sz val="9"/>
            <color indexed="81"/>
            <rFont val="Tahoma"/>
            <family val="2"/>
          </rPr>
          <t>User:</t>
        </r>
        <r>
          <rPr>
            <sz val="9"/>
            <color indexed="81"/>
            <rFont val="Tahoma"/>
            <family val="2"/>
          </rPr>
          <t xml:space="preserve">
Cộng 01 HDD của Chi cục Biển</t>
        </r>
      </text>
    </comment>
    <comment ref="M179" authorId="0">
      <text>
        <r>
          <rPr>
            <b/>
            <sz val="9"/>
            <color indexed="81"/>
            <rFont val="Tahoma"/>
            <family val="2"/>
          </rPr>
          <t>User:</t>
        </r>
        <r>
          <rPr>
            <sz val="9"/>
            <color indexed="81"/>
            <rFont val="Tahoma"/>
            <family val="2"/>
          </rPr>
          <t xml:space="preserve">
có 600 trđ lương của Chi cục Biển (HC+HDD)
</t>
        </r>
      </text>
    </comment>
    <comment ref="V181" authorId="2">
      <text>
        <r>
          <rPr>
            <b/>
            <sz val="9"/>
            <color indexed="81"/>
            <rFont val="Tahoma"/>
            <family val="2"/>
          </rPr>
          <t>Windows User:</t>
        </r>
        <r>
          <rPr>
            <sz val="9"/>
            <color indexed="81"/>
            <rFont val="Tahoma"/>
            <family val="2"/>
          </rPr>
          <t xml:space="preserve">
tru 2,345 (de an thu hut bac si; dem len chi dao tao (SGDĐT); cộng 7 tỷ thực hiện CTMT y tế - DS</t>
        </r>
      </text>
    </comment>
  </commentList>
</comments>
</file>

<file path=xl/comments7.xml><?xml version="1.0" encoding="utf-8"?>
<comments xmlns="http://schemas.openxmlformats.org/spreadsheetml/2006/main">
  <authors>
    <author>trangminhtruc</author>
    <author>nhanh</author>
  </authors>
  <commentList>
    <comment ref="E8" authorId="0">
      <text>
        <r>
          <rPr>
            <b/>
            <sz val="9"/>
            <color indexed="81"/>
            <rFont val="Tahoma"/>
            <family val="2"/>
          </rPr>
          <t>trangminhtruc:</t>
        </r>
        <r>
          <rPr>
            <sz val="9"/>
            <color indexed="81"/>
            <rFont val="Tahoma"/>
            <family val="2"/>
          </rPr>
          <t xml:space="preserve">
du nguon 3,206trd
</t>
        </r>
      </text>
    </comment>
    <comment ref="J8" authorId="0">
      <text>
        <r>
          <rPr>
            <b/>
            <sz val="9"/>
            <color indexed="81"/>
            <rFont val="Tahoma"/>
            <family val="2"/>
          </rPr>
          <t>trangminhtruc:</t>
        </r>
        <r>
          <rPr>
            <sz val="9"/>
            <color indexed="81"/>
            <rFont val="Tahoma"/>
            <family val="2"/>
          </rPr>
          <t xml:space="preserve">
mhu cau - mang sang - bo tri can doi</t>
        </r>
      </text>
    </comment>
    <comment ref="D9" authorId="1">
      <text>
        <r>
          <rPr>
            <sz val="9"/>
            <color indexed="81"/>
            <rFont val="Tahoma"/>
            <family val="2"/>
          </rPr>
          <t xml:space="preserve">thiếu 2428=70%
</t>
        </r>
      </text>
    </comment>
    <comment ref="H9" authorId="1">
      <text>
        <r>
          <rPr>
            <sz val="9"/>
            <color indexed="81"/>
            <rFont val="Tahoma"/>
            <family val="2"/>
          </rPr>
          <t xml:space="preserve">thiếu 1275=70%
</t>
        </r>
      </text>
    </comment>
    <comment ref="E12" authorId="0">
      <text>
        <r>
          <rPr>
            <b/>
            <sz val="9"/>
            <color indexed="81"/>
            <rFont val="Tahoma"/>
            <family val="2"/>
          </rPr>
          <t>trangminhtruc:</t>
        </r>
        <r>
          <rPr>
            <sz val="9"/>
            <color indexed="81"/>
            <rFont val="Tahoma"/>
            <family val="2"/>
          </rPr>
          <t xml:space="preserve">
thua 1,245trd</t>
        </r>
      </text>
    </comment>
    <comment ref="G12" authorId="0">
      <text>
        <r>
          <rPr>
            <b/>
            <sz val="9"/>
            <color indexed="81"/>
            <rFont val="Tahoma"/>
            <family val="2"/>
          </rPr>
          <t>trangminhtruc:</t>
        </r>
        <r>
          <rPr>
            <sz val="9"/>
            <color indexed="81"/>
            <rFont val="Tahoma"/>
            <family val="2"/>
          </rPr>
          <t xml:space="preserve">
Nhu cau 2019-nguon nam truoc chuyen sang
</t>
        </r>
      </text>
    </comment>
    <comment ref="H13" authorId="0">
      <text>
        <r>
          <rPr>
            <b/>
            <sz val="9"/>
            <color indexed="81"/>
            <rFont val="Tahoma"/>
            <family val="2"/>
          </rPr>
          <t>trangminhtruc:</t>
        </r>
        <r>
          <rPr>
            <sz val="9"/>
            <color indexed="81"/>
            <rFont val="Tahoma"/>
            <family val="2"/>
          </rPr>
          <t xml:space="preserve">
KP 102 thừa: 1,927trđ</t>
        </r>
      </text>
    </comment>
    <comment ref="I13" authorId="0">
      <text>
        <r>
          <rPr>
            <b/>
            <sz val="9"/>
            <color indexed="81"/>
            <rFont val="Tahoma"/>
            <family val="2"/>
          </rPr>
          <t>trangminhtruc:</t>
        </r>
        <r>
          <rPr>
            <sz val="9"/>
            <color indexed="81"/>
            <rFont val="Tahoma"/>
            <family val="2"/>
          </rPr>
          <t xml:space="preserve">
Thua 1,828trd</t>
        </r>
      </text>
    </comment>
    <comment ref="J13" authorId="0">
      <text>
        <r>
          <rPr>
            <b/>
            <sz val="9"/>
            <color indexed="81"/>
            <rFont val="Tahoma"/>
            <family val="2"/>
          </rPr>
          <t>trangminhtruc:</t>
        </r>
        <r>
          <rPr>
            <sz val="9"/>
            <color indexed="81"/>
            <rFont val="Tahoma"/>
            <family val="2"/>
          </rPr>
          <t xml:space="preserve">
Thừa 1,132trđ</t>
        </r>
      </text>
    </comment>
    <comment ref="D14" authorId="0">
      <text>
        <r>
          <rPr>
            <b/>
            <sz val="9"/>
            <color indexed="81"/>
            <rFont val="Tahoma"/>
            <family val="2"/>
          </rPr>
          <t>trangminhtruc:</t>
        </r>
        <r>
          <rPr>
            <sz val="9"/>
            <color indexed="81"/>
            <rFont val="Tahoma"/>
            <family val="2"/>
          </rPr>
          <t xml:space="preserve">
nhu cau - nguon ch sang + TT thu hoi</t>
        </r>
      </text>
    </comment>
    <comment ref="H37" authorId="0">
      <text>
        <r>
          <rPr>
            <b/>
            <sz val="9"/>
            <color indexed="81"/>
            <rFont val="Tahoma"/>
            <family val="2"/>
          </rPr>
          <t>trangminhtruc:</t>
        </r>
        <r>
          <rPr>
            <sz val="9"/>
            <color indexed="81"/>
            <rFont val="Tahoma"/>
            <family val="2"/>
          </rPr>
          <t xml:space="preserve">
loai 30 xã hoàn thành NNT
</t>
        </r>
      </text>
    </comment>
  </commentList>
</comments>
</file>

<file path=xl/comments8.xml><?xml version="1.0" encoding="utf-8"?>
<comments xmlns="http://schemas.openxmlformats.org/spreadsheetml/2006/main">
  <authors>
    <author>Windows User</author>
  </authors>
  <commentList>
    <comment ref="D14" authorId="0">
      <text>
        <r>
          <rPr>
            <b/>
            <sz val="9"/>
            <color indexed="81"/>
            <rFont val="Tahoma"/>
            <family val="2"/>
          </rPr>
          <t>Windows User:</t>
        </r>
        <r>
          <rPr>
            <sz val="9"/>
            <color indexed="81"/>
            <rFont val="Tahoma"/>
            <family val="2"/>
          </rPr>
          <t xml:space="preserve">
Bù tăng thu DT 2018 - 2017: 9675</t>
        </r>
      </text>
    </comment>
  </commentList>
</comments>
</file>

<file path=xl/sharedStrings.xml><?xml version="1.0" encoding="utf-8"?>
<sst xmlns="http://schemas.openxmlformats.org/spreadsheetml/2006/main" count="7389" uniqueCount="1998">
  <si>
    <t>CHỈ TIÊU</t>
  </si>
  <si>
    <t>TUYỆT ĐỐI</t>
  </si>
  <si>
    <t>TỶ LỆ (%)</t>
  </si>
  <si>
    <t>1. Thu NSĐP hưởng theo phân cấp</t>
  </si>
  <si>
    <t>- Chi đầu tư từ nguồn thu tiền sử dụng đất (40%)</t>
  </si>
  <si>
    <t>- Chi trích lập qũy phát triển đất (30%)</t>
  </si>
  <si>
    <t>- Đầu tư công trình xã hội hoá (20%)</t>
  </si>
  <si>
    <t>- Các khoản chi thường xuyên còn lại, trong đó:</t>
  </si>
  <si>
    <t>(Lập hồ sơ bản đồ địa chính 10% trên tổng thu tiền SD đất)</t>
  </si>
  <si>
    <t>HUYỆN TRÀ CÚ</t>
  </si>
  <si>
    <t>THÀNH PHỐ TRÀ VINH</t>
  </si>
  <si>
    <t>Tiết kiệm 10% chi thường xuyên</t>
  </si>
  <si>
    <t>2. Chi thường xuyên:</t>
  </si>
  <si>
    <t>50% tăng thu</t>
  </si>
  <si>
    <t>NĂM 2018</t>
  </si>
  <si>
    <t>TỔNG CHI</t>
  </si>
  <si>
    <t>CHI NGÂN SÁCH NĂM 2018 VÀ DỰ TOÁN 2019</t>
  </si>
  <si>
    <t>DỰ TOÁN 2019
(bao gồm tiền lương 1,39 trđ tính đủ 12 tháng)</t>
  </si>
  <si>
    <t>KHỐI HUYỆN, THỊ XÃ, THÀNH PHỐ</t>
  </si>
  <si>
    <t>HUYỆN CẦU NGANG</t>
  </si>
  <si>
    <t>HUYỆN CHÂU THÀNH</t>
  </si>
  <si>
    <t>HUYỆN DUYÊN HẢI</t>
  </si>
  <si>
    <t>HUYỆN TIỂU CẦN</t>
  </si>
  <si>
    <t>HUYỆN CẦU KÈ</t>
  </si>
  <si>
    <t>HUYỆN CÀNG LONG</t>
  </si>
  <si>
    <t>THỊ XÃ DUYÊN HẢI</t>
  </si>
  <si>
    <t>SO SÁNH DT
 2019/DT2018</t>
  </si>
  <si>
    <t>ĐVT: Triệu đồng</t>
  </si>
  <si>
    <t>Thành phố Trà Vinh</t>
  </si>
  <si>
    <t>Trà Cú</t>
  </si>
  <si>
    <t>Cầu Ngang</t>
  </si>
  <si>
    <t>Châu Thành</t>
  </si>
  <si>
    <t>Duyên Hải</t>
  </si>
  <si>
    <t>Tiẻu Cần</t>
  </si>
  <si>
    <t xml:space="preserve">Cầu Kè </t>
  </si>
  <si>
    <t>Càng Long</t>
  </si>
  <si>
    <t>Thị xã Duyên Hải</t>
  </si>
  <si>
    <t>NỘI DUNG CHI</t>
  </si>
  <si>
    <t>Tổng chi</t>
  </si>
  <si>
    <t>NỘI DUNG</t>
  </si>
  <si>
    <t>TỔNG CỘNG</t>
  </si>
  <si>
    <t>TPTV</t>
  </si>
  <si>
    <t>TRÀ CÚ</t>
  </si>
  <si>
    <t>CẦU NGANG</t>
  </si>
  <si>
    <t>CHÂU THÀNH</t>
  </si>
  <si>
    <t>TIỂU CẦN</t>
  </si>
  <si>
    <t>CẦU KÈ</t>
  </si>
  <si>
    <t>CÀNG LONG</t>
  </si>
  <si>
    <t>NHU CẦU KINH PHÍ THỰC HIỆN CHẾ ĐỘ CHÍNH SÁCH NĂM 2019</t>
  </si>
  <si>
    <t>STT</t>
  </si>
  <si>
    <t>DUYÊN HẢI</t>
  </si>
  <si>
    <t>THỊ XÃ DH</t>
  </si>
  <si>
    <t>BTC BỐ TRÍ</t>
  </si>
  <si>
    <t>CHÊNH LỆCH
THỪA (THIẾU)</t>
  </si>
  <si>
    <t>I</t>
  </si>
  <si>
    <t>CHẾ ĐỘ CHÍNH SÁCH TRUNG ƯƠNG</t>
  </si>
  <si>
    <t>Kinh phí hỗ trợ tiền ăn trưa trẻ em 3-5 tuổi; hỗ trợ giáo viên theo Nghị định số 06/2018/NĐ-CP ngày 5/01/2018 của Chính phủ</t>
  </si>
  <si>
    <t>Kinh phí hỗ trợ học sinh dân tộc nội trú theo Thông tư liên tịch 109/2009/TTLT/BTC-BGDĐT</t>
  </si>
  <si>
    <t xml:space="preserve">Kinh phí hỗ trợ học bổng và đồ dùng học tập cho người khuyết tật theo Thông tư liên tịch số 42/2013/TTLT-BGDĐT-BLĐTBXH-BTC </t>
  </si>
  <si>
    <t>Kinh phí thực hiện các chính sách miễn giảm học phí, hỗ trợ chi phí học tập theo Nghị định 86/2015/NĐ-CP</t>
  </si>
  <si>
    <t>II</t>
  </si>
  <si>
    <t>CHẾ ĐỘ CHÍNH SÁCH ĐỊA PHƯƠNG</t>
  </si>
  <si>
    <t>Hỗ trợ kinh phí hoạt động của Chi hội thuộc các tổ chức  Chính trị - xã hội thuộc các xã đặc biệt khó khăn theo Thông tư 49/2012/TT-BTC</t>
  </si>
  <si>
    <t>Hỗ trợ hoạt động ấp khóm theo Nghị quyết 43/NQ-HĐND ngày 13/7/2017 của HĐND tỉnh</t>
  </si>
  <si>
    <t>Kinh phí UBMTTQ cấp xã, ấp, khóm</t>
  </si>
  <si>
    <t>Kinh phí tăng thêm hoạt động thường xuyên của cấp xã</t>
  </si>
  <si>
    <t>Kinh phí phục vụ công tác triển khai thực hiện Đề án "cơ sở dữ liệu hộ tịch điện tử toàn quốc"</t>
  </si>
  <si>
    <t>Kinh phí tăng thêm so với số bố trí trong cân đối năm 2017 do điều chỉnh xã loại 1, loại 2, loại 3 (theo QĐ 2123/QĐ-UBND ngày 7/11/2017 của UBND tỉnh)</t>
  </si>
  <si>
    <t>Ghi chú:</t>
  </si>
  <si>
    <t>UBND TỈNH TRÀ VINH</t>
  </si>
  <si>
    <t xml:space="preserve">      SỞ TÀI CHÍNH</t>
  </si>
  <si>
    <t xml:space="preserve"> BẢNG TỔNG HỢP TĂNG THU  NSNN  KHỐI HUYỆN, THỊ XÃ, THÀNH PHỐ NĂM 2019</t>
  </si>
  <si>
    <t>TT</t>
  </si>
  <si>
    <t>HUYỆN, 
TX,TP</t>
  </si>
  <si>
    <t>NĂM 2019</t>
  </si>
  <si>
    <t>Trong đó</t>
  </si>
  <si>
    <t>Tổng thu NS 
trên địa bàn</t>
  </si>
  <si>
    <t>Thu NSĐP được
 hưởng theo phân cấp</t>
  </si>
  <si>
    <t>Tiền SD 
đất</t>
  </si>
  <si>
    <t>ATGT</t>
  </si>
  <si>
    <t>A</t>
  </si>
  <si>
    <t>B</t>
  </si>
  <si>
    <t xml:space="preserve"> Huyện Trà Cú</t>
  </si>
  <si>
    <t xml:space="preserve"> Huyện Cầu Ngang</t>
  </si>
  <si>
    <t xml:space="preserve"> Huyện Châu Thành</t>
  </si>
  <si>
    <t xml:space="preserve"> Huyện Duyên Hải</t>
  </si>
  <si>
    <t xml:space="preserve"> Huyện Tiểu Cần</t>
  </si>
  <si>
    <t xml:space="preserve"> Huyện Cầu Kè</t>
  </si>
  <si>
    <t xml:space="preserve"> Huyện Càng Long</t>
  </si>
  <si>
    <t>Cộng</t>
  </si>
  <si>
    <t>Kinh phí thực hiện QĐ số 102/2009/QĐ-TTg của Thủ tướng Chính phủ đã được bố trí trong dự toán chi thường xuyên cân đối ngân sách địa phương năm 2017 (thuộc lĩnh vực đảm bảo xã hội) và được ổn định trong cả thời kỳ ngân sách 2017-2020, đề nghị các địa phương ưu tiên sử dụng để chi trả Nghị định 136/2013/NĐ-CP ngày 21/10/2013 của Chính phủ;</t>
  </si>
  <si>
    <t>6=5-8</t>
  </si>
  <si>
    <t>BIỂU SỐ 01</t>
  </si>
  <si>
    <t>BIỂU SỐ 02</t>
  </si>
  <si>
    <t>THU PHẠT AN TOÀN GIAO THÔNG NĂM 2017</t>
  </si>
  <si>
    <t>Huyện Càng Long</t>
  </si>
  <si>
    <t>Huyện Cầu Kè</t>
  </si>
  <si>
    <t>Huyện Cầu Ngang</t>
  </si>
  <si>
    <t>Huyện Châu Thành</t>
  </si>
  <si>
    <t>Huyện Duyên Hải</t>
  </si>
  <si>
    <t>Huyện Tiểu Cần</t>
  </si>
  <si>
    <t>Huyện Trà Cú</t>
  </si>
  <si>
    <t>TT Trà Vinh (VP KB)</t>
  </si>
  <si>
    <t>TÊN HUYỆN</t>
  </si>
  <si>
    <t>NS TỈNH</t>
  </si>
  <si>
    <t>NS XÃ</t>
  </si>
  <si>
    <t>NS HUYỆN</t>
  </si>
  <si>
    <t>BỔ SUNG 70%</t>
  </si>
  <si>
    <t>THU NSTW</t>
  </si>
  <si>
    <t>* Thu NSĐP hưởng theo phân cấp (không tính thu sử dụng đất)</t>
  </si>
  <si>
    <t>TỔNG HỢP DỰ TOÁN CHI NGÂN SÁCH HUYỆN, THỊ XÃ, THÀNH PHỐ NĂM 2019</t>
  </si>
  <si>
    <t>BIỂU SỐ 03</t>
  </si>
  <si>
    <t>BIỂU SỐ 04</t>
  </si>
  <si>
    <t>BIỂU SỐ 05</t>
  </si>
  <si>
    <t>Thực hiện công tác đảm bảo trật tự ATGT (bổ sung 70% số QT THU phạt ATGT năm 2017, theo quy định của TT01/2018/TT-BTC)</t>
  </si>
  <si>
    <t>TỈNH TRÀ VINH</t>
  </si>
  <si>
    <t>NỘI DUNG CÁC KHOẢN THU</t>
  </si>
  <si>
    <t>TỔNG THU
NSNN</t>
  </si>
  <si>
    <t>SỐ ĐIỀU TIẾT</t>
  </si>
  <si>
    <t>SO SÁNH</t>
  </si>
  <si>
    <t>Tuyệt đối</t>
  </si>
  <si>
    <t>% 
DT 2019/ 
DT 2018</t>
  </si>
  <si>
    <t>%</t>
  </si>
  <si>
    <t>11=7-3</t>
  </si>
  <si>
    <t>12=7/3</t>
  </si>
  <si>
    <t>13=8-4</t>
  </si>
  <si>
    <t>14=8/4</t>
  </si>
  <si>
    <t>I. THU NỘI ĐỊA</t>
  </si>
  <si>
    <t>THU NỘI ĐỊA HƯỞNG THEO PHÂN CẤP</t>
  </si>
  <si>
    <t>THU NỘI ĐỊA (không kể tiền SDD, SXKT)</t>
  </si>
  <si>
    <t>1. Thu từ DN nhà nước do TW quản lý</t>
  </si>
  <si>
    <t>2. Thu từ DN nhà nước do ĐP quản lý</t>
  </si>
  <si>
    <t>3. Thu từ DN có vốn đầu tư nước ngoài</t>
  </si>
  <si>
    <t>4. Thuế ngoài quốc doanh</t>
  </si>
  <si>
    <t>- Thuế thu nhập doanh nghiệp</t>
  </si>
  <si>
    <t>- Thuế tài nguyên</t>
  </si>
  <si>
    <t>- Thuế GTGT</t>
  </si>
  <si>
    <t>- Thuế tiêu thụ đặc biệt</t>
  </si>
  <si>
    <t>5. Lệ phí trước bạ</t>
  </si>
  <si>
    <t>6. Thuế bảo vệ môi trường</t>
  </si>
  <si>
    <t>Trong đó: - Thu từ hàng hóa nhập khẩu</t>
  </si>
  <si>
    <t>- Thu từ hàng hóa sản xuất trong nước</t>
  </si>
  <si>
    <t>7. Thuế sử dụng đất phi nông nghiệp</t>
  </si>
  <si>
    <t>8. Thuế thu nhập cá nhân</t>
  </si>
  <si>
    <t>9. Thu phí và lệ phí</t>
  </si>
  <si>
    <t>- Phí, lệ phí trung ương</t>
  </si>
  <si>
    <t>- Phí, lệ phí địa phương</t>
  </si>
  <si>
    <t>10. Thu tiền cho thuê mặt đất, mặt nước</t>
  </si>
  <si>
    <t>11. Thu tiền bán nhà thuộc sở hữu NN</t>
  </si>
  <si>
    <t>12. Thu khác ngân sách</t>
  </si>
  <si>
    <t>- Thu khác NSĐP</t>
  </si>
  <si>
    <t>- Thu phat ATGT (NSTW)</t>
  </si>
  <si>
    <t>- Thu khác NSTW</t>
  </si>
  <si>
    <t>13. Thu tiền sử dụng đất</t>
  </si>
  <si>
    <t>14. Thu tại xã</t>
  </si>
  <si>
    <t>15. Thu XSKT</t>
  </si>
  <si>
    <t>16, Thu tiền cấp quyền khai thác khoáng sản</t>
  </si>
  <si>
    <t>Trong đó: - Giấy phép do Trung ương cấp</t>
  </si>
  <si>
    <t>- Giấy phép do Ủy ban nhân dân cấp tỉnh cấp</t>
  </si>
  <si>
    <t>17, Thu cổ tức và lợi nhuận sau thuế (địa phương hưởng 100%)</t>
  </si>
  <si>
    <t>II. THU BỔ SUNG TỪ NS CẤP TRÊN</t>
  </si>
  <si>
    <t>- Bổ sung cân đối</t>
  </si>
  <si>
    <t>- Bổ sung có mục tiêu</t>
  </si>
  <si>
    <t>THU NSNN TRÊN ĐỊA BÀN</t>
  </si>
  <si>
    <t>TỔNG THU NSNN ĐP ĐƯỢC HƯỞNG</t>
  </si>
  <si>
    <t>Điều tiết NSTW</t>
  </si>
  <si>
    <t xml:space="preserve">   </t>
  </si>
  <si>
    <t>Đơn vị tính: triệu đồng</t>
  </si>
  <si>
    <t>Ghi nhận Hoc tap kinh nghiem cac xã</t>
  </si>
  <si>
    <t>Giảm ATGT năm 2018</t>
  </si>
  <si>
    <t>Nhu cầu CĐCS THẨM ĐỊNH</t>
  </si>
  <si>
    <t>Bổ sung nguồn</t>
  </si>
  <si>
    <t xml:space="preserve">  =</t>
  </si>
  <si>
    <t>TỔNG CỤC THUẾ</t>
  </si>
  <si>
    <t>CỤC THUẾ TỈNH TRÀ VINH</t>
  </si>
  <si>
    <t>¯¯¯¯¯¯¯¯¯¯¯¯¯¯¯¯¯</t>
  </si>
  <si>
    <t>DỰ KIẾN SỐ PHÂN BỔ DỰ TOÁN THU NỘI ĐỊA NĂM 2019</t>
  </si>
  <si>
    <t>(Phân bổ theo số đã thảo luận với Bộ Tài chính)</t>
  </si>
  <si>
    <t>(Số sau làm việc với Sở Tài chính)</t>
  </si>
  <si>
    <t>Đơn vị tính: Triệu đồng</t>
  </si>
  <si>
    <t xml:space="preserve">
TỔNG SỐ</t>
  </si>
  <si>
    <t>TRONG ĐÓ</t>
  </si>
  <si>
    <t xml:space="preserve">
VĂN PHÒNG CỤC</t>
  </si>
  <si>
    <t>KHỐI CHI CỤC THUẾ</t>
  </si>
  <si>
    <t>GỒM CÓ</t>
  </si>
  <si>
    <t>TP TRÀ VINH</t>
  </si>
  <si>
    <t>TX DUYÊN HẢI</t>
  </si>
  <si>
    <t>CẦU
NGANG</t>
  </si>
  <si>
    <t>CHÂU
THÀNH</t>
  </si>
  <si>
    <t>DUYÊN
HẢI</t>
  </si>
  <si>
    <t>TIỂU
CẦN</t>
  </si>
  <si>
    <t xml:space="preserve"> CẦU
KÈ</t>
  </si>
  <si>
    <t>CÀNG
 LONG</t>
  </si>
  <si>
    <t>1=2+3</t>
  </si>
  <si>
    <t>3=4+..+12</t>
  </si>
  <si>
    <t>TỔNG THU (I+II+III)</t>
  </si>
  <si>
    <t>THU DẦU THÔ</t>
  </si>
  <si>
    <t>THU NỘI ĐỊA</t>
  </si>
  <si>
    <t>TRONG ĐÓ: SỐ THU TRỪ TIỀN SDĐ, XỔ SỐ, CTĐC</t>
  </si>
  <si>
    <t>Thu từ khu vực doanh nghiệp nhà nước</t>
  </si>
  <si>
    <t>1.1</t>
  </si>
  <si>
    <t>Thu từ khu vực doanh nghiệp trung ương</t>
  </si>
  <si>
    <t xml:space="preserve"> - Thuế giá trị gia tăng</t>
  </si>
  <si>
    <t xml:space="preserve"> - Thuế tiêu thụ đặc biệt</t>
  </si>
  <si>
    <t xml:space="preserve"> - Thuế thu nhập doanh nghiệp</t>
  </si>
  <si>
    <t xml:space="preserve"> - Thuế tài nguyên</t>
  </si>
  <si>
    <t xml:space="preserve"> - Thu về khí thiên nhiên, khí than</t>
  </si>
  <si>
    <t xml:space="preserve"> - Thu khác</t>
  </si>
  <si>
    <t>1.2</t>
  </si>
  <si>
    <t>Thu từ khu vực doanh nghiệp địa phương</t>
  </si>
  <si>
    <t>Thu từ khu vực doanh nghiệp có vốn ĐTNN</t>
  </si>
  <si>
    <t>Thu từ khu vực kinh tế ngoài quốc doanh</t>
  </si>
  <si>
    <t>3.1</t>
  </si>
  <si>
    <t>Thu từ các doanh nghiệp và tổ chức kinh doanh</t>
  </si>
  <si>
    <t>3.2</t>
  </si>
  <si>
    <t>Thu từ hộ gia đình và cá nhân kinh doanh</t>
  </si>
  <si>
    <t>Thuế thu nhập cá nhân</t>
  </si>
  <si>
    <t>Thuế bảo vệ môi trường</t>
  </si>
  <si>
    <t>Lệ phí trước bạ</t>
  </si>
  <si>
    <t xml:space="preserve">Phí - lệ phí </t>
  </si>
  <si>
    <t xml:space="preserve"> Trong đó: - Lệ phí môn bài</t>
  </si>
  <si>
    <t>Thuế sử dụng đất nông nghiệp</t>
  </si>
  <si>
    <t>Thuế sử dụng đất phi nông nghiệp</t>
  </si>
  <si>
    <t xml:space="preserve">Thu tiền cho thuê đất, thuê mặt nước </t>
  </si>
  <si>
    <t>Thu tiền sử dụng đất</t>
  </si>
  <si>
    <t>Thu tiền thuê và bán nhà ở thuộc SHNN</t>
  </si>
  <si>
    <t>Thu từ hoạt động xổ số</t>
  </si>
  <si>
    <t>Thu tiền cấp quyền khai thác tài nguyên khoáng sản, tài nguyên nước</t>
  </si>
  <si>
    <t>Thu tiền sử dụng khu vực biển</t>
  </si>
  <si>
    <t xml:space="preserve">Thu khác ngân sách </t>
  </si>
  <si>
    <t xml:space="preserve"> Trong đó: - Thu phạt ATGT</t>
  </si>
  <si>
    <t>Thu từ quỹ đất công ích và thu hoa lợi, công sản khác</t>
  </si>
  <si>
    <t>Thu cổ tức, lợi nhuận được chia và LNST NSĐP hưởng 100%</t>
  </si>
  <si>
    <t>Thu chênh lệch thu chi của Ngân hàng nhà nước</t>
  </si>
  <si>
    <t>Trà Vinh, ngày 27 tháng 9 năm 2018</t>
  </si>
  <si>
    <t xml:space="preserve"> </t>
  </si>
  <si>
    <t>Thu NSĐP được
 hưởng theo phân cấp không tính tiền SDD</t>
  </si>
  <si>
    <t>Kinh phí thực hiện Chỉ thị số 15-CT/TU ngày 28/12/2016 của Tỉnh ủy (24TR/XÃ)</t>
  </si>
  <si>
    <t>Đại hôi mặt trận cho cấp xã</t>
  </si>
  <si>
    <t>Đại hội người dân tộc thiểu số</t>
  </si>
  <si>
    <t>Kinh phí hỗ trợ lập kế hoạch đầu tư cấp xã thực hện các Chương trình MTQG theo Nghị quyết 23/2017/NQ-HĐND ngày 13/7/2017 (8 trđ/xã)</t>
  </si>
  <si>
    <t>Kinh phí Ban Thanh tra nhân dân (bổ sung tăng 2trđ/xã)</t>
  </si>
  <si>
    <t xml:space="preserve">Hỗ trợ một số chế độ chính sách, nhiệm vụ khác </t>
  </si>
  <si>
    <t>Nhu cầu theo KH UB - KP thừa</t>
  </si>
  <si>
    <t>Nhu cầu TU - phụ cấp cấp ủy - bố trí cấn đối (95tr/xã) - 3454 của xã</t>
  </si>
  <si>
    <t>Cách tính</t>
  </si>
  <si>
    <t>Bổ sung tăng kinh phí thực hiện chi đầu tư phát triển 2019/2018</t>
  </si>
  <si>
    <t>- Hỗ trợ san lấp mặt bằng, nâng cấp, sửa chữa nhỏ các trường học đạt chuẩn quốc gia</t>
  </si>
  <si>
    <t>- Hỗ trợ các xã xây dựng nông thôn mới</t>
  </si>
  <si>
    <t>- Hỗ trợ thực hiện duy tu, bảo dưỡng các công trình giao thông nông thôn</t>
  </si>
  <si>
    <t>Chính sách trợ giúp cho các đối tượng bảo trợ xã hội, người cao tuổi và người khuyết tật theo Nghị định 136/2013/NĐ-CP (KP có 102 thưa)</t>
  </si>
  <si>
    <t>Kinh phí thực hiện chế độ, chính sách và điều kiện đảm bảo hoạt động của đại biểu HĐND các cấp theo Nghị quyết số 17/2016/NQ-HĐND ngày 08/12/2016 của HĐND tỉnh (kèm thuyết minh)</t>
  </si>
  <si>
    <t>Tổng cộng</t>
  </si>
  <si>
    <t>NST</t>
  </si>
  <si>
    <t>NSH</t>
  </si>
  <si>
    <t>DỰ TOÁN CHI NGÂN SÁCH ĐỊA PHƯƠNG, CHI NGÂN SÁCH CẤP TỈNH</t>
  </si>
  <si>
    <t>Số dư</t>
  </si>
  <si>
    <t>Nội dung</t>
  </si>
  <si>
    <t>Dự toán bổ sung (NQ72/NQ-HĐND ngày 04/5/2018)</t>
  </si>
  <si>
    <t>Cơ cấu chi (%)</t>
  </si>
  <si>
    <t>Ghi chú</t>
  </si>
  <si>
    <t>Ngân sách cấp tỉnh</t>
  </si>
  <si>
    <t>Ngân sách huyện</t>
  </si>
  <si>
    <t>TỔNG CHI NSĐP (A+B+C+D)</t>
  </si>
  <si>
    <t>CHI CÂN ĐỐI NSĐP (I+II+III+IV+V+VI)</t>
  </si>
  <si>
    <t>Chi đầu tư phát triển (1)</t>
  </si>
  <si>
    <t>Chi đầu tư cho các dự án (XDCB từ nguồn NSĐP)</t>
  </si>
  <si>
    <t>Chi giáo dục - đào tạo và dạy nghề</t>
  </si>
  <si>
    <t>Chi khoa học và công nghệ</t>
  </si>
  <si>
    <t xml:space="preserve">Chi quốc phòng </t>
  </si>
  <si>
    <t>Chi an ninh và trật tự an toàn xã hội</t>
  </si>
  <si>
    <t>Chi y tế, dân số và gia đình</t>
  </si>
  <si>
    <t>Chi văn hóa thông tin</t>
  </si>
  <si>
    <t>Chi phát thanh, truyền hình</t>
  </si>
  <si>
    <t>Chi thể dục thể thao</t>
  </si>
  <si>
    <t>Chi bảo vệ môi trường</t>
  </si>
  <si>
    <t>Chi các hoạt động kinh tế</t>
  </si>
  <si>
    <t>Chi hoạt động của cơ quan quản lý nhà nước, đảng, đoàn thể</t>
  </si>
  <si>
    <t>Chi bảo đảm xã hội</t>
  </si>
  <si>
    <t>Chi đầu tư khác</t>
  </si>
  <si>
    <t>I.2</t>
  </si>
  <si>
    <t xml:space="preserve">Chi đầu tư từ nguồn thu tiền sử dụng đất </t>
  </si>
  <si>
    <t>- Trích lập quỹ phát triển đất (30%)</t>
  </si>
  <si>
    <t>- Chi đầu tư công trình xã hội hóa (20%)</t>
  </si>
  <si>
    <t>I.3</t>
  </si>
  <si>
    <t>Chi đầu tư từ nguồn thu xổ số kiến thiết</t>
  </si>
  <si>
    <t>Chi thường xuyên</t>
  </si>
  <si>
    <t xml:space="preserve">  - Chi sự nghiệp Giáo dục</t>
  </si>
  <si>
    <t xml:space="preserve">  - Chi sự nghiệp đào tạo</t>
  </si>
  <si>
    <t xml:space="preserve">    Trong đó: </t>
  </si>
  <si>
    <t>Trong đó:</t>
  </si>
  <si>
    <t xml:space="preserve">     - Sự nghiệp thường xuyên</t>
  </si>
  <si>
    <t xml:space="preserve">     - BHYT cho trẻ em dưới 6 tuổi</t>
  </si>
  <si>
    <t xml:space="preserve">     - BHYT cho đối tượng bảo trợ xã hội</t>
  </si>
  <si>
    <t xml:space="preserve">     - BHYT cho người nghèo, dân tộc vùng khó khăn</t>
  </si>
  <si>
    <t xml:space="preserve">     - BHYT cho học sinh, sinh viên</t>
  </si>
  <si>
    <t xml:space="preserve">     - BHYT cho cựu chiến binh thanh niên xuân phong</t>
  </si>
  <si>
    <t xml:space="preserve"> Trong đó : </t>
  </si>
  <si>
    <t xml:space="preserve">   - KP Hỗ trợ đất lúa theo Nghị định 35</t>
  </si>
  <si>
    <t xml:space="preserve">   - Hỗ trợ  địa phương có diện tích trồng lúa lớn</t>
  </si>
  <si>
    <t xml:space="preserve">   - Phân bổ cấp bù thủy lợi phí</t>
  </si>
  <si>
    <t xml:space="preserve">   - Phân bổ theo loại đô thị</t>
  </si>
  <si>
    <t xml:space="preserve">   - Hỗ trợ thực hiện các chính sách hỗ trợ ưu đãi đầu tư</t>
  </si>
  <si>
    <t xml:space="preserve">   - KP lập hồ sơ bản đồ địa chính (10% từ nguồn thu tiền sử dụng đất)</t>
  </si>
  <si>
    <t xml:space="preserve">  - Sự nghiệp kinh tế khác</t>
  </si>
  <si>
    <t>- Sự nghiệp thường xuyên</t>
  </si>
  <si>
    <t>- Kinh phí hỗ trợ gia đinh chính sách</t>
  </si>
  <si>
    <t xml:space="preserve"> - Nghị định 136/NĐ-CP</t>
  </si>
  <si>
    <t xml:space="preserve"> - Quyết định 102/NĐ-CP</t>
  </si>
  <si>
    <t>- Chi hoạt động của cơ quan quản lý nhà nước, đảng, đoàn thể</t>
  </si>
  <si>
    <t>- Chi thường xuyên khác</t>
  </si>
  <si>
    <t xml:space="preserve">   + Vốn đối ứng ODA</t>
  </si>
  <si>
    <t xml:space="preserve">   + Trích trước nguồn thu theo quy đinh của Thanh Tra</t>
  </si>
  <si>
    <t xml:space="preserve">  +  Các khoản chi khác</t>
  </si>
  <si>
    <t>- KP thực hiện các chế độ, chính sách</t>
  </si>
  <si>
    <t>III</t>
  </si>
  <si>
    <t>Chi trả nợ lãi các khoản do chính quyền địa phương vay (2)</t>
  </si>
  <si>
    <t>IV</t>
  </si>
  <si>
    <t>Chi bổ sung quỹ dự trữ tài chính (2)</t>
  </si>
  <si>
    <t>V</t>
  </si>
  <si>
    <t>Dự phòng ngân sách</t>
  </si>
  <si>
    <t>VI</t>
  </si>
  <si>
    <t>Chi tạo nguồn, điều chỉnh tiền lương</t>
  </si>
  <si>
    <t>CHI CÁC CHƯƠNG TRÌNH MỤC TIÊU</t>
  </si>
  <si>
    <t>Chi các chương trình mục tiêu quốc gia</t>
  </si>
  <si>
    <t>Vốn đầu tư</t>
  </si>
  <si>
    <t>- Chương trình MTQG giảm nghèo bền vững</t>
  </si>
  <si>
    <t>- Chương trình MTQG nông thôn mới</t>
  </si>
  <si>
    <t>Vốn sự nghiệp</t>
  </si>
  <si>
    <t>NSTW bổ sung thực hiện các chương trình mục tiêu, nhiệm vụ</t>
  </si>
  <si>
    <t>Vốn trong nước</t>
  </si>
  <si>
    <t>- Đầu tư theo ngành, lĩnh vực và các CTMT</t>
  </si>
  <si>
    <t>- Hỗ trợ nhà ở cho người có công</t>
  </si>
  <si>
    <t>Vốn ngoài nước (ODA)</t>
  </si>
  <si>
    <t>- CTMT ứng phó BĐKH và tăng trưởng xanh</t>
  </si>
  <si>
    <t>1.3</t>
  </si>
  <si>
    <t>Vốn trái phiếu chính phủ</t>
  </si>
  <si>
    <t>- Hỗ trợ thực hiện một số đề án, dự án  KHCN</t>
  </si>
  <si>
    <t>- Chính sách trợ giúp pháp lý</t>
  </si>
  <si>
    <t>- Kinh phí mua thẻ BHYT người nghèo, người sinh sống vùng kinh tế, xã hội ĐBKK, người DTTS</t>
  </si>
  <si>
    <t>- Hỗ trợ mua thẻ BHYT cho trẻ em dưới 6 tuổi</t>
  </si>
  <si>
    <t>- Hỗ trợ BHYT cho các đối tượng (cựu chiến binh, thanh niên xung phong, bảo trợ xã hội, HSSV, hộ cận nghèo,  hộ nông lâm ngư nghiệp có mức sông trung bình, người hiến bộ phận cơ thể)</t>
  </si>
  <si>
    <t>- Bổ sung kinh phí thực hiện nhiệm vụ đảm bảo trật tự ATGT</t>
  </si>
  <si>
    <t>- Bổ sung thực hiện một số chương trình mục tiêu:</t>
  </si>
  <si>
    <t xml:space="preserve">  + CTMT giáo dục nghề nghiệp - việc làm và ATLĐ</t>
  </si>
  <si>
    <t xml:space="preserve">  + CTMT phát triển hệ thống Trợ giúp xã hội</t>
  </si>
  <si>
    <t xml:space="preserve">  + CTMT y tế-dân số</t>
  </si>
  <si>
    <t xml:space="preserve">  + CTMT phát triển văn hóa</t>
  </si>
  <si>
    <t xml:space="preserve">  + CTMT đảm bảo TT.ATGT, PCCC, phòng chống tội phạm</t>
  </si>
  <si>
    <t xml:space="preserve">  + CTMT phát triển lâm nghiệp bền vững </t>
  </si>
  <si>
    <t>- Hỗ trợ ngân sách huyện các chế độ chính sách TW ban hành</t>
  </si>
  <si>
    <t>2.1</t>
  </si>
  <si>
    <t>Vốn vay</t>
  </si>
  <si>
    <t>- Dự án thích ứng biến đổi khí hậu (AMD)</t>
  </si>
  <si>
    <t>Ghi thu-ghi chi</t>
  </si>
  <si>
    <t>- Dự án tăng cường trợ giúp xã hội</t>
  </si>
  <si>
    <t>Rút dự toán</t>
  </si>
  <si>
    <t>2.2</t>
  </si>
  <si>
    <t>Vốn viên trợ</t>
  </si>
  <si>
    <t>- Hỗ trợ chính sách ngành y tế giai đoạn 2</t>
  </si>
  <si>
    <t>Cơ chế tài chính trong nước</t>
  </si>
  <si>
    <t>- Dự án SME</t>
  </si>
  <si>
    <t>C</t>
  </si>
  <si>
    <t>- Hỗ trợ Đài khí tượng thủy văn</t>
  </si>
  <si>
    <t>- Hỗ trợ Liên đoàn lao động</t>
  </si>
  <si>
    <t>- Hỗ trợ Cục Thống kê</t>
  </si>
  <si>
    <t>- Hỗ trợ Ban Chỉ đạo chống thất thu</t>
  </si>
  <si>
    <t>- KP an ninh vùng trọng điểm</t>
  </si>
  <si>
    <t>- KP mua sắm sửa chữa</t>
  </si>
  <si>
    <t>- Hỗ trợ công tác quy hoạch</t>
  </si>
  <si>
    <t>- Hỗ trợ vốn cho Ngân hàng chính sách cho vay đối với người nghèo và các đối tượng chính sách khác</t>
  </si>
  <si>
    <t>D</t>
  </si>
  <si>
    <t xml:space="preserve">CHI CHUYỂN NGUỒN SANG NĂM SAU </t>
  </si>
  <si>
    <t>BỘI THU NGÂN SÁCH</t>
  </si>
  <si>
    <t>TỔNG THU NSNN (I+II+III)</t>
  </si>
  <si>
    <t xml:space="preserve">TỔNG THU NSĐP ĐƯỢC HƯỞNG </t>
  </si>
  <si>
    <t>(Ban hành kèm theo Quyết định số ………/QĐ-UBND ngày     của UBND tỉnh)</t>
  </si>
  <si>
    <t>NGÂN SÁCH CẤP TỈNH</t>
  </si>
  <si>
    <t>NGÂN SÁCH HUYỆN</t>
  </si>
  <si>
    <t>CỘNG</t>
  </si>
  <si>
    <t xml:space="preserve">
TỔNG CỘNG</t>
  </si>
  <si>
    <t xml:space="preserve"> DỰ TOÁN THU NGÂN SÁCH CẤP TỈNH, NS HUYỆN NĂM 2019</t>
  </si>
  <si>
    <t>TRONG ĐÓ: SỐ THU TRỪ TIỀN SDĐ, XỔ SỐ KT</t>
  </si>
  <si>
    <t>THU BỔ SUNG TỪ NS CẤP TRÊN</t>
  </si>
  <si>
    <t>THU KẾT DƯ (bố trí chi từ kết dư)</t>
  </si>
  <si>
    <t>Bổ sung cân đối</t>
  </si>
  <si>
    <t>Số bổ sung thực hiện  lương 1.390.000 đ/tháng</t>
  </si>
  <si>
    <t>Số bổ sung thực hiện  lương 1.300.000 đ/tháng</t>
  </si>
  <si>
    <t>Bổ sung chế độ chính sách, nhiệm vụ khác</t>
  </si>
  <si>
    <t>Thực hiện một số chế độ chính sách, nhiệm vụ khác</t>
  </si>
  <si>
    <t xml:space="preserve"> Thực hiện công tác đảm bảo trật tự ATGT</t>
  </si>
  <si>
    <t xml:space="preserve"> Bổ sung có mục tiêu</t>
  </si>
  <si>
    <t>ĐIỀU TIẾT NSTW</t>
  </si>
  <si>
    <t xml:space="preserve"> - Thu phạt ATGT</t>
  </si>
  <si>
    <t>Biểu số 6: DỰ TOÁN CHI NGÂN SÁCH BAN NGÀNH TỈNH NĂM 2019</t>
  </si>
  <si>
    <t>Biểu số 6: DỰ TOÁN CHI NGÂN SÁCH BAN NGÀNH TỈNH NĂM 2018</t>
  </si>
  <si>
    <t>(Ban hành theo Quyết định số       /QĐ-UBND ngày    /12/2018 của UBND tỉnh)</t>
  </si>
  <si>
    <t>ĐVT: triệu đồng</t>
  </si>
  <si>
    <t>Số
TT</t>
  </si>
  <si>
    <t>Tên đơn vị</t>
  </si>
  <si>
    <t>Tổng số được giao</t>
  </si>
  <si>
    <t>Biên chế được giao</t>
  </si>
  <si>
    <t>Biên chế
 (có mặt)</t>
  </si>
  <si>
    <t>HĐ 68</t>
  </si>
  <si>
    <t xml:space="preserve">Tổng số </t>
  </si>
  <si>
    <t xml:space="preserve">Chi sự nghiệp - MSSC lớn </t>
  </si>
  <si>
    <t xml:space="preserve">Đào 
tạo </t>
  </si>
  <si>
    <t xml:space="preserve">DA quy hoạch </t>
  </si>
  <si>
    <t>Nguồn
thu
được
để 
lại</t>
  </si>
  <si>
    <t xml:space="preserve">Thu
Phí </t>
  </si>
  <si>
    <t>Thu lệ phí</t>
  </si>
  <si>
    <t>Thu phạt vi phạm hành chính</t>
  </si>
  <si>
    <t>Chi từ nguồn TW hỗ trợ có mục tiêu</t>
  </si>
  <si>
    <t>Chi từ nguồn  kết dư NS năm
2016</t>
  </si>
  <si>
    <t>Ghi 
chú</t>
  </si>
  <si>
    <t>Công chức</t>
  </si>
  <si>
    <t>Viên chức</t>
  </si>
  <si>
    <t>Được giao</t>
  </si>
  <si>
    <t>Có mặt</t>
  </si>
  <si>
    <t>Thanh toán cá nhân (nhóm 1)</t>
  </si>
  <si>
    <t>Chi nghiệp vụ chuyên môn (nhóm 2)</t>
  </si>
  <si>
    <t>Các khoản chi khác (nhóm 4)</t>
  </si>
  <si>
    <t>Phân bổ thêm</t>
  </si>
  <si>
    <t>Tiết kiệm 10% chênh lệch DT 2017-2018</t>
  </si>
  <si>
    <t>Tiết kiệm 10% chênh lệch DT 2018-2019</t>
  </si>
  <si>
    <t>Tiết kiệm 10% chi thườngxuyên 2017</t>
  </si>
  <si>
    <t>Tiết kiệm 10% chi TX 2019</t>
  </si>
  <si>
    <t>Sự nghiệp
TX</t>
  </si>
  <si>
    <t>MSSC
(nhóm 3)</t>
  </si>
  <si>
    <t>Tiết kiệm 2019</t>
  </si>
  <si>
    <t>Tiết kiệm 10% chi thường xuyên 2017</t>
  </si>
  <si>
    <t>Tiết kiệm 10% (chênh lệch tăng chi phí)</t>
  </si>
  <si>
    <t>Tiết kiệm 10% chi thường xuyên 2018</t>
  </si>
  <si>
    <t>SN có
tính chất ĐT</t>
  </si>
  <si>
    <t xml:space="preserve">Tiết kiệm 10% (chênh lệch tăng chi phí) </t>
  </si>
  <si>
    <t>1=2+7</t>
  </si>
  <si>
    <t>2=3+4</t>
  </si>
  <si>
    <t>9=15+20+21+22</t>
  </si>
  <si>
    <t>15=10+11+12+13-14</t>
  </si>
  <si>
    <t>20=16+17+18-19</t>
  </si>
  <si>
    <t>SN KINH TẾ (a+b+c)</t>
  </si>
  <si>
    <t>a</t>
  </si>
  <si>
    <t>Sự nghiệp nông nghiệp</t>
  </si>
  <si>
    <t>Sở Nông nghiệp &amp; PTNT</t>
  </si>
  <si>
    <t xml:space="preserve"> - TT Khuyến nông</t>
  </si>
  <si>
    <t xml:space="preserve"> - Chi cục Trồng trọt và BVTV</t>
  </si>
  <si>
    <t xml:space="preserve"> - Chi cục Chăn nuôi và  Thú y</t>
  </si>
  <si>
    <t xml:space="preserve"> - Chi cục Kiểm lâm</t>
  </si>
  <si>
    <t xml:space="preserve"> Trong đó: Quỹ bảo vệ và phát triển rừng</t>
  </si>
  <si>
    <t xml:space="preserve"> - Chi cục phát triển nông thôn</t>
  </si>
  <si>
    <t xml:space="preserve"> - Chi cục Thủy lợi </t>
  </si>
  <si>
    <t xml:space="preserve"> - Chi cục Quản lý chất lượng Nông lâm sản và thủy sản</t>
  </si>
  <si>
    <t xml:space="preserve"> - Trung tâm giống</t>
  </si>
  <si>
    <t xml:space="preserve"> - TT huấn luyện chăn nuôi bò</t>
  </si>
  <si>
    <t xml:space="preserve"> - BQL rừng phòng hộ</t>
  </si>
  <si>
    <t xml:space="preserve"> - VP Điều phối CTMTQG XD NTM</t>
  </si>
  <si>
    <t xml:space="preserve"> - Ban Quản lý Cảng cá</t>
  </si>
  <si>
    <t xml:space="preserve"> - Trung tâm giống thủy sản</t>
  </si>
  <si>
    <t xml:space="preserve"> - Chi cục Thủy sản</t>
  </si>
  <si>
    <t xml:space="preserve"> - VP Sở</t>
  </si>
  <si>
    <t>Sở Nông nghiệp &amp; PTNT(CB về xã)</t>
  </si>
  <si>
    <t>Vốn thủy lợi phí (Công ty Thủy nông)</t>
  </si>
  <si>
    <t>Chính sách hỗ trợ các dự án sản xuất nông nghiệp</t>
  </si>
  <si>
    <t>b</t>
  </si>
  <si>
    <t>Sự nghiệp giao thông</t>
  </si>
  <si>
    <t xml:space="preserve"> Sở Giao thông VT (Đoạn Quản lý giao thông thủy bộ)</t>
  </si>
  <si>
    <t>Ban An toàn Giao thông</t>
  </si>
  <si>
    <t>c</t>
  </si>
  <si>
    <t>Sự nghiệp tài nguyên - môi trường</t>
  </si>
  <si>
    <t>Sở Tài nguyên và Môi trường (các đơn vị trực thuộc)</t>
  </si>
  <si>
    <t xml:space="preserve"> - VP Sở Tài nguyên (Sự nghiệp TN-MT)</t>
  </si>
  <si>
    <t xml:space="preserve"> - Chi cục QL đất đai</t>
  </si>
  <si>
    <t xml:space="preserve"> - Chi cục Biển và đảo</t>
  </si>
  <si>
    <t xml:space="preserve"> - Chi cục Bảo vệ môi trường</t>
  </si>
  <si>
    <t xml:space="preserve"> - Trung tâm Phát triển quỹ đất</t>
  </si>
  <si>
    <t>Trong đó: - Sự nghiệp môi trường</t>
  </si>
  <si>
    <t>- Hỗ trợ mua mắm thiết bị quan trắc môi trường</t>
  </si>
  <si>
    <t>d</t>
  </si>
  <si>
    <t>Sự nghiệp kinh tế khác</t>
  </si>
  <si>
    <t xml:space="preserve">Văn phòng UBND tỉnh (Trung tâm Hội nghị và Nhà khách) </t>
  </si>
  <si>
    <t>Sở Thông tin – Truyền thông (Trung tâm Công nghệ thông tin và truyền thông)</t>
  </si>
  <si>
    <t>Sở Thông tin-Truyền thông (TT quản lý cổng thông tin - ĐT)</t>
  </si>
  <si>
    <t>Ban quản lý Khu kinh tế (Công ty Quản lý và Phát triển Hạ tầng Khu kinh tế và các Khu công nghiệp)</t>
  </si>
  <si>
    <t>Trong đó: Sự nghiệp môi trường</t>
  </si>
  <si>
    <t>Sở Tư pháp (Phòng công chứng số 1)</t>
  </si>
  <si>
    <t>Sở Kế hoach đầu tư (TT Xúc tiến ĐT và hỗ trợ DN)</t>
  </si>
  <si>
    <t>Sở VH-TTDL (TT thông tin Xúc tiến DL)</t>
  </si>
  <si>
    <t>Sở Công thương (Trung tâm khuyến công &amp; xúc tiến thương mại)</t>
  </si>
  <si>
    <t>Sở Công thương (Trung tâm khuyến công &amp; tư vấn PTCN)</t>
  </si>
  <si>
    <t>Sở Công thương (Trung tâm Xúc tiến thương mại)</t>
  </si>
  <si>
    <t>Hỗ trợ thực hiện các chinhs ách hỗ trợ ưu đãi đầu tư</t>
  </si>
  <si>
    <t>10% Trích lập hồ sơ bản đồ địa chính  từ nguồn thu tiền sử dụng đất</t>
  </si>
  <si>
    <t>Hỗ trợ mua sắm thiết bị quan trắc môi trường</t>
  </si>
  <si>
    <t>SN GIÁO DỤC – ĐÀO TẠO</t>
  </si>
  <si>
    <t>Sự nghiệp giáo dục</t>
  </si>
  <si>
    <t>Sở Giáo dục và Đào tạo (SN Giáo dục)</t>
  </si>
  <si>
    <t>Trường Thực hành Sư phạm</t>
  </si>
  <si>
    <t>Sự nghiệp đào tạo</t>
  </si>
  <si>
    <t>Trường Đại học Trà Vinh</t>
  </si>
  <si>
    <t>Trường Chính trị</t>
  </si>
  <si>
    <t>Sở Văn hóa, Thể thao và Du lịch (Trường Trung cấp Văn hóa Nghệ thuật và thể thao)</t>
  </si>
  <si>
    <t>Trường Cao đẳng Y tế</t>
  </si>
  <si>
    <t>Trường Cao đẳng nghề</t>
  </si>
  <si>
    <t xml:space="preserve">Sở LĐTBXH (Trường Trung cấp nghề Dân tộc nội trú) </t>
  </si>
  <si>
    <t>Hội Nông dân (Trung tâm Dạy nghề Hội Nông dân)</t>
  </si>
  <si>
    <t>Hội Liên hiệp Phụ nữ (Trung tâm dạy nghề Hội phụ nữ)</t>
  </si>
  <si>
    <t>Sở Y tế (Đề án đào tạo thu hút bác sĩ theo QĐ 35/2013/ QĐ-UBND)</t>
  </si>
  <si>
    <t xml:space="preserve">Sở Giáo dục và Đào tạo (Đề án đào tạo nguồn nhân lực có trình độ SĐH  theo CV só 2826/UBND-VX ngày 12/8/2013) </t>
  </si>
  <si>
    <t>Trường Đại học Trà Vinh (Đề án đào tạo sau đại học giai đoạn 2012-2016 theo Quyết định số 28/2012/QĐ-UBND ngày 28/10/2012)</t>
  </si>
  <si>
    <t>Đào tạo huấn luyện an ninh quốc phòng</t>
  </si>
  <si>
    <t xml:space="preserve"> + Bộ Chỉ huy quân sự</t>
  </si>
  <si>
    <t xml:space="preserve"> + Công an tỉnh</t>
  </si>
  <si>
    <t xml:space="preserve"> + Bộ Chỉ huy Bộ đội biên phòng</t>
  </si>
  <si>
    <t xml:space="preserve">SN Y TẾ </t>
  </si>
  <si>
    <t>KHỐI PHÒNG BỆNH</t>
  </si>
  <si>
    <t>Sở Y tế (các đơn vị trực thuộc)</t>
  </si>
  <si>
    <t>VP Sở Y tế (các chế độ chính sách ngành y tế)</t>
  </si>
  <si>
    <t xml:space="preserve">Chi cục dân số </t>
  </si>
  <si>
    <t>Chi cục an toàn VS thực phẩm</t>
  </si>
  <si>
    <t>TT kiểm soát bệnh tật (sáp nhập TT phòng chống HIV/AIDS, TT chăm sóc sức khỏe SS)</t>
  </si>
  <si>
    <t>TT y tế dự phòng</t>
  </si>
  <si>
    <t>TT chăm sóc sức khỏe SS</t>
  </si>
  <si>
    <t>TT Kiểm nghiệm</t>
  </si>
  <si>
    <t>TT truyền thông GDSK</t>
  </si>
  <si>
    <t>TT phòng chống HIV/AIDS</t>
  </si>
  <si>
    <t>TT Pháp y</t>
  </si>
  <si>
    <t xml:space="preserve">TT Y tế huyện, TP, TX (04 Trung tâm: Tiểu Cần, Cầu Ngang, Duyên Hải, TPTV)
</t>
  </si>
  <si>
    <t xml:space="preserve">TT Y tế huyện, TP, TX
</t>
  </si>
  <si>
    <t>TT dân số</t>
  </si>
  <si>
    <t>Trong đó: Kinh phí bảo vệ môi trường</t>
  </si>
  <si>
    <t>Trong đó: Hỗ trợ mua sắm thiết bị y tế</t>
  </si>
  <si>
    <t>TUYẾN ĐIỀU TRỊ</t>
  </si>
  <si>
    <t>Bệnh viện Quân dân y</t>
  </si>
  <si>
    <t>Sở Y tế (các Bệnh viện trực thuộc)</t>
  </si>
  <si>
    <t xml:space="preserve"> - Bệnh viện đa khoa tỉnh Trà Vinh </t>
  </si>
  <si>
    <t xml:space="preserve"> - Bệnh viện Đa khoa khu vực</t>
  </si>
  <si>
    <t xml:space="preserve">    + BVĐK  Khu vực Tiểu Cần</t>
  </si>
  <si>
    <t xml:space="preserve">    + BVĐK Khu vực Cầu Ngang</t>
  </si>
  <si>
    <t xml:space="preserve"> - BV đa khoa cấp huyện</t>
  </si>
  <si>
    <t xml:space="preserve">    + TT y tế Trà Cú  (TT y tế + BVĐK)</t>
  </si>
  <si>
    <t xml:space="preserve">    + BVĐK Trà Cú</t>
  </si>
  <si>
    <t xml:space="preserve">    + TT y tế Cầu Kè  (TT y tế + BVĐK)</t>
  </si>
  <si>
    <t xml:space="preserve">    + BVĐK Cầu Kè</t>
  </si>
  <si>
    <t xml:space="preserve">    + TT y tế Càng Long (TT y tế + BVĐK)</t>
  </si>
  <si>
    <t xml:space="preserve">    + BVĐK Càng Long</t>
  </si>
  <si>
    <t xml:space="preserve">    + TT y tế Châu Thành (TT y tế + BVĐK)</t>
  </si>
  <si>
    <t xml:space="preserve">    + BVĐK Châu Thành</t>
  </si>
  <si>
    <t xml:space="preserve">    + TT y tế thị xã Duyên Hải  (TT y tế + BVĐK)</t>
  </si>
  <si>
    <t xml:space="preserve">    + BVĐK thị xã Duyên Hải</t>
  </si>
  <si>
    <t xml:space="preserve"> - BV Y dược cổ truyền </t>
  </si>
  <si>
    <t xml:space="preserve"> - BV Sản nhi </t>
  </si>
  <si>
    <t xml:space="preserve"> - BV Lao phổi </t>
  </si>
  <si>
    <t xml:space="preserve"> - 106 trạm Y tế xã + 01 phòng khám</t>
  </si>
  <si>
    <t xml:space="preserve"> - 95 trạm Y tế xã</t>
  </si>
  <si>
    <t xml:space="preserve"> - Phòng khám đa khoa khu vực</t>
  </si>
  <si>
    <t>BHYT cho trẻ em dưới 6 tuổi</t>
  </si>
  <si>
    <t>BHYT cho đối tượng bảo trợ xã hội</t>
  </si>
  <si>
    <t>BHYT cho người nghèo, dân tộc 
vùng khó khăn</t>
  </si>
  <si>
    <t>BHYT cho hộ cận nghèo</t>
  </si>
  <si>
    <t>BHYT cho học sinh, sinh viên</t>
  </si>
  <si>
    <t>BHYT cho cựu chiến binh thanh niên xung phong</t>
  </si>
  <si>
    <t>SN VĂN HÓA - THỂ THAO - DU LỊCH</t>
  </si>
  <si>
    <t>Sở Văn hóa - Thể thao và Du lịch
(các đơn vị trực thuộc)</t>
  </si>
  <si>
    <t xml:space="preserve"> - Đoàn nghệ thuật Ánh Bình Minh</t>
  </si>
  <si>
    <t xml:space="preserve"> - Thư viện tỉnh</t>
  </si>
  <si>
    <t xml:space="preserve"> - Bảo tàng tổng hợp</t>
  </si>
  <si>
    <t xml:space="preserve"> - Trung tâm Huấn luyện và thi đấu TDTT</t>
  </si>
  <si>
    <t xml:space="preserve"> - BQL Di tích</t>
  </si>
  <si>
    <t xml:space="preserve"> - Trung tâm Văn hóa tỉnh</t>
  </si>
  <si>
    <t>SN PHÁT THANH, TRUYỀN HÌNH, THÔNG TẤN</t>
  </si>
  <si>
    <t>Đài Phát thanh và Truyền hình</t>
  </si>
  <si>
    <t>SN XÃ HỘI</t>
  </si>
  <si>
    <t>Sở Lao động TB – XH (các đơn vị trực thuộc)</t>
  </si>
  <si>
    <t xml:space="preserve"> - VP Sở Lao động (SN đảm bảo XH)</t>
  </si>
  <si>
    <t xml:space="preserve"> - Trung Dịch vụ Việc làm</t>
  </si>
  <si>
    <t xml:space="preserve"> - Cơ sở Tư vấn và điều trị nghiện ma túy</t>
  </si>
  <si>
    <t xml:space="preserve"> - TT Bảo trợ Xã hội</t>
  </si>
  <si>
    <t xml:space="preserve"> - Chi cục Phòng chống tệ nạn XH</t>
  </si>
  <si>
    <t xml:space="preserve"> - VP Ban chỉ đạo giảm nghèo tỉnh</t>
  </si>
  <si>
    <t>VII</t>
  </si>
  <si>
    <t>SN KHOA HỌC CÔNG NGHỆ</t>
  </si>
  <si>
    <t>Sở Khoa học-Công nghệ (các đơn vị trực thuộc)</t>
  </si>
  <si>
    <t xml:space="preserve"> - VP Sở Khoa học</t>
  </si>
  <si>
    <t xml:space="preserve"> - Quỹ Phát triển KHCN</t>
  </si>
  <si>
    <t xml:space="preserve"> - Chi cục Tiêu chuẩn Đo lường 
Chất lượng</t>
  </si>
  <si>
    <t xml:space="preserve"> - TT Kỹ thuật Tiêu chuẩn Đo lường Chất lượng</t>
  </si>
  <si>
    <t xml:space="preserve"> - TT Ứng dụng tiến bộ KH và công nghệ</t>
  </si>
  <si>
    <t xml:space="preserve"> - TT Thông tin và Thống kê 
KH&amp;CN</t>
  </si>
  <si>
    <t>Trong đó: Quỹ Phát triển Khoa học công nghệ</t>
  </si>
  <si>
    <t>**</t>
  </si>
  <si>
    <t>KHỐI QLHC (IX+X+XI+XII)</t>
  </si>
  <si>
    <t>IX</t>
  </si>
  <si>
    <t>QUẢN LÝ NHÀ NƯỚC</t>
  </si>
  <si>
    <t>Văn phòng UBND tỉnh</t>
  </si>
  <si>
    <t xml:space="preserve"> - VP UBND tỉnh</t>
  </si>
  <si>
    <t xml:space="preserve"> - TT tin học</t>
  </si>
  <si>
    <t>VP HĐND tỉnh</t>
  </si>
  <si>
    <t>Thanh tra Tỉnh</t>
  </si>
  <si>
    <t>Sở Nội vụ</t>
  </si>
  <si>
    <t xml:space="preserve"> - VP Sở Nội vụ</t>
  </si>
  <si>
    <t xml:space="preserve"> - Ban Thi đua - Khen thưởng</t>
  </si>
  <si>
    <t xml:space="preserve"> - Ban Tôn giáo</t>
  </si>
  <si>
    <t xml:space="preserve"> - Trung tâm Hành chính công</t>
  </si>
  <si>
    <t xml:space="preserve"> - Trung tâm Lưu trữ lịch sử</t>
  </si>
  <si>
    <t xml:space="preserve"> - Chi cục Văn thư Lưu trữ</t>
  </si>
  <si>
    <t>Sở Thông tin – Truyền thông</t>
  </si>
  <si>
    <t>Sở Tài chính</t>
  </si>
  <si>
    <t>Sở Kế hoạch và Đầu tư</t>
  </si>
  <si>
    <t>Sở Giao thông – Vận tải</t>
  </si>
  <si>
    <t xml:space="preserve"> - VP Sở Giao thông vận tải</t>
  </si>
  <si>
    <t xml:space="preserve"> - Thanh tra Sở Giao thông vận tải</t>
  </si>
  <si>
    <t>Sở Xây dựng</t>
  </si>
  <si>
    <t>Sở Công thương</t>
  </si>
  <si>
    <t xml:space="preserve"> - VP Sở Công thương</t>
  </si>
  <si>
    <t xml:space="preserve"> - Chi cục Quản lý thị trường</t>
  </si>
  <si>
    <t>Sở Tư pháp</t>
  </si>
  <si>
    <t>- VP Sở Tư pháp</t>
  </si>
  <si>
    <t>- TT trợ giúp pháp lý của nhà nước</t>
  </si>
  <si>
    <t>Ban Dân tộc</t>
  </si>
  <si>
    <t>Ban quản lý Khu kinh tế</t>
  </si>
  <si>
    <t>Sở Tài nguyên và Môi trường</t>
  </si>
  <si>
    <t>Sở Giáo dục và Đào tạo</t>
  </si>
  <si>
    <t>Sở Y tế</t>
  </si>
  <si>
    <t xml:space="preserve"> Trong đó:Quỹ Khám, chữa bệnh 
người nghèo tỉnh Trà Vinh</t>
  </si>
  <si>
    <t>Sở Văn hóa, TT, DL</t>
  </si>
  <si>
    <t>Sở Lao động-TB-XH</t>
  </si>
  <si>
    <t>Sở Khoa học-Công nghệ</t>
  </si>
  <si>
    <t>X</t>
  </si>
  <si>
    <t>ĐOÀN THỂ - HỘI</t>
  </si>
  <si>
    <t>Tỉnh đoàn thanh niên</t>
  </si>
  <si>
    <t>- Tỉnh đoàn thanh niên</t>
  </si>
  <si>
    <t>- Trung tâm SH thanh thiếu nhi</t>
  </si>
  <si>
    <t>Ủy ban Mặt trận tổ quốc</t>
  </si>
  <si>
    <t>Hội Nông dân tỉnh</t>
  </si>
  <si>
    <t>Trong dó: - Quỹ Hỗ trợ nông dân</t>
  </si>
  <si>
    <t>Trong dó: Quỹ Hỗ trợ nông dân</t>
  </si>
  <si>
    <t xml:space="preserve">                 - Kinh phí bảo vệ môi trường</t>
  </si>
  <si>
    <t>Hội Liên hiệp phụ nữ</t>
  </si>
  <si>
    <t>Hội Cựu chiến binh</t>
  </si>
  <si>
    <t>XI</t>
  </si>
  <si>
    <t>KHỐI ĐẢNG</t>
  </si>
  <si>
    <t>Phòng Tài chính Đảng</t>
  </si>
  <si>
    <t>Ban Dân vận</t>
  </si>
  <si>
    <t>XII</t>
  </si>
  <si>
    <t>HỘI ĐĂC THÙ</t>
  </si>
  <si>
    <t>Liên minh các HTX</t>
  </si>
  <si>
    <t>Trong đó: Quỹ Hỗ trợ PT HTX tỉnh TV</t>
  </si>
  <si>
    <t>Hội Nhà báo</t>
  </si>
  <si>
    <t>Sở Lao động, Thương binh và Xã hội (Hội Nạn nhân chất độc  da cam/ Dioxin)</t>
  </si>
  <si>
    <t>Sở Lao động, Thương binh và Xã hội (Hội người mù)</t>
  </si>
  <si>
    <t>Sở Lao động, Thương binh và Xã hội (Hội Bảo trợ Người kh/tật TMC&amp;BNN)</t>
  </si>
  <si>
    <t>Sở Giáo dục và Đào tạo (Hội Khuyến học)</t>
  </si>
  <si>
    <t>Sở Nông nghiệp và Phát triển nông thôn (Hội Làm vườn)</t>
  </si>
  <si>
    <t>Sở Nông nghiệp và Phát triển nông thôn  (Hội Thủy sản)</t>
  </si>
  <si>
    <t>Sở Khoa học và Công nghệ (Liên hiệp các Hội KH và KT)</t>
  </si>
  <si>
    <t>Sở Kế hoạch và Đầu tư (Hiệp Hội DN)</t>
  </si>
  <si>
    <t>Ủy ban Mặt trận tổ quốc (Ban Đại diện Hội Người cao tuổi)</t>
  </si>
  <si>
    <t>Liên hiệp các tổ chức hữu nghị</t>
  </si>
  <si>
    <t>Hội Văn học nghệ thuật</t>
  </si>
  <si>
    <t>Hội Đông y - Châm cứu</t>
  </si>
  <si>
    <t>Hội Luật gia</t>
  </si>
  <si>
    <t>Hội Chữ thập đỏ</t>
  </si>
  <si>
    <t>XIII</t>
  </si>
  <si>
    <t>Chi thường xuyên khác (Vốn đối ứng ODA)</t>
  </si>
  <si>
    <t>- Vốn đối ứng ODA</t>
  </si>
  <si>
    <t xml:space="preserve"> + BQL Dự án phát triển doanh nghiệp nhỏ và vừa tỉnh TV (Sở Kế hoạch và Đầu tư)</t>
  </si>
  <si>
    <t xml:space="preserve"> + DA IFAD giai đoạn 2</t>
  </si>
  <si>
    <t xml:space="preserve"> + DA Tăng cường hệ thống trợ giúp xã hội (Sở Lao động - Thương binh và Xã hội)</t>
  </si>
  <si>
    <t>- Kinh phí hỗ trợ an ninh vùng trọng điểm</t>
  </si>
  <si>
    <t>-  Mua sắm tài sản</t>
  </si>
  <si>
    <t>- Các khoản chi khác</t>
  </si>
  <si>
    <t>Tiết kiệm chênh lệch 10% để làm lương</t>
  </si>
  <si>
    <t>XIV</t>
  </si>
  <si>
    <t>KP thực hiện CCTL</t>
  </si>
  <si>
    <t>XV</t>
  </si>
  <si>
    <t>Chi thường xuyên khác (Trích trước nguồn thu theo quy định)</t>
  </si>
  <si>
    <t xml:space="preserve">Thanh Tra tỉnh </t>
  </si>
  <si>
    <t>Sở Tài chính (Thanh tra Sở Tài chính)</t>
  </si>
  <si>
    <t>XVI</t>
  </si>
  <si>
    <t>An ninh quốc phòng</t>
  </si>
  <si>
    <t>Bộ Chỉ huy quân sự tỉnh Trà Vinh</t>
  </si>
  <si>
    <t>Công an tỉnh Trà Vinh</t>
  </si>
  <si>
    <t>Bộ Chỉ huy Bộ đội biên phòng tỉnh Trà Vinh</t>
  </si>
  <si>
    <t>XVII</t>
  </si>
  <si>
    <t>XVIII</t>
  </si>
  <si>
    <t>Quỹ dự trữ tài chính địa phương</t>
  </si>
  <si>
    <t>XIX</t>
  </si>
  <si>
    <t>Chi trả lãi vay</t>
  </si>
  <si>
    <t>XX</t>
  </si>
  <si>
    <t>Chi tạo nguồn cải cách tiền lương</t>
  </si>
  <si>
    <t>Trong đó: Sở, Ban ngành tỉnh</t>
  </si>
  <si>
    <t>Trong đó: Sở, Ban ngành tỉnh (24/10/2017)</t>
  </si>
  <si>
    <t>* Ghi chú: Nguồn Trung ương bổ sung có mục tiêu: 16.239 triệu đồng</t>
  </si>
  <si>
    <t xml:space="preserve"> - Hội Văn học Nghệ thuật: Hỗ trợ hoạt động sáng tạo tác phẩm, công trình văn học nghệ thuật: 515 trđ</t>
  </si>
  <si>
    <t xml:space="preserve"> - Hội Nhà báo: Hỗ trợ hoạt động sáng tạo tác phẩm, công trình văn học nghệ thuật: 90 trđ</t>
  </si>
  <si>
    <t xml:space="preserve"> - Sở Khoa học và Công nghệ: Hỗ trợ thực hiện một số đề án, dự án KHCN: 400 trđ</t>
  </si>
  <si>
    <t xml:space="preserve"> - Sở Tư pháp: Chính sách trợ giúp pháp lý: 501 trđ</t>
  </si>
  <si>
    <t xml:space="preserve"> - Sở Lao động, Thương binh và Xã hội: 3.839 trđ</t>
  </si>
  <si>
    <t xml:space="preserve">  + Chương trình Giáo dục nghề nghiệp việc làm và an toàn lao động: 2.541 trđ</t>
  </si>
  <si>
    <t xml:space="preserve">  + Chương trình phát triển hệ thống trợ giúp xã hội: 1.298 trđ</t>
  </si>
  <si>
    <t xml:space="preserve"> - Sở Nông nghiệp và Phát triển nông thôn: 1.900 trđ</t>
  </si>
  <si>
    <t xml:space="preserve">  + Chương trình phát triển lâm nghiệp bền vững: 900 trđ</t>
  </si>
  <si>
    <t xml:space="preserve">  + Chương trình tái cơ cấu kinh tế nông nghiệp và phòng chống giảm nhẹ thiên tai, ổn định đời sống dân cư: 1.000 trđ</t>
  </si>
  <si>
    <t xml:space="preserve"> - Sở Y tế: Chương trình y tế - dân số: 6.705 trđ</t>
  </si>
  <si>
    <t xml:space="preserve"> - Sở Văn hóa, Thể thao và Du lịch: Chương trình phát triển văn hóa: 2.289 trđ</t>
  </si>
  <si>
    <t>Biên chế</t>
  </si>
  <si>
    <t>Hợp đồng 68</t>
  </si>
  <si>
    <t>Năm 2019</t>
  </si>
  <si>
    <t>Năm 2018</t>
  </si>
  <si>
    <t>Từ 20 đến &lt;40</t>
  </si>
  <si>
    <t>&gt;40</t>
  </si>
  <si>
    <t>Biểu mẫu số 37</t>
  </si>
  <si>
    <t>DỰ TOÁN CHI THƯỜNG XUYÊN CỦA NGÂN SÁCH CẤP TỈNH (HUYỆN, XÃ)</t>
  </si>
  <si>
    <t>CHO  TỪNG CƠ QUAN, TỔ CHỨC THEO LĨNH VỰC NĂM …</t>
  </si>
  <si>
    <t>(Dùng cho ngân sách các cấp chính quyền địa phương)</t>
  </si>
  <si>
    <t>S
T
T</t>
  </si>
  <si>
    <t>Tổng số</t>
  </si>
  <si>
    <t xml:space="preserve"> Chi giáo dục - đào tạo và dạy nghề</t>
  </si>
  <si>
    <t xml:space="preserve"> Chi khoa học và công nghệ</t>
  </si>
  <si>
    <t>Chi phát thanh, truyền hình, thông tấn</t>
  </si>
  <si>
    <t>Chi thường xuyên khác</t>
  </si>
  <si>
    <t>Chi giao thông</t>
  </si>
  <si>
    <t>Chi nông nghiệp, lâm nghiệp, thủy lợi, thủy sản</t>
  </si>
  <si>
    <t>Mã loại</t>
  </si>
  <si>
    <t>070</t>
  </si>
  <si>
    <t>100</t>
  </si>
  <si>
    <t>010</t>
  </si>
  <si>
    <t>040</t>
  </si>
  <si>
    <t>130</t>
  </si>
  <si>
    <t>160</t>
  </si>
  <si>
    <t>190</t>
  </si>
  <si>
    <t>220</t>
  </si>
  <si>
    <t>250</t>
  </si>
  <si>
    <t>280</t>
  </si>
  <si>
    <t>340</t>
  </si>
  <si>
    <t>370</t>
  </si>
  <si>
    <t>428</t>
  </si>
  <si>
    <t>TỔNG SỐ</t>
  </si>
  <si>
    <t xml:space="preserve"> - Sự nghiệp giáo dục</t>
  </si>
  <si>
    <t xml:space="preserve"> - Sở Giáo dục và Đào tạo</t>
  </si>
  <si>
    <t xml:space="preserve"> - Hội Khuyến học</t>
  </si>
  <si>
    <t xml:space="preserve"> - Đề án đào tạo nguồn nhân lực có trình độ SĐH  theo CV só 2826/UBND-VX ngày 12/8/2013</t>
  </si>
  <si>
    <t xml:space="preserve"> - Trường Đại học Trà Vinh</t>
  </si>
  <si>
    <t xml:space="preserve"> - Đề án đào tạo sau đại học giai đoạn 2012-2016 theo Quyết định số 28/2012/QĐ-UBND ngày 28/10/2012</t>
  </si>
  <si>
    <t>Sở Khoa học-Công nghệ (TW: 400)</t>
  </si>
  <si>
    <t xml:space="preserve"> - Liên hiệp các Hội KH và KT</t>
  </si>
  <si>
    <t xml:space="preserve">Sở Y tế </t>
  </si>
  <si>
    <t xml:space="preserve"> - VP Sở Y tế (các chế độ chính sách ngành y tế)</t>
  </si>
  <si>
    <t xml:space="preserve"> - Chi cục dân số </t>
  </si>
  <si>
    <t xml:space="preserve"> - Chi cục an toàn VS thực phẩm</t>
  </si>
  <si>
    <t xml:space="preserve"> - TT y tế dự phòng</t>
  </si>
  <si>
    <t xml:space="preserve"> - TT chăm sóc sức khỏe SS</t>
  </si>
  <si>
    <t xml:space="preserve"> - TT Kiểm nghiệm</t>
  </si>
  <si>
    <t xml:space="preserve"> - TT truyền thông GDSK</t>
  </si>
  <si>
    <t xml:space="preserve"> - TT phòng chống HIV/AIDS</t>
  </si>
  <si>
    <t xml:space="preserve"> - TT Pháp y</t>
  </si>
  <si>
    <t xml:space="preserve"> - TT Y tế huyện, TP, TX</t>
  </si>
  <si>
    <t xml:space="preserve"> - TT dân số</t>
  </si>
  <si>
    <t xml:space="preserve"> - Đề án đào tạo thu hút bác sĩ theo QĐ 35/2013/ QĐ-UBND)</t>
  </si>
  <si>
    <t>Sở Văn hóa - Thể thao và Du lịch</t>
  </si>
  <si>
    <t xml:space="preserve"> - Văn phòng Sở Văn hóa, TT, DL</t>
  </si>
  <si>
    <t xml:space="preserve"> - Trường Trung cấp Văn hóa Nghệ thuật và thể thao</t>
  </si>
  <si>
    <t xml:space="preserve"> - TT thông tin Xúc tiến DL</t>
  </si>
  <si>
    <t xml:space="preserve"> - VP Sở Tài nguyên</t>
  </si>
  <si>
    <t xml:space="preserve"> - Sở Nông nghiệp &amp; PTNT(CB về xã)</t>
  </si>
  <si>
    <t xml:space="preserve"> - Hội Làm vườn</t>
  </si>
  <si>
    <t xml:space="preserve"> - Hội Thủy sản</t>
  </si>
  <si>
    <t xml:space="preserve"> - Trung tâm Hội nghị và Nhà khách</t>
  </si>
  <si>
    <t xml:space="preserve"> - Thanh tra tỉnh</t>
  </si>
  <si>
    <t xml:space="preserve"> - Trích trước nguồn thu theo quy định  </t>
  </si>
  <si>
    <t xml:space="preserve"> - Sở Thông tin - Truyền thông</t>
  </si>
  <si>
    <t xml:space="preserve"> - Trung tâm Công nghệ thông tin và truyền thông</t>
  </si>
  <si>
    <t xml:space="preserve"> - TT quản lý cổng thông tin - ĐT</t>
  </si>
  <si>
    <t xml:space="preserve"> - Sở Tài chính</t>
  </si>
  <si>
    <t xml:space="preserve"> - Sở Kế hoạch và Đầu tư</t>
  </si>
  <si>
    <t xml:space="preserve"> - TT Xúc tiến ĐT và hỗ trợ DN</t>
  </si>
  <si>
    <t xml:space="preserve"> - Hiệp Hội DN</t>
  </si>
  <si>
    <t xml:space="preserve"> - Đoạn Quản lý giao thông thủy bộ</t>
  </si>
  <si>
    <t xml:space="preserve"> - Trung tâm khuyến công &amp; tư vấn PTCN</t>
  </si>
  <si>
    <t xml:space="preserve"> - Trung tâm Xúc tiến thương mại</t>
  </si>
  <si>
    <t xml:space="preserve"> - Phòng công chứng số 1</t>
  </si>
  <si>
    <t xml:space="preserve"> - Ban Quản lý Khu kinh tế</t>
  </si>
  <si>
    <t xml:space="preserve"> - Công ty Quản lý và Phát triển Hạ tầng Khu kinh tế và các Khu công nghiệp</t>
  </si>
  <si>
    <t xml:space="preserve"> - Ủy ban Mặt trận Tổ quốc</t>
  </si>
  <si>
    <t xml:space="preserve"> - Ban Đại diện Hội Người cao tuổi</t>
  </si>
  <si>
    <t xml:space="preserve"> - Hội Nông dân</t>
  </si>
  <si>
    <t xml:space="preserve"> - TT dạy nghề</t>
  </si>
  <si>
    <t>Trong đó: Quỹ Hỗ trợ nông dân</t>
  </si>
  <si>
    <t xml:space="preserve"> - Hội Liên hiệp Phụ nữ</t>
  </si>
  <si>
    <t xml:space="preserve"> - Trường Trung cấp nghề Dân tộc nội trú </t>
  </si>
  <si>
    <t xml:space="preserve"> - Hội Nạn nhân chất độc  da cam/ Dioxin</t>
  </si>
  <si>
    <t xml:space="preserve"> - Hội người mù</t>
  </si>
  <si>
    <t xml:space="preserve"> - Hội Bảo trợ Người kh/tật TMC&amp;BNN</t>
  </si>
  <si>
    <t>Vốn đối ứng ODA</t>
  </si>
  <si>
    <t>Ghi chú:  - Theo quy định tại Điều 7, Điều 11 và Điều 39 Luật NSNN, Ngân sách huyện, xã không có nhiệm vụ chi nghiên cứu khoa học và công nghệ, chi trả lãi vay, chi bổ sung quỹ dự trữ tài chính.</t>
  </si>
  <si>
    <t xml:space="preserve">       - Chi đầu tư phát triển, chi thường xuyên chi tiết các lĩnh vực theo quy định tại Điều 38 Luật Ngân sách nhà nước.</t>
  </si>
  <si>
    <t>Tổng số loại trừ ĐT</t>
  </si>
  <si>
    <t>Hỗ trợ thực hiện các chinh sách  ưu đãi đầu tư</t>
  </si>
  <si>
    <t>BHYT cho hộ cận nghèo (hỗ tợ 30%)</t>
  </si>
  <si>
    <t>Chênh lệch</t>
  </si>
  <si>
    <t>SN KINH TẾ (a+b+c+d)</t>
  </si>
  <si>
    <t>Chính sách hỗ trợ học sinh và trường phổ thông ở xã, thôn đặc biệt khó khăn theo Nghị định 116/2016/NĐ-CP</t>
  </si>
  <si>
    <t>- Chi sự nghiệp Giáo dục</t>
  </si>
  <si>
    <t>- Chi sự nghiệp đào tạo</t>
  </si>
  <si>
    <t>Chi sự nghiệp hoạt động môi trường</t>
  </si>
  <si>
    <t>Chi sự nghiệp khoa học công nghệ</t>
  </si>
  <si>
    <t xml:space="preserve"> Chi sự nghiệp giáo dục, đào tạo</t>
  </si>
  <si>
    <t>Chi văn hóa thông tin và thể thao</t>
  </si>
  <si>
    <t>Chi phát thanh</t>
  </si>
  <si>
    <t>+ Chi sự nghiệp Giáo dục</t>
  </si>
  <si>
    <t>+ Chi sự nghiệp đào tạo</t>
  </si>
  <si>
    <t>Thuyêt minh nguyên nhân tăng, giảm so với năm 2018 của từng lĩnh vực chi</t>
  </si>
  <si>
    <t>THU NGÂN SÁCH ĐỊA PHƯƠNG:</t>
  </si>
  <si>
    <t>Thu NSĐP hưởng theo phân cấp</t>
  </si>
  <si>
    <t>Số bổ sung cân đối (nếu có)</t>
  </si>
  <si>
    <t>2.3</t>
  </si>
  <si>
    <t>2.4</t>
  </si>
  <si>
    <t>2.5</t>
  </si>
  <si>
    <t>CHI TỪ NGUỒN NGÂN SÁCH TỈNH BSMT</t>
  </si>
  <si>
    <t>Tiết kiệm chi thường xuyên  (10%)</t>
  </si>
  <si>
    <t>Chi sự nghiệp giáo dục, đào tạo</t>
  </si>
  <si>
    <t>Chi từ nguồn Xổ số kiến thiết</t>
  </si>
  <si>
    <t>Chi đầu tư từ nguồn thu tiền sử dụng đất
(Bố trí chi đầu tư 90% của tổng số thu tiền sử dụng đất)</t>
  </si>
  <si>
    <t>Chi đầu tư từ NSĐP</t>
  </si>
  <si>
    <t>Chi đầu tư phát triển</t>
  </si>
  <si>
    <t>TỔNG CHI CÂN ĐỐI NSĐP</t>
  </si>
  <si>
    <t>Thực hiện công tác đảm bảo trật tự ATGT</t>
  </si>
  <si>
    <t xml:space="preserve">Số bổ sung mục tiêu </t>
  </si>
  <si>
    <t>Bổ sung vốn XDCB (chênh lệch đầu tư phát triển năm 2019 so với năm 2017)</t>
  </si>
  <si>
    <t>Số bổ sung cân đối</t>
  </si>
  <si>
    <t>Chi thường xuyên:</t>
  </si>
  <si>
    <t xml:space="preserve"> Số bổ sung cân đối</t>
  </si>
  <si>
    <t xml:space="preserve"> Bổ sung vốn XDCB (chênh lệch đầu tư phát triển năm 2019 so với năm 2017)</t>
  </si>
  <si>
    <t xml:space="preserve"> Chi từ nguồn Xổ số kiến thiết</t>
  </si>
  <si>
    <t xml:space="preserve"> Chi đầu tư từ NSĐP</t>
  </si>
  <si>
    <t>Thu NSĐP hưởng theo phân cấp (không tính thu sử dụng đất)</t>
  </si>
  <si>
    <t xml:space="preserve"> Số bổ sung cân đối (nếu có)</t>
  </si>
  <si>
    <t>ĐVT:  triệu đồng</t>
  </si>
  <si>
    <t>Tăng thu 
 NSĐP được hưởng</t>
  </si>
  <si>
    <t xml:space="preserve">
 Tăng thu không kể thu tiền SDĐ</t>
  </si>
  <si>
    <t xml:space="preserve">50% tạo nguồn CCTL 
</t>
  </si>
  <si>
    <t>Tăng chi 
50%</t>
  </si>
  <si>
    <t>Tăng thu nội địa</t>
  </si>
  <si>
    <t>Tăng thu ĐP hưởng không tính SDD</t>
  </si>
  <si>
    <t>9= (6-2)</t>
  </si>
  <si>
    <t>10=(6-7)-
(2-3)</t>
  </si>
  <si>
    <t>11=10/2</t>
  </si>
  <si>
    <t>12=10-11</t>
  </si>
  <si>
    <t>Tăng lương cơ sở</t>
  </si>
  <si>
    <t>Do tăng thu</t>
  </si>
  <si>
    <t xml:space="preserve">Tăng lương cơ sở </t>
  </si>
  <si>
    <t>Do tăng thu 10% từ tiền sử dụng đất</t>
  </si>
  <si>
    <t>- Hỗ trợ đầu tư trên địa bàn các xã đặc biệt khó khăn</t>
  </si>
  <si>
    <t>Do tăng lương cơ sở</t>
  </si>
  <si>
    <t>Do giảm thu tiền sử dụng đất</t>
  </si>
  <si>
    <t>Do điều chuyển kinh phí QĐ 102 thực hiện NĐ 136</t>
  </si>
  <si>
    <t xml:space="preserve">Tăng kinh phí phạt ATGT: 542trđ; </t>
  </si>
  <si>
    <t xml:space="preserve">Tăng kinh phí phạt ATGT: 656trđ; </t>
  </si>
  <si>
    <t>Bằng số dự toán năm 2018</t>
  </si>
  <si>
    <t>(Nhu cầu tăng lương 1,39 6 tháng cuối năm 2018 x 2)-50% tăng thu DT 2019/2018</t>
  </si>
  <si>
    <t>Chi tiết tại Biểu số 05</t>
  </si>
  <si>
    <t>Giao theo số của Sở Kế hoạch và Đầu tư</t>
  </si>
  <si>
    <t xml:space="preserve">- Tăng lương cơ sở và tăng hệ số 3.454 trđ;
- Tăng kinh phí Nghị quyết 17:  919 trđ.
- Tăng thêm do điều chỉnh xã loại I,II: 606trđ; 
- kinh phí tăng thêm hoạt động của xã: 2.853 trđ; 
- Đề án dữ liệu cơ sở hộ tịch: 356 trđ; 
- Chỉ thị 15: 264trđ; </t>
  </si>
  <si>
    <t>- Hỗ trợ cải tạo, nâng cấp mở rộng các Trường Tiểu học, THCS trên địa bàn tỉnh (giai đoạn 2)</t>
  </si>
  <si>
    <t>+ Chi sự nghiệp đào tạo, dạy nghề</t>
  </si>
  <si>
    <t>NHU CẦU VỐN ĐẦU TƯ TĂNG THÊM NĂM 2019</t>
  </si>
  <si>
    <t xml:space="preserve">- Tăng lương cơ sở và tăng hệ số 5.714 trđ;
- Tăng kinh phí Nghị quyết 17:  1.316 trđ.
- Kinh phí tăng thêm hoạt động của xã: 4.399 trđ; 
- Đề án dữ liệu cơ sở hộ tịch: 771 trđ; 
- Chỉ thị 15: 408trđ; </t>
  </si>
  <si>
    <t xml:space="preserve">- Tăng lương cơ sở và tăng hệ số5.144 trđ;
- Tăng kinh phí Nghị quyết 17:  1.071 trđ.
- Kinh phí tăng thêm hoạt động của xã: 3.635 trđ; 
- Đề án dữ liệu cơ sở hộ tịch: 748 trđ; 
- Chỉ thị 15: 336 trđ; </t>
  </si>
  <si>
    <t>(Quỹ tiền lương 1,39 - Quỹ tiền lương 1,3)-50% tăng thu DT 2019/2018</t>
  </si>
  <si>
    <t>Các khoản chi thường xuyên còn lại, trong đó:</t>
  </si>
  <si>
    <t>2.4.1</t>
  </si>
  <si>
    <t>2.4.2</t>
  </si>
  <si>
    <t>2.4.3</t>
  </si>
  <si>
    <t>2.4.4</t>
  </si>
  <si>
    <t>2.4.5</t>
  </si>
  <si>
    <t>2.4.6</t>
  </si>
  <si>
    <t>2.4.7</t>
  </si>
  <si>
    <t>2.4.8</t>
  </si>
  <si>
    <t>2.4.9</t>
  </si>
  <si>
    <t>DỰ TOÁN 2018</t>
  </si>
  <si>
    <t>Chênh lệch (Quỹ lương 1,39 - Quỹ lương 1,3 trđ) -50% tăng thu DT 2019/2018</t>
  </si>
  <si>
    <t xml:space="preserve"> Các khoản chi thường xuyên còn lại, trong đó:</t>
  </si>
  <si>
    <t>4=3-2</t>
  </si>
  <si>
    <t>7=(3)/(2)</t>
  </si>
  <si>
    <t>5=(3)/(2)</t>
  </si>
  <si>
    <t xml:space="preserve">Số bổ sung cân đối </t>
  </si>
  <si>
    <t>9=15+19+20+21</t>
  </si>
  <si>
    <t>19=16+17-18</t>
  </si>
  <si>
    <t>1=7+11+12+  13</t>
  </si>
  <si>
    <t>7=2+3+4+5-6</t>
  </si>
  <si>
    <t>11=8+9-10</t>
  </si>
  <si>
    <t>Sở Lao động, Thương binh và Xã hội (Hội Bảo trợ Người kh/tật và nạn nhân chất độc da cam/Dioxin)</t>
  </si>
  <si>
    <t>Trong đó: Sở, Ban ngành tỉnh (18/10/2018)</t>
  </si>
  <si>
    <t>Sở, Ban ngành tỉnh (18/10/2018)</t>
  </si>
  <si>
    <t>Sở, Ban ngành tỉnh (17/10/2018)</t>
  </si>
  <si>
    <t>Hỗ trợ thực hiện các chinh sách hỗ trợ ưu đãi đầu tư</t>
  </si>
  <si>
    <t>BHYT cho hộ cận nghèo (30%)</t>
  </si>
  <si>
    <t xml:space="preserve">     - BHYT cho hộ cận nghèo (30%)</t>
  </si>
  <si>
    <t>- Phat vi phạm hành chính khác</t>
  </si>
  <si>
    <t>- Phạt vi phạm hành chính khác</t>
  </si>
  <si>
    <t>- Hỗ trợ cấp bù thủy lợi phí</t>
  </si>
  <si>
    <t>- Quỹ bảo trì đường bộ</t>
  </si>
  <si>
    <t>- Hỗ trợ một số CTMT, chính sách khác *</t>
  </si>
  <si>
    <t xml:space="preserve">  ' +  Ứng phó BĐKH và tăng trưởng xanh (Sở TNMT)</t>
  </si>
  <si>
    <t>VÀ CHI NGÂN SÁCH HUYỆN THEO CƠ CẤU CHI NĂM 2019</t>
  </si>
  <si>
    <t>Tương đối (%)</t>
  </si>
  <si>
    <t>TỔNG HỢP DỰ TOÁN THU NGÂN SÁCH NĂM 2019</t>
  </si>
  <si>
    <t>7=3/2</t>
  </si>
  <si>
    <t>6=3-2</t>
  </si>
  <si>
    <t>DỰ TOÁN NĂM 2019</t>
  </si>
  <si>
    <t>DỰ TOÁN NĂM 2018</t>
  </si>
  <si>
    <t>ĐIỀU TIẾT</t>
  </si>
  <si>
    <t>E</t>
  </si>
  <si>
    <t>5=2-1</t>
  </si>
  <si>
    <t>6=2/1</t>
  </si>
  <si>
    <t xml:space="preserve">  </t>
  </si>
  <si>
    <t>I.1</t>
  </si>
  <si>
    <t>CHI ĐẦU TƯ PHÁT TRIỂN</t>
  </si>
  <si>
    <t>CHI THƯỜNG XUYÊN</t>
  </si>
  <si>
    <t>Quỹ tiền lương cơ sở 1.390.000đ/tháng</t>
  </si>
  <si>
    <t>Quỹ tiền lương cơ sở 1.300.000đ/tháng</t>
  </si>
  <si>
    <t>Chênh lệnh mức lương cơ sở 90.000đ/tháng</t>
  </si>
  <si>
    <t>50% tăng thu dự toán 2019/2018</t>
  </si>
  <si>
    <t>Số kinh phí bổ sung chênh lệch lương từ 1.300.000 lên 1.390.000</t>
  </si>
  <si>
    <t>Bổ sung một số chế độ, chính sách địa phương theo lương</t>
  </si>
  <si>
    <t>3.3</t>
  </si>
  <si>
    <t xml:space="preserve">Bổ sung mục tiêu từ nguồn kết dư ngân sách tỉnh tỉnh </t>
  </si>
  <si>
    <t xml:space="preserve">   + Đào tạo cán bộ Sở, ban ngành tỉnh</t>
  </si>
  <si>
    <t xml:space="preserve">  + Đào tạo huấn kuyện CA, quân sự</t>
  </si>
  <si>
    <t xml:space="preserve">  + Đề án đào tạo thu hút Bác sĩ theo QĐ 35/2013/QĐ-UBND</t>
  </si>
  <si>
    <t xml:space="preserve">  + Đề án đào tạo nguồn nhân lực có trình độ SĐH (theo Công văn số 2826/UBND-VX ngày 12/8/2013 của Sở giáo dục)</t>
  </si>
  <si>
    <t>+ Trường Chính trị, Các Trường cao đẳng, Trung tâm dạy nghề</t>
  </si>
  <si>
    <t xml:space="preserve">- Kinh phí thực hiện một số nhiệm vụ, chế độ, chính sách khác </t>
  </si>
  <si>
    <t>- Hỗ trợ công tác quyết toán năm 2018</t>
  </si>
  <si>
    <t>- Hỗ trợ trang bị phần mềm</t>
  </si>
  <si>
    <t>- Hỗ trợ Bộ Chỉ huy Quân sự mua xe cho các huyện, thị xã, thành phố</t>
  </si>
  <si>
    <t>- Hỗ trợ hoàn thành tiêu chí huyện nông thôn mới</t>
  </si>
  <si>
    <t>- Hỗ trợ nâng cấp đô thị loại IV</t>
  </si>
  <si>
    <t>- Đào tạo cán bộ quân sự cấp xã</t>
  </si>
  <si>
    <t>- Tiết kiệm chi thường xuyên năm 2019 (10%)</t>
  </si>
  <si>
    <t>- Hỗ trợ xây dựng sửa chữa kho vũ khí (chuẩn bị động viên)</t>
  </si>
  <si>
    <t>- Hỗ trợ nâng cấp, cải tạo, trồng mới cây xanh</t>
  </si>
  <si>
    <t>- Chi đầu tư từ nguồn thu tiền sử dụng đất, kể cả công trình xã hội hóa (60%)</t>
  </si>
  <si>
    <t>- Hỗ trợ thực hiện Nghị định 57/2018/NĐ-CP; Nghị định 98/2018/NĐ-CP và một số chính sách nhiệm vụ, khác</t>
  </si>
  <si>
    <t>- Hỗ trợ mua sắm trang thiết bị y tế</t>
  </si>
  <si>
    <t>- Hỗ trợ các Hội văn học nghệ thuật và Hội nhà  bào địa phương</t>
  </si>
  <si>
    <t xml:space="preserve">Kinh phí thực hiện một số nhiệm vụ, chế độ, chính sách khác </t>
  </si>
  <si>
    <t>- Dự án hoàn thiện, hiện đại hóa hóa hồ sơ, bản đồ địa giới hành chính</t>
  </si>
  <si>
    <t>Tỷ trọng (%)</t>
  </si>
  <si>
    <t>Bỏ sung từ nguồn kết dư ngân sách tỉnh</t>
  </si>
  <si>
    <t>Bổ sung mục tiêu từ nguồn kết dư ngân sách tỉnh</t>
  </si>
  <si>
    <t>Bố trí trừ nguồn kết dư NS tỉnh</t>
  </si>
  <si>
    <t>Bổ sung mục tiêu</t>
  </si>
  <si>
    <t xml:space="preserve">Bổ sung mục tiêu từ nguồn kết dư ngân sách tỉnh tỉnh hỗ trợ thực hiện một số nhiệm vụ do địa phương không đảm bảo nguồn </t>
  </si>
  <si>
    <t>BSMT từ nguồn kết dư ngân sách tỉnh hỗ trợ thực hiện trang bị phần mềm</t>
  </si>
  <si>
    <t>- BV Y dược cổ truyền</t>
  </si>
  <si>
    <t>- BV Sản nhi</t>
  </si>
  <si>
    <t>- Chi ĐT XDCB (theo NQ 15/2015/NQ-HĐND)</t>
  </si>
  <si>
    <t>- Hỗ trợ thực hiện duy tu các công trình giao thông nông thôn</t>
  </si>
  <si>
    <t>- Chi đầu tư từ nguồn thu tiền sử dụng đất (60%)</t>
  </si>
  <si>
    <t xml:space="preserve"> - Sở Khoa học và Công nghệ: Hỗ trợ thực hiện một số đề án, dự án KHCN: 560 trđ</t>
  </si>
  <si>
    <t xml:space="preserve"> - Sở Tư pháp: Chính sách trợ giúp pháp lý: 440 trđ</t>
  </si>
  <si>
    <t>- Sở Nội vụ: Dự án hoàn thiện, hiện đại hóa hồ sơ, bản đồ địa giới hành chính: 1.200trđ.</t>
  </si>
  <si>
    <t xml:space="preserve"> - Sở Lao động, Thương binh và Xã hội: 11.551 trđ</t>
  </si>
  <si>
    <t xml:space="preserve">  + Chương trình Giáo dục nghề nghiệp việc làm và an toàn lao động: 4.720 trđ</t>
  </si>
  <si>
    <t xml:space="preserve">  + Chương trình phát triển hệ thống trợ giúp xã hội: 6.831trđ</t>
  </si>
  <si>
    <t xml:space="preserve"> - Sở Nông nghiệp và Phát triển nông thôn: 2.000 trđ</t>
  </si>
  <si>
    <t xml:space="preserve">  + Chương trình phát triển lâm nghiệp bền vững: 1.000 trđ</t>
  </si>
  <si>
    <t xml:space="preserve"> - Sở Y tế: Chương trình y tế - dân số: 5.980 trđ</t>
  </si>
  <si>
    <t xml:space="preserve"> - Sở Văn hóa, Thể thao và Du lịch: Chương trình phát triển văn hóa: 1.339 trđ</t>
  </si>
  <si>
    <t>- Sở Tài nguyên và Môi trường: Ứng phó biến đổi khí hậu và tăng trưởng xanh: 400trđ</t>
  </si>
  <si>
    <t>Biểu số 01</t>
  </si>
  <si>
    <t>Biểu số 03</t>
  </si>
  <si>
    <t xml:space="preserve">TỔNG CHI </t>
  </si>
  <si>
    <t xml:space="preserve"> DỰ TOÁN CHI NGÂN SÁCH  CẤP TỈNH NĂM 2019</t>
  </si>
  <si>
    <t>Biểu số 04</t>
  </si>
  <si>
    <t>Biểu mẫu số 33 - NĐ 31</t>
  </si>
  <si>
    <t xml:space="preserve">- Hỗ trợ thực hiện san lắp đoạn sông Cũ(Cống Trà Cú để nối liền cơ quan Huyện ủy) </t>
  </si>
  <si>
    <t>TỔNG CỘNG (A+B)</t>
  </si>
  <si>
    <t>TỔNG CHI CÂN ĐỐI NSĐP (I+II+III)</t>
  </si>
  <si>
    <t>DỰ PHÒNG NGÂN SÁCH</t>
  </si>
  <si>
    <t xml:space="preserve">- Hỗ trợ thực hiện san lắp đoạn sông cũ (Cống Trà Cú để nối liền cơ quan Huyện ủy) </t>
  </si>
  <si>
    <t>Bổ sung từ nguồn ngân sách trung ương bổ sung mục tiêu hỗ trợ cấp bù thủy lợi phí</t>
  </si>
  <si>
    <t>- Bổ sung mục tiêu cho cấp huyện từ nguồn kết dư ngân sách tỉnh</t>
  </si>
  <si>
    <t>III. THU KẾT DƯ NGÂN SÁCH TỈNH</t>
  </si>
  <si>
    <t>THU KẾT DƯ NGÂN SÁCH TỈNH</t>
  </si>
  <si>
    <t>(Ban hành kèm theo Quyết định số:………./QĐ-UBND  ngày             của UBND tỉnh)</t>
  </si>
  <si>
    <t>Đơn vị tính: Triệu đồng</t>
  </si>
  <si>
    <t xml:space="preserve">Kinh phí thực hiện các chế độ, chính sách  </t>
  </si>
  <si>
    <t>Dư nguồn</t>
  </si>
  <si>
    <t>CHI TỪ NGUỒN KẾT DƯ  NGÂN SÁCH TỈNH</t>
  </si>
  <si>
    <t xml:space="preserve">* Ghi chú: </t>
  </si>
  <si>
    <t>1. Nguồn Trung ương bổ sung có mục tiêu: 24.075 triệu đồng</t>
  </si>
  <si>
    <t>2. Nguồn ngân sách địa phương: 12.062 trđ</t>
  </si>
  <si>
    <t xml:space="preserve"> - Sở Giáo dục và Đào tạo: Đề án Dạy và học ngoại ngữ trong hệ thống giáo dục quốc dân giai đoạn 2017-2025 theo Quyết định số 2080/QĐ-TTg ngày 22/12/2017 của Thủ tướng Chính phủ</t>
  </si>
  <si>
    <t>Trong đó: Đề án Dạy và học ngoại ngữ trong hệ thống giáo dục quốc dân</t>
  </si>
  <si>
    <t xml:space="preserve">Kinh phí thực hiện các chế độ, chính sách </t>
  </si>
  <si>
    <t>- Hỗ trợ nhà ở người có công</t>
  </si>
  <si>
    <t xml:space="preserve">  + CTMT tái cơ cấu kinh tế nông nghiệp, phòng chống giảm nhẹ thiên tai, ổn định đời sống dân cư</t>
  </si>
  <si>
    <t xml:space="preserve"> - Văn phòng Biến đổi khí hậu</t>
  </si>
  <si>
    <t>Trong đó: - Kinh phí bảo vệ môi trường</t>
  </si>
  <si>
    <t>Chi từ nguồn viện trợ ODA</t>
  </si>
  <si>
    <t xml:space="preserve">  + Ban điều phối Dự án thích ứng biến đổi khí hậu vùng ĐBSCL (Dự  IFAD giai đoạn 2): 18.941 trđ</t>
  </si>
  <si>
    <t xml:space="preserve">  + Sở Kế hoạch và Đầu tư (Tổ công tác Dự án AMD): 378 trđ</t>
  </si>
  <si>
    <t xml:space="preserve">  + Sở Nông nghiệp và Phát triển nông thôn (Tổ công tác Dự án AMD): 5.000 trđ</t>
  </si>
  <si>
    <t xml:space="preserve">  + Sở Tài nguyên và Môi trường (Tổ công tác Dự án AMD): 19.000 trđ</t>
  </si>
  <si>
    <t xml:space="preserve">  + Sở Tài nguyên và Môi trường (Văn phòng Biến đổi khí hậu -Tổ công tác Dự án AMD): 480 trđ</t>
  </si>
  <si>
    <t xml:space="preserve">  + Hội Liên hiệp Phụ nữ (Quỹ Hỗ trợ phụ nữ phát triển tỉnh): 480 trđ</t>
  </si>
  <si>
    <t xml:space="preserve">  +  BQL Dự án phát triển doanh nghiệp nhỏ và vừa tỉnh TV (Sở Kế hoạch và Đầu tư): 54.190 trđ</t>
  </si>
  <si>
    <t xml:space="preserve">  + Sở Kế hoạch và Đầu tư: 3.640 trđ</t>
  </si>
  <si>
    <t xml:space="preserve">  + Sở Kế hoạch và Đầu tư (Hiệp hội Doanh nghiệp): 53 trđ</t>
  </si>
  <si>
    <t xml:space="preserve">  + Sở Tài chính: 225 trđ</t>
  </si>
  <si>
    <t xml:space="preserve">  + Sở Tư pháp: 200 trđ</t>
  </si>
  <si>
    <t xml:space="preserve">  + Sở Giáo dục và Đào tạo: 175 trđ</t>
  </si>
  <si>
    <t xml:space="preserve">  + Sở Tài nguyên và Môi trường: 200 trđ</t>
  </si>
  <si>
    <t xml:space="preserve">  + Sở Nội vụ: 550 trđ</t>
  </si>
  <si>
    <t xml:space="preserve">  + Trường Đại học TV: 732 trđ</t>
  </si>
  <si>
    <t xml:space="preserve">  + Hội Nông dân: 207 trđ</t>
  </si>
  <si>
    <t xml:space="preserve">  + Hội Liên hiệp Phụ nữ tỉnh: 657 trđ</t>
  </si>
  <si>
    <t xml:space="preserve">  + Tỉnh đoàn Trà Vinh: 367 trđ</t>
  </si>
  <si>
    <t xml:space="preserve">  + Sở Công thương: 685 trđ</t>
  </si>
  <si>
    <t xml:space="preserve">  + Trường Cao đẳng nghề: 225 trđ</t>
  </si>
  <si>
    <t xml:space="preserve">  + Sở Văn hóa, Thể thao và Du lịch: 1.500 trđ</t>
  </si>
  <si>
    <t xml:space="preserve">  + Sở Nông nghiệp và Phát triển nông thôn: 400 trđ</t>
  </si>
  <si>
    <t xml:space="preserve">  + Sở Thông tin và Truyền thông: 1.800 trđ</t>
  </si>
  <si>
    <t xml:space="preserve">     3. Chi từ nguồn viện trợ ODA (vốn nước ngoài): 110.085 trđ</t>
  </si>
  <si>
    <t>Kinh phí đối ứng dự án SME</t>
  </si>
  <si>
    <t>Kinh phí hỗ trợ tiền điện hộ nghèo, hộ chính sách xã hội theo Quyết định số 936/QĐ-TTg ngày 25/6/2015 của Chính phủ (bổ sung cận nghèo theo chuẩn nghèo đa chiều)</t>
  </si>
  <si>
    <t xml:space="preserve"> - Nguồn vốn của Dự án thích ứng biến đổi khí hậu vùng ĐBSCL: 44.279 trđ</t>
  </si>
  <si>
    <t xml:space="preserve"> - Nguồn vốn của Dự án Phát triển Doanh nghiệp vừa và nhỏ: 65.806 trđ</t>
  </si>
  <si>
    <t>Kinh phí thực hiện môt số chế độ, nhiệm vụ khác (QĐ 99-QĐ/TW)</t>
  </si>
  <si>
    <t>Kinh phí đối ứng dự án AMD</t>
  </si>
  <si>
    <t>BSMT từ nguồn kết dư ngân sách tỉnh hỗ trợ hoàn thành các tiêu chí đô thị</t>
  </si>
  <si>
    <t>Bổ sung nguồn vốn viện trợ dự án AMD</t>
  </si>
  <si>
    <t>Bổ sung nguồn vốn viện trợ dự án SME</t>
  </si>
  <si>
    <t>BSMT thực hiện Chương trình mục tiêu quốc gia</t>
  </si>
  <si>
    <t>14.1</t>
  </si>
  <si>
    <t>Chương trình MTQG Giảm nghèo bền vững</t>
  </si>
  <si>
    <t>14.2</t>
  </si>
  <si>
    <t>Chương trình MTQG Nông thôn mới</t>
  </si>
  <si>
    <t>Quỹ Bảo trì đường bộ</t>
  </si>
  <si>
    <t>3.4</t>
  </si>
  <si>
    <t>3.5</t>
  </si>
  <si>
    <t>3.6</t>
  </si>
  <si>
    <t>Bổ sung từ nguồn ngân sách trung ương bổ sung mục tiêu thực hiện hỗ trợ cải tạo, trồng mới cây xanh</t>
  </si>
  <si>
    <t>CSTW bổ sung thực hiện một số chính sách, nhiệm vụ khác</t>
  </si>
  <si>
    <t>Vốn ngoài nước (ODA- viện trợ)</t>
  </si>
  <si>
    <t xml:space="preserve">   *  Ban điều phối Dự án thích ứng biến đổi khí hậu vùng ĐBSCL (Dự án IFAD giai đoạn 2)</t>
  </si>
  <si>
    <t xml:space="preserve">   *  Sở Kế hoạch và Đầu tư (Tổ công tác Dự án AMD)</t>
  </si>
  <si>
    <t xml:space="preserve"> + Ban điều phối Dự án thích ứng biến đổi khí hậu vùng ĐBSCL (Dự án AMD)</t>
  </si>
  <si>
    <t xml:space="preserve">   *  Sở Nông nghiệp và Phát triển nông thôn (Tổ công tác Dự án AMD)</t>
  </si>
  <si>
    <t xml:space="preserve">   *  Sở Tài nguyên và Môi trường (Tổ công tác Dự án AMD)</t>
  </si>
  <si>
    <t xml:space="preserve">   *  Sở Tài nguyên và Môi trường (Văn phòng Biến đổi khí hậu -Tổ công tác Dự án AMD)</t>
  </si>
  <si>
    <t xml:space="preserve">   * Quỹ Hỗ trợ phụ nữ phát triển</t>
  </si>
  <si>
    <t>Biểu số 33/CK-NSNN</t>
  </si>
  <si>
    <t>(Dự toán trình Hội đồng nhân dân)</t>
  </si>
  <si>
    <t>Đơn vị: Triệu đồng</t>
  </si>
  <si>
    <t>SO SÁNH (1) (%)</t>
  </si>
  <si>
    <t>TỔNG NGUỒN THU NSĐP</t>
  </si>
  <si>
    <t>Thu NSĐP được hưởng theo phân cấp</t>
  </si>
  <si>
    <t>Thu NSĐP được hưởng 100%</t>
  </si>
  <si>
    <t xml:space="preserve">Thu NSĐP hưởng từ các khoản thu phân chia </t>
  </si>
  <si>
    <t>Thu bổ sung từ NSTW</t>
  </si>
  <si>
    <t>Thu bổ sung cân đối</t>
  </si>
  <si>
    <t>Thu bổ sung có mục tiêu</t>
  </si>
  <si>
    <t>Thu từ quỹ dự trữ tài chính</t>
  </si>
  <si>
    <t>Thu kết dư</t>
  </si>
  <si>
    <t>Thu chuyển nguồn từ năm trước chuyển sang</t>
  </si>
  <si>
    <t>TỔNG CHI NSĐP</t>
  </si>
  <si>
    <t> I</t>
  </si>
  <si>
    <t>Tổng chi cân đối NSĐP</t>
  </si>
  <si>
    <t>Chi trả nợ lãi các khoản do chính quyền địa phương vay</t>
  </si>
  <si>
    <t>Chi bổ sung quỹ dự trữ tài chính</t>
  </si>
  <si>
    <t>Chi các chương trình mục tiêu</t>
  </si>
  <si>
    <t>Chi các chương trình mục tiêu, nhiệm vụ</t>
  </si>
  <si>
    <t>Chi chuyển nguồn sang năm sau</t>
  </si>
  <si>
    <t>BỘI CHI NSĐP/ BỘI THU NSĐP</t>
  </si>
  <si>
    <t>CHI TRẢ NỢ GỐC CỦA NSĐP</t>
  </si>
  <si>
    <t xml:space="preserve">Từ nguồn vay để trả nợ gốc </t>
  </si>
  <si>
    <t>2 </t>
  </si>
  <si>
    <t>Từ nguồn bội thu, tăng thu, tiết kiệm chi, kết dư ngân sách cấp tỉnh</t>
  </si>
  <si>
    <t>TỔNG MỨC VAY CỦA NSĐP</t>
  </si>
  <si>
    <t>Vay để bù đắp bội chi</t>
  </si>
  <si>
    <t>Vay để trả nợ gốc</t>
  </si>
  <si>
    <t>(1) Đối với các chỉ tiêu thu NSĐP, so sánh dự toán năm sau với ước thực hiện năm hiện hành</t>
  </si>
  <si>
    <t>. Đối với các chỉ tiêu chi NSĐP, so sánh dự toán năm sau với dự toán năm hiện hành;</t>
  </si>
  <si>
    <t>Biểu số 34/CK-NSNN</t>
  </si>
  <si>
    <t>Nguồn thu ngân sách</t>
  </si>
  <si>
    <t>Thu ngân sách được hưởng theo phân cấp</t>
  </si>
  <si>
    <t>-</t>
  </si>
  <si>
    <t>Chi ngân sách</t>
  </si>
  <si>
    <t>Chi thuộc nhiệm vụ của ngân sách cấp tỉnh</t>
  </si>
  <si>
    <t>Chi bổ sung cho ngân sách huyện</t>
  </si>
  <si>
    <t>Chi bổ sung có mục tiêu</t>
  </si>
  <si>
    <t>Bội chi NSĐP/Bội thu NSĐP</t>
  </si>
  <si>
    <t>Thu ngân sách huyện được hưởng theo phân cấp</t>
  </si>
  <si>
    <t>Thu bổ sung từ ngân sách cấp tỉnh</t>
  </si>
  <si>
    <t>Chi thuộc nhiệm vụ của ngân sách cấp huyện</t>
  </si>
  <si>
    <t>Chi bổ sung cho ngân sách xã</t>
  </si>
  <si>
    <t>Biểu số 35/CK-NSNN</t>
  </si>
  <si>
    <t>SO SÁNH (%)</t>
  </si>
  <si>
    <t>TỔNG THU NSNN</t>
  </si>
  <si>
    <t>THU NSĐP</t>
  </si>
  <si>
    <t>5=3/1</t>
  </si>
  <si>
    <t>6=4/2</t>
  </si>
  <si>
    <t>TỔNG THU NGÂN SÁCH NHÀ NƯỚC</t>
  </si>
  <si>
    <t>Thu nội địa</t>
  </si>
  <si>
    <t xml:space="preserve">Thu từ khu vực doanh nghiệp có vốn đầu tư nước ngoài </t>
  </si>
  <si>
    <t xml:space="preserve">Thu từ khu vực kinh tế ngoài quốc doanh </t>
  </si>
  <si>
    <t>Thu phí, lệ phí</t>
  </si>
  <si>
    <t>Thu tiền cấp quyền khai thác khoáng sản</t>
  </si>
  <si>
    <t>Thu khác ngân sách</t>
  </si>
  <si>
    <t>Thu từ dầu thô</t>
  </si>
  <si>
    <t>Thu từ hoạt động xuất, nhập khẩu</t>
  </si>
  <si>
    <t>Thu viện trợ</t>
  </si>
  <si>
    <t>Biểu số 36/CK-NSNN</t>
  </si>
  <si>
    <t>NSĐP</t>
  </si>
  <si>
    <t>CHIA RA</t>
  </si>
  <si>
    <t>Chi đầu tư cho các dự án</t>
  </si>
  <si>
    <t>Trong đó chia theo lĩnh vực:</t>
  </si>
  <si>
    <t>Trong đó chia theo nguồn vốn:</t>
  </si>
  <si>
    <t>Chi đầu tư từ nguồn thu tiền sử dụng đất</t>
  </si>
  <si>
    <t>Chi đầu tư và hỗ trợ vốn cho doanh nghiệp cung cấp sản phẩm, dịch vụ công ích do Nhà nước đặt hàng, các tổ chức kinh tế, các tổ chức tài chính của địa phương theo quy định của pháp luật</t>
  </si>
  <si>
    <t>Chi đầu tư phát triển khác</t>
  </si>
  <si>
    <t>Chi dự phòng ngân sách</t>
  </si>
  <si>
    <t>Biểu số 37/CK-NSNN</t>
  </si>
  <si>
    <t>DỰ TOÁN</t>
  </si>
  <si>
    <t>CHI NGÂN SÁCH CẤP TỈNH THEO LĨNH VỰC</t>
  </si>
  <si>
    <t>1.4</t>
  </si>
  <si>
    <t>1.5</t>
  </si>
  <si>
    <t>1.6</t>
  </si>
  <si>
    <t>1.7</t>
  </si>
  <si>
    <t>1.8</t>
  </si>
  <si>
    <t>1.9</t>
  </si>
  <si>
    <t>1.10</t>
  </si>
  <si>
    <t xml:space="preserve">Dự phòng ngân sách </t>
  </si>
  <si>
    <t xml:space="preserve">Chi tạo nguồn, điều chỉnh tiền lương </t>
  </si>
  <si>
    <t>Biểu số 38/CK-NSNN</t>
  </si>
  <si>
    <t>TÊN ĐƠN VỊ</t>
  </si>
  <si>
    <t xml:space="preserve">TỔNG SỐ </t>
  </si>
  <si>
    <t>CHI ĐẦU TƯ PHÁT TRIỂN (KHÔNG KỂ CHƯƠNG TRÌNH MỤC TIÊU QUỐC GIA)</t>
  </si>
  <si>
    <t>CHI THƯỜNG XUYÊN (KHÔNG KỂ CHƯƠNG TRÌNH MỤC TIÊU QUỐC GIA)</t>
  </si>
  <si>
    <t>CHI TRẢ NỢ LÃI CÁC KHOẢN DO CHÍNH QUYỀN ĐỊA PHƯƠNG VAY</t>
  </si>
  <si>
    <t>CHI BỔ SUNG QUỸ DỰ TRỮ TÀI CHÍNH</t>
  </si>
  <si>
    <t>CHI DỰ PHÒNG NGÂN SÁCH</t>
  </si>
  <si>
    <t>CHI TẠO NGUỒN, ĐIỀU CHỈNH TIỀN LƯƠNG</t>
  </si>
  <si>
    <t>CHI CHƯƠNG TRÌNH MTQG</t>
  </si>
  <si>
    <t>…</t>
  </si>
  <si>
    <t>Biểu số 39/CK-NSNN</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</si>
  <si>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</si>
  <si>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</si>
  <si>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</si>
  <si>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</si>
  <si>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</si>
  <si>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</si>
  <si>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</si>
  <si>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</si>
  <si>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</si>
  <si>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</si>
  <si>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</si>
  <si>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</si>
  <si>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Biểu số 41/CK-NSNN</t>
  </si>
  <si>
    <t>Đơn vị: %</t>
  </si>
  <si>
    <t>Stt</t>
  </si>
  <si>
    <t>Chia theo sắc thuế</t>
  </si>
  <si>
    <t>Thuế giá trị gia tăng</t>
  </si>
  <si>
    <t>Thuế thu nhập doanh nghiệp</t>
  </si>
  <si>
    <t>Biểu số 42/CK-NSNN</t>
  </si>
  <si>
    <t>Tổng thu NSNN trên địa bàn</t>
  </si>
  <si>
    <t>Số bổ sung cân đối từ ngân sách cấp tỉnh</t>
  </si>
  <si>
    <t>Số bổ sung thực hiện điều chỉnh tiền lương</t>
  </si>
  <si>
    <t>Tổng chi cân đối ngân sách huyện</t>
  </si>
  <si>
    <t>Biểu số 43/CK-NSNN</t>
  </si>
  <si>
    <t>Bổ sung vốn sự nghiệp để thực hiện các chế độ, chính sách, nhiệm vụ</t>
  </si>
  <si>
    <t>Bổ sung thực hiện các chương trình mục tiêu quốc gia</t>
  </si>
  <si>
    <t>Biểu số 44/CK-NSNN</t>
  </si>
  <si>
    <t>Đầu tư phát triển</t>
  </si>
  <si>
    <t>Kinh phí sự nghiệp</t>
  </si>
  <si>
    <t>Vốn ngoài nước</t>
  </si>
  <si>
    <t>2=5+12</t>
  </si>
  <si>
    <t>3=8+15</t>
  </si>
  <si>
    <t>4=5+8</t>
  </si>
  <si>
    <t>5=6+7</t>
  </si>
  <si>
    <t>8=9+10</t>
  </si>
  <si>
    <t>11=12+15</t>
  </si>
  <si>
    <t>12=13+14</t>
  </si>
  <si>
    <t>15=16+17</t>
  </si>
  <si>
    <t>Danh mục dự án</t>
  </si>
  <si>
    <t>Địa điểm xây dựng</t>
  </si>
  <si>
    <t>Năng lực thiết kế</t>
  </si>
  <si>
    <t>Thời gian khởi công - hoàn thành</t>
  </si>
  <si>
    <t>Quyết định đầu tư</t>
  </si>
  <si>
    <t>Số Quyết định, ngày, tháng, năm ban hành</t>
  </si>
  <si>
    <t>Tổng mức đầu tư được duyệt</t>
  </si>
  <si>
    <t>Chia theo nguồn vốn</t>
  </si>
  <si>
    <t>Ngoài nước</t>
  </si>
  <si>
    <t>Ngân sách trung ương</t>
  </si>
  <si>
    <t>Chuẩn bị đầu tư</t>
  </si>
  <si>
    <t>Thực hiện dự án</t>
  </si>
  <si>
    <t>Phụ lục số 02</t>
  </si>
  <si>
    <t>NGUỒN</t>
  </si>
  <si>
    <t>BÁO CÁO CHI NGÂN SÁCH NĂM 2018</t>
  </si>
  <si>
    <t xml:space="preserve">Đính kèm Tờ trình số            /TTr-UBND ngày        /11/2018 của UBND tỉnh      </t>
  </si>
  <si>
    <t>Dự toán HĐND tỉnh giao</t>
  </si>
  <si>
    <t>Ước TH 
năm 2018</t>
  </si>
  <si>
    <t>UTH 2018/DT (%)</t>
  </si>
  <si>
    <t>UTH 2018/cùng kỳ (%)</t>
  </si>
  <si>
    <t>Cùng kỳ 2017</t>
  </si>
  <si>
    <t>Dư toán năm trước</t>
  </si>
  <si>
    <t>3=2/1</t>
  </si>
  <si>
    <t>CHI CÂN ĐỐI NSĐP (I+II+III+IV+V+VI+VII+VIII)</t>
  </si>
  <si>
    <t>Vốn ODA</t>
  </si>
  <si>
    <t>Vốn trái phiếu Chính phủ</t>
  </si>
  <si>
    <t>Chi đầu tư CT MTQG</t>
  </si>
  <si>
    <t>Chi đầu tư từ nguồn hỗ trợ có mục tiêu</t>
  </si>
  <si>
    <t>Nguồn vượt thu XSKT năm 2016</t>
  </si>
  <si>
    <t>Nguồn NSĐP thu hồi tạm ứng các năm trước</t>
  </si>
  <si>
    <t xml:space="preserve">Kế hoạch vốn bổ sung trong năm </t>
  </si>
  <si>
    <t>Kế hoạch vốn năm 2017 kéo dài</t>
  </si>
  <si>
    <t>KP thực hiện các chế độ, chính sách</t>
  </si>
  <si>
    <t>Chi CTMTQG (Vốn sự nghiệp)</t>
  </si>
  <si>
    <t>Chi hỗ trợ có mục tiêu (vốn sự nghiệp)</t>
  </si>
  <si>
    <t>VIII</t>
  </si>
  <si>
    <t>CHI TỪ NGUỒN KẾT DƯ</t>
  </si>
  <si>
    <t>*</t>
  </si>
  <si>
    <t>Phụ lục số 01</t>
  </si>
  <si>
    <t>BÁO CÁO THU NGÂN SÁCH NHÀ NƯỚC NĂM 2018</t>
  </si>
  <si>
    <t>Đơn vị : Triệu đồng</t>
  </si>
  <si>
    <t>DT 
2018</t>
  </si>
  <si>
    <t>ƯỚC NĂM 2018</t>
  </si>
  <si>
    <t>TH/DT</t>
  </si>
  <si>
    <t>Cùng Kỳ</t>
  </si>
  <si>
    <t>5=4/3</t>
  </si>
  <si>
    <t>6=5/CK</t>
  </si>
  <si>
    <t>TỔNG CỘNG NSNN</t>
  </si>
  <si>
    <t>TỔNG THU NSNN THEO DT</t>
  </si>
  <si>
    <t>Thu tiền cho thuê đất, thuê mặt nước</t>
  </si>
  <si>
    <t>Thu cố định tại xã</t>
  </si>
  <si>
    <t>Thu cấp quyền khai thác khoáng sản</t>
  </si>
  <si>
    <t xml:space="preserve">Thu cổ tức, lợi nhuận được chia và LNST NSĐP được hưởng </t>
  </si>
  <si>
    <t>CÁC KHOẢN THU KHÔNG GIAO DT</t>
  </si>
  <si>
    <t xml:space="preserve">Thu đóng góp tự nguyện </t>
  </si>
  <si>
    <t>Thu chuyển nguồn</t>
  </si>
  <si>
    <t>Tạm thu từ CTY TNHH1TV điện gió Trà Vinh 1</t>
  </si>
  <si>
    <t>THU KẾT DƯ</t>
  </si>
  <si>
    <t>TỔNG THU NSNN TRÊN ĐỊA BÀN</t>
  </si>
  <si>
    <t>THU NGÂN SÁCH TW BỔ SUNG</t>
  </si>
  <si>
    <t>- Bổ sung cân đối ngân sách</t>
  </si>
  <si>
    <t>- Bổ sung có mục tiêu, khác</t>
  </si>
  <si>
    <t>THU TỪ CẤP DƯỚI NỘP LÊN</t>
  </si>
  <si>
    <t>PHẦN CHI</t>
  </si>
  <si>
    <t>Chi trong kỳ</t>
  </si>
  <si>
    <t>Lũy kế</t>
  </si>
  <si>
    <t>CÂN ĐỐI</t>
  </si>
  <si>
    <t>Tồn quỹ đầu kỳ  (31/12/2016)</t>
  </si>
  <si>
    <t>Thu trong kỳ</t>
  </si>
  <si>
    <t>H-X</t>
  </si>
  <si>
    <t>Tồn quỹ cuối kỳ</t>
  </si>
  <si>
    <t>ƯỚC TH NĂM 2018</t>
  </si>
  <si>
    <t>CÂN ĐỐI NGÂN SÁCH ĐỊA PHƯƠNG NĂM 2018</t>
  </si>
  <si>
    <t>CÂN ĐỐI NGUỒN THU, CHI DỰ TOÁN NGÂN SÁCH CẤP TỈNH VÀ NGÂN SÁCH HUYỆN NĂM 2019</t>
  </si>
  <si>
    <t>ƯỚC THỰC HIỆN 
NĂM 2018</t>
  </si>
  <si>
    <t>DỰ TOÁN CHI NGÂN SÁCH ĐỊA PHƯƠNG, CHI NGÂN SÁCH CẤP TỈNH
 VÀ CHI NGÂN SÁCH HUYỆN THEO CƠ CẤU CHI NĂM 2019</t>
  </si>
  <si>
    <t>DỰ TOÁN CHI NGÂN SÁCH CẤP TỈNH THEO TỪNG LĨNH VỰC NĂM 2019</t>
  </si>
  <si>
    <t>Biểu mẫu số 07-NĐ 31</t>
  </si>
  <si>
    <t>DỰ KIẾN CÂN ĐỐI NGÂN SÁCH ĐỊA PHƯƠNG GIAI ĐOẠN 03 NĂM 2019-2021</t>
  </si>
  <si>
    <t>(Dùng cho ngân sách tỉnh, thành phố trực thuộc trung ương)</t>
  </si>
  <si>
    <t>S T T</t>
  </si>
  <si>
    <t>NỘI DUNG (cũ)</t>
  </si>
  <si>
    <t xml:space="preserve">Dự toán năm 2017 </t>
  </si>
  <si>
    <t>Thực hiện năm 
2017</t>
  </si>
  <si>
    <t>So sánh</t>
  </si>
  <si>
    <t>Dự toán ngân sách năm 2018</t>
  </si>
  <si>
    <t>Ước thực hiện năm 2018</t>
  </si>
  <si>
    <t>Tổng cộng giai đoạn 2019-2021</t>
  </si>
  <si>
    <t>Dự kiến ngân sách năm 2019</t>
  </si>
  <si>
    <t>Dự kiến ngân sách năm 2020</t>
  </si>
  <si>
    <t>So sanh</t>
  </si>
  <si>
    <t>Dự kiến ngân sách năm 2021</t>
  </si>
  <si>
    <t>Tổng giai đoạn 2019-2021</t>
  </si>
  <si>
    <t>DT2019/DT2018</t>
  </si>
  <si>
    <t>DT2020/DT2019</t>
  </si>
  <si>
    <t>DT2021/DT2020</t>
  </si>
  <si>
    <t>3=2-1</t>
  </si>
  <si>
    <t>5=6+7+8</t>
  </si>
  <si>
    <t>4=2/1</t>
  </si>
  <si>
    <t>8=5/1</t>
  </si>
  <si>
    <t>9=6/5</t>
  </si>
  <si>
    <t>10=7/6</t>
  </si>
  <si>
    <t>11=5+6+7</t>
  </si>
  <si>
    <t>Số đúng</t>
  </si>
  <si>
    <t>Chenh lệch điều chỉnh</t>
  </si>
  <si>
    <t>Thu ngân sách địa phương được hưởng theo phân cấp</t>
  </si>
  <si>
    <t>Thu bổ sung từ ngân sách cấp trên</t>
  </si>
  <si>
    <t>Thu bổ sung cân đối ngân sách</t>
  </si>
  <si>
    <t>Chenh lech dieu chinh</t>
  </si>
  <si>
    <t>Tốc độ tăng (%)</t>
  </si>
  <si>
    <t>Tổng chi cân đối ngân sách địa phương</t>
  </si>
  <si>
    <t xml:space="preserve">Chi đầu tư phát triển </t>
  </si>
  <si>
    <t>Chi chương trình mục tiêu</t>
  </si>
  <si>
    <t>Chi chương trình mục tiêu quốc gia</t>
  </si>
  <si>
    <t>Chi từ nguồn hỗ trợ thực hiện các chế độ, chính sách theo quy định</t>
  </si>
  <si>
    <t>Chi từ nguồn kết dư</t>
  </si>
  <si>
    <t>BỘI THU NSĐP</t>
  </si>
  <si>
    <t>TỔNG MỨC VAY, TRẢ NỢ CỦA NSĐP</t>
  </si>
  <si>
    <t>Hạn mức dư nợ vay tối đa của NSĐP</t>
  </si>
  <si>
    <t>Mức dư nợ đầu kỳ (năm)</t>
  </si>
  <si>
    <t>Trả nợ gốc vay của NSĐP</t>
  </si>
  <si>
    <t>Từ nguồn vay để trả nợ gốc</t>
  </si>
  <si>
    <t>Từ nguồn bội thu, kết dư ngân sách tỉnh</t>
  </si>
  <si>
    <t>Tổng mức vay của NSĐP</t>
  </si>
  <si>
    <t>Vay đề đầu tư các công trình dự án</t>
  </si>
  <si>
    <t>Mức dư nợ cuối kỳ (năm)</t>
  </si>
  <si>
    <t>Biểu mẫu số 08 - NĐ 31</t>
  </si>
  <si>
    <t>DỰ KIẾN THU NGÂN SÁCH NHÀ NƯỚC THEO LĨNH VỰC GIAI ĐOẠN 03 NĂM 2019-2021</t>
  </si>
  <si>
    <t>(Dùng cho ngân sách tỉnh, thành phố trực thuộc Trung ương)</t>
  </si>
  <si>
    <t>So sánh (%)</t>
  </si>
  <si>
    <t>7=5/4</t>
  </si>
  <si>
    <t>8=2+4+5</t>
  </si>
  <si>
    <t>TỎNG THU NSNN TRÊN ĐỊA BÀN (I+ÍI+III+IV+V)</t>
  </si>
  <si>
    <t>TỔNG THU NSĐP ĐƯỢC HƯỞNG</t>
  </si>
  <si>
    <t>THU NỘI ĐỊA NGÂN SÁCH NHÀ NƯỚC</t>
  </si>
  <si>
    <t>THU NỘI ĐỊA ĐP ĐƯƠC HƯỞNG</t>
  </si>
  <si>
    <t>THU NỘI ĐỊA (không kể thu tiền SDD và Thu XSKT)</t>
  </si>
  <si>
    <t>* GRDP</t>
  </si>
  <si>
    <t>Tỷ lệ thu NSNN so với GRDP (%)</t>
  </si>
  <si>
    <t>Tỷ lệ thu từ thuế, phí so với GRDP (%)</t>
  </si>
  <si>
    <t>Tốc độ tăng thu (%)</t>
  </si>
  <si>
    <t>Tỷ trọng trong tổng thu NSNN (%)</t>
  </si>
  <si>
    <t xml:space="preserve">   Trong đó:</t>
  </si>
  <si>
    <t xml:space="preserve">Thu từ khu vực doanh nghiệp nhà nước do trung ương quản lý </t>
  </si>
  <si>
    <t>Thu từ khu vực doanh nghiệp nhà nước do địa phương quản lý</t>
  </si>
  <si>
    <t>Thu từ hoạt động xổ số kiến thiết</t>
  </si>
  <si>
    <t>Thu tiền thuê đất, mặt nước</t>
  </si>
  <si>
    <t>Thu tiền cho thuê và bán nhà ở thuộc sở hữu nhà nước</t>
  </si>
  <si>
    <t>Thu từ quỹ dắt công ích vả thu hoa lợi công sản khác</t>
  </si>
  <si>
    <t>Thu cỗ tức và lợi nhuận sau thuế (địa phương hưởng 100%)</t>
  </si>
  <si>
    <t>Thu bổ sung NS huyện từ nguồn kêt dư ngân sách tỉnh</t>
  </si>
  <si>
    <t>Thu kết dư ngân sách năm trước</t>
  </si>
  <si>
    <t>Biểu mẫu số 09 - NĐ 31</t>
  </si>
  <si>
    <t xml:space="preserve"> CÂN ĐỐI NGUỒN THU, CHI NGÂN SÁCH CẤP TỈNH VÀ NGÂN SÁCH HUYỆN GIAI ĐOẠN 03 NĂM 2019-2021</t>
  </si>
  <si>
    <t>Tổng nguồn thu NSĐP được hưởng</t>
  </si>
  <si>
    <t>Tổng chi NSĐP</t>
  </si>
  <si>
    <t>Bội thu ngân sách địa phương</t>
  </si>
  <si>
    <t>Thu NSĐp hưởng theo phân cáp</t>
  </si>
  <si>
    <t>Tỷ lệ NST hưởng</t>
  </si>
  <si>
    <t>Dự toán  năm 2018</t>
  </si>
  <si>
    <t>Dự toán  năm 2019</t>
  </si>
  <si>
    <t>Dự toán năm 2020</t>
  </si>
  <si>
    <t>Dự toán năm 2021</t>
  </si>
  <si>
    <t>KIỂM TRA</t>
  </si>
  <si>
    <t>ĐỊA PHƯƠNG</t>
  </si>
  <si>
    <t>Nguồn NST</t>
  </si>
  <si>
    <t>Tổng thu</t>
  </si>
  <si>
    <t>Chi BS cấp dưới</t>
  </si>
  <si>
    <t xml:space="preserve">Thu NSĐP </t>
  </si>
  <si>
    <t>Tổng nguồn</t>
  </si>
  <si>
    <t xml:space="preserve">Chi thuộc nhiệm vụ của ngân sách cấp tỉnh </t>
  </si>
  <si>
    <t>Chi bổ sung cho ngân sách cấp dưới</t>
  </si>
  <si>
    <t>Chi bổ sung cân đối ngân sách</t>
  </si>
  <si>
    <t>Bội thu</t>
  </si>
  <si>
    <t>Chi thuộc nhiệm vụ của ngân sách huyện</t>
  </si>
  <si>
    <t>Biểu số 10 - NĐ 31</t>
  </si>
  <si>
    <t>DỰ KIẾN CHI NGÂN SÁCH CẤP TỈNH THEO CƠ CẤU CHI GIAI ĐOẠN 03 NĂM 2019-2021</t>
  </si>
  <si>
    <t>Tỷ lệ Chi NS cấp tỉnh</t>
  </si>
  <si>
    <t>Chi NS cấp tỉnh</t>
  </si>
  <si>
    <t>Chi đầu tư</t>
  </si>
  <si>
    <t>Tỷ lệ chi ĐT NS cấp tỉnh</t>
  </si>
  <si>
    <t>Chi ĐT cấp tỉnh</t>
  </si>
  <si>
    <t>Chi CTMT</t>
  </si>
  <si>
    <t>Ty lệ chi NS huyện</t>
  </si>
  <si>
    <t xml:space="preserve">Dự toán ngân sách năm 2018  </t>
  </si>
  <si>
    <t>TỔNG CHI NGÂN SÁCH CẤP TỈNH</t>
  </si>
  <si>
    <t>CHI BỔ SUNG CHO NGÂN SÁCH HUYỆN</t>
  </si>
  <si>
    <t>Chi bổ sung có mục tiêu. Trong đó:</t>
  </si>
  <si>
    <t xml:space="preserve">- Chi bổ sung mục tiêu </t>
  </si>
  <si>
    <t>- Chi bổ sung từ nguồn kết dư ngân sách tỉnh</t>
  </si>
  <si>
    <t>Chi đầu tư và hỗ trợ vốn cho các doanh nghiệp cung cấp sản phẩm, dịch vụ công ích do Nhà nước đặt hàng, các tổ chức kinh tế, các tổ chức tài chính của địa phương theo quy định của pháp luật.</t>
  </si>
  <si>
    <t>Vốn sự nghiệp chương trình mục tiêu quốc gia</t>
  </si>
  <si>
    <t>Vốn sự nghiệp chương trình mục tiêu, nhiệm vụ</t>
  </si>
  <si>
    <t>Biểu mẫu số 11</t>
  </si>
  <si>
    <t>DỰ KIẾN KẾ HOẠCH ĐẦU TƯ VỐN NGÂN SÁCH ĐỊA PHƯƠNG GIAI ĐOẠN 03 NĂM 2019-2021</t>
  </si>
  <si>
    <t>S 
T T</t>
  </si>
  <si>
    <t>Kế hoạch năm 2018</t>
  </si>
  <si>
    <t xml:space="preserve">Dự kiến kế hoạch đầu tư giai đoạn 2019-2021
</t>
  </si>
  <si>
    <t>Dự toán toán năm 2018</t>
  </si>
  <si>
    <t>Dự toán ngân sách năm 2019</t>
  </si>
  <si>
    <t xml:space="preserve"> Vốn trong nước</t>
  </si>
  <si>
    <t xml:space="preserve">  Vốn nước ngoài</t>
  </si>
  <si>
    <t xml:space="preserve">CHI ĐẦU TƯ PHÁT TRIỂN </t>
  </si>
  <si>
    <t>CHI ĐẦU TƯ CỦA NGÂN SÁCH CẤP TỈNH  VÀ NGÂN SÁCH HUYỆN</t>
  </si>
  <si>
    <t xml:space="preserve">  Đầu tư từ nguồn thu sử dụng đất </t>
  </si>
  <si>
    <t xml:space="preserve">  Đầu tư từ nguồn thu xổ số kiến thiết</t>
  </si>
  <si>
    <t xml:space="preserve">  Vốn cân đối địa phương theo tiêu chí, định mức</t>
  </si>
  <si>
    <t>1</t>
  </si>
  <si>
    <t xml:space="preserve">  Bội chi/ bội thu NSĐP</t>
  </si>
  <si>
    <t>2</t>
  </si>
  <si>
    <t xml:space="preserve">  Đầu tư từ nguồn thu xổ số kiến thiết (nếu có)</t>
  </si>
  <si>
    <t xml:space="preserve">CHI ĐẦU TƯ CÁC CHƯƠNG TRÌNH MỤC TIÊU </t>
  </si>
  <si>
    <t xml:space="preserve"> - Vốn trong nước </t>
  </si>
  <si>
    <t xml:space="preserve"> - Vốn nước ngoài</t>
  </si>
  <si>
    <t xml:space="preserve">Các chương trình mục tiêu quốc gia </t>
  </si>
  <si>
    <t>Chương trình mục tiêu quốc gia giảm nghèo bền vững</t>
  </si>
  <si>
    <t>- Vốn trong nước</t>
  </si>
  <si>
    <t>- Vốn nước ngoài</t>
  </si>
  <si>
    <t>Chương trình mục tiêu quốc gia xây dựng nông thôn mới</t>
  </si>
  <si>
    <t>Hỗ trợ nhà ở người có công</t>
  </si>
  <si>
    <t>3</t>
  </si>
  <si>
    <t>Các chương trình mục tiêu</t>
  </si>
  <si>
    <t>Chương trình phát triển kinh tế- xã hội các vùng</t>
  </si>
  <si>
    <t>Chương trình mục tiêu phát triển kinh tế thủy sản bền vững</t>
  </si>
  <si>
    <t>Chương trình mục tiêu tái phát triển lâm nghiệp bền vững</t>
  </si>
  <si>
    <t>Chương trình tái cơ cấu kinh tế nông nghiệp và phòng chống giảm nhẹ thiên tai, ổn định đời sống dân cư</t>
  </si>
  <si>
    <t>đ</t>
  </si>
  <si>
    <t>Chương trình mục tiêu đầu tư hạ tầng khu kinh tế ven biển, khu kinh tế cửa khẩu, khu công nghiệp, cụm công nghiệp, khu công nghệ cao, khu nông nghiệp ứng dụng công nghệ cao</t>
  </si>
  <si>
    <t>e</t>
  </si>
  <si>
    <t>Chương trình mục tiêu phát triển hạ tầng du lịch</t>
  </si>
  <si>
    <t>g</t>
  </si>
  <si>
    <t>Chương trình mục tiêu đầu tư phát triển hệ thống y tế địa phương</t>
  </si>
  <si>
    <t>h</t>
  </si>
  <si>
    <t>Chương trình mục tiêu giáo dục vùng núi, vùng dân tộc thiểu số, vùng khó khăn</t>
  </si>
  <si>
    <t>i</t>
  </si>
  <si>
    <t>Chương trình mục tiêu Công nghệ thông tin</t>
  </si>
  <si>
    <t>k</t>
  </si>
  <si>
    <t>Chương trình mục tiêu Hỗ trợ vốn đối ứng ODA cho các địa phương</t>
  </si>
  <si>
    <t>4</t>
  </si>
  <si>
    <t>Chi từ nguồn trái phiếu Chính phủ</t>
  </si>
  <si>
    <t>DỰ PHÒNG THEO LUẬT ĐẦU TƯ CÔNG</t>
  </si>
  <si>
    <t>Vốn nước ngoài</t>
  </si>
  <si>
    <r>
      <rPr>
        <b/>
        <i/>
        <sz val="12"/>
        <rFont val="Times New Roman"/>
        <family val="1"/>
      </rPr>
      <t>Ghi chú</t>
    </r>
    <r>
      <rPr>
        <i/>
        <sz val="12"/>
        <rFont val="Times New Roman"/>
        <family val="1"/>
      </rPr>
      <t>:(1) Chưa bao gồm chi đầu tư cho các chương trình mục tiêu quốc gia và các chương trình mục tiêu tại mục II.</t>
    </r>
  </si>
  <si>
    <t xml:space="preserve">                   (2) Năm đầu thời kỳ ổn định ngân sách, dự toán chi đầu tư phát triển ngân sách địa phương được xác định bằng định mức phân bổ chi đầu tư phát triển do </t>
  </si>
  <si>
    <t xml:space="preserve">                        Ủy ban thường vụ Quốc hội quyết định cộng với (+) số bội chi ngân sách địa phương (nếu có) hoặc trừ đi (-) số bội thu ngân sách địa phương và chi trả nợ lãi (nếu có).</t>
  </si>
  <si>
    <t xml:space="preserve">         (3) Năm N là năm dự toán ngân sách; theo đó, các năm N-1, N+1 và N+2 là năm trước, năm sau và năm sau nữa của năm dự toán ngân sách.</t>
  </si>
  <si>
    <t>Chi đầu tư cho các dự án ((XDCB từ nguồn NSĐP)</t>
  </si>
  <si>
    <t>Tiết kiệm chi thường xuyên năm 2019 (10%)</t>
  </si>
  <si>
    <t xml:space="preserve">CHI BỔ SUNG CHO NGÂN SÁCH HUYỆN </t>
  </si>
  <si>
    <t>Bổ sung có mục tiêu</t>
  </si>
  <si>
    <t>TỔNG SỐ CHI CẤP TỈNH</t>
  </si>
  <si>
    <t>Chi đầu tư cho các dự án (XCB từ nguồn NSĐP)</t>
  </si>
  <si>
    <t>TỔNG CHI NGÂN SÁCH ĐỊA PHƯƠNG (A+B+C)</t>
  </si>
  <si>
    <t>CHI CÂN ĐỐI NGÂN SÁCH ĐỊA PHƯƠNG (I+II+III+IV+V)</t>
  </si>
  <si>
    <t>DỰ TOÁN THU NGÂN SÁCH NHÀ NƯỚC NĂM 2019</t>
  </si>
  <si>
    <t>- Thu bổ sung cân đối</t>
  </si>
  <si>
    <t>- Thu bổ sung có mục tiêu</t>
  </si>
  <si>
    <t>- Chi bổ sung cân đối</t>
  </si>
  <si>
    <t>- Chi bổ sung có mục tiêu</t>
  </si>
  <si>
    <t>Thu kết dư ngán sách năm trước</t>
  </si>
  <si>
    <t>DT2018</t>
  </si>
  <si>
    <t>DT2019</t>
  </si>
  <si>
    <t>UTH2018</t>
  </si>
  <si>
    <t>Tổng thu NSĐP</t>
  </si>
  <si>
    <t>Tổng chi NSDP</t>
  </si>
  <si>
    <t>DỰ TOÁN THU, SỐ BỔ SUNG VÀ DỰ TOÁN CHI CÂN ĐỐI NGÂN SÁCH TỪNG HUYỆN NĂM 2019</t>
  </si>
  <si>
    <t>Tổng thu NSĐP được hưởng</t>
  </si>
  <si>
    <t>1=3+…+7</t>
  </si>
  <si>
    <t>TỔNG HỢP PHÂN BỔ VỐN CÁC CT MTQG NĂM 2019</t>
  </si>
  <si>
    <t>ĐƠN VỊ</t>
  </si>
  <si>
    <t>SỞ BAN NGÀNH TỈNH</t>
  </si>
  <si>
    <t>Sở Nông nghiệp và PTNT</t>
  </si>
  <si>
    <t>Sở Lao động TB&amp;XH</t>
  </si>
  <si>
    <t>Sở Thông tin và Truyền thông</t>
  </si>
  <si>
    <t>Sở Văn hóa, Thể thao và DL</t>
  </si>
  <si>
    <t>Công an tỉnh</t>
  </si>
  <si>
    <t>Sở Khoa học và Công nghệ</t>
  </si>
  <si>
    <t>UBND CẤP HUYỆN</t>
  </si>
  <si>
    <t xml:space="preserve">Huyện Châu Thành </t>
  </si>
  <si>
    <t xml:space="preserve">Huyện Cầu Kè </t>
  </si>
  <si>
    <t xml:space="preserve">Huyện Càng Long </t>
  </si>
  <si>
    <t xml:space="preserve">Huyện Trà Cú </t>
  </si>
  <si>
    <t xml:space="preserve">Huyện Tiểu Cần </t>
  </si>
  <si>
    <t xml:space="preserve">Huyện Cầu Ngang </t>
  </si>
  <si>
    <t xml:space="preserve">Huyện Duyên Hải </t>
  </si>
  <si>
    <t xml:space="preserve">Thị xã Duyên Hải </t>
  </si>
  <si>
    <t>DỰ TOÁN CHI BỔ SUNG CÓ MỤC TIÊU TỪ NGÂN SÁCH CẤP TỈNH CHO NGÂN SÁCH TỪNG HUYỆN NĂM 2019</t>
  </si>
  <si>
    <t>Hỗ trợ cấp bù thủy lợi phí</t>
  </si>
  <si>
    <t xml:space="preserve"> Bổ sung kinh phí thực hiện nhiệm vụ đảm bảo trật tự ATGT</t>
  </si>
  <si>
    <t xml:space="preserve"> Hỗ trợ ngân sách huyện các chế độ chính sách TW ban hành</t>
  </si>
  <si>
    <t>Hỗ trợ nâng cấp, cải tạo, trồng mới cây xanh</t>
  </si>
  <si>
    <t>Bao gồm</t>
  </si>
  <si>
    <t>Dự án SME</t>
  </si>
  <si>
    <t>Dự án AMD</t>
  </si>
  <si>
    <t>3=4+5+6+7</t>
  </si>
  <si>
    <t>2=3+8</t>
  </si>
  <si>
    <t>1=2+11</t>
  </si>
  <si>
    <t xml:space="preserve">Cộng </t>
  </si>
  <si>
    <t>Tên huyện/TP</t>
  </si>
  <si>
    <t>DỰ TOÁN CHI CHƯƠNG TRÌNH MỤC TIÊU QUỐC GIA NGÂN SÁCH CẤP TỈNH VÀ NGÂN SÁCH HUYỆN NĂM 2019</t>
  </si>
  <si>
    <t>Chương trình mục tiêu quốc gia xay dựng nông thôn mới</t>
  </si>
  <si>
    <t xml:space="preserve">Sở Khoa học-Công nghệ </t>
  </si>
  <si>
    <t>Công ty Thủy nông</t>
  </si>
  <si>
    <t>Bộ Chỉ huy quân sự</t>
  </si>
  <si>
    <t xml:space="preserve">DỰ TOÁN CHI THƯỜNG XUYÊN CỦA NGÂN SÁCH CẤP TỈNH </t>
  </si>
  <si>
    <t>CHO  TỪNG CƠ QUAN, TỔ CHỨC THEO LĨNH VỰC NĂM 2019</t>
  </si>
  <si>
    <t>Thuế tiêu thụ đặc biệt</t>
  </si>
  <si>
    <t>Thuế tài nguyên</t>
  </si>
  <si>
    <t>CT MTQG GN Bền vững</t>
  </si>
  <si>
    <t>CT MTQG XD Nông thôn mới</t>
  </si>
  <si>
    <t>`</t>
  </si>
  <si>
    <t>Sở, ban ngảnh tỉnh</t>
  </si>
  <si>
    <t>UBND các huyện</t>
  </si>
  <si>
    <t>DỰ TOÁN CHI ĐẦU TƯ PHÁT TRIỂN CỦA NGÂN SÁCH CẤP TỈNH CHO TỪNG CƠ QUAN, TỔ CHỨC THEO LĨNH VỰC NĂM 2019</t>
  </si>
  <si>
    <t>(Dự toán đang trình Hội đồng nhân dân)</t>
  </si>
  <si>
    <t>QUỐC PHÒNG, AN NINH</t>
  </si>
  <si>
    <t>CHI KHÁC</t>
  </si>
  <si>
    <t>BQLDA đầu tư xây dựng các công trình dân dụng và công nghiệp</t>
  </si>
  <si>
    <t>BĐP dự án AMD</t>
  </si>
  <si>
    <t>Bộ Chỉ huy Quân sự</t>
  </si>
  <si>
    <t>Bộ Chỉ huy Bộ đội biên phòng</t>
  </si>
  <si>
    <t>Công ty Quản lý và Phát triển hạ tầng Khu kinh tế và các Khu công nghiệp</t>
  </si>
  <si>
    <t>Báo Trà Vinh</t>
  </si>
  <si>
    <t>Sở Nông nghiệp và Phát triển nông thôn</t>
  </si>
  <si>
    <t>Sở Tài nguyên Môi trường</t>
  </si>
  <si>
    <t>Sở Giao thông Vận tải</t>
  </si>
  <si>
    <t>Sở Văn hóa Thể thao du lịch</t>
  </si>
  <si>
    <t>Sở Lao động Thương binh xã hội</t>
  </si>
  <si>
    <t>Sở Thông tin Truyền thông</t>
  </si>
  <si>
    <t>Tỉnh đoàn Trà Vinh</t>
  </si>
  <si>
    <t>Đài Phát thanh truyền hình</t>
  </si>
  <si>
    <t>Văn phòng Tỉnh ủy</t>
  </si>
  <si>
    <t>Ủy ban mặt trận Tổ quốc Việt Nam</t>
  </si>
  <si>
    <t>UBND huyện Châu Thành</t>
  </si>
  <si>
    <t>UBND huyện Cầu Kè</t>
  </si>
  <si>
    <t>UBND huyện Trà Cú</t>
  </si>
  <si>
    <t>UBND huyện Càng Long</t>
  </si>
  <si>
    <t>UBND huyện Tiểu Cần</t>
  </si>
  <si>
    <t>UBND huyện Duyên Hải</t>
  </si>
  <si>
    <t>UBND huyện Cầu Ngang</t>
  </si>
  <si>
    <t>UBND thị xã Duyên Hải</t>
  </si>
  <si>
    <t>UBND thành phố Trà Vinh</t>
  </si>
  <si>
    <t>Chưa phân bổ</t>
  </si>
  <si>
    <t>DANH MỤC CÁC CHƯƠNG TRÌNH, DỰ ÁN SỬ DỤNG VỐN NGÂN SÁCH NHÀ NƯỚC NĂM 2019</t>
  </si>
  <si>
    <t>Giá trị khối lượng thực hiện từ khởi công đến 31/12/2018</t>
  </si>
  <si>
    <t>Lũy kế vốn đã bố trí đến 31/12/2018</t>
  </si>
  <si>
    <t>Kế hoạch vốn năm 2019</t>
  </si>
  <si>
    <t>Tổng số (tất cả các nguồn vốn)</t>
  </si>
  <si>
    <t>Ngân sách địa phương+Khác</t>
  </si>
  <si>
    <t>Ngân sách địa phương</t>
  </si>
  <si>
    <t>Xổ số kiến thiết</t>
  </si>
  <si>
    <t>NGUỒN NGÂN SÁCH ĐỊA PHƯƠNG</t>
  </si>
  <si>
    <t>QUỐC PHÒNG</t>
  </si>
  <si>
    <t>Dự án chuyển tiếp từ giai đoạn 5 năm 2011-2015 sang giai đoạn 5 năm 2016-2020</t>
  </si>
  <si>
    <t>Dự án khởi công mới giai đoạn 5 năm 2016-2020</t>
  </si>
  <si>
    <t>Nhà ở làm việc và để tàu, Ca nô tìm kiếm cứu hộ cứu nạn tỉnh Trà Vinh</t>
  </si>
  <si>
    <t>Cấp IV</t>
  </si>
  <si>
    <t>2018-2020</t>
  </si>
  <si>
    <t>AN NINH VÀ TRẬT TỰ AN TOÀN XÃ HỘI</t>
  </si>
  <si>
    <t>Cơ sở làm việc Đội cảnh sát và cứu nạn, cứu hộ khu vực thị xã Duyên Hải thuộc Công an tỉnh Trà Vinh</t>
  </si>
  <si>
    <t>Cấp III</t>
  </si>
  <si>
    <t>2084/QĐ-UBND, 31/10/2017</t>
  </si>
  <si>
    <t>VĂN HÓA THÔNG TIN</t>
  </si>
  <si>
    <t>Dự án Báo Trà Vinh điện tử</t>
  </si>
  <si>
    <t>TTB</t>
  </si>
  <si>
    <t>CÁC HOẠT ĐỘNG KINH TẾ</t>
  </si>
  <si>
    <t>Dự án đầu tư xây dựng và phát triển bền vững rừng phòng hộ tỉnh Trà Vinh</t>
  </si>
  <si>
    <t>Duyên Hải, Cầu Ngang</t>
  </si>
  <si>
    <t>Trồng và chăm sóc 834ha và các hạng mục phụ trợ</t>
  </si>
  <si>
    <t>2015-2020</t>
  </si>
  <si>
    <t>1411/QĐ-UBND 31/8/2015</t>
  </si>
  <si>
    <t>Kè chống sạt lở bảo vệ khu dân cư ấp Chợ, thị trấn Định An, huyện Trà Cú, tỉnh Trà Vinh</t>
  </si>
  <si>
    <t>Công trình thủy lợi, cấp III</t>
  </si>
  <si>
    <t>2013-2018</t>
  </si>
  <si>
    <t>1689/QĐ-UBND 21/10/2014</t>
  </si>
  <si>
    <t xml:space="preserve">Đầu tư bổ sung hạ tầng phục vụ nuôi trồng thủy sản cánh đồng Trà Côn - cánh đồng Tây, huyện Cầu Ngang, tỉnh Trà Vinh </t>
  </si>
  <si>
    <t>Công trình thủy lợi</t>
  </si>
  <si>
    <t>2126/QĐ-UBND, 30/10/2018</t>
  </si>
  <si>
    <t>Kè bảo vệ đoạn xung yếu bờ biển ấp Cồn Nhàn, xã Đông Hải, huyện Duyên Hải (giai đoạn 1)</t>
  </si>
  <si>
    <t>2135/QĐ-UBND, 30/10/2018</t>
  </si>
  <si>
    <t>Kè chống sạt lỡ bờ sông Cổ Chiên khu vực Cù lao ấp Long Trị, xã Long Đức, thành phố Trà Vinh  (giai đoạn 1)</t>
  </si>
  <si>
    <t>2136/QĐ-UBND, 30/10/2018</t>
  </si>
  <si>
    <t>Kè bảo vệ đoạn xung yếu bờ biển xã Hiệp Thạnh, thị xã Duyên Hải, tỉnh Trà Vinh (giai đoạn 1)</t>
  </si>
  <si>
    <t>thị xã Duyên Hải</t>
  </si>
  <si>
    <t>2137/QĐ-UBND, 30/10/2018</t>
  </si>
  <si>
    <t>Đấu nối hệ thống thoát nước Khu Công nghiệp Long Đức, thành phố Trà Vinh</t>
  </si>
  <si>
    <t>HTKT, Cấp IV</t>
  </si>
  <si>
    <t>2018-2019</t>
  </si>
  <si>
    <t>118/QĐ-BQLKKT, 28/8/2018</t>
  </si>
  <si>
    <t>Đường tỉnh 915 (Đoạn từ Km4+270 đến Km19+257,84; Đoạn từ Km44+352 đến Km49+797 và các đoạn còn lại) tỉnh Trà Vinh</t>
  </si>
  <si>
    <t>Cầu Kè, Trà Cú</t>
  </si>
  <si>
    <t>Cấp III ĐB</t>
  </si>
  <si>
    <t>2011-2017</t>
  </si>
  <si>
    <t>1597/QĐ-UBND 21/8/2009; 1199/QĐ-UBND 23/7/2014</t>
  </si>
  <si>
    <t>Cầu Ấp Chợ trên Hương lộ 35, huyện Cầu Ngang, tỉnh Trà Vinh</t>
  </si>
  <si>
    <t>2016-2019</t>
  </si>
  <si>
    <t>2306/QĐ-UBND 26/10/2016; 2353/QĐ-UBND 28/10/2016</t>
  </si>
  <si>
    <t>Xây dựng tuyến đường Bến Kinh - Hạnh Mỹ - Mai Hương, xã Vinh Kim, huyện Cầu Ngang</t>
  </si>
  <si>
    <t>2223/QĐ-UBND 19/10/2016; 2398/QĐ-UBND 31/10/2016</t>
  </si>
  <si>
    <t>Dự án Nâng cấp,  mở rộng đường Hương lộ 81, huyện Duyên Hải (nay là thị xã Duyên Hải)</t>
  </si>
  <si>
    <t>1761/QĐ-UBND 29/10/2014; 776/QĐ-UBND 24/4/2018</t>
  </si>
  <si>
    <t xml:space="preserve">Đường dẫn vào cầu để kết nối vào dự án LRAMP (dự án thành phần 7) </t>
  </si>
  <si>
    <t>Trên địa bàn các huyện</t>
  </si>
  <si>
    <t>Đường GTNT</t>
  </si>
  <si>
    <t>2147/QĐ-UBND 31/10/2018</t>
  </si>
  <si>
    <t xml:space="preserve">Đường dẫn vào cầu để kết nối vào dự án LRAMP (dự án thành phần 8) </t>
  </si>
  <si>
    <t>2146/QĐ-UBND 31/10/2018</t>
  </si>
  <si>
    <t>Đường giao thông phục vụ vùng nuôi tôm công nghiệp xã Đôn Xuân, huyện Duyên Hải</t>
  </si>
  <si>
    <t>GTNT</t>
  </si>
  <si>
    <t>2143/QĐ-UBND 31/10/2018</t>
  </si>
  <si>
    <t>Dự án nâng cấp đô thị vùng đồng bằng sông Cửu Long - Tiểu dự án thành phố Trà Vinh, tỉnh Trà Vinh</t>
  </si>
  <si>
    <t>Công trình hạ tầng kỹ thuật, giao thông, dân dụng</t>
  </si>
  <si>
    <t>2012-2018</t>
  </si>
  <si>
    <t>144/QĐ-UBND 08/02/2012; 3369/QĐ-UBND 4/9/2013; 822/QĐ-UBND 17/5/2012; 1410/QĐ-UBND 12/7/2018</t>
  </si>
  <si>
    <t>Nâng cấp, cải tạo tuyến đường Độc Lập số chẳn số lẻ (hai bên chợ trung tâm thành phố Trà Vinh)</t>
  </si>
  <si>
    <t>Đường nhựa</t>
  </si>
  <si>
    <t>Bến xe thị trấn Tiểu Cần, huyện Tiểu Cần</t>
  </si>
  <si>
    <t>Tiểu cần</t>
  </si>
  <si>
    <t>2078/QĐ-UBND, 31/10/2017</t>
  </si>
  <si>
    <t>Vỉa hè, hệ thống thoát nước và mở rộng các tuyến đường nội ô thị trấn Cầu Quan, huyện Tiểu Cần</t>
  </si>
  <si>
    <t>Tiểu Cần</t>
  </si>
  <si>
    <t>2350/QĐ-UBND 28/10/2016</t>
  </si>
  <si>
    <t>Đường nội ô thị trấn Tiểu Cần - Tỉnh lộ 912, huyện Tiểu Cần</t>
  </si>
  <si>
    <t>HTGT</t>
  </si>
  <si>
    <t>Đường nhựa liên ấp Tân Quy 1 – Tân Quy 2, xã An Phú Tân, huyện Cầu Kè</t>
  </si>
  <si>
    <t>Cầu Kè</t>
  </si>
  <si>
    <t>1850/QĐ-UBND, 17/9/2018</t>
  </si>
  <si>
    <t>Đường liên xã thị trấn Cầu Kè-Tam Ngãi, huyện Cầu Kè, tỉnh Trà Vinh.</t>
  </si>
  <si>
    <t>2017-2020</t>
  </si>
  <si>
    <t>2349/QĐ-UBND 28/10/2016</t>
  </si>
  <si>
    <t>QUẢN LÝ NHÀ NƯỚC, ĐẢNG, ĐOÀN THỂ</t>
  </si>
  <si>
    <t>Nâng cấp, mở rộng hạ tầng kỹ thuật công nghệ thông tin đáp ứng yêu cầu triển khai chính quyền điện tử tỉnh Trà Vinh (giai đoạn 1)</t>
  </si>
  <si>
    <t>Tỉnh Trà Vinh</t>
  </si>
  <si>
    <t>2016-2018</t>
  </si>
  <si>
    <t xml:space="preserve"> 677/QĐ-UBND 29/3/2016; 1831/QĐ-UBND 03/10/2016</t>
  </si>
  <si>
    <t>Thiết lập, nâng cấp, mở rộng mạng diện rộng (WAN), nâng cấp mở rộng mạng cục bộ  (LAN) các cơ quan hành chính nhà nước trên địa bàn tỉnh</t>
  </si>
  <si>
    <t>Toàn tỉnh</t>
  </si>
  <si>
    <t>Trang thiết bị</t>
  </si>
  <si>
    <t>1348/QĐ-UBND, 04/7/2018</t>
  </si>
  <si>
    <t>Hệ thống chính quyền điện tử nhằm nâng cao chỉ số cải cách hành chính tỉnh Trà Vinh</t>
  </si>
  <si>
    <t>Ứng dụng công nghệ thông tin</t>
  </si>
  <si>
    <t>1276/QĐ-UBND, 22/6/2018</t>
  </si>
  <si>
    <t>Ứng dụng công nghệ thông tin trong hoạt động của các cơ quan Đảng tỉnh Trà Vinh giai đoạn 2016-2020</t>
  </si>
  <si>
    <t>2317/QĐ-UBND 26/10/2016; 2380/QĐ-UBND 31/10/2016</t>
  </si>
  <si>
    <t>Ủy ban Mặt trận Tổ quốc Việt Nam</t>
  </si>
  <si>
    <t>Bổ sung trang thiết bị CNTT cho các đoàn thể cấp xã (GĐ2)</t>
  </si>
  <si>
    <t>Hạ tầng kỹ thuật Trung tâm hành chính huyện Duyên Hải, tỉnh Trà Vinh.</t>
  </si>
  <si>
    <t>HTKT, Cấp II</t>
  </si>
  <si>
    <t>2016-2020</t>
  </si>
  <si>
    <t>688/QĐ-UBND 30/3/2016</t>
  </si>
  <si>
    <t>Trụ sở  làm việc Trung tâm hành chính huyện Duyên Hải, tỉnh Trà Vinh</t>
  </si>
  <si>
    <t>CTDD, Cấp II</t>
  </si>
  <si>
    <t>687/QĐ-UBND 30/3/2016</t>
  </si>
  <si>
    <t>Cụm quản lý hành chính huyện Trà Cú</t>
  </si>
  <si>
    <t>Xây dựng Trung tâm hành chính xã Long Toàn, thị xã Duyên Hải</t>
  </si>
  <si>
    <t>BẢO VỆ MÔI TRƯỜNG</t>
  </si>
  <si>
    <t>Tăng cường quản lý đất đai và cơ sở dữ liệu đất đai</t>
  </si>
  <si>
    <t>Xây dựng hệ thống thông tin đất đai</t>
  </si>
  <si>
    <t>2017-2022</t>
  </si>
  <si>
    <t>1236/QĐ-BTNMT, 30/5/2016; 930/QĐ-TTg, 30/5/2016; 1186/QĐ-UBND, 29/6/2017</t>
  </si>
  <si>
    <t>Phân bổ cho các công trình có thông tri phê duyệt quyết toán</t>
  </si>
  <si>
    <t>ĐẦU TƯ TỪ NGUỒN THU SỬ DỤNG ĐẤT</t>
  </si>
  <si>
    <t xml:space="preserve"> + Chi đầu tư từ nguồn thu sử dụng đất (40%)</t>
  </si>
  <si>
    <t xml:space="preserve"> + Chi trích lập Quỹ phát triển đất (tỉnh) 30%</t>
  </si>
  <si>
    <t xml:space="preserve"> + Đầu tư công trình xã hội hóa (20%)</t>
  </si>
  <si>
    <t xml:space="preserve"> + Chi lập hồ sơ bản đồ địa chính (10%) (chi sự nghiệp kinh tế)</t>
  </si>
  <si>
    <t>NGUỒN XỔ SỐ KIẾN THIẾT</t>
  </si>
  <si>
    <t>GIÁO DỤC, ĐÀO TẠO VÀ DẠY NGHỀ</t>
  </si>
  <si>
    <t>Trường THPT Hòa Lợi, huyện Châu Thành</t>
  </si>
  <si>
    <t>2017-2019</t>
  </si>
  <si>
    <t>2384/QĐ-UBND  31/10/2016</t>
  </si>
  <si>
    <t>Dự án kiên cố hóa trường lớp học mầm non, tiểu học trên địa bàn tỉnh Trà Vinh</t>
  </si>
  <si>
    <t>trên địa bàn tỉnh</t>
  </si>
  <si>
    <t>254 phòng học (97 phòng MN, 157 phòng TH)</t>
  </si>
  <si>
    <t>2017-2018</t>
  </si>
  <si>
    <t>1284/QĐ-UBND  19/7/2017</t>
  </si>
  <si>
    <t>Trường Trung học phổ thông huyện Duyên Hải.</t>
  </si>
  <si>
    <t>cấp III</t>
  </si>
  <si>
    <t>2019-2021</t>
  </si>
  <si>
    <t>Trường Trung học phổ thông Lương Hòa A, huyện Châu Thành.</t>
  </si>
  <si>
    <t>2083/QĐ-UBND 24/10/2018</t>
  </si>
  <si>
    <t xml:space="preserve">Trường THPT Tiểu Cần đạt chuẩn </t>
  </si>
  <si>
    <t>2019-2020</t>
  </si>
  <si>
    <t xml:space="preserve">Trường THPT Cầu Quan đạt chuẩn </t>
  </si>
  <si>
    <t>Trường PTDTNT-THCS huyện Cầu Kè</t>
  </si>
  <si>
    <t>Trường PTDTNT-THCS huyện Cầu Ngang</t>
  </si>
  <si>
    <t>Cải tạo, nâng cấp mở rộng các Trường THPT trên địa bàn tỉnh (giai đoạn 2)</t>
  </si>
  <si>
    <t>Nâng cấp, cải tạo THPT Phong Phú, huyện Cầu Kè</t>
  </si>
  <si>
    <t>cấp IIII</t>
  </si>
  <si>
    <t>291/QĐ-SKHĐT 27/10/2017</t>
  </si>
  <si>
    <t>Nâng cấp, cải tạo THPT Long Hữu, huyện Duyên Hải</t>
  </si>
  <si>
    <t>290/QĐ-SKHĐT 27/10/2017</t>
  </si>
  <si>
    <t>Nâng cấp, cải tạo THPT Nguyễn Đáng, huyện Càng Long</t>
  </si>
  <si>
    <t>2074/QĐ-UBND 31/10/2017</t>
  </si>
  <si>
    <t>Nâng cấp, cải tạo THPT Duyên Hải, thị xã Duyên Hải.</t>
  </si>
  <si>
    <t>thị xã Duyên Hải.</t>
  </si>
  <si>
    <t>2081/QĐ-UBND 31/10/2017</t>
  </si>
  <si>
    <t>Cải tạo, nâng cấp mở rộng các Trường THPT trên địa bàn tỉnh (giai đoạn 3)</t>
  </si>
  <si>
    <t>Cải tạo, nâng cấp mở rộng Trường THPT Phạm Thái Bường, TP Trà Vinh</t>
  </si>
  <si>
    <t>Cải tạo, nâng cấp mở rộng Trường THPT Nguyễn Đáng, huyện Càng Long</t>
  </si>
  <si>
    <t>Cải tạo, nâng cấp mở rộng Trường THPT Dương Háo Học, huyện Càng Long</t>
  </si>
  <si>
    <t>Cải tạo, nâng cấp mở rộng Trường THPT Nhị Trường, huyện Cầu Ngang</t>
  </si>
  <si>
    <t>235/QĐ-SKHĐT 29/10/2018</t>
  </si>
  <si>
    <t>Cải tạo, nâng cấp mở rộng Trường THPT Cầu Ngang A, huyện Cầu Ngang</t>
  </si>
  <si>
    <t>241/QĐ-SKHĐT 29/10/2018</t>
  </si>
  <si>
    <t>Cải tạo, nâng cấp mở rộng Trường THPT Cầu Ngang B, huyện Cầu Ngang</t>
  </si>
  <si>
    <t>242/QĐ-SKHĐT 29/10/2018</t>
  </si>
  <si>
    <t>Cải tạo, nâng cấp mở rộng Trường THPT Tam Ngãi, huyện Cầu Kè</t>
  </si>
  <si>
    <t>Cải tạo, nâng cấp mở rộng Trường THPT Cầu Kè, huyện Cầu Kè</t>
  </si>
  <si>
    <t>239/QĐ-SKHĐT 29/10/2018</t>
  </si>
  <si>
    <t>Trường Cao đẳng nghề Trà Vinh</t>
  </si>
  <si>
    <t>Cải tạo Nhà xưởng thực hành - Trường Cao đẳng nghề Trà Vinh (giai đoạn 2)</t>
  </si>
  <si>
    <t>cấp IV</t>
  </si>
  <si>
    <t>1846/QĐ-UBND 17/9/2018</t>
  </si>
  <si>
    <t>Xây dựng các phòng học thuộc Đề án mầm non 5 tuổi trên địa bàn huyện Tiểu Cần (khối 18 phòng học)</t>
  </si>
  <si>
    <t>672/QĐ-UBND 29/3/2016</t>
  </si>
  <si>
    <t>Xây dựng các phòng học thuộc Đê án mầm non 5 tuổi trên địa bàn huyện Tiểu Cần (giai đoạn 3)</t>
  </si>
  <si>
    <t>2107/QĐ-UBND 26/10/2018</t>
  </si>
  <si>
    <t>Cải tạo, nâng cấp mở rộng các Trường Tiều học, THCS trên địa bàn huyện Tiểu Cần (giai đoạn 3)</t>
  </si>
  <si>
    <t>1725/QĐ-UBND 29/8/2018</t>
  </si>
  <si>
    <t>Trung tâm Bồi dưỡng chính trị huyện Tiểu Cần</t>
  </si>
  <si>
    <t>Nâng cấp, mở rộng</t>
  </si>
  <si>
    <t>206/QĐ-SKHĐT 01/10/2018</t>
  </si>
  <si>
    <t>Xây dựng các phòng học thuộc Đề án mầm non 5 tuổi trên địa bàn huyện Châu Thành (khối 14 phòng học + 25 phòng chức năng) – giai đoạn 2</t>
  </si>
  <si>
    <t>2368/QĐ-UBND 28/10/2016</t>
  </si>
  <si>
    <t>Xây dựng các phòng học thuộc Đê án mầm non 5 tuổi trên địa bàn huyện Châu Thành (giai đoạn 3)</t>
  </si>
  <si>
    <t>Cải tạo, nâng cấp mở rộng các Trường Tiều học trên địa bàn huyện Châu Thành (giai đoạn 3)</t>
  </si>
  <si>
    <t>Trung tâm Bồi dưỡng chính trị huyện Châu Thành</t>
  </si>
  <si>
    <t>229/QĐ-SKHĐT 26/10/2018</t>
  </si>
  <si>
    <t>Cải tạo, nâng cấp và mở rộng các Trường Mầm non, Tiểu học, Trung học cơ sở trên địa bàn huyện Cầu Ngang (khối 28 phòng học và 17 phòng chức năng) – giai đoạn 2</t>
  </si>
  <si>
    <t>2363/QĐ-UBND 28/10/2016</t>
  </si>
  <si>
    <t>Xây dựng các phòng học thuộc Đê án mầm non 5 tuổi trên địa bàn huyện Cầu Ngang (giai đoạn 3)</t>
  </si>
  <si>
    <t>Cải tạo, nâng cấp mở rộng các Trường Tiều học, THCS trên địa bàn huyện Cầu Ngang (giai đoạn 3)</t>
  </si>
  <si>
    <t>2124/QĐ-UBND 29/10/2018</t>
  </si>
  <si>
    <t>Cải tạo, nâng cấp Trung tâm Bồi dưỡng chính trị huyện Cầu Ngang</t>
  </si>
  <si>
    <t>cải tạo, sửa chữa</t>
  </si>
  <si>
    <t>Cải tạo, nâng cấp và mở rộng các Trường Mầm non, Tiểu học, Trung học cơ sở trên địa bàn huyện Càng Long (Khối 66 phòng học) - giai đoạn 2</t>
  </si>
  <si>
    <t>2357/QĐ-UBND 28/10/2016</t>
  </si>
  <si>
    <t>Xây dựng các phòng học thuộc Đê án mầm non 5 tuổi trên địa bàn huyện Càng Long (giai đoạn 3)</t>
  </si>
  <si>
    <t>1634/QĐ-UBND 15/8/2018</t>
  </si>
  <si>
    <t>Cải tạo, nâng cấp mở rộng các Trường Tiều học, THCS trên địa bàn huyện Càng Long (giai đoạn 3)</t>
  </si>
  <si>
    <t>1728/QĐ-UBND 30/8/2018</t>
  </si>
  <si>
    <t>Trung tâm Bồi dưỡng chính trị huyện Càng Long</t>
  </si>
  <si>
    <t>Xây dựng các phòng học thuộc Đê án mầm non 5 tuổi trên địa bàn huyện Cầu Kè (giai đoạn 3)</t>
  </si>
  <si>
    <t>2110/QĐ-UBND 26/10/2018</t>
  </si>
  <si>
    <t>Cải tạo, nâng cấp mở rộng các Trường Tiều học, THCS trên địa bàn huyện Cầu Kè (giai đoạn 3)</t>
  </si>
  <si>
    <t>2030/QĐ-UBND 12/10/2018</t>
  </si>
  <si>
    <t>Cải tạo, sửa chữa Trung tâm Bồi dưỡng chính trị huyện Cầu Kè</t>
  </si>
  <si>
    <t>188/QĐ-SKHĐT 06/9/2018</t>
  </si>
  <si>
    <t>Xây dựng các phòng học thuộc Đê án mầm non 5 tuổi trên địa bàn huyện Duyên Hải (giai đoạn 3)</t>
  </si>
  <si>
    <t>Cải tạo, nâng cấp mở rộng các Trường Tiều học, THCS trên địa bàn huyện Duyên Hải (giai đoạn 3)</t>
  </si>
  <si>
    <t>2129/QĐ-UBND, 30/10/2018</t>
  </si>
  <si>
    <t>Trung tâm Bồi dưỡng chính trị huyện Duyên Hải</t>
  </si>
  <si>
    <t>Xây dựng các phòng học thuộc Đê án mầm non 5 tuổi trên địa bàn huyện Trà Cú (giai đoạn 3)</t>
  </si>
  <si>
    <t>2108/QĐ-UBND 26/10/2018</t>
  </si>
  <si>
    <t>Cải tạo, nâng cấp mở rộng các Trường Tiều học, THCS trên địa bàn huyện Trà Cú (giai đoạn 3)</t>
  </si>
  <si>
    <t>1667/QĐ-UBND 17/8/2018</t>
  </si>
  <si>
    <t>Trung tâm Bồi dưỡng chính trị huyện Trà Cú</t>
  </si>
  <si>
    <t>228/QĐ-SKHĐT 26/10/2018</t>
  </si>
  <si>
    <t>Xây dựng các phòng học thuộc Đê án mầm non 5 tuổi trên địa bàn thành phố Trà Vinh (giai đoạn 3)</t>
  </si>
  <si>
    <t>2046/QĐ-UBND 17/10/2018</t>
  </si>
  <si>
    <t>Cải tạo, nâng cấp mở rộng các Trường Tiều học, THCS trên địa bàn thành phố Trà Vinh (giai đoạn 3)</t>
  </si>
  <si>
    <t>Xây dựng các phòng học thuộc Đê án mầm non 5 tuổi trên địa bàn thị xã Duyên Hải (giai đoạn 3)</t>
  </si>
  <si>
    <t>2111/QĐ-UBND 26/10/2018</t>
  </si>
  <si>
    <t>Cải tạo, nâng cấp mở rộng các Trường Tiều học, THCS trên địa bàn thị xã Duyên Hải (giai đoạn 3)</t>
  </si>
  <si>
    <t>thị xã Duyên hải</t>
  </si>
  <si>
    <t>2002/QĐ-UBND 10/10/2018</t>
  </si>
  <si>
    <t>Trung tâm Bồi dưỡng chính trị thị xã Duyên Hải</t>
  </si>
  <si>
    <t>237/QĐ-SKHĐT 29/10/2018</t>
  </si>
  <si>
    <t>Đối ứng trường học có vốn tài trợ nước ngoài</t>
  </si>
  <si>
    <t>Y TẾ, DÂN SỐ VÀ GIA ĐÌNH</t>
  </si>
  <si>
    <t>Mở rộng bệnh viện Đa khoa huyện Trà Cú, tỉnh Trà Vinh (giai đoạn 2)</t>
  </si>
  <si>
    <t>130 giường bệnh</t>
  </si>
  <si>
    <t>2015-2019</t>
  </si>
  <si>
    <t>1757/QĐ-UBND 29/10/2014</t>
  </si>
  <si>
    <t>Nâng cấp, mở rộng Bệnh viện đa khoa khu vực Cầu Ngang</t>
  </si>
  <si>
    <t>2019 - 2023</t>
  </si>
  <si>
    <t>Mua sắm bổ sung trang thiết bị Bệnh viện Trường đại học Trà Vinh</t>
  </si>
  <si>
    <t>750/QĐ-UBND 23/4/2018</t>
  </si>
  <si>
    <t>Bệnh viện đa khoa huyện Duyên Hải</t>
  </si>
  <si>
    <t>681/QĐ-UBND 29/3/2016</t>
  </si>
  <si>
    <t>Mua trang thiết bị cho Bệnh viện đa khoa tỉnh Trà Vinh</t>
  </si>
  <si>
    <t>Mua sắm trang thiết bị y tế cho các bệnh viện tuyến tỉnh, tuyến huyện</t>
  </si>
  <si>
    <t>VĂN HÓA, THÔNG TIN</t>
  </si>
  <si>
    <t>Trung tâm Văn hóa tỉnh Trà Vinh</t>
  </si>
  <si>
    <t>Khu di tích lịch sử Đền thờ Bác Hồ</t>
  </si>
  <si>
    <t>PHÁT THANH, TRUYỀN HÌNH, THÔNG TẤN</t>
  </si>
  <si>
    <t>Đài Phát thanh Truyền hình</t>
  </si>
  <si>
    <t>Mua sắm thiết bị sản xuất chương trình phát thanh - truyền hình tiếng dân tộc Khmer</t>
  </si>
  <si>
    <t>2082/QĐ-UBND 24/10/2018</t>
  </si>
  <si>
    <t>THỂ DỤC THỂ THAO</t>
  </si>
  <si>
    <t>Sân vận động (mới) tỉnh Trà Vinh</t>
  </si>
  <si>
    <t>Hạ tầng kỹ thuật</t>
  </si>
  <si>
    <t>2076/QĐ-UBND 31/10/2017; 3860/UBND 17/10/2018</t>
  </si>
  <si>
    <t>Xử lý ô nhiêm môi trường Bãi rác thành phố Trà Vinh (xử lý cơ sở gây ô nhiễm môi trường nghiêm trọng Bãi rác Hợp tác xã Trà Vinh, phụ lục 2 Quyết định số 64/2003/QĐ-TTg)</t>
  </si>
  <si>
    <t>2020/QĐ-UBND 26/10/2017</t>
  </si>
  <si>
    <t>Hạ tầng thiết yếu phục vụ vùng sản xuất cây ăn trái tập trung 02 huyện Càng Long, Châu Thành và thành phố Trà Vinh, tỉnh Trà Vinh (giai đoạn 1)</t>
  </si>
  <si>
    <t>Càng Long, Châu Thành, TPTV</t>
  </si>
  <si>
    <t>Công trình giao thông</t>
  </si>
  <si>
    <t>2064/QĐ-UBND, 30/10/2017</t>
  </si>
  <si>
    <t>Đường giao thông nối liền xã Tân Hùng đến xã Ngãi Hùng, huyện Tiểu Cần (Giai đoạn 2)</t>
  </si>
  <si>
    <t>công trình hạ tầng giao thông</t>
  </si>
  <si>
    <t>2070/QĐ-UBND 31/10/2017</t>
  </si>
  <si>
    <t>Đường đến xã An Trường - An Trường A, huyện Càng Long</t>
  </si>
  <si>
    <t>2072/QĐ-UBND 31/10/2017</t>
  </si>
  <si>
    <t>Đường liên xã Tam Ngãi - Thông Hòa, huyện Cầu Kè</t>
  </si>
  <si>
    <t>công trình hạ tầng</t>
  </si>
  <si>
    <t>2075/QĐ-UBND 31/10/2017</t>
  </si>
  <si>
    <t>Nâng cấp, mở rộng Hương lộ 7 đoạn Km 12+900 - Km 19+300, huyện Càng Long, tỉnh Trà Vinh</t>
  </si>
  <si>
    <t>cấp VI</t>
  </si>
  <si>
    <t>1998/QĐ-UBND, 10/10/2018</t>
  </si>
  <si>
    <t>Đường Cây Gòn, xã Phong Thạnh, huyện Cầu Kè, tỉnh Trà Vinh</t>
  </si>
  <si>
    <t>Cần Kè</t>
  </si>
  <si>
    <t>1896/QĐ-UBND, 26/9/2018</t>
  </si>
  <si>
    <t>Xây dựng tuyến đường Mỹ Quý, huyện Cầu Ngang thuộc Dự án các tuyến đường giao thông phục vụ di dân khi có lụt, bão xãy ra kết hợp ngăn mặn trên địa bàn 05 huyện thuộc tỉnh Trà Vinh</t>
  </si>
  <si>
    <t>1822/QĐ-UBND, 13/9/2018</t>
  </si>
  <si>
    <t>Xây dựng 03 cầu trên Hương lộ 38, huyện Tiểu Cần</t>
  </si>
  <si>
    <t>2053/QĐ-UBND 18/10/2018</t>
  </si>
  <si>
    <t>Cầu Bến Kinh (Đường huyện 05), huyện Cầu Ngang, tỉnh Trà Vinh</t>
  </si>
  <si>
    <t>Cầu BTCT</t>
  </si>
  <si>
    <t>1970/QĐ-UBND, 03/10/2018</t>
  </si>
  <si>
    <t>Xây dựng cầu Đa Hòa 1 (Đường huyện 15), cầu Bào Sơn (Đường huyện 16) thuộc Dự án Xây dựng Cầu Đa Hòa 1, cầu Bào Sơn, cầu Thanh Nguyên, Cầu Bắc Phèn và Cầu Đa Lộc trên địa bàn huyện Châu Thành</t>
  </si>
  <si>
    <t>2051/QĐ-UBND 17/10/2018</t>
  </si>
  <si>
    <t xml:space="preserve">Nâng cấp, mở rộng nhà máy nước sạch xã Đức Mỹ, huyện Càng Long </t>
  </si>
  <si>
    <t>50 m3/h</t>
  </si>
  <si>
    <t>2014-2016</t>
  </si>
  <si>
    <t>1706/QĐ-UBND 23/10/2014</t>
  </si>
  <si>
    <t>Nâng cấp hệ thống kênh trục và nâng cấp mở rộng các trạm cấp nước sạch khắc phục hạn hán, xâm nhập mặn phục vụ sản xuất và sinh hoạt cho các vùng trọng điểm sản xuất nông nghiệp, tỉnh Trà Vinh</t>
  </si>
  <si>
    <t>811/QĐ-UBND 17/5/17; 2080/QĐ-UBND, 31/10/17</t>
  </si>
  <si>
    <t>Nạo vét hệ thống kênh trục và xây dựng công trình điều tiết trên kênh, tỉnh Trà Vinh</t>
  </si>
  <si>
    <t>65/HĐND-VP 26/10/17; 67/HĐND-VP, 20/3/18</t>
  </si>
  <si>
    <t>Dự án Kè tạm khắc phục sạt lở đầu phía Bắc công trình Kè bảo vệ đoạn xung yếu bờ biển xã Hiệp Thạnh, huyện Duyên Hải (đoạn 200m tiếp theo)</t>
  </si>
  <si>
    <t xml:space="preserve"> 23/QĐ-SKHĐT 26/01/18</t>
  </si>
  <si>
    <t xml:space="preserve">Xây dựng kè mềm kết hợp trồng rừng  chống sạt lở bờ sông Định An, huyện Trà Cú </t>
  </si>
  <si>
    <t>01 ha rừng + 700 m kè bằng cọc dừa</t>
  </si>
  <si>
    <t>2018 - 2021</t>
  </si>
  <si>
    <t xml:space="preserve"> 183/QĐ-SKHĐT 24/8/2018</t>
  </si>
  <si>
    <t>Nâng cấp, mở rộng các Trạm cấp nước sạch bức xúc trên địa bàn tỉnh</t>
  </si>
  <si>
    <t>Nâng cấp, mở rộng 02 Trạm cấp nước bức xúc trên địa bàn xã Vinh Kim, huyện Cầu Ngang và xã Tam Ngãi - Hòa Ân, huyện Cầu Kè</t>
  </si>
  <si>
    <t>Cầu Ngang, Cầu Kè</t>
  </si>
  <si>
    <t>công suất 50m3/giờ</t>
  </si>
  <si>
    <t>Kè chống sạt lỡ đê bao khu vực chợ xã Hòa Minh</t>
  </si>
  <si>
    <t>929/QĐ-UBND, 15/5/2018</t>
  </si>
  <si>
    <t>Mở rộng Quốc lộ 60, nâng cấp vỉa hè, xây dựng hệ thống thoát nước (Ngã năm - cống Cây Hẹ)</t>
  </si>
  <si>
    <t>1865/QĐ-UBND, 20/9/2018</t>
  </si>
  <si>
    <t>Nâng cấp, mở rộng Đường 3/2 (đoạn từ nút giao thông Đường 3/2 giao đường Lý Tự Trọng đến ngã tư Bệnh viện thị xã Duyên Hải)</t>
  </si>
  <si>
    <t>Đường phố nội bộ</t>
  </si>
  <si>
    <t>2109/QĐ-UBND, 26/10/2018</t>
  </si>
  <si>
    <t>Trung tâm Sinh hoạt thanh thiếu nhi tỉnh Trà Vinh</t>
  </si>
  <si>
    <t>2082/QĐ-UBND 31/10/2017</t>
  </si>
  <si>
    <t>BẢO ĐẢM XÃ HỘI</t>
  </si>
  <si>
    <t>Cải tạo sữa chữa Cơ sở tư vấn và Điều trị nghiện ma túy</t>
  </si>
  <si>
    <t>Nâng cấp, cải tạo</t>
  </si>
  <si>
    <t>2133/QĐ-UBND 30/10/2018</t>
  </si>
  <si>
    <t>Các công trình có thông tri quyết toán hoàn thành và công trình hoàn thành nợ đọng XDCB</t>
  </si>
  <si>
    <t>NGUỒN NGÂN SÁCH TRUNG ƯƠNG HỖ TRỢ (BAO GỒM CẢ VỐN NGOÀI NƯỚC)</t>
  </si>
  <si>
    <t>CHƯƠNG TRÌNH PHÁT TRIỂN KINH TẾ - XÃ HỘI CÁC VÙNG</t>
  </si>
  <si>
    <t>Đường tỉnh 915B, tỉnh Trà Vinh ( GĐ 1 : từ Km0+000 dến km10+258 - đoạn từ đường vào cầu Cổ Chiên đến Cầu Long Bình 3)</t>
  </si>
  <si>
    <t>TPTV, Càng Long</t>
  </si>
  <si>
    <t>10.258m</t>
  </si>
  <si>
    <t>1722/QĐ-UBND ngày 23/10/2014</t>
  </si>
  <si>
    <t>CHƯƠNG TRÌNH PHÁT TRIỂN LÂM NGHIỆP BỀN VỮNG</t>
  </si>
  <si>
    <t>Trồng rừng thay thế khi chuyển mục đích sử dụng rừng sang thi công công trình Luồng cho tàu biển trọng tải lớn vào sông Hậu</t>
  </si>
  <si>
    <t>Công ty TNHH-TM Mùa Vàng</t>
  </si>
  <si>
    <t>Dự án trồng rừng phòng hộ tại tỉnh Trà Vinh (theo chương trình bảo vệ và phát triển rừng bền vững của Chính phủ)</t>
  </si>
  <si>
    <t>CHƯƠNG TRÌNH TÁI CƠ CẤU KINH TẾ NÔNG NGHIỆP VÀ PHÒNG CHỐNG GiẢM NHẸ THIÊN TAI, ỔN ĐỊNH ĐỜI SỐNG DÂN CƯ</t>
  </si>
  <si>
    <t>Khôi phục nâng cấp mặt đê tả hữu sông Cổ Chiên phục vụ NTTS huyện Châu Thành, tỉnh Trà Vinh</t>
  </si>
  <si>
    <t>Đê ven cửa sông Cổ Chiên bảo vệ khu dân cư thị trấn Mỹ Long, huyện Cầu Ngang, tỉnh Trà Vinh</t>
  </si>
  <si>
    <t>2.350m</t>
  </si>
  <si>
    <t>1772a/QĐ-UBND ngày 30/10/2014</t>
  </si>
  <si>
    <t>Nạo vét hệ thống kênh cấp II và nâng cấp, mở rộng, bảo trì mạng phân phối nước sạch trên địa bàn tỉnh Trà Vinh</t>
  </si>
  <si>
    <t>Nâng cấp hệ thống đê biển Trà Vinh giai đoạn 2</t>
  </si>
  <si>
    <t>Cầu Ngang, Duyên Hải và TXDH</t>
  </si>
  <si>
    <t>công trình nông nghiệp, cấp III</t>
  </si>
  <si>
    <t>1835/QĐ-UBND ngày 30/10/2015, 685/QĐ-UBND ngày 30/3/2016</t>
  </si>
  <si>
    <t>CHƯƠNG TRÌNH ĐẦU TƯ PHÁT TRIỂN HỆ THỐNG Y TẾ ĐỊA PHƯƠNG</t>
  </si>
  <si>
    <t>CHƯƠNG TRÌNH GIÁO DỤC VÙNG NÚI, VÙNG DÂN TỘC THIỂU SỐ, VÙNG KHÓ KHĂN</t>
  </si>
  <si>
    <t>Trường PTDT nội trú THCS huyện Càng Long</t>
  </si>
  <si>
    <t>CHƯƠNG TRÌNH PHÁT TRIỂN HẠ TẦNG DU LỊCH</t>
  </si>
  <si>
    <t>Hạ tầng du lịch biển Ba Động, TX Duyên Hải</t>
  </si>
  <si>
    <t>TX Duyên Hải</t>
  </si>
  <si>
    <t>CTGT, cấp II</t>
  </si>
  <si>
    <t>1834/QĐ-UBND ngày 30/10/2015, 684/QĐ-UBND ngày 30/3/2016, 1716/QĐ-UBND ngày 24/8/2016</t>
  </si>
  <si>
    <t>CHƯƠNG TRÌNH CÔNG NGHỆ THÔNG TIN</t>
  </si>
  <si>
    <t>CHƯƠNG TRÌNH HỖ TRỢ VỐN ĐỐI ỨNG ODA CHO CÁC ĐỊA PHƯƠNG</t>
  </si>
  <si>
    <t>Hệ thống thoát nước và xử lý nước thải thành phố Trà Vinh</t>
  </si>
  <si>
    <t>TPTV, Châu Thành</t>
  </si>
  <si>
    <t>17km cống, nhà máy 10,000 m3/ ngđ</t>
  </si>
  <si>
    <t>2005-2018</t>
  </si>
  <si>
    <t>1416/QĐ-UBND ngày 29/7/2013</t>
  </si>
  <si>
    <t>BĐP Dự án AMD Trà Vinh</t>
  </si>
  <si>
    <t>Dự án thích ứng biến đổi khí hậu khu vực đồng bằng Sông Cửu Long tại tỉnh Trà Vinh (AMD Trà Vinh)</t>
  </si>
  <si>
    <t>tỉnh Trà Vinh</t>
  </si>
  <si>
    <t>2727/QĐ-UBT ngày 22/11/2013</t>
  </si>
  <si>
    <t>công trình HTKT GT và DD</t>
  </si>
  <si>
    <t>2012-2017</t>
  </si>
  <si>
    <t>144/QĐ-UBND ngày 08/02/2012, 3369/QĐ-UBND ngày 04/9/2013, 822/QĐ-UBND ngày 17/5/2012</t>
  </si>
  <si>
    <t>Cung cấp trang thiết bị y tế Bệnh viện đa khoa khu vực Tiểu Cần,tỉnh Trà Vinh</t>
  </si>
  <si>
    <t>Dự án giáo dục THCS khu vực khó khăn nhất giai đoạn 2</t>
  </si>
  <si>
    <t>Trà Cú, Cầu Ngang, Cầu Kè</t>
  </si>
  <si>
    <t>2015-2017</t>
  </si>
  <si>
    <t>420/QĐ-SKHĐT ngày 07/12/2015</t>
  </si>
  <si>
    <t>Gây bồi tạo bãi, trồng cây ngập mặn bảo vệ đê biển xã Dân Thành, huyện Duyên Hải</t>
  </si>
  <si>
    <t>50ha</t>
  </si>
  <si>
    <t>1767/QĐ-UBND ngày 30/10/2014, 1398/QĐ-UBND ngày 28/8/2015, 1342/QĐ-UBND ngày 28/6/2016, 2071/QĐ-UBND ngày 30/9/2016</t>
  </si>
  <si>
    <t>Chống xói lở, gây bồi trồng cây ngập mặn bảo vệ đê biển Hiệp Thạnh , huyện Duyên Hải</t>
  </si>
  <si>
    <t>30ha</t>
  </si>
  <si>
    <t>1768/QĐ-UBND ngày 30/10/2014, 1399/QĐ-UBND ngày 28/8/2015, 1343/QĐ-UBND ngày 28/6/2016, 2072/QĐ-UBND ngày 30/9/2016</t>
  </si>
  <si>
    <t>VỐN CHƯƠNG TRÌNH MỤC TIÊU QUỐC GIA</t>
  </si>
  <si>
    <t>VỐN TRÁI PHIẾU CHÍNH PHỦ</t>
  </si>
  <si>
    <t>Dự án khởi công mới trong giai đoạn 5 năm 2016-2020</t>
  </si>
  <si>
    <t>Bệnh viện đa khoa tỉnh Trà Vinh</t>
  </si>
  <si>
    <t>700 giường</t>
  </si>
  <si>
    <t>1781/QĐ-UBND ngày 26/9/2017</t>
  </si>
  <si>
    <t>DỰ TOÁN CHI NGÂN SÁCH CẤP TỈNH CHO TỪNG CƠ QUAN, TỔ CHỨC NĂM 2019</t>
  </si>
  <si>
    <t>CHI CÂN ĐỐI NGÂN SÁCH</t>
  </si>
  <si>
    <t>CHI TỪ NGUỒN KẾT DƯ NGÂN SÁCH TỈNH</t>
  </si>
  <si>
    <t>2=3+4+5+6+7+8</t>
  </si>
  <si>
    <t>9=10+11</t>
  </si>
  <si>
    <t>CHI CHƯƠNG TRÌNH MỤC TIÊU, NHIỆM VỤ</t>
  </si>
  <si>
    <t>1=2+9+12+15</t>
  </si>
  <si>
    <t>A1</t>
  </si>
  <si>
    <t>TỈNH QUẢN LÝ</t>
  </si>
  <si>
    <t>A2</t>
  </si>
  <si>
    <t>PHÂN CẤP HUYỆN QUẢN LÝ</t>
  </si>
  <si>
    <t>Hỗ trợ có mục tiêu thực hiện theo Nghị quyết số 15/2015/NQ-HĐND ngày 09/12/2015 của HĐND tỉnh</t>
  </si>
  <si>
    <t xml:space="preserve">Hỗ trợ có mục tiêu cho huyện thực hiện duy tu, bảo dưỡng các công trình giao thông nông thôn </t>
  </si>
  <si>
    <t>Hỗ trợ có mục tiêu cho huyện Trà Cú thực hiện San lắp đoạn sông cũ (cống Trà Cú)  để nối liền cơ quan Huyện ủy</t>
  </si>
  <si>
    <t>VỐN GIAO CẤP HUYỆN THU ĐỂ CHI THEO QUY ĐỊNH (Nguồn thu sử dụng đất)</t>
  </si>
  <si>
    <t>(1)</t>
  </si>
  <si>
    <t xml:space="preserve"> Chi đầu tư từ nguồn thu tiền sử dụng đất (40%)</t>
  </si>
  <si>
    <t>(2)</t>
  </si>
  <si>
    <t xml:space="preserve"> Trích lập Quỹ phát triển đất (30%)</t>
  </si>
  <si>
    <t>(3)</t>
  </si>
  <si>
    <t>Đầu tư công trình xã hội hóa (20%)</t>
  </si>
  <si>
    <t>B1</t>
  </si>
  <si>
    <t>B2</t>
  </si>
  <si>
    <t>Hỗ trợ có mục tiêu cho huyện san lấp mặt bằng, nâng cấp, sửa chữa nhỏ các trường học đạt chuẩn quốc gia</t>
  </si>
  <si>
    <t>Chương trình mục tiêu quốc gia Xây dựng nông thôn mới</t>
  </si>
  <si>
    <t>Hỗ trợ các xã xây dựng nông thôn mới</t>
  </si>
  <si>
    <t>Xã Phương Thạnh</t>
  </si>
  <si>
    <t>Xã Đại Phúc</t>
  </si>
  <si>
    <t>Xã An Trường A</t>
  </si>
  <si>
    <t>Xã Nhị Long Phú</t>
  </si>
  <si>
    <t>Xã Tân An</t>
  </si>
  <si>
    <t>Xã Huyền Hội</t>
  </si>
  <si>
    <t>Xã Bình Phú</t>
  </si>
  <si>
    <t>Xã Nhị Long</t>
  </si>
  <si>
    <t>Xã Đức Mỹ</t>
  </si>
  <si>
    <t>Xã Đại Phước</t>
  </si>
  <si>
    <t>Xã Châu Điền</t>
  </si>
  <si>
    <t>Xã Hòa Tân</t>
  </si>
  <si>
    <t>Xã Ninh Thới</t>
  </si>
  <si>
    <t>Xã Thông Hòa</t>
  </si>
  <si>
    <t>Xã Tam Ngãi</t>
  </si>
  <si>
    <t>Xã Kim Hòa</t>
  </si>
  <si>
    <t>Xã Mỹ Long Bắc</t>
  </si>
  <si>
    <t>Xã Vinh Kim</t>
  </si>
  <si>
    <t>Xã Mỹ Long Nam</t>
  </si>
  <si>
    <t>Xã Long Hòa</t>
  </si>
  <si>
    <t>Xã Thanh Mỹ</t>
  </si>
  <si>
    <t xml:space="preserve">Xã Hưng Mỹ </t>
  </si>
  <si>
    <t>Xã Mỹ Chánh</t>
  </si>
  <si>
    <t>Xã Lương Hòa</t>
  </si>
  <si>
    <t>Xã Song Lộc</t>
  </si>
  <si>
    <t>Xã Nguyệt Hóa</t>
  </si>
  <si>
    <t>Xã Hòa Thuận</t>
  </si>
  <si>
    <t>Xã Hòa Minh</t>
  </si>
  <si>
    <t>Xã Phước Hảo</t>
  </si>
  <si>
    <t>Xã Đa Lộc</t>
  </si>
  <si>
    <t>Xã Hòa Lợi</t>
  </si>
  <si>
    <t>Xã Long Khánh</t>
  </si>
  <si>
    <t>Xã Long Vĩnh</t>
  </si>
  <si>
    <t>Xã Ngũ Lạc</t>
  </si>
  <si>
    <t>Xã Đôn Châu</t>
  </si>
  <si>
    <t>Xã Đôn Xuân</t>
  </si>
  <si>
    <t>Xã Đông Hải</t>
  </si>
  <si>
    <t xml:space="preserve">Xã Phú Cần </t>
  </si>
  <si>
    <t>Xã Tân Hòa</t>
  </si>
  <si>
    <t>Xã Ngãi Hùng</t>
  </si>
  <si>
    <t>Xã Định An</t>
  </si>
  <si>
    <t>Xã Lưu Nghiệp Anh</t>
  </si>
  <si>
    <t>Xã Tập Sơn</t>
  </si>
  <si>
    <t>Xã Ngãi Xuyên</t>
  </si>
  <si>
    <t>Xã Hàm Tân</t>
  </si>
  <si>
    <t>Xã Dân Thành</t>
  </si>
  <si>
    <t>Xã Long Toàn</t>
  </si>
  <si>
    <t xml:space="preserve">Xã Long Hữu </t>
  </si>
  <si>
    <t>Xã Hiệp Thạnh</t>
  </si>
  <si>
    <t>Xã Trường Long Hòa</t>
  </si>
  <si>
    <t>Xã Long Đức</t>
  </si>
  <si>
    <t xml:space="preserve">CHI ĐẦU TƯ XDCB </t>
  </si>
  <si>
    <t>Chi từ nguồn kết dư ngân sách tỉnh</t>
  </si>
  <si>
    <t>Kinh phí thực hện chế độ, chinh sách</t>
  </si>
  <si>
    <t>Chi thường xuyên khác còn lại</t>
  </si>
  <si>
    <t>VỐN ĐẦU TƯ</t>
  </si>
  <si>
    <t>VỐN SỰ NGHIỆP</t>
  </si>
  <si>
    <t>Sở Y tế (vốn trái phiếu chính phủ)</t>
  </si>
  <si>
    <t>Đào tạo cán bộ quân sự cấp xã</t>
  </si>
  <si>
    <t>BHYT cho người nghèo, dân tộc vùng khó khăn</t>
  </si>
  <si>
    <t>Sở Lao động TB – XH</t>
  </si>
  <si>
    <t>BQL Dự án phát triển doanh nghiệp nhỏ và vừa tỉnh TV (Sở Kế hoạch và Đầu tư)</t>
  </si>
  <si>
    <t>Ban điều phối Dự án thích ứng biến đổi khí hậu vùng ĐBSCL (Dự án AMD)</t>
  </si>
  <si>
    <t>Các khoản chi khác còn lại</t>
  </si>
  <si>
    <t>TỶ LỆ PHẦN TRĂM (%) CÁC KHOẢN THU PHÂN CHIA 
GIỮA NGÂN SÁCH CÁC CẤP CHÍNH QUYỀN ĐỊA PHƯƠNG NĂM 2019</t>
  </si>
  <si>
    <t>Cấp tỉnh</t>
  </si>
  <si>
    <t>Tổng công</t>
  </si>
  <si>
    <t>Đơn vị tính: %</t>
  </si>
  <si>
    <t>Tên cấp ngân sách</t>
  </si>
  <si>
    <t xml:space="preserve">D </t>
  </si>
  <si>
    <t>Biểu số 45/CK-NSNN</t>
  </si>
</sst>
</file>

<file path=xl/styles.xml><?xml version="1.0" encoding="utf-8"?>
<styleSheet xmlns="http://schemas.openxmlformats.org/spreadsheetml/2006/main" xmlns:mc="http://schemas.openxmlformats.org/markup-compatibility/2006" xmlns:x14ac="http://schemas.microsoft.com/office/spreadsheetml/2009/9/ac" mc:Ignorable="x14ac">
  <numFmts count="188">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 _₫_-;\-* #,##0.00\ _₫_-;_-* &quot;-&quot;??\ _₫_-;_-@_-"/>
    <numFmt numFmtId="166" formatCode="#,##0;[Red]\-#,##0;&quot; &quot;"/>
    <numFmt numFmtId="167" formatCode="_(* #,##0_);_(* \(#,##0\);_(* &quot;-&quot;??_);_(@_)"/>
    <numFmt numFmtId="168" formatCode="#,##0.0;[Red]\-#,##0.0;&quot; &quot;"/>
    <numFmt numFmtId="169" formatCode="#,##0.0"/>
    <numFmt numFmtId="170" formatCode="#,##0.0;[Red]#,##0.0"/>
    <numFmt numFmtId="171" formatCode="&quot;\&quot;#,##0.00;[Red]&quot;\&quot;&quot;\&quot;&quot;\&quot;&quot;\&quot;&quot;\&quot;&quot;\&quot;\-#,##0.00"/>
    <numFmt numFmtId="172" formatCode="&quot;\&quot;#,##0;[Red]&quot;\&quot;&quot;\&quot;\-#,##0"/>
    <numFmt numFmtId="173" formatCode="_ * #,##0_ ;_ * \-#,##0_ ;_ * &quot;-&quot;_ ;_ @_ "/>
    <numFmt numFmtId="174" formatCode="_ * #,##0.00_ ;_ * \-#,##0.00_ ;_ * &quot;-&quot;??_ ;_ @_ "/>
    <numFmt numFmtId="175" formatCode="&quot;$&quot;#,##0;\-&quot;$&quot;#,##0"/>
    <numFmt numFmtId="176" formatCode="\$#,##0\ ;\(\$#,##0\)"/>
    <numFmt numFmtId="177" formatCode="_(* #,##0.000_);_(* \(#,##0.000\);_(* &quot;-&quot;??_);_(@_)"/>
    <numFmt numFmtId="178" formatCode="_(* #,##0.0000_);_(* \(#,##0.0000\);_(* &quot;-&quot;??_);_(@_)"/>
    <numFmt numFmtId="179" formatCode="#,###;\-#,###;&quot;&quot;;_(@_)"/>
    <numFmt numFmtId="180" formatCode="_(* #,##0.000000_);_(* \(#,##0.000000\);_(* &quot;-&quot;??_);_(@_)"/>
    <numFmt numFmtId="181" formatCode="#,##0\ &quot;$&quot;_);[Red]\(#,##0\ &quot;$&quot;\)"/>
    <numFmt numFmtId="182" formatCode="&quot;$&quot;###,0&quot;.&quot;00_);[Red]\(&quot;$&quot;###,0&quot;.&quot;00\)"/>
    <numFmt numFmtId="183" formatCode="#,##0.00\ &quot;F&quot;;[Red]\-#,##0.00\ &quot;F&quot;"/>
    <numFmt numFmtId="184" formatCode="_-* #,##0\ &quot;F&quot;_-;\-* #,##0\ &quot;F&quot;_-;_-* &quot;-&quot;\ &quot;F&quot;_-;_-@_-"/>
    <numFmt numFmtId="185" formatCode="#,##0\ &quot;F&quot;;[Red]\-#,##0\ &quot;F&quot;"/>
    <numFmt numFmtId="186" formatCode="#,##0.00\ &quot;F&quot;;\-#,##0.00\ &quot;F&quot;"/>
    <numFmt numFmtId="187" formatCode="0.000"/>
    <numFmt numFmtId="188" formatCode="&quot;\&quot;#,##0.00;[Red]&quot;\&quot;\-#,##0.00"/>
    <numFmt numFmtId="189" formatCode="&quot;\&quot;#,##0;[Red]&quot;\&quot;\-#,##0"/>
    <numFmt numFmtId="190" formatCode="_-* #,##0_-;\-* #,##0_-;_-* &quot;-&quot;_-;_-@_-"/>
    <numFmt numFmtId="191" formatCode="_-* #,##0.00_-;\-* #,##0.00_-;_-* &quot;-&quot;??_-;_-@_-"/>
    <numFmt numFmtId="192" formatCode="_-&quot;$&quot;* #,##0_-;\-&quot;$&quot;* #,##0_-;_-&quot;$&quot;* &quot;-&quot;_-;_-@_-"/>
    <numFmt numFmtId="193" formatCode="&quot;F&quot;#,##0;[Red]\-&quot;F&quot;#,##0"/>
    <numFmt numFmtId="194" formatCode="_-&quot;$&quot;* #,##0.00_-;\-&quot;$&quot;* #,##0.00_-;_-&quot;$&quot;* &quot;-&quot;??_-;_-@_-"/>
    <numFmt numFmtId="195" formatCode="#,##0.00;[Red]\-#,##0.00;&quot; &quot;"/>
    <numFmt numFmtId="196" formatCode="0_)"/>
    <numFmt numFmtId="197" formatCode="###,###"/>
    <numFmt numFmtId="198" formatCode="#,##0_ ;[Red]\-#,##0\ "/>
    <numFmt numFmtId="199" formatCode="#,##0.000"/>
    <numFmt numFmtId="200" formatCode="###,###.00"/>
    <numFmt numFmtId="201" formatCode="_-* #,##0\ _₫_-;\-* #,##0\ _₫_-;_-* &quot;-&quot;??\ _₫_-;_-@_-"/>
    <numFmt numFmtId="202" formatCode="_(* #,##0.0_);_(* \(#,##0.0\);_(* &quot;-&quot;??_);_(@_)"/>
    <numFmt numFmtId="203" formatCode="_-&quot;ñ&quot;* #,##0_-;\-&quot;ñ&quot;* #,##0_-;_-&quot;ñ&quot;* &quot;-&quot;_-;_-@_-"/>
    <numFmt numFmtId="204" formatCode="#,##0\ &quot;DM&quot;;\-#,##0\ &quot;DM&quot;"/>
    <numFmt numFmtId="205" formatCode="0.000%"/>
    <numFmt numFmtId="206" formatCode="#.##00"/>
    <numFmt numFmtId="207" formatCode="&quot;Rp&quot;#,##0_);[Red]\(&quot;Rp&quot;#,##0\)"/>
    <numFmt numFmtId="208" formatCode="_ * #,##0_)\ &quot;$&quot;_ ;_ * \(#,##0\)\ &quot;$&quot;_ ;_ * &quot;-&quot;_)\ &quot;$&quot;_ ;_ @_ "/>
    <numFmt numFmtId="209" formatCode="_-* #,##0\ _F_-;\-* #,##0\ _F_-;_-* &quot;-&quot;\ _F_-;_-@_-"/>
    <numFmt numFmtId="210" formatCode="_-* #,##0\ &quot;€&quot;_-;\-* #,##0\ &quot;€&quot;_-;_-* &quot;-&quot;\ &quot;€&quot;_-;_-@_-"/>
    <numFmt numFmtId="211" formatCode="_-* #,##0\ &quot;$&quot;_-;\-* #,##0\ &quot;$&quot;_-;_-* &quot;-&quot;\ &quot;$&quot;_-;_-@_-"/>
    <numFmt numFmtId="212" formatCode="_ * #,##0_)&quot;$&quot;_ ;_ * \(#,##0\)&quot;$&quot;_ ;_ * &quot;-&quot;_)&quot;$&quot;_ ;_ @_ "/>
    <numFmt numFmtId="213" formatCode="_-&quot;€&quot;* #,##0_-;\-&quot;€&quot;* #,##0_-;_-&quot;€&quot;* &quot;-&quot;_-;_-@_-"/>
    <numFmt numFmtId="214" formatCode="_-* #,##0.00\ _F_-;\-* #,##0.00\ _F_-;_-* &quot;-&quot;??\ _F_-;_-@_-"/>
    <numFmt numFmtId="215" formatCode="_-* #,##0.00\ _€_-;\-* #,##0.00\ _€_-;_-* &quot;-&quot;??\ _€_-;_-@_-"/>
    <numFmt numFmtId="216" formatCode="_-* #,##0.00\ _V_N_D_-;\-* #,##0.00\ _V_N_D_-;_-* &quot;-&quot;??\ _V_N_D_-;_-@_-"/>
    <numFmt numFmtId="217" formatCode="_ * #,##0.00_)\ _$_ ;_ * \(#,##0.00\)\ _$_ ;_ * &quot;-&quot;??_)\ _$_ ;_ @_ "/>
    <numFmt numFmtId="218" formatCode="_ * #,##0.00_)_$_ ;_ * \(#,##0.00\)_$_ ;_ * &quot;-&quot;??_)_$_ ;_ @_ "/>
    <numFmt numFmtId="219" formatCode="_-* #,##0.00\ _ñ_-;\-* #,##0.00\ _ñ_-;_-* &quot;-&quot;??\ _ñ_-;_-@_-"/>
    <numFmt numFmtId="220" formatCode="_-* #,##0.00\ _ñ_-;_-* #,##0.00\ _ñ\-;_-* &quot;-&quot;??\ _ñ_-;_-@_-"/>
    <numFmt numFmtId="221" formatCode="_(&quot;$&quot;\ * #,##0_);_(&quot;$&quot;\ * \(#,##0\);_(&quot;$&quot;\ * &quot;-&quot;_);_(@_)"/>
    <numFmt numFmtId="222" formatCode="_-* #,##0.00000000_-;\-* #,##0.00000000_-;_-* &quot;-&quot;??_-;_-@_-"/>
    <numFmt numFmtId="223" formatCode="_(&quot;€&quot;\ * #,##0_);_(&quot;€&quot;\ * \(#,##0\);_(&quot;€&quot;\ * &quot;-&quot;_);_(@_)"/>
    <numFmt numFmtId="224" formatCode="_-* #,##0\ &quot;ñ&quot;_-;\-* #,##0\ &quot;ñ&quot;_-;_-* &quot;-&quot;\ &quot;ñ&quot;_-;_-@_-"/>
    <numFmt numFmtId="225" formatCode="_-* #,##0\ _€_-;\-* #,##0\ _€_-;_-* &quot;-&quot;\ _€_-;_-@_-"/>
    <numFmt numFmtId="226" formatCode="_-* #,##0\ _₫_-;\-* #,##0\ _₫_-;_-* &quot;-&quot;\ _₫_-;_-@_-"/>
    <numFmt numFmtId="227" formatCode="_-* #,##0\ _V_N_D_-;\-* #,##0\ _V_N_D_-;_-* &quot;-&quot;\ _V_N_D_-;_-@_-"/>
    <numFmt numFmtId="228" formatCode="_ * #,##0_)\ _$_ ;_ * \(#,##0\)\ _$_ ;_ * &quot;-&quot;_)\ _$_ ;_ @_ "/>
    <numFmt numFmtId="229" formatCode="_ * #,##0_)_$_ ;_ * \(#,##0\)_$_ ;_ * &quot;-&quot;_)_$_ ;_ @_ "/>
    <numFmt numFmtId="230" formatCode="_-* #,##0\ _$_-;\-* #,##0\ _$_-;_-* &quot;-&quot;\ _$_-;_-@_-"/>
    <numFmt numFmtId="231" formatCode="_-* #,##0\ _ñ_-;\-* #,##0\ _ñ_-;_-* &quot;-&quot;\ _ñ_-;_-@_-"/>
    <numFmt numFmtId="232" formatCode="_-* #,##0\ _ñ_-;_-* #,##0\ _ñ\-;_-* &quot;-&quot;\ _ñ_-;_-@_-"/>
    <numFmt numFmtId="233" formatCode="_ &quot;\&quot;* #,##0_ ;_ &quot;\&quot;* \-#,##0_ ;_ &quot;\&quot;* &quot;-&quot;_ ;_ @_ "/>
    <numFmt numFmtId="234" formatCode="_ * #,##0_)\ &quot;F&quot;_ ;_ * \(#,##0\)\ &quot;F&quot;_ ;_ * &quot;-&quot;_)\ &quot;F&quot;_ ;_ @_ "/>
    <numFmt numFmtId="235" formatCode="&quot;£&quot;#,##0.00;\-&quot;£&quot;#,##0.00"/>
    <numFmt numFmtId="236" formatCode="_-&quot;F&quot;* #,##0_-;\-&quot;F&quot;* #,##0_-;_-&quot;F&quot;* &quot;-&quot;_-;_-@_-"/>
    <numFmt numFmtId="237" formatCode="_ * #,##0.00_)&quot;$&quot;_ ;_ * \(#,##0.00\)&quot;$&quot;_ ;_ * &quot;-&quot;??_)&quot;$&quot;_ ;_ @_ "/>
    <numFmt numFmtId="238" formatCode="_ * #,##0.0_)_$_ ;_ * \(#,##0.0\)_$_ ;_ * &quot;-&quot;??_)_$_ ;_ @_ "/>
    <numFmt numFmtId="239" formatCode=";;"/>
    <numFmt numFmtId="240" formatCode="_ * #,##0.00_)&quot;€&quot;_ ;_ * \(#,##0.00\)&quot;€&quot;_ ;_ * &quot;-&quot;??_)&quot;€&quot;_ ;_ @_ "/>
    <numFmt numFmtId="241" formatCode="#,##0.0_);\(#,##0.0\)"/>
    <numFmt numFmtId="242" formatCode="_ &quot;\&quot;* #,##0.00_ ;_ &quot;\&quot;* &quot;\&quot;&quot;\&quot;&quot;\&quot;&quot;\&quot;&quot;\&quot;&quot;\&quot;&quot;\&quot;&quot;\&quot;&quot;\&quot;&quot;\&quot;&quot;\&quot;&quot;\&quot;\-#,##0.00_ ;_ &quot;\&quot;* &quot;-&quot;??_ ;_ @_ "/>
    <numFmt numFmtId="243" formatCode="0.0%"/>
    <numFmt numFmtId="244" formatCode="_ * #,##0.00_ ;_ * &quot;\&quot;&quot;\&quot;&quot;\&quot;&quot;\&quot;&quot;\&quot;&quot;\&quot;&quot;\&quot;&quot;\&quot;&quot;\&quot;&quot;\&quot;&quot;\&quot;&quot;\&quot;\-#,##0.00_ ;_ * &quot;-&quot;??_ ;_ @_ "/>
    <numFmt numFmtId="245" formatCode="&quot;$&quot;#,##0.00"/>
    <numFmt numFmtId="246" formatCode="&quot;\&quot;#,##0;&quot;\&quot;&quot;\&quot;&quot;\&quot;&quot;\&quot;&quot;\&quot;&quot;\&quot;&quot;\&quot;&quot;\&quot;&quot;\&quot;&quot;\&quot;&quot;\&quot;&quot;\&quot;&quot;\&quot;&quot;\&quot;\-#,##0"/>
    <numFmt numFmtId="247" formatCode="_ * #,##0.00_)&quot;£&quot;_ ;_ * \(#,##0.00\)&quot;£&quot;_ ;_ * &quot;-&quot;??_)&quot;£&quot;_ ;_ @_ "/>
    <numFmt numFmtId="248" formatCode="&quot;\&quot;#,##0;[Red]&quot;\&quot;&quot;\&quot;&quot;\&quot;&quot;\&quot;&quot;\&quot;&quot;\&quot;&quot;\&quot;&quot;\&quot;&quot;\&quot;&quot;\&quot;&quot;\&quot;&quot;\&quot;&quot;\&quot;&quot;\&quot;\-#,##0"/>
    <numFmt numFmtId="249" formatCode="_ * #,##0_ ;_ * &quot;\&quot;&quot;\&quot;&quot;\&quot;&quot;\&quot;&quot;\&quot;&quot;\&quot;&quot;\&quot;&quot;\&quot;&quot;\&quot;&quot;\&quot;&quot;\&quot;&quot;\&quot;\-#,##0_ ;_ * &quot;-&quot;_ ;_ @_ "/>
    <numFmt numFmtId="250" formatCode="0.0%;\(0.0%\)"/>
    <numFmt numFmtId="251" formatCode="&quot;\&quot;#,##0.00;&quot;\&quot;&quot;\&quot;&quot;\&quot;&quot;\&quot;&quot;\&quot;&quot;\&quot;&quot;\&quot;&quot;\&quot;&quot;\&quot;&quot;\&quot;&quot;\&quot;&quot;\&quot;&quot;\&quot;&quot;\&quot;\-#,##0.00"/>
    <numFmt numFmtId="252" formatCode="_-* #,##0.00\ &quot;F&quot;_-;\-* #,##0.00\ &quot;F&quot;_-;_-* &quot;-&quot;??\ &quot;F&quot;_-;_-@_-"/>
    <numFmt numFmtId="253" formatCode="0.000_)"/>
    <numFmt numFmtId="254" formatCode="#,##0_)_%;\(#,##0\)_%;"/>
    <numFmt numFmtId="255" formatCode="_._.* #,##0.0_)_%;_._.* \(#,##0.0\)_%"/>
    <numFmt numFmtId="256" formatCode="#,##0.0_)_%;\(#,##0.0\)_%;\ \ .0_)_%"/>
    <numFmt numFmtId="257" formatCode="_._.* #,##0.00_)_%;_._.* \(#,##0.00\)_%"/>
    <numFmt numFmtId="258" formatCode="#,##0.00_)_%;\(#,##0.00\)_%;\ \ .00_)_%"/>
    <numFmt numFmtId="259" formatCode="_._.* #,##0.000_)_%;_._.* \(#,##0.000\)_%"/>
    <numFmt numFmtId="260" formatCode="#,##0.000_)_%;\(#,##0.000\)_%;\ \ .000_)_%"/>
    <numFmt numFmtId="261" formatCode="&quot;$&quot;#,##0;[Red]\-&quot;$&quot;#,##0"/>
    <numFmt numFmtId="262" formatCode="_(* #,##0.00_);_(* \(#,##0.00\);_(* &quot;-&quot;&quot;?&quot;&quot;?&quot;_);_(@_)"/>
    <numFmt numFmtId="263" formatCode="_-* #,##0\ &quot;þ&quot;_-;\-* #,##0\ &quot;þ&quot;_-;_-* &quot;-&quot;\ &quot;þ&quot;_-;_-@_-"/>
    <numFmt numFmtId="264" formatCode="_-* #,##0.00\ _þ_-;\-* #,##0.00\ _þ_-;_-* &quot;-&quot;??\ _þ_-;_-@_-"/>
    <numFmt numFmtId="265" formatCode="_-* #,##0_-;\-* #,##0_-;_-* &quot;-&quot;??_-;_-@_-"/>
    <numFmt numFmtId="266" formatCode="\t#\ ??/??"/>
    <numFmt numFmtId="267" formatCode="0.0000"/>
    <numFmt numFmtId="268" formatCode="_-* #,##0.00\ _$_-;\-* #,##0.00\ _$_-;_-* &quot;-&quot;??\ _$_-;_-@_-"/>
    <numFmt numFmtId="269" formatCode="&quot;True&quot;;&quot;True&quot;;&quot;False&quot;"/>
    <numFmt numFmtId="270" formatCode="_(* #,##0.0_);_(* \(#,##0.0\);_(* &quot;-&quot;?_);_(@_)"/>
    <numFmt numFmtId="271" formatCode="_(&quot;Z$&quot;* #,##0.00_);_(&quot;Z$&quot;* \(#,##0.00\);_(&quot;Z$&quot;* &quot;-&quot;??_);_(@_)"/>
    <numFmt numFmtId="272" formatCode="_(* #.##0.00_);_(* \(#.##0.00\);_(* &quot;-&quot;??_);_(@_)"/>
    <numFmt numFmtId="273" formatCode="#,##0;[Red]#,##0"/>
    <numFmt numFmtId="274" formatCode="#,##0;\(#,##0\)"/>
    <numFmt numFmtId="275" formatCode="_._.* \(#,##0\)_%;_._.* #,##0_)_%;_._.* 0_)_%;_._.@_)_%"/>
    <numFmt numFmtId="276" formatCode="_._.&quot;€&quot;* \(#,##0\)_%;_._.&quot;€&quot;* #,##0_)_%;_._.&quot;€&quot;* 0_)_%;_._.@_)_%"/>
    <numFmt numFmtId="277" formatCode="* \(#,##0\);* #,##0_);&quot;-&quot;??_);@"/>
    <numFmt numFmtId="278" formatCode="_ &quot;R&quot;\ * #,##0_ ;_ &quot;R&quot;\ * \-#,##0_ ;_ &quot;R&quot;\ * &quot;-&quot;_ ;_ @_ "/>
    <numFmt numFmtId="279" formatCode="_ * #,##0.00_ ;_ * &quot;\&quot;&quot;\&quot;&quot;\&quot;&quot;\&quot;&quot;\&quot;&quot;\&quot;\-#,##0.00_ ;_ * &quot;-&quot;??_ ;_ @_ "/>
    <numFmt numFmtId="280" formatCode="&quot;€&quot;* #,##0_)_%;&quot;€&quot;* \(#,##0\)_%;&quot;€&quot;* &quot;-&quot;??_)_%;@_)_%"/>
    <numFmt numFmtId="281" formatCode="&quot;$&quot;* #,##0_)_%;&quot;$&quot;* \(#,##0\)_%;&quot;$&quot;* &quot;-&quot;??_)_%;@_)_%"/>
    <numFmt numFmtId="282" formatCode="_-* #,##0\ &quot;₫&quot;_-;\-* #,##0\ &quot;₫&quot;_-;_-* &quot;-&quot;\ &quot;₫&quot;_-;_-@_-"/>
    <numFmt numFmtId="283" formatCode="&quot;\&quot;#,##0.00;&quot;\&quot;&quot;\&quot;&quot;\&quot;&quot;\&quot;&quot;\&quot;&quot;\&quot;&quot;\&quot;&quot;\&quot;\-#,##0.00"/>
    <numFmt numFmtId="284" formatCode="_._.&quot;€&quot;* #,##0.0_)_%;_._.&quot;€&quot;* \(#,##0.0\)_%"/>
    <numFmt numFmtId="285" formatCode="&quot;€&quot;* #,##0.0_)_%;&quot;€&quot;* \(#,##0.0\)_%;&quot;€&quot;* \ .0_)_%"/>
    <numFmt numFmtId="286" formatCode="_._.&quot;$&quot;* #,##0.0_)_%;_._.&quot;$&quot;* \(#,##0.0\)_%"/>
    <numFmt numFmtId="287" formatCode="_._.&quot;€&quot;* #,##0.00_)_%;_._.&quot;€&quot;* \(#,##0.00\)_%"/>
    <numFmt numFmtId="288" formatCode="&quot;€&quot;* #,##0.00_)_%;&quot;€&quot;* \(#,##0.00\)_%;&quot;€&quot;* \ .00_)_%"/>
    <numFmt numFmtId="289" formatCode="_._.&quot;$&quot;* #,##0.00_)_%;_._.&quot;$&quot;* \(#,##0.00\)_%"/>
    <numFmt numFmtId="290" formatCode="_._.&quot;€&quot;* #,##0.000_)_%;_._.&quot;€&quot;* \(#,##0.000\)_%"/>
    <numFmt numFmtId="291" formatCode="&quot;€&quot;* #,##0.000_)_%;&quot;€&quot;* \(#,##0.000\)_%;&quot;€&quot;* \ .000_)_%"/>
    <numFmt numFmtId="292" formatCode="_._.&quot;$&quot;* #,##0.000_)_%;_._.&quot;$&quot;* \(#,##0.000\)_%"/>
    <numFmt numFmtId="293" formatCode="_-* #,##0.00\ &quot;€&quot;_-;\-* #,##0.00\ &quot;€&quot;_-;_-* &quot;-&quot;??\ &quot;€&quot;_-;_-@_-"/>
    <numFmt numFmtId="294" formatCode="_ * #,##0_ ;_ * &quot;\&quot;&quot;\&quot;&quot;\&quot;&quot;\&quot;&quot;\&quot;&quot;\&quot;\-#,##0_ ;_ * &quot;-&quot;_ ;_ @_ "/>
    <numFmt numFmtId="295" formatCode="&quot;$&quot;#,##0\ ;\(&quot;$&quot;#,##0\)"/>
    <numFmt numFmtId="296" formatCode="\t0.00%"/>
    <numFmt numFmtId="297" formatCode="* #,##0_);* \(#,##0\);&quot;-&quot;??_);@"/>
    <numFmt numFmtId="298" formatCode="\U\S\$#,##0.00;\(\U\S\$#,##0.00\)"/>
    <numFmt numFmtId="299" formatCode="_(\§\g\ #,##0_);_(\§\g\ \(#,##0\);_(\§\g\ &quot;-&quot;??_);_(@_)"/>
    <numFmt numFmtId="300" formatCode="_(\§\g\ #,##0_);_(\§\g\ \(#,##0\);_(\§\g\ &quot;-&quot;_);_(@_)"/>
    <numFmt numFmtId="301" formatCode="\§\g#,##0_);\(\§\g#,##0\)"/>
    <numFmt numFmtId="302" formatCode="_-&quot;VND&quot;* #,##0_-;\-&quot;VND&quot;* #,##0_-;_-&quot;VND&quot;* &quot;-&quot;_-;_-@_-"/>
    <numFmt numFmtId="303" formatCode="_(&quot;Rp&quot;* #,##0.00_);_(&quot;Rp&quot;* \(#,##0.00\);_(&quot;Rp&quot;* &quot;-&quot;??_);_(@_)"/>
    <numFmt numFmtId="304" formatCode="#,##0.00\ &quot;FB&quot;;[Red]\-#,##0.00\ &quot;FB&quot;"/>
    <numFmt numFmtId="305" formatCode="#,##0\ &quot;$&quot;;\-#,##0\ &quot;$&quot;"/>
    <numFmt numFmtId="306" formatCode="_-* #,##0\ _F_B_-;\-* #,##0\ _F_B_-;_-* &quot;-&quot;\ _F_B_-;_-@_-"/>
    <numFmt numFmtId="307" formatCode="_-[$€]* #,##0.00_-;\-[$€]* #,##0.00_-;_-[$€]* &quot;-&quot;??_-;_-@_-"/>
    <numFmt numFmtId="308" formatCode="_ * #,##0.00_)_d_ ;_ * \(#,##0.00\)_d_ ;_ * &quot;-&quot;??_)_d_ ;_ @_ "/>
    <numFmt numFmtId="309" formatCode="#,##0_);\-#,##0_)"/>
    <numFmt numFmtId="310" formatCode="&quot;€&quot;#,##0;\-&quot;€&quot;#,##0"/>
    <numFmt numFmtId="311" formatCode="#,##0\ &quot;$&quot;_);\(#,##0\ &quot;$&quot;\)"/>
    <numFmt numFmtId="312" formatCode="_-&quot;£&quot;* #,##0_-;\-&quot;£&quot;* #,##0_-;_-&quot;£&quot;* &quot;-&quot;_-;_-@_-"/>
    <numFmt numFmtId="313" formatCode="#,###"/>
    <numFmt numFmtId="314" formatCode="&quot;\&quot;#,##0;[Red]\-&quot;\&quot;#,##0"/>
    <numFmt numFmtId="315" formatCode="&quot;\&quot;#,##0.00;\-&quot;\&quot;#,##0.00"/>
    <numFmt numFmtId="316" formatCode="#,##0.00_);\-#,##0.00_)"/>
    <numFmt numFmtId="317" formatCode="0_)%;\(0\)%"/>
    <numFmt numFmtId="318" formatCode="_._._(* 0_)%;_._.* \(0\)%"/>
    <numFmt numFmtId="319" formatCode="_(0_)%;\(0\)%"/>
    <numFmt numFmtId="320" formatCode="0%_);\(0%\)"/>
    <numFmt numFmtId="321" formatCode="#,##0.000_);\(#,##0.000\)"/>
    <numFmt numFmtId="322" formatCode="_ &quot;\&quot;* #,##0_ ;_ &quot;\&quot;* &quot;\&quot;&quot;\&quot;&quot;\&quot;&quot;\&quot;&quot;\&quot;&quot;\&quot;&quot;\&quot;&quot;\&quot;&quot;\&quot;&quot;\&quot;&quot;\&quot;&quot;\&quot;&quot;\&quot;&quot;\&quot;\-#,##0_ ;_ &quot;\&quot;* &quot;-&quot;_ ;_ @_ "/>
    <numFmt numFmtId="323" formatCode="_(0.0_)%;\(0.0\)%"/>
    <numFmt numFmtId="324" formatCode="_._._(* 0.0_)%;_._.* \(0.0\)%"/>
    <numFmt numFmtId="325" formatCode="_(0.00_)%;\(0.00\)%"/>
    <numFmt numFmtId="326" formatCode="_._._(* 0.00_)%;_._.* \(0.00\)%"/>
    <numFmt numFmtId="327" formatCode="_(0.000_)%;\(0.000\)%"/>
    <numFmt numFmtId="328" formatCode="_._._(* 0.000_)%;_._.* \(0.000\)%"/>
    <numFmt numFmtId="329" formatCode="#"/>
    <numFmt numFmtId="330" formatCode="&quot;¡Ì&quot;#,##0;[Red]\-&quot;¡Ì&quot;#,##0"/>
    <numFmt numFmtId="331" formatCode="&quot;£&quot;#,##0;[Red]\-&quot;£&quot;#,##0"/>
    <numFmt numFmtId="332" formatCode="#,##0.00\ \ "/>
    <numFmt numFmtId="333" formatCode="0.00000000000E+00;\?"/>
    <numFmt numFmtId="334" formatCode="_-* ###,0&quot;.&quot;00\ _F_B_-;\-* ###,0&quot;.&quot;00\ _F_B_-;_-* &quot;-&quot;??\ _F_B_-;_-@_-"/>
    <numFmt numFmtId="335" formatCode="_ * #,##0_ ;_ * \-#,##0_ ;_ * &quot;-&quot;??_ ;_ @_ "/>
    <numFmt numFmtId="336" formatCode="0.00000"/>
    <numFmt numFmtId="337" formatCode="#,##0.00\ \ \ \ "/>
    <numFmt numFmtId="338" formatCode="_ * #.##._ ;_ * \-#.##._ ;_ * &quot;-&quot;??_ ;_ @_ⴆ"/>
    <numFmt numFmtId="339" formatCode="&quot;\&quot;#,##0.00;[Red]&quot;\&quot;&quot;\&quot;&quot;\&quot;&quot;\&quot;&quot;\&quot;&quot;\&quot;&quot;\&quot;&quot;\&quot;&quot;\&quot;&quot;\&quot;&quot;\&quot;&quot;\&quot;&quot;\&quot;&quot;\&quot;\-#,##0.00"/>
    <numFmt numFmtId="340" formatCode="_ &quot;\&quot;* #,##0_ ;_ &quot;\&quot;* &quot;\&quot;&quot;\&quot;&quot;\&quot;&quot;\&quot;&quot;\&quot;&quot;\&quot;&quot;\&quot;&quot;\&quot;&quot;\&quot;&quot;\&quot;&quot;\&quot;&quot;\&quot;&quot;\&quot;\-#,##0_ ;_ &quot;\&quot;* &quot;-&quot;_ ;_ @_ "/>
    <numFmt numFmtId="341" formatCode="_-* #,##0\ _F_-;\-* #,##0\ _F_-;_-* &quot;-&quot;??\ _F_-;_-@_-"/>
    <numFmt numFmtId="342" formatCode="0.000\ "/>
    <numFmt numFmtId="343" formatCode="#,##0\ &quot;Lt&quot;;[Red]\-#,##0\ &quot;Lt&quot;"/>
    <numFmt numFmtId="344" formatCode="&quot;€&quot;#,##0;[Red]\-&quot;€&quot;#,##0"/>
    <numFmt numFmtId="346" formatCode="_(* #,##0.00_);_(* \(#,##0.00\);_(* &quot;-&quot;_);_(@_)"/>
  </numFmts>
  <fonts count="366">
    <font>
      <sz val="11"/>
      <color theme="1"/>
      <name val="Calibri"/>
      <family val="2"/>
      <scheme val="minor"/>
    </font>
    <font>
      <sz val="11"/>
      <color theme="1"/>
      <name val="Calibri"/>
      <family val="2"/>
      <scheme val="minor"/>
    </font>
    <font>
      <sz val="11"/>
      <name val=".VnArial Narrow"/>
      <family val="2"/>
    </font>
    <font>
      <b/>
      <sz val="14"/>
      <name val="Times New Roman"/>
      <family val="1"/>
    </font>
    <font>
      <sz val="11"/>
      <name val="Times New Roman"/>
      <family val="1"/>
    </font>
    <font>
      <b/>
      <sz val="12"/>
      <name val="Times New Roman"/>
      <family val="1"/>
    </font>
    <font>
      <i/>
      <sz val="11"/>
      <name val="Times New Roman"/>
      <family val="1"/>
    </font>
    <font>
      <i/>
      <sz val="12"/>
      <name val="Times New Roman"/>
      <family val="1"/>
    </font>
    <font>
      <b/>
      <sz val="9"/>
      <name val="Times New Roman"/>
      <family val="1"/>
    </font>
    <font>
      <sz val="10"/>
      <name val="Times New Roman"/>
      <family val="1"/>
    </font>
    <font>
      <b/>
      <u/>
      <sz val="11"/>
      <name val="Times New Roman"/>
      <family val="1"/>
    </font>
    <font>
      <b/>
      <u/>
      <sz val="12"/>
      <name val="Times New Roman"/>
      <family val="1"/>
    </font>
    <font>
      <sz val="12"/>
      <color indexed="8"/>
      <name val="Times New Roman"/>
      <family val="1"/>
    </font>
    <font>
      <sz val="12"/>
      <name val="Times New Roman"/>
      <family val="1"/>
    </font>
    <font>
      <i/>
      <sz val="11"/>
      <color indexed="12"/>
      <name val="Times New Roman"/>
      <family val="1"/>
    </font>
    <font>
      <i/>
      <sz val="12"/>
      <color indexed="12"/>
      <name val="Times New Roman"/>
      <family val="1"/>
    </font>
    <font>
      <u/>
      <sz val="11"/>
      <name val="Times New Roman"/>
      <family val="1"/>
    </font>
    <font>
      <u/>
      <sz val="12"/>
      <name val="Times New Roman"/>
      <family val="1"/>
    </font>
    <font>
      <b/>
      <sz val="11"/>
      <name val="Times New Roman"/>
      <family val="1"/>
    </font>
    <font>
      <b/>
      <sz val="12"/>
      <color indexed="8"/>
      <name val="Times New Roman"/>
      <family val="1"/>
    </font>
    <font>
      <b/>
      <sz val="11"/>
      <color indexed="8"/>
      <name val="Times New Roman"/>
      <family val="1"/>
    </font>
    <font>
      <b/>
      <u/>
      <sz val="12"/>
      <color indexed="8"/>
      <name val="Times New Roman"/>
      <family val="1"/>
    </font>
    <font>
      <i/>
      <sz val="12"/>
      <color indexed="8"/>
      <name val="Times New Roman"/>
      <family val="1"/>
    </font>
    <font>
      <sz val="11"/>
      <color indexed="12"/>
      <name val="Times New Roman"/>
      <family val="1"/>
    </font>
    <font>
      <b/>
      <sz val="11"/>
      <color indexed="12"/>
      <name val="Times New Roman"/>
      <family val="1"/>
    </font>
    <font>
      <b/>
      <sz val="12"/>
      <color indexed="12"/>
      <name val="Times New Roman"/>
      <family val="1"/>
    </font>
    <font>
      <sz val="10"/>
      <name val="Arial"/>
      <family val="2"/>
    </font>
    <font>
      <i/>
      <sz val="12"/>
      <color rgb="FFFF0000"/>
      <name val="Times New Roman"/>
      <family val="1"/>
    </font>
    <font>
      <sz val="12"/>
      <color rgb="FFFF0000"/>
      <name val="Times New Roman"/>
      <family val="1"/>
    </font>
    <font>
      <sz val="13"/>
      <name val=".VnTime"/>
      <family val="2"/>
    </font>
    <font>
      <b/>
      <sz val="10"/>
      <name val="Times New Roman"/>
      <family val="1"/>
    </font>
    <font>
      <i/>
      <sz val="10"/>
      <name val="Times New Roman"/>
      <family val="1"/>
    </font>
    <font>
      <sz val="11"/>
      <color theme="1"/>
      <name val="Times New Roman"/>
      <family val="1"/>
    </font>
    <font>
      <b/>
      <sz val="11"/>
      <color rgb="FFFF0000"/>
      <name val="Times New Roman"/>
      <family val="1"/>
    </font>
    <font>
      <sz val="9"/>
      <color indexed="81"/>
      <name val="Tahoma"/>
      <family val="2"/>
    </font>
    <font>
      <i/>
      <sz val="13"/>
      <name val="Times New Roman"/>
      <family val="1"/>
    </font>
    <font>
      <b/>
      <i/>
      <sz val="11"/>
      <name val="Times New Roman"/>
      <family val="1"/>
    </font>
    <font>
      <b/>
      <sz val="11"/>
      <color theme="1"/>
      <name val="Calibri"/>
      <family val="2"/>
      <scheme val="minor"/>
    </font>
    <font>
      <b/>
      <i/>
      <sz val="11"/>
      <color indexed="8"/>
      <name val="Times New Roman"/>
      <family val="1"/>
    </font>
    <font>
      <b/>
      <i/>
      <sz val="12"/>
      <color indexed="8"/>
      <name val="Times New Roman"/>
      <family val="1"/>
    </font>
    <font>
      <b/>
      <i/>
      <sz val="12"/>
      <name val="Times New Roman"/>
      <family val="1"/>
    </font>
    <font>
      <b/>
      <sz val="12"/>
      <color rgb="FFFF0000"/>
      <name val="Times New Roman"/>
      <family val="1"/>
    </font>
    <font>
      <b/>
      <sz val="11"/>
      <color theme="5"/>
      <name val="Times New Roman"/>
      <family val="1"/>
    </font>
    <font>
      <b/>
      <u/>
      <sz val="12"/>
      <color theme="5"/>
      <name val="Times New Roman"/>
      <family val="1"/>
    </font>
    <font>
      <b/>
      <sz val="12"/>
      <color theme="5"/>
      <name val="Times New Roman"/>
      <family val="1"/>
    </font>
    <font>
      <sz val="10"/>
      <name val="VNI-Helve"/>
    </font>
    <font>
      <sz val="10"/>
      <color theme="1"/>
      <name val="Times New Roman"/>
      <family val="2"/>
      <charset val="163"/>
    </font>
    <font>
      <b/>
      <sz val="12"/>
      <name val="Arial"/>
      <family val="2"/>
    </font>
    <font>
      <i/>
      <sz val="12"/>
      <color rgb="FFFF0000"/>
      <name val="Arial"/>
      <family val="2"/>
    </font>
    <font>
      <i/>
      <sz val="12"/>
      <color rgb="FF000000"/>
      <name val="Arial"/>
      <family val="2"/>
    </font>
    <font>
      <sz val="12"/>
      <color rgb="FF000000"/>
      <name val="Arial"/>
      <family val="2"/>
    </font>
    <font>
      <sz val="12"/>
      <color indexed="53"/>
      <name val="Times New Roman"/>
      <family val="1"/>
    </font>
    <font>
      <b/>
      <sz val="9"/>
      <color indexed="81"/>
      <name val="Tahoma"/>
      <family val="2"/>
    </font>
    <font>
      <sz val="12"/>
      <name val="|??¢¥¢¬¨Ï"/>
      <family val="1"/>
      <charset val="129"/>
    </font>
    <font>
      <sz val="11"/>
      <color indexed="8"/>
      <name val="Calibri"/>
      <family val="2"/>
      <charset val="163"/>
    </font>
    <font>
      <sz val="11"/>
      <color indexed="9"/>
      <name val="Calibri"/>
      <family val="2"/>
      <charset val="163"/>
    </font>
    <font>
      <sz val="12"/>
      <name val="¹UAAA¼"/>
      <family val="3"/>
      <charset val="129"/>
    </font>
    <font>
      <sz val="11"/>
      <color indexed="20"/>
      <name val="Calibri"/>
      <family val="2"/>
      <charset val="163"/>
    </font>
    <font>
      <sz val="12"/>
      <name val="¹ÙÅÁÃ¼"/>
      <family val="1"/>
      <charset val="129"/>
    </font>
    <font>
      <b/>
      <sz val="11"/>
      <color indexed="52"/>
      <name val="Calibri"/>
      <family val="2"/>
      <charset val="163"/>
    </font>
    <font>
      <b/>
      <sz val="10"/>
      <name val="Helv"/>
      <family val="2"/>
    </font>
    <font>
      <b/>
      <sz val="11"/>
      <color indexed="9"/>
      <name val="Calibri"/>
      <family val="2"/>
      <charset val="163"/>
    </font>
    <font>
      <sz val="11"/>
      <name val="VNI-Times"/>
    </font>
    <font>
      <sz val="12"/>
      <color indexed="8"/>
      <name val="Times New Roman"/>
      <family val="2"/>
    </font>
    <font>
      <sz val="10"/>
      <name val="Arial"/>
      <family val="2"/>
      <charset val="163"/>
    </font>
    <font>
      <sz val="9"/>
      <name val="Arial"/>
      <family val="2"/>
    </font>
    <font>
      <sz val="10"/>
      <color theme="1"/>
      <name val="Arial"/>
      <family val="2"/>
    </font>
    <font>
      <sz val="12"/>
      <name val=".VnTime"/>
      <family val="2"/>
    </font>
    <font>
      <sz val="8"/>
      <name val="VNI-Helve-Condense"/>
    </font>
    <font>
      <sz val="12"/>
      <name val="VNI-Times"/>
    </font>
    <font>
      <i/>
      <sz val="11"/>
      <color indexed="23"/>
      <name val="Calibri"/>
      <family val="2"/>
      <charset val="163"/>
    </font>
    <font>
      <sz val="11"/>
      <color indexed="17"/>
      <name val="Calibri"/>
      <family val="2"/>
      <charset val="163"/>
    </font>
    <font>
      <sz val="8"/>
      <name val="Arial"/>
      <family val="2"/>
    </font>
    <font>
      <b/>
      <sz val="12"/>
      <name val="Helv"/>
      <family val="2"/>
    </font>
    <font>
      <b/>
      <sz val="18"/>
      <name val="Arial"/>
      <family val="2"/>
    </font>
    <font>
      <b/>
      <sz val="11"/>
      <color indexed="56"/>
      <name val="Calibri"/>
      <family val="2"/>
      <charset val="163"/>
    </font>
    <font>
      <sz val="11"/>
      <color indexed="62"/>
      <name val="Calibri"/>
      <family val="2"/>
      <charset val="163"/>
    </font>
    <font>
      <sz val="11"/>
      <color indexed="52"/>
      <name val="Calibri"/>
      <family val="2"/>
      <charset val="163"/>
    </font>
    <font>
      <sz val="10"/>
      <name val="MS Sans Serif"/>
      <family val="2"/>
    </font>
    <font>
      <b/>
      <sz val="11"/>
      <name val="Helv"/>
      <family val="2"/>
    </font>
    <font>
      <sz val="12"/>
      <name val="Arial"/>
      <family val="2"/>
    </font>
    <font>
      <sz val="11"/>
      <color indexed="60"/>
      <name val="Calibri"/>
      <family val="2"/>
      <charset val="163"/>
    </font>
    <font>
      <sz val="14"/>
      <name val=".VnTime"/>
      <family val="2"/>
    </font>
    <font>
      <sz val="12"/>
      <name val=".VnArial Narrow"/>
      <family val="2"/>
    </font>
    <font>
      <sz val="10"/>
      <name val=".VnTime"/>
      <family val="2"/>
    </font>
    <font>
      <b/>
      <sz val="11"/>
      <color indexed="63"/>
      <name val="Calibri"/>
      <family val="2"/>
      <charset val="163"/>
    </font>
    <font>
      <sz val="10"/>
      <name val="VNI-Times"/>
    </font>
    <font>
      <b/>
      <sz val="18"/>
      <color indexed="56"/>
      <name val="Cambria"/>
      <family val="2"/>
      <charset val="163"/>
    </font>
    <font>
      <sz val="11"/>
      <color indexed="10"/>
      <name val="Calibri"/>
      <family val="2"/>
      <charset val="163"/>
    </font>
    <font>
      <sz val="10"/>
      <name val=" "/>
      <family val="1"/>
      <charset val="136"/>
    </font>
    <font>
      <sz val="14"/>
      <name val="뼻뮝"/>
      <family val="3"/>
      <charset val="129"/>
    </font>
    <font>
      <sz val="12"/>
      <name val="뼻뮝"/>
      <family val="1"/>
      <charset val="129"/>
    </font>
    <font>
      <sz val="12"/>
      <name val="바탕체"/>
      <family val="1"/>
      <charset val="129"/>
    </font>
    <font>
      <sz val="12"/>
      <name val="Courier"/>
      <family val="3"/>
    </font>
    <font>
      <sz val="11"/>
      <color rgb="FFFF0000"/>
      <name val="Times New Roman"/>
      <family val="1"/>
    </font>
    <font>
      <sz val="12"/>
      <name val="Calibri"/>
      <family val="2"/>
      <scheme val="minor"/>
    </font>
    <font>
      <sz val="12"/>
      <color theme="1"/>
      <name val="Calibri"/>
      <family val="2"/>
      <scheme val="minor"/>
    </font>
    <font>
      <sz val="14"/>
      <name val="Times New Roman"/>
      <family val="1"/>
    </font>
    <font>
      <b/>
      <i/>
      <sz val="14"/>
      <name val="Times New Roman"/>
      <family val="1"/>
    </font>
    <font>
      <sz val="8"/>
      <name val="Calibri"/>
      <family val="2"/>
      <scheme val="minor"/>
    </font>
    <font>
      <i/>
      <sz val="14"/>
      <name val="Times New Roman"/>
      <family val="1"/>
    </font>
    <font>
      <b/>
      <u/>
      <sz val="13"/>
      <name val="Times New Roman"/>
      <family val="1"/>
    </font>
    <font>
      <sz val="14"/>
      <name val="Times New Roman"/>
      <family val="1"/>
      <charset val="163"/>
    </font>
    <font>
      <b/>
      <sz val="13"/>
      <name val="Times New Roman"/>
      <family val="1"/>
    </font>
    <font>
      <sz val="13"/>
      <name val="Arial"/>
      <family val="2"/>
    </font>
    <font>
      <b/>
      <i/>
      <sz val="12"/>
      <name val="Calibri"/>
      <family val="2"/>
      <scheme val="minor"/>
    </font>
    <font>
      <b/>
      <i/>
      <sz val="13"/>
      <name val="Times New Roman"/>
      <family val="1"/>
    </font>
    <font>
      <b/>
      <i/>
      <sz val="10"/>
      <name val="Times New Roman"/>
      <family val="1"/>
    </font>
    <font>
      <sz val="13"/>
      <name val="Times New Roman"/>
      <family val="1"/>
    </font>
    <font>
      <sz val="13"/>
      <name val="Times New Roman"/>
      <family val="1"/>
      <charset val="163"/>
    </font>
    <font>
      <i/>
      <sz val="12"/>
      <name val="Calibri"/>
      <family val="2"/>
      <scheme val="minor"/>
    </font>
    <font>
      <b/>
      <sz val="12"/>
      <name val="Calibri"/>
      <family val="2"/>
      <scheme val="minor"/>
    </font>
    <font>
      <sz val="8"/>
      <name val="Times New Roman"/>
      <family val="1"/>
    </font>
    <font>
      <b/>
      <sz val="8"/>
      <name val="Times New Roman"/>
      <family val="1"/>
    </font>
    <font>
      <b/>
      <u/>
      <sz val="8"/>
      <name val="Times New Roman"/>
      <family val="1"/>
    </font>
    <font>
      <i/>
      <sz val="12"/>
      <color rgb="FF000000"/>
      <name val="Times New Roman"/>
      <family val="1"/>
    </font>
    <font>
      <b/>
      <sz val="12"/>
      <color rgb="FF000000"/>
      <name val="Times New Roman"/>
      <family val="1"/>
    </font>
    <font>
      <sz val="13"/>
      <name val="Arial"/>
      <family val="2"/>
      <charset val="163"/>
    </font>
    <font>
      <i/>
      <sz val="12"/>
      <color theme="1"/>
      <name val="Times New Roman"/>
      <family val="1"/>
    </font>
    <font>
      <b/>
      <sz val="12"/>
      <color theme="1"/>
      <name val="Times New Roman"/>
      <family val="1"/>
    </font>
    <font>
      <b/>
      <u/>
      <sz val="12"/>
      <color theme="1"/>
      <name val="Times New Roman"/>
      <family val="1"/>
    </font>
    <font>
      <b/>
      <i/>
      <sz val="12"/>
      <color theme="1"/>
      <name val="Times New Roman"/>
      <family val="1"/>
    </font>
    <font>
      <sz val="12"/>
      <color theme="1"/>
      <name val="Times New Roman"/>
      <family val="1"/>
    </font>
    <font>
      <u/>
      <sz val="12"/>
      <color theme="1"/>
      <name val="Times New Roman"/>
      <family val="1"/>
    </font>
    <font>
      <sz val="12"/>
      <color theme="5"/>
      <name val="Times New Roman"/>
      <family val="1"/>
    </font>
    <font>
      <b/>
      <i/>
      <sz val="12"/>
      <color rgb="FFFF0000"/>
      <name val="Times New Roman"/>
      <family val="1"/>
    </font>
    <font>
      <b/>
      <i/>
      <sz val="11"/>
      <color indexed="12"/>
      <name val="Times New Roman"/>
      <family val="1"/>
    </font>
    <font>
      <i/>
      <sz val="11"/>
      <color theme="1"/>
      <name val="Calibri"/>
      <family val="2"/>
      <scheme val="minor"/>
    </font>
    <font>
      <b/>
      <i/>
      <u/>
      <sz val="11"/>
      <name val="Times New Roman"/>
      <family val="1"/>
    </font>
    <font>
      <b/>
      <sz val="12"/>
      <color theme="8" tint="-0.499984740745262"/>
      <name val="Times New Roman"/>
      <family val="1"/>
    </font>
    <font>
      <sz val="13"/>
      <name val="VnTime"/>
    </font>
    <font>
      <b/>
      <sz val="12"/>
      <color indexed="10"/>
      <name val="Times New Roman"/>
      <family val="1"/>
    </font>
    <font>
      <b/>
      <sz val="12"/>
      <name val="Times New Roman h"/>
    </font>
    <font>
      <sz val="12"/>
      <color rgb="FF7030A0"/>
      <name val="Times New Roman"/>
      <family val="1"/>
    </font>
    <font>
      <b/>
      <sz val="12"/>
      <color rgb="FFFF0000"/>
      <name val="Calibri"/>
      <family val="2"/>
      <scheme val="minor"/>
    </font>
    <font>
      <sz val="12"/>
      <color rgb="FF000000"/>
      <name val="Times New Roman"/>
      <family val="1"/>
    </font>
    <font>
      <i/>
      <sz val="12"/>
      <color theme="5"/>
      <name val="Times New Roman"/>
      <family val="1"/>
    </font>
    <font>
      <b/>
      <sz val="12"/>
      <name val="Times New Roman"/>
      <family val="1"/>
      <charset val="163"/>
    </font>
    <font>
      <b/>
      <sz val="16"/>
      <name val="Times New Roman"/>
      <family val="1"/>
      <charset val="163"/>
    </font>
    <font>
      <i/>
      <sz val="14"/>
      <name val="Times New Roman"/>
      <family val="1"/>
      <charset val="163"/>
    </font>
    <font>
      <sz val="12"/>
      <name val="Times New Roman"/>
      <family val="1"/>
      <charset val="163"/>
    </font>
    <font>
      <i/>
      <sz val="12"/>
      <name val="Times New Roman"/>
      <family val="1"/>
      <charset val="163"/>
    </font>
    <font>
      <sz val="10"/>
      <name val="Times New Roman"/>
      <family val="1"/>
      <charset val="163"/>
    </font>
    <font>
      <b/>
      <sz val="12"/>
      <color rgb="FFFF0000"/>
      <name val="Times New Roman"/>
      <family val="1"/>
      <charset val="163"/>
    </font>
    <font>
      <sz val="12"/>
      <color rgb="FF3333FF"/>
      <name val="Times New Roman"/>
      <family val="1"/>
      <charset val="163"/>
    </font>
    <font>
      <b/>
      <sz val="12"/>
      <color rgb="FF3333FF"/>
      <name val="Times New Roman"/>
      <family val="1"/>
      <charset val="163"/>
    </font>
    <font>
      <b/>
      <i/>
      <sz val="12"/>
      <name val="Times New Roman"/>
      <family val="1"/>
      <charset val="163"/>
    </font>
    <font>
      <sz val="12"/>
      <color rgb="FFFF0000"/>
      <name val="Times New Roman"/>
      <family val="1"/>
      <charset val="163"/>
    </font>
    <font>
      <i/>
      <sz val="12"/>
      <color rgb="FFFF0000"/>
      <name val="Times New Roman"/>
      <family val="1"/>
      <charset val="163"/>
    </font>
    <font>
      <sz val="13"/>
      <color rgb="FFFF0000"/>
      <name val="Times New Roman"/>
      <family val="1"/>
      <charset val="163"/>
    </font>
    <font>
      <sz val="11"/>
      <name val="Times New Roman"/>
      <family val="1"/>
      <charset val="163"/>
    </font>
    <font>
      <sz val="10"/>
      <color indexed="81"/>
      <name val="Times New Roman"/>
      <family val="1"/>
    </font>
    <font>
      <sz val="11"/>
      <color indexed="81"/>
      <name val="Tahoma"/>
      <family val="2"/>
    </font>
    <font>
      <sz val="9"/>
      <color indexed="81"/>
      <name val="Times New Roman"/>
      <family val="1"/>
    </font>
    <font>
      <sz val="16"/>
      <name val="Times New Roman"/>
      <family val="1"/>
    </font>
    <font>
      <sz val="14"/>
      <color rgb="FFFF0000"/>
      <name val="Times New Roman"/>
      <family val="1"/>
    </font>
    <font>
      <i/>
      <sz val="14"/>
      <color rgb="FFFF0000"/>
      <name val="Times New Roman"/>
      <family val="1"/>
    </font>
    <font>
      <b/>
      <sz val="16"/>
      <name val="Times New Roman"/>
      <family val="1"/>
    </font>
    <font>
      <sz val="12"/>
      <color indexed="12"/>
      <name val="Times New Roman"/>
      <family val="1"/>
    </font>
    <font>
      <sz val="11"/>
      <color rgb="FFFF0000"/>
      <name val="Calibri"/>
      <family val="2"/>
      <scheme val="minor"/>
    </font>
    <font>
      <i/>
      <sz val="11"/>
      <color rgb="FFFF0000"/>
      <name val="Times New Roman"/>
      <family val="1"/>
    </font>
    <font>
      <sz val="12"/>
      <color rgb="FFFF0000"/>
      <name val="Calibri"/>
      <family val="2"/>
      <scheme val="minor"/>
    </font>
    <font>
      <b/>
      <sz val="10"/>
      <name val="Arial"/>
      <family val="2"/>
    </font>
    <font>
      <b/>
      <sz val="12"/>
      <color indexed="20"/>
      <name val="Times New Roman"/>
      <family val="1"/>
    </font>
    <font>
      <b/>
      <sz val="12"/>
      <color rgb="FF0070C0"/>
      <name val="Times New Roman"/>
      <family val="1"/>
    </font>
    <font>
      <sz val="13"/>
      <color theme="1"/>
      <name val="Times New Roman"/>
      <family val="1"/>
    </font>
    <font>
      <b/>
      <sz val="13"/>
      <color theme="1"/>
      <name val="Times New Roman"/>
      <family val="1"/>
    </font>
    <font>
      <b/>
      <sz val="14"/>
      <name val="Times New Roman"/>
      <family val="1"/>
      <charset val="163"/>
    </font>
    <font>
      <b/>
      <sz val="12"/>
      <color rgb="FF00B050"/>
      <name val="Times New Roman"/>
      <family val="1"/>
    </font>
    <font>
      <b/>
      <i/>
      <sz val="12"/>
      <color theme="5"/>
      <name val="Times New Roman"/>
      <family val="1"/>
    </font>
    <font>
      <b/>
      <sz val="12"/>
      <color rgb="FF00B0F0"/>
      <name val="Times New Roman"/>
      <family val="1"/>
    </font>
    <font>
      <sz val="12"/>
      <color rgb="FF00B0F0"/>
      <name val="Times New Roman"/>
      <family val="1"/>
    </font>
    <font>
      <b/>
      <sz val="10"/>
      <color rgb="FF000000"/>
      <name val="Arial"/>
      <family val="2"/>
    </font>
    <font>
      <i/>
      <sz val="10"/>
      <color rgb="FF000000"/>
      <name val="Arial"/>
      <family val="2"/>
    </font>
    <font>
      <i/>
      <sz val="10"/>
      <name val="Arial"/>
      <family val="2"/>
    </font>
    <font>
      <b/>
      <sz val="10"/>
      <color theme="1"/>
      <name val="Arial"/>
      <family val="2"/>
    </font>
    <font>
      <sz val="10"/>
      <color rgb="FF000000"/>
      <name val="Arial"/>
      <family val="2"/>
    </font>
    <font>
      <sz val="9"/>
      <color rgb="FF000000"/>
      <name val="Arial"/>
      <family val="2"/>
    </font>
    <font>
      <sz val="11"/>
      <color indexed="8"/>
      <name val="Calibri"/>
      <family val="2"/>
    </font>
    <font>
      <sz val="11"/>
      <color theme="1"/>
      <name val="Calibri"/>
      <family val="2"/>
      <charset val="163"/>
      <scheme val="minor"/>
    </font>
    <font>
      <b/>
      <sz val="11"/>
      <color indexed="8"/>
      <name val="Calibri"/>
      <family val="2"/>
    </font>
    <font>
      <sz val="14"/>
      <color theme="1"/>
      <name val="Times New Roman"/>
      <family val="1"/>
    </font>
    <font>
      <b/>
      <i/>
      <u/>
      <sz val="10"/>
      <name val="Arial"/>
      <family val="2"/>
    </font>
    <font>
      <b/>
      <u/>
      <sz val="10"/>
      <name val="Arial"/>
      <family val="2"/>
    </font>
    <font>
      <b/>
      <i/>
      <sz val="10"/>
      <name val="Arial"/>
      <family val="2"/>
    </font>
    <font>
      <b/>
      <sz val="10"/>
      <color rgb="FFFF0000"/>
      <name val="Arial"/>
      <family val="2"/>
    </font>
    <font>
      <sz val="10"/>
      <color rgb="FFFF0000"/>
      <name val="Arial"/>
      <family val="2"/>
    </font>
    <font>
      <sz val="10"/>
      <color indexed="62"/>
      <name val="Arial"/>
      <family val="2"/>
    </font>
    <font>
      <b/>
      <sz val="9"/>
      <name val="Arial"/>
      <family val="2"/>
    </font>
    <font>
      <b/>
      <sz val="14"/>
      <color theme="1"/>
      <name val="Times New Roman"/>
      <family val="1"/>
    </font>
    <font>
      <i/>
      <sz val="14"/>
      <color theme="1"/>
      <name val="Times New Roman"/>
      <family val="1"/>
    </font>
    <font>
      <b/>
      <i/>
      <sz val="14"/>
      <color theme="1"/>
      <name val="Times New Roman"/>
      <family val="1"/>
    </font>
    <font>
      <b/>
      <sz val="8"/>
      <color theme="1"/>
      <name val="Times New Roman"/>
      <family val="1"/>
    </font>
    <font>
      <b/>
      <sz val="8"/>
      <color rgb="FFFF0000"/>
      <name val="Times New Roman"/>
      <family val="1"/>
    </font>
    <font>
      <b/>
      <sz val="11"/>
      <color theme="1"/>
      <name val="Times New Roman"/>
      <family val="1"/>
    </font>
    <font>
      <b/>
      <sz val="14"/>
      <color theme="1"/>
      <name val="Times New Romanh"/>
    </font>
    <font>
      <b/>
      <sz val="12"/>
      <color theme="1"/>
      <name val="Times New Roman"/>
      <family val="1"/>
      <charset val="163"/>
    </font>
    <font>
      <b/>
      <i/>
      <u/>
      <sz val="12"/>
      <color theme="1"/>
      <name val="Times New Roman"/>
      <family val="1"/>
    </font>
    <font>
      <i/>
      <sz val="11"/>
      <color theme="1"/>
      <name val="Times New Roman"/>
      <family val="1"/>
    </font>
    <font>
      <sz val="12"/>
      <color theme="1"/>
      <name val="Times New Roman"/>
      <family val="1"/>
      <charset val="163"/>
    </font>
    <font>
      <i/>
      <sz val="12"/>
      <color rgb="FF0070C0"/>
      <name val="Times New Roman"/>
      <family val="1"/>
    </font>
    <font>
      <sz val="12"/>
      <color rgb="FF0070C0"/>
      <name val="Times New Roman"/>
      <family val="1"/>
    </font>
    <font>
      <i/>
      <sz val="10"/>
      <color theme="1"/>
      <name val="Arial"/>
      <family val="2"/>
    </font>
    <font>
      <i/>
      <sz val="10"/>
      <color rgb="FFFF0000"/>
      <name val="Arial"/>
      <family val="2"/>
    </font>
    <font>
      <sz val="12"/>
      <color theme="1"/>
      <name val="Times New Roman"/>
      <family val="2"/>
    </font>
    <font>
      <b/>
      <sz val="10"/>
      <color rgb="FF0070C0"/>
      <name val="Arial"/>
      <family val="2"/>
    </font>
    <font>
      <i/>
      <sz val="10"/>
      <color rgb="FF0070C0"/>
      <name val="Arial"/>
      <family val="2"/>
    </font>
    <font>
      <b/>
      <i/>
      <sz val="10"/>
      <color theme="1"/>
      <name val="Arial"/>
      <family val="2"/>
    </font>
    <font>
      <sz val="10"/>
      <color rgb="FF0070C0"/>
      <name val="Arial"/>
      <family val="2"/>
    </font>
    <font>
      <sz val="10"/>
      <name val="Helv"/>
      <family val="2"/>
    </font>
    <font>
      <b/>
      <sz val="9"/>
      <color indexed="81"/>
      <name val="Tahoma"/>
      <charset val="1"/>
    </font>
    <font>
      <sz val="9"/>
      <color indexed="81"/>
      <name val="Tahoma"/>
      <charset val="1"/>
    </font>
    <font>
      <sz val="10"/>
      <color indexed="8"/>
      <name val="MS Sans Serif"/>
      <family val="2"/>
    </font>
    <font>
      <sz val="12"/>
      <name val="돋움체"/>
      <family val="3"/>
      <charset val="129"/>
    </font>
    <font>
      <sz val="12"/>
      <name val="VNtimes new roman"/>
      <family val="2"/>
    </font>
    <font>
      <sz val="10"/>
      <name val="?? ??"/>
      <family val="1"/>
      <charset val="136"/>
    </font>
    <font>
      <sz val="11"/>
      <name val="??"/>
      <family val="3"/>
    </font>
    <font>
      <sz val="12"/>
      <name val=".VnArial"/>
      <family val="2"/>
    </font>
    <font>
      <sz val="10"/>
      <name val="??"/>
      <family val="3"/>
      <charset val="129"/>
    </font>
    <font>
      <sz val="12"/>
      <name val="????"/>
      <family val="1"/>
      <charset val="136"/>
    </font>
    <font>
      <sz val="10"/>
      <name val="AngsanaUPC"/>
      <family val="1"/>
    </font>
    <font>
      <sz val="10"/>
      <name val="Arial"/>
      <family val="2"/>
      <charset val="1"/>
    </font>
    <font>
      <sz val="10"/>
      <color indexed="8"/>
      <name val="Arial"/>
      <family val="2"/>
    </font>
    <font>
      <sz val="10"/>
      <color indexed="8"/>
      <name val="Arial"/>
      <family val="2"/>
      <charset val="163"/>
    </font>
    <font>
      <sz val="12"/>
      <name val="VNI-Helve"/>
    </font>
    <font>
      <sz val="12"/>
      <name val="???"/>
    </font>
    <font>
      <sz val="11"/>
      <name val="‚l‚r ‚oƒSƒVƒbƒN"/>
      <family val="3"/>
      <charset val="128"/>
    </font>
    <font>
      <sz val="11"/>
      <name val="–¾’©"/>
      <family val="1"/>
      <charset val="128"/>
    </font>
    <font>
      <sz val="14"/>
      <name val="VnTime"/>
    </font>
    <font>
      <sz val="10"/>
      <name val=".VnArial"/>
      <family val="2"/>
    </font>
    <font>
      <sz val="10"/>
      <name val=".VnArial NarrowH"/>
      <family val="2"/>
    </font>
    <font>
      <b/>
      <u/>
      <sz val="14"/>
      <color indexed="8"/>
      <name val=".VnBook-AntiquaH"/>
      <family val="2"/>
    </font>
    <font>
      <sz val="11"/>
      <name val=".VnTime"/>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4"/>
      <name val=".VnTimeH"/>
      <family val="2"/>
    </font>
    <font>
      <sz val="14"/>
      <name val="VNI-Times"/>
    </font>
    <font>
      <sz val="8"/>
      <name val="Times New Roman"/>
      <family val="1"/>
      <charset val="163"/>
    </font>
    <font>
      <b/>
      <sz val="12"/>
      <color indexed="63"/>
      <name val="VNI-Times"/>
    </font>
    <font>
      <sz val="12"/>
      <name val="¹ÙÅÁÃ¼"/>
      <charset val="129"/>
    </font>
    <font>
      <b/>
      <i/>
      <sz val="14"/>
      <name val="VNTime"/>
      <family val="2"/>
    </font>
    <font>
      <sz val="12"/>
      <name val="Tms Rmn"/>
    </font>
    <font>
      <sz val="11"/>
      <name val="µ¸¿ò"/>
      <charset val="129"/>
    </font>
    <font>
      <sz val="10"/>
      <name val="±¼¸²A¼"/>
      <family val="3"/>
      <charset val="129"/>
    </font>
    <font>
      <sz val="10"/>
      <name val="Helv"/>
    </font>
    <font>
      <b/>
      <sz val="11"/>
      <name val="Arial"/>
      <family val="2"/>
    </font>
    <font>
      <b/>
      <sz val="12"/>
      <color theme="0"/>
      <name val="Times New Roman"/>
      <family val="2"/>
    </font>
    <font>
      <sz val="10"/>
      <name val="VNI-Aptima"/>
    </font>
    <font>
      <b/>
      <sz val="8"/>
      <name val="Arial"/>
      <family val="2"/>
    </font>
    <font>
      <sz val="11"/>
      <name val="Tms Rmn"/>
    </font>
    <font>
      <sz val="12"/>
      <color indexed="8"/>
      <name val="Calibri"/>
      <family val="2"/>
    </font>
    <font>
      <u val="singleAccounting"/>
      <sz val="11"/>
      <name val="Times New Roman"/>
      <family val="1"/>
    </font>
    <font>
      <sz val="11"/>
      <color indexed="8"/>
      <name val="Arial"/>
      <family val="2"/>
    </font>
    <font>
      <sz val="11"/>
      <color indexed="8"/>
      <name val="Times New Roman"/>
      <family val="2"/>
    </font>
    <font>
      <sz val="14"/>
      <color indexed="8"/>
      <name val="Times New Roman"/>
      <family val="2"/>
    </font>
    <font>
      <sz val="11"/>
      <name val="UVnTime"/>
    </font>
    <font>
      <sz val="10"/>
      <color indexed="8"/>
      <name val="Times New Roman"/>
      <family val="2"/>
    </font>
    <font>
      <sz val="10"/>
      <name val="VN-NTime"/>
    </font>
    <font>
      <sz val="12"/>
      <color indexed="8"/>
      <name val="Times New Roman"/>
      <family val="2"/>
      <charset val="163"/>
    </font>
    <font>
      <sz val="12"/>
      <color theme="1"/>
      <name val="Times New Roman"/>
      <family val="2"/>
      <charset val="163"/>
    </font>
    <font>
      <b/>
      <sz val="12"/>
      <name val="VNTime"/>
      <family val="2"/>
    </font>
    <font>
      <sz val="10"/>
      <name val="MS Serif"/>
      <family val="1"/>
    </font>
    <font>
      <sz val="11"/>
      <name val="VNtimes new roman"/>
      <family val="2"/>
    </font>
    <font>
      <sz val="12"/>
      <name val="???"/>
      <family val="3"/>
      <charset val="129"/>
    </font>
    <font>
      <b/>
      <sz val="12"/>
      <name val="VNTimeH"/>
      <family val="2"/>
    </font>
    <font>
      <sz val="10"/>
      <name val="Arial CE"/>
      <charset val="238"/>
    </font>
    <font>
      <sz val="10"/>
      <name val="Arial CE"/>
    </font>
    <font>
      <sz val="10"/>
      <color indexed="16"/>
      <name val="MS Serif"/>
      <family val="1"/>
    </font>
    <font>
      <sz val="10"/>
      <name val="VNI-Helve-Condense"/>
    </font>
    <font>
      <sz val="11"/>
      <color indexed="8"/>
      <name val="Calibri"/>
      <family val="2"/>
      <charset val="1"/>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2"/>
      <name val="VNTime"/>
      <family val="2"/>
    </font>
    <font>
      <sz val="10"/>
      <name val=".VnArialH"/>
      <family val="2"/>
    </font>
    <font>
      <b/>
      <sz val="12"/>
      <name val=".VnBook-AntiquaH"/>
      <family val="2"/>
    </font>
    <font>
      <b/>
      <sz val="12"/>
      <color indexed="9"/>
      <name val="Tms Rmn"/>
    </font>
    <font>
      <b/>
      <sz val="8"/>
      <name val="MS Sans Serif"/>
      <family val="2"/>
    </font>
    <font>
      <b/>
      <sz val="10"/>
      <name val=".VnTime"/>
      <family val="2"/>
    </font>
    <font>
      <b/>
      <sz val="14"/>
      <name val=".VnTimeH"/>
      <family val="2"/>
    </font>
    <font>
      <u/>
      <sz val="7.7"/>
      <color theme="10"/>
      <name val="Calibri"/>
      <family val="2"/>
    </font>
    <font>
      <sz val="12"/>
      <name val="±¼¸²Ã¼"/>
      <family val="3"/>
      <charset val="129"/>
    </font>
    <font>
      <u/>
      <sz val="10"/>
      <color indexed="12"/>
      <name val=".VnTime"/>
      <family val="2"/>
    </font>
    <font>
      <u/>
      <sz val="12"/>
      <color indexed="12"/>
      <name val=".VnTime"/>
      <family val="2"/>
    </font>
    <font>
      <u/>
      <sz val="12"/>
      <color indexed="12"/>
      <name val="Arial"/>
      <family val="2"/>
    </font>
    <font>
      <i/>
      <sz val="10"/>
      <name val=".VnTime"/>
      <family val="2"/>
    </font>
    <font>
      <sz val="8"/>
      <name val="VNarial"/>
      <family val="2"/>
    </font>
    <font>
      <sz val="10"/>
      <name val=".VnAvant"/>
      <family val="2"/>
    </font>
    <font>
      <sz val="7"/>
      <name val="Small Fonts"/>
      <family val="2"/>
    </font>
    <font>
      <b/>
      <sz val="12"/>
      <name val="VN-NTime"/>
    </font>
    <font>
      <b/>
      <i/>
      <sz val="16"/>
      <name val="Helv"/>
      <family val="2"/>
    </font>
    <font>
      <b/>
      <i/>
      <sz val="16"/>
      <name val="Helv"/>
    </font>
    <font>
      <sz val="11"/>
      <color theme="1"/>
      <name val="Calibri"/>
      <family val="2"/>
    </font>
    <font>
      <sz val="11"/>
      <color theme="1"/>
      <name val="Arial"/>
      <family val="2"/>
    </font>
    <font>
      <sz val="9"/>
      <color theme="1"/>
      <name val="Times New Roman"/>
      <family val="2"/>
      <charset val="163"/>
    </font>
    <font>
      <sz val="11"/>
      <color indexed="8"/>
      <name val="Helvetica Neue"/>
    </font>
    <font>
      <sz val="11"/>
      <name val="VNI-Aptima"/>
    </font>
    <font>
      <sz val="14"/>
      <name val="System"/>
      <family val="2"/>
    </font>
    <font>
      <b/>
      <sz val="11"/>
      <name val="Arial"/>
      <family val="2"/>
      <charset val="163"/>
    </font>
    <font>
      <sz val="14"/>
      <name val=".VnArial Narrow"/>
      <family val="2"/>
    </font>
    <font>
      <sz val="12"/>
      <name val="Helv"/>
    </font>
    <font>
      <sz val="12"/>
      <name val="Helv"/>
      <family val="2"/>
    </font>
    <font>
      <b/>
      <sz val="10"/>
      <name val="MS Sans Serif"/>
      <family val="2"/>
    </font>
    <font>
      <sz val="8"/>
      <name val="Wingdings"/>
      <charset val="2"/>
    </font>
    <font>
      <sz val="8"/>
      <name val="Helv"/>
    </font>
    <font>
      <b/>
      <sz val="12"/>
      <color indexed="8"/>
      <name val="Arial"/>
      <family val="2"/>
      <charset val="163"/>
    </font>
    <font>
      <b/>
      <sz val="12"/>
      <color indexed="8"/>
      <name val="Arial"/>
      <family val="2"/>
    </font>
    <font>
      <b/>
      <i/>
      <sz val="12"/>
      <color indexed="8"/>
      <name val="Arial"/>
      <family val="2"/>
      <charset val="163"/>
    </font>
    <font>
      <b/>
      <i/>
      <sz val="12"/>
      <color indexed="8"/>
      <name val="Arial"/>
      <family val="2"/>
    </font>
    <font>
      <sz val="12"/>
      <color indexed="8"/>
      <name val="Arial"/>
      <family val="2"/>
      <charset val="163"/>
    </font>
    <font>
      <sz val="12"/>
      <color indexed="8"/>
      <name val="Arial"/>
      <family val="2"/>
    </font>
    <font>
      <i/>
      <sz val="12"/>
      <color indexed="8"/>
      <name val="Arial"/>
      <family val="2"/>
      <charset val="163"/>
    </font>
    <font>
      <i/>
      <sz val="12"/>
      <color indexed="8"/>
      <name val="Arial"/>
      <family val="2"/>
    </font>
    <font>
      <sz val="19"/>
      <color indexed="48"/>
      <name val="Arial"/>
      <family val="2"/>
      <charset val="163"/>
    </font>
    <font>
      <sz val="19"/>
      <color indexed="48"/>
      <name val="Arial"/>
      <family val="2"/>
    </font>
    <font>
      <sz val="12"/>
      <color indexed="14"/>
      <name val="Arial"/>
      <family val="2"/>
      <charset val="163"/>
    </font>
    <font>
      <sz val="12"/>
      <color indexed="14"/>
      <name val="Arial"/>
      <family val="2"/>
    </font>
    <font>
      <sz val="11"/>
      <name val="3C_Times_T"/>
    </font>
    <font>
      <sz val="8"/>
      <name val="MS Sans Serif"/>
      <family val="2"/>
    </font>
    <font>
      <b/>
      <sz val="10.5"/>
      <name val=".VnAvantH"/>
      <family val="2"/>
    </font>
    <font>
      <sz val="10"/>
      <name val="VNbook-Antiqua"/>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sz val="12"/>
      <name val="VnTime"/>
    </font>
    <font>
      <b/>
      <sz val="12"/>
      <name val="VNI-Times"/>
    </font>
    <font>
      <sz val="11"/>
      <name val=".VnAvant"/>
      <family val="2"/>
    </font>
    <font>
      <b/>
      <sz val="13"/>
      <color indexed="8"/>
      <name val=".VnTimeH"/>
      <family val="2"/>
    </font>
    <font>
      <b/>
      <sz val="10"/>
      <color indexed="10"/>
      <name val="Arial"/>
      <family val="2"/>
    </font>
    <font>
      <b/>
      <u val="double"/>
      <sz val="12"/>
      <color indexed="12"/>
      <name val=".VnBahamasB"/>
      <family val="2"/>
    </font>
    <font>
      <sz val="9.5"/>
      <name val=".VnBlackH"/>
      <family val="2"/>
    </font>
    <font>
      <b/>
      <sz val="10"/>
      <name val=".VnBahamasBH"/>
      <family val="2"/>
    </font>
    <font>
      <b/>
      <sz val="11"/>
      <name val=".VnArialH"/>
      <family val="2"/>
    </font>
    <font>
      <b/>
      <sz val="11"/>
      <name val=".VnTimeH"/>
      <family val="2"/>
    </font>
    <font>
      <b/>
      <sz val="10"/>
      <name val=".VnTimeH"/>
      <family val="2"/>
    </font>
    <font>
      <b/>
      <sz val="10"/>
      <name val=".VnArialH"/>
      <family val="2"/>
    </font>
    <font>
      <b/>
      <sz val="11"/>
      <color indexed="8"/>
      <name val="Calibri"/>
      <family val="2"/>
      <charset val="163"/>
    </font>
    <font>
      <sz val="10"/>
      <name val=".VnArial Narrow"/>
      <family val="2"/>
    </font>
    <font>
      <sz val="10"/>
      <name val="VNtimes new roman"/>
      <family val="1"/>
    </font>
    <font>
      <sz val="10"/>
      <name val="VNtimes new roman"/>
      <family val="2"/>
    </font>
    <font>
      <sz val="14"/>
      <name val="VnTime"/>
      <family val="2"/>
    </font>
    <font>
      <b/>
      <sz val="8"/>
      <name val="VN Helvetica"/>
    </font>
    <font>
      <b/>
      <sz val="12"/>
      <name val=".VnTime"/>
      <family val="2"/>
    </font>
    <font>
      <b/>
      <sz val="10"/>
      <name val="VN AvantGBook"/>
    </font>
    <font>
      <b/>
      <sz val="10"/>
      <name val="VN Helvetica"/>
    </font>
    <font>
      <b/>
      <sz val="16"/>
      <name val=".VnTime"/>
      <family val="2"/>
    </font>
    <font>
      <sz val="10"/>
      <name val="VN Helvetica"/>
    </font>
    <font>
      <sz val="9"/>
      <name val=".VnTime"/>
      <family val="2"/>
    </font>
    <font>
      <sz val="10"/>
      <name val="Geneva"/>
      <family val="2"/>
    </font>
    <font>
      <b/>
      <i/>
      <sz val="12"/>
      <name val=".VnTime"/>
      <family val="2"/>
    </font>
    <font>
      <sz val="14"/>
      <name val=".VnArial"/>
      <family val="2"/>
    </font>
    <font>
      <sz val="10"/>
      <name val="명조"/>
      <family val="3"/>
      <charset val="129"/>
    </font>
  </fonts>
  <fills count="8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CCFFFF"/>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theme="9"/>
        <bgColor indexed="64"/>
      </patternFill>
    </fill>
    <fill>
      <patternFill patternType="solid">
        <fgColor rgb="FFFFC000"/>
        <bgColor indexed="64"/>
      </patternFill>
    </fill>
    <fill>
      <patternFill patternType="solid">
        <fgColor theme="0"/>
        <bgColor indexed="64"/>
      </patternFill>
    </fill>
    <fill>
      <patternFill patternType="solid">
        <fgColor rgb="FF00B050"/>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A5A5A5"/>
      </patternFill>
    </fill>
    <fill>
      <patternFill patternType="solid">
        <fgColor rgb="FFFFFFCC"/>
      </patternFill>
    </fill>
    <fill>
      <patternFill patternType="solid">
        <fgColor indexed="22"/>
        <bgColor indexed="64"/>
      </patternFill>
    </fill>
    <fill>
      <patternFill patternType="solid">
        <fgColor indexed="13"/>
        <bgColor indexed="64"/>
      </patternFill>
    </fill>
    <fill>
      <patternFill patternType="solid">
        <fgColor indexed="23"/>
        <bgColor indexed="64"/>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5"/>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s>
  <borders count="9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thin">
        <color auto="1"/>
      </right>
      <top style="hair">
        <color auto="1"/>
      </top>
      <bottom style="thin">
        <color auto="1"/>
      </bottom>
      <diagonal/>
    </border>
    <border>
      <left/>
      <right style="thin">
        <color auto="1"/>
      </right>
      <top style="thin">
        <color auto="1"/>
      </top>
      <bottom style="hair">
        <color auto="1"/>
      </bottom>
      <diagonal/>
    </border>
    <border>
      <left style="medium">
        <color indexed="64"/>
      </left>
      <right style="medium">
        <color indexed="64"/>
      </right>
      <top style="hair">
        <color indexed="64"/>
      </top>
      <bottom style="hair">
        <color indexed="64"/>
      </bottom>
      <diagonal/>
    </border>
    <border>
      <left/>
      <right style="thin">
        <color auto="1"/>
      </right>
      <top style="hair">
        <color auto="1"/>
      </top>
      <bottom style="hair">
        <color auto="1"/>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right style="thin">
        <color indexed="64"/>
      </right>
      <top/>
      <bottom style="hair">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double">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right/>
      <top style="hair">
        <color indexed="64"/>
      </top>
      <bottom/>
      <diagonal/>
    </border>
    <border>
      <left/>
      <right/>
      <top/>
      <bottom style="hair">
        <color indexed="64"/>
      </bottom>
      <diagonal/>
    </border>
    <border>
      <left style="medium">
        <color rgb="FF000000"/>
      </left>
      <right/>
      <top/>
      <bottom/>
      <diagonal/>
    </border>
    <border>
      <left style="medium">
        <color rgb="FF000000"/>
      </left>
      <right style="medium">
        <color rgb="FF000000"/>
      </right>
      <top/>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double">
        <color indexed="64"/>
      </top>
      <bottom style="hair">
        <color indexed="64"/>
      </bottom>
      <diagonal/>
    </border>
    <border>
      <left/>
      <right/>
      <top style="thin">
        <color indexed="64"/>
      </top>
      <bottom style="double">
        <color indexed="64"/>
      </bottom>
      <diagonal/>
    </border>
    <border>
      <left/>
      <right style="double">
        <color indexed="64"/>
      </right>
      <top/>
      <bottom/>
      <diagonal/>
    </border>
    <border>
      <left/>
      <right/>
      <top style="double">
        <color indexed="64"/>
      </top>
      <bottom style="double">
        <color indexed="64"/>
      </bottom>
      <diagonal/>
    </border>
    <border>
      <left style="thick">
        <color indexed="64"/>
      </left>
      <right/>
      <top style="thick">
        <color indexed="64"/>
      </top>
      <bottom/>
      <diagonal/>
    </border>
    <border>
      <left style="thin">
        <color indexed="64"/>
      </left>
      <right style="thin">
        <color indexed="64"/>
      </right>
      <top style="thin">
        <color indexed="8"/>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auto="1"/>
      </top>
      <bottom style="thin">
        <color auto="1"/>
      </bottom>
      <diagonal/>
    </border>
    <border>
      <left style="thin">
        <color indexed="64"/>
      </left>
      <right style="medium">
        <color indexed="64"/>
      </right>
      <top style="medium">
        <color indexed="64"/>
      </top>
      <bottom style="thin">
        <color indexed="64"/>
      </bottom>
      <diagonal/>
    </border>
    <border>
      <left/>
      <right style="medium">
        <color indexed="8"/>
      </right>
      <top/>
      <bottom/>
      <diagonal/>
    </border>
    <border>
      <left/>
      <right style="medium">
        <color indexed="0"/>
      </right>
      <top/>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
      <left style="thin">
        <color rgb="FF000000"/>
      </left>
      <right style="thin">
        <color rgb="FF000000"/>
      </right>
      <top style="hair">
        <color rgb="FF000000"/>
      </top>
      <bottom/>
      <diagonal/>
    </border>
  </borders>
  <cellStyleXfs count="5357">
    <xf numFmtId="0" fontId="0" fillId="0" borderId="0"/>
    <xf numFmtId="43" fontId="1" fillId="0" borderId="0" applyFont="0" applyFill="0" applyBorder="0" applyAlignment="0" applyProtection="0"/>
    <xf numFmtId="0" fontId="2" fillId="0" borderId="0"/>
    <xf numFmtId="0" fontId="26" fillId="0" borderId="0"/>
    <xf numFmtId="43" fontId="26" fillId="0" borderId="0" applyFont="0" applyFill="0" applyBorder="0" applyAlignment="0" applyProtection="0"/>
    <xf numFmtId="0" fontId="26" fillId="0" borderId="0"/>
    <xf numFmtId="0" fontId="29" fillId="0" borderId="0"/>
    <xf numFmtId="43" fontId="26" fillId="0" borderId="0" applyFont="0" applyFill="0" applyBorder="0" applyAlignment="0" applyProtection="0"/>
    <xf numFmtId="0" fontId="45" fillId="0" borderId="0"/>
    <xf numFmtId="9" fontId="45" fillId="0" borderId="0" applyFont="0" applyFill="0" applyBorder="0" applyAlignment="0" applyProtection="0"/>
    <xf numFmtId="43" fontId="45" fillId="0" borderId="0" applyFont="0" applyFill="0" applyBorder="0" applyAlignment="0" applyProtection="0"/>
    <xf numFmtId="0" fontId="46" fillId="0" borderId="0"/>
    <xf numFmtId="171" fontId="26" fillId="0" borderId="0" applyFont="0" applyFill="0" applyBorder="0" applyAlignment="0" applyProtection="0"/>
    <xf numFmtId="172" fontId="26" fillId="0" borderId="0" applyFont="0" applyFill="0" applyBorder="0" applyAlignment="0" applyProtection="0"/>
    <xf numFmtId="0" fontId="26"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53" fillId="0" borderId="0"/>
    <xf numFmtId="0" fontId="26" fillId="0" borderId="0" applyNumberFormat="0" applyFill="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1" borderId="0" applyNumberFormat="0" applyBorder="0" applyAlignment="0" applyProtection="0"/>
    <xf numFmtId="0" fontId="54" fillId="14" borderId="0" applyNumberFormat="0" applyBorder="0" applyAlignment="0" applyProtection="0"/>
    <xf numFmtId="0" fontId="55" fillId="15"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2" borderId="0" applyNumberFormat="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57" fillId="6" borderId="0" applyNumberFormat="0" applyBorder="0" applyAlignment="0" applyProtection="0"/>
    <xf numFmtId="0" fontId="56" fillId="0" borderId="0"/>
    <xf numFmtId="0" fontId="56" fillId="0" borderId="0"/>
    <xf numFmtId="0" fontId="59" fillId="23" borderId="22" applyNumberFormat="0" applyAlignment="0" applyProtection="0"/>
    <xf numFmtId="0" fontId="60" fillId="0" borderId="0"/>
    <xf numFmtId="0" fontId="61" fillId="24" borderId="23" applyNumberFormat="0" applyAlignment="0" applyProtection="0"/>
    <xf numFmtId="0" fontId="62" fillId="0" borderId="2"/>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6" fillId="0" borderId="0" applyFont="0" applyFill="0" applyBorder="0" applyAlignment="0" applyProtection="0"/>
    <xf numFmtId="165" fontId="46"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5" fontId="65" fillId="0" borderId="0" applyProtection="0"/>
    <xf numFmtId="43" fontId="64" fillId="0" borderId="0" applyFont="0" applyFill="0" applyBorder="0" applyAlignment="0" applyProtection="0"/>
    <xf numFmtId="43" fontId="66" fillId="0" borderId="0" applyFont="0" applyFill="0" applyBorder="0" applyAlignment="0" applyProtection="0"/>
    <xf numFmtId="43" fontId="67" fillId="0" borderId="0" applyFont="0" applyFill="0" applyBorder="0" applyAlignment="0" applyProtection="0"/>
    <xf numFmtId="43" fontId="13" fillId="0" borderId="0" applyFont="0" applyFill="0" applyBorder="0" applyAlignment="0" applyProtection="0"/>
    <xf numFmtId="3" fontId="26" fillId="0" borderId="0" applyFont="0" applyFill="0" applyBorder="0" applyAlignment="0" applyProtection="0"/>
    <xf numFmtId="0" fontId="68" fillId="0" borderId="6" applyNumberFormat="0" applyFont="0" applyAlignment="0">
      <alignment horizontal="center" vertical="center"/>
    </xf>
    <xf numFmtId="176" fontId="26" fillId="0" borderId="0" applyFont="0" applyFill="0" applyBorder="0" applyAlignment="0" applyProtection="0"/>
    <xf numFmtId="0" fontId="26" fillId="0" borderId="0" applyFont="0" applyFill="0" applyBorder="0" applyAlignment="0" applyProtection="0"/>
    <xf numFmtId="0" fontId="70" fillId="0" borderId="0" applyNumberFormat="0" applyFill="0" applyBorder="0" applyAlignment="0" applyProtection="0"/>
    <xf numFmtId="2" fontId="26" fillId="0" borderId="0" applyFont="0" applyFill="0" applyBorder="0" applyAlignment="0" applyProtection="0"/>
    <xf numFmtId="0" fontId="71" fillId="7" borderId="0" applyNumberFormat="0" applyBorder="0" applyAlignment="0" applyProtection="0"/>
    <xf numFmtId="38" fontId="72" fillId="2" borderId="0" applyNumberFormat="0" applyBorder="0" applyAlignment="0" applyProtection="0"/>
    <xf numFmtId="179" fontId="29" fillId="0" borderId="0" applyFont="0" applyFill="0" applyBorder="0" applyAlignment="0" applyProtection="0"/>
    <xf numFmtId="0" fontId="73" fillId="0" borderId="0">
      <alignment horizontal="left"/>
    </xf>
    <xf numFmtId="0" fontId="47" fillId="0" borderId="24" applyNumberFormat="0" applyAlignment="0" applyProtection="0">
      <alignment horizontal="left" vertical="center"/>
    </xf>
    <xf numFmtId="0" fontId="47" fillId="0" borderId="4">
      <alignment horizontal="left" vertical="center"/>
    </xf>
    <xf numFmtId="0" fontId="74" fillId="0" borderId="0" applyNumberFormat="0" applyFill="0" applyBorder="0" applyAlignment="0" applyProtection="0"/>
    <xf numFmtId="0" fontId="47" fillId="0" borderId="0" applyNumberFormat="0" applyFill="0" applyBorder="0" applyAlignment="0" applyProtection="0"/>
    <xf numFmtId="0" fontId="75" fillId="0" borderId="25" applyNumberFormat="0" applyFill="0" applyAlignment="0" applyProtection="0"/>
    <xf numFmtId="0" fontId="75" fillId="0" borderId="0" applyNumberFormat="0" applyFill="0" applyBorder="0" applyAlignment="0" applyProtection="0"/>
    <xf numFmtId="180" fontId="69" fillId="0" borderId="0">
      <protection locked="0"/>
    </xf>
    <xf numFmtId="180" fontId="69" fillId="0" borderId="0">
      <protection locked="0"/>
    </xf>
    <xf numFmtId="10" fontId="72" fillId="2" borderId="2" applyNumberFormat="0" applyBorder="0" applyAlignment="0" applyProtection="0"/>
    <xf numFmtId="0" fontId="76" fillId="10" borderId="22" applyNumberFormat="0" applyAlignment="0" applyProtection="0"/>
    <xf numFmtId="0" fontId="77" fillId="0" borderId="26" applyNumberFormat="0" applyFill="0" applyAlignment="0" applyProtection="0"/>
    <xf numFmtId="38" fontId="78" fillId="0" borderId="0" applyFont="0" applyFill="0" applyBorder="0" applyAlignment="0" applyProtection="0"/>
    <xf numFmtId="40" fontId="78" fillId="0" borderId="0" applyFont="0" applyFill="0" applyBorder="0" applyAlignment="0" applyProtection="0"/>
    <xf numFmtId="0" fontId="79" fillId="0" borderId="27"/>
    <xf numFmtId="181" fontId="78" fillId="0" borderId="0" applyFont="0" applyFill="0" applyBorder="0" applyAlignment="0" applyProtection="0"/>
    <xf numFmtId="182" fontId="78" fillId="0" borderId="0" applyFont="0" applyFill="0" applyBorder="0" applyAlignment="0" applyProtection="0"/>
    <xf numFmtId="0" fontId="80" fillId="0" borderId="0" applyNumberFormat="0" applyFont="0" applyFill="0" applyAlignment="0"/>
    <xf numFmtId="0" fontId="81" fillId="25" borderId="0" applyNumberFormat="0" applyBorder="0" applyAlignment="0" applyProtection="0"/>
    <xf numFmtId="0" fontId="58" fillId="0" borderId="0"/>
    <xf numFmtId="0" fontId="13" fillId="0" borderId="0"/>
    <xf numFmtId="0" fontId="26" fillId="0" borderId="0"/>
    <xf numFmtId="0" fontId="26" fillId="0" borderId="0"/>
    <xf numFmtId="0" fontId="1" fillId="0" borderId="0"/>
    <xf numFmtId="0" fontId="26" fillId="0" borderId="0"/>
    <xf numFmtId="0" fontId="65" fillId="0" borderId="0"/>
    <xf numFmtId="0" fontId="13" fillId="0" borderId="0"/>
    <xf numFmtId="0" fontId="64" fillId="0" borderId="0"/>
    <xf numFmtId="0" fontId="64" fillId="0" borderId="0"/>
    <xf numFmtId="0" fontId="26" fillId="0" borderId="0"/>
    <xf numFmtId="0" fontId="26" fillId="0" borderId="0"/>
    <xf numFmtId="0" fontId="64" fillId="0" borderId="0"/>
    <xf numFmtId="0" fontId="67" fillId="0" borderId="0"/>
    <xf numFmtId="0" fontId="26" fillId="0" borderId="0"/>
    <xf numFmtId="0" fontId="26" fillId="0" borderId="0"/>
    <xf numFmtId="0" fontId="82" fillId="0" borderId="0" applyProtection="0"/>
    <xf numFmtId="0" fontId="83" fillId="0" borderId="0"/>
    <xf numFmtId="0" fontId="64" fillId="0" borderId="0"/>
    <xf numFmtId="0" fontId="26" fillId="0" borderId="0"/>
    <xf numFmtId="0" fontId="46" fillId="0" borderId="0"/>
    <xf numFmtId="0" fontId="67" fillId="0" borderId="0"/>
    <xf numFmtId="0" fontId="64" fillId="0" borderId="0"/>
    <xf numFmtId="0" fontId="84" fillId="26" borderId="28" applyNumberFormat="0" applyFont="0" applyAlignment="0" applyProtection="0"/>
    <xf numFmtId="0" fontId="26" fillId="0" borderId="0" applyFont="0" applyFill="0" applyBorder="0" applyAlignment="0" applyProtection="0"/>
    <xf numFmtId="0" fontId="9" fillId="0" borderId="0"/>
    <xf numFmtId="0" fontId="85" fillId="23" borderId="29" applyNumberFormat="0" applyAlignment="0" applyProtection="0"/>
    <xf numFmtId="10" fontId="26" fillId="0" borderId="0" applyFont="0" applyFill="0" applyBorder="0" applyAlignment="0" applyProtection="0"/>
    <xf numFmtId="9" fontId="63" fillId="0" borderId="0" applyFont="0" applyFill="0" applyBorder="0" applyAlignment="0" applyProtection="0"/>
    <xf numFmtId="3" fontId="86" fillId="0" borderId="30">
      <alignment horizontal="right" wrapText="1"/>
    </xf>
    <xf numFmtId="0" fontId="79" fillId="0" borderId="0"/>
    <xf numFmtId="183" fontId="29" fillId="0" borderId="3">
      <alignment horizontal="right" vertical="center"/>
    </xf>
    <xf numFmtId="184" fontId="29" fillId="0" borderId="3">
      <alignment horizontal="center"/>
    </xf>
    <xf numFmtId="0" fontId="87" fillId="0" borderId="0" applyNumberFormat="0" applyFill="0" applyBorder="0" applyAlignment="0" applyProtection="0"/>
    <xf numFmtId="0" fontId="26" fillId="0" borderId="31" applyNumberFormat="0" applyFont="0" applyFill="0" applyAlignment="0" applyProtection="0"/>
    <xf numFmtId="185" fontId="29" fillId="0" borderId="0"/>
    <xf numFmtId="186" fontId="29" fillId="0" borderId="2"/>
    <xf numFmtId="0" fontId="88" fillId="0" borderId="0" applyNumberForma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13" fillId="0" borderId="0">
      <alignment vertical="center"/>
    </xf>
    <xf numFmtId="40" fontId="90" fillId="0" borderId="0" applyFont="0" applyFill="0" applyBorder="0" applyAlignment="0" applyProtection="0"/>
    <xf numFmtId="38"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1" fillId="0" borderId="0"/>
    <xf numFmtId="0" fontId="92" fillId="0" borderId="0" applyFont="0" applyFill="0" applyBorder="0" applyAlignment="0" applyProtection="0"/>
    <xf numFmtId="0" fontId="92" fillId="0" borderId="0" applyFont="0" applyFill="0" applyBorder="0" applyAlignment="0" applyProtection="0"/>
    <xf numFmtId="0" fontId="80" fillId="0" borderId="0"/>
    <xf numFmtId="190" fontId="65" fillId="0" borderId="0" applyFont="0" applyFill="0" applyBorder="0" applyAlignment="0" applyProtection="0"/>
    <xf numFmtId="191" fontId="65" fillId="0" borderId="0" applyFont="0" applyFill="0" applyBorder="0" applyAlignment="0" applyProtection="0"/>
    <xf numFmtId="192" fontId="65" fillId="0" borderId="0" applyFont="0" applyFill="0" applyBorder="0" applyAlignment="0" applyProtection="0"/>
    <xf numFmtId="193" fontId="93" fillId="0" borderId="0" applyFont="0" applyFill="0" applyBorder="0" applyAlignment="0" applyProtection="0"/>
    <xf numFmtId="194" fontId="65" fillId="0" borderId="0" applyFont="0" applyFill="0" applyBorder="0" applyAlignment="0" applyProtection="0"/>
    <xf numFmtId="0" fontId="96" fillId="0" borderId="0"/>
    <xf numFmtId="0" fontId="67" fillId="0" borderId="0"/>
    <xf numFmtId="0" fontId="2" fillId="0" borderId="0"/>
    <xf numFmtId="43" fontId="102" fillId="0" borderId="0" applyFont="0" applyFill="0" applyBorder="0" applyAlignment="0" applyProtection="0"/>
    <xf numFmtId="0" fontId="104" fillId="0" borderId="0"/>
    <xf numFmtId="0" fontId="109" fillId="0" borderId="0"/>
    <xf numFmtId="0" fontId="108" fillId="0" borderId="0"/>
    <xf numFmtId="0" fontId="117" fillId="0" borderId="0"/>
    <xf numFmtId="0" fontId="130" fillId="0" borderId="0"/>
    <xf numFmtId="0" fontId="59" fillId="23" borderId="39" applyNumberFormat="0" applyAlignment="0" applyProtection="0"/>
    <xf numFmtId="0" fontId="62" fillId="0" borderId="34"/>
    <xf numFmtId="0" fontId="47" fillId="0" borderId="37">
      <alignment horizontal="left" vertical="center"/>
    </xf>
    <xf numFmtId="10" fontId="72" fillId="2" borderId="34" applyNumberFormat="0" applyBorder="0" applyAlignment="0" applyProtection="0"/>
    <xf numFmtId="0" fontId="76" fillId="10" borderId="39" applyNumberFormat="0" applyAlignment="0" applyProtection="0"/>
    <xf numFmtId="0" fontId="84" fillId="26" borderId="40" applyNumberFormat="0" applyFont="0" applyAlignment="0" applyProtection="0"/>
    <xf numFmtId="0" fontId="85" fillId="23" borderId="41" applyNumberFormat="0" applyAlignment="0" applyProtection="0"/>
    <xf numFmtId="183" fontId="29" fillId="0" borderId="36">
      <alignment horizontal="right" vertical="center"/>
    </xf>
    <xf numFmtId="184" fontId="29" fillId="0" borderId="36">
      <alignment horizontal="center"/>
    </xf>
    <xf numFmtId="186" fontId="29" fillId="0" borderId="34"/>
    <xf numFmtId="0" fontId="67" fillId="0" borderId="0"/>
    <xf numFmtId="0" fontId="66" fillId="0" borderId="0"/>
    <xf numFmtId="0" fontId="26" fillId="0" borderId="0"/>
    <xf numFmtId="43" fontId="1" fillId="0" borderId="0" applyFont="0" applyFill="0" applyBorder="0" applyAlignment="0" applyProtection="0"/>
    <xf numFmtId="171" fontId="178" fillId="0" borderId="0" applyFont="0" applyFill="0" applyBorder="0" applyAlignment="0" applyProtection="0"/>
    <xf numFmtId="43" fontId="178" fillId="0" borderId="0" applyFont="0" applyFill="0" applyBorder="0" applyAlignment="0" applyProtection="0"/>
    <xf numFmtId="9" fontId="179" fillId="0" borderId="0" applyFont="0" applyFill="0" applyBorder="0" applyAlignment="0" applyProtection="0"/>
    <xf numFmtId="0" fontId="26" fillId="0" borderId="0" applyNumberFormat="0" applyFill="0" applyBorder="0" applyAlignment="0" applyProtection="0"/>
    <xf numFmtId="0" fontId="66" fillId="0" borderId="0"/>
    <xf numFmtId="43" fontId="6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45"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66" fillId="0" borderId="0" applyFont="0" applyFill="0" applyBorder="0" applyAlignment="0" applyProtection="0"/>
    <xf numFmtId="165" fontId="1" fillId="0" borderId="0" applyFont="0" applyFill="0" applyBorder="0" applyAlignment="0" applyProtection="0"/>
    <xf numFmtId="0" fontId="26" fillId="0" borderId="0"/>
    <xf numFmtId="165" fontId="46" fillId="0" borderId="0" applyFont="0" applyFill="0" applyBorder="0" applyAlignment="0" applyProtection="0"/>
    <xf numFmtId="43" fontId="67" fillId="0" borderId="0" applyFont="0" applyFill="0" applyBorder="0" applyAlignment="0" applyProtection="0"/>
    <xf numFmtId="0" fontId="46" fillId="0" borderId="0"/>
    <xf numFmtId="0" fontId="204" fillId="0" borderId="0"/>
    <xf numFmtId="0" fontId="179" fillId="0" borderId="0"/>
    <xf numFmtId="9" fontId="67" fillId="0" borderId="0" applyFont="0" applyFill="0" applyBorder="0" applyAlignment="0" applyProtection="0"/>
    <xf numFmtId="9" fontId="46" fillId="0" borderId="0" applyFont="0" applyFill="0" applyBorder="0" applyAlignment="0" applyProtection="0"/>
    <xf numFmtId="0" fontId="67" fillId="0" borderId="0"/>
    <xf numFmtId="0" fontId="1" fillId="0" borderId="0"/>
    <xf numFmtId="0" fontId="26" fillId="0" borderId="0"/>
    <xf numFmtId="0" fontId="1" fillId="0" borderId="0"/>
    <xf numFmtId="0" fontId="209" fillId="0" borderId="0"/>
    <xf numFmtId="0" fontId="1" fillId="0" borderId="0"/>
    <xf numFmtId="0" fontId="1" fillId="0" borderId="0"/>
    <xf numFmtId="203" fontId="69"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Protection="0"/>
    <xf numFmtId="0" fontId="212" fillId="0" borderId="0"/>
    <xf numFmtId="3" fontId="213" fillId="0" borderId="34"/>
    <xf numFmtId="3" fontId="213" fillId="0" borderId="34"/>
    <xf numFmtId="3" fontId="213" fillId="0" borderId="34"/>
    <xf numFmtId="3" fontId="213" fillId="0" borderId="34"/>
    <xf numFmtId="3" fontId="213" fillId="0" borderId="34"/>
    <xf numFmtId="3" fontId="213" fillId="0" borderId="34"/>
    <xf numFmtId="167" fontId="214" fillId="0" borderId="66" applyFont="0" applyBorder="0"/>
    <xf numFmtId="167" fontId="65" fillId="0" borderId="0" applyProtection="0"/>
    <xf numFmtId="167" fontId="214" fillId="0" borderId="66" applyFont="0" applyBorder="0"/>
    <xf numFmtId="167" fontId="214" fillId="0" borderId="66" applyFont="0" applyBorder="0"/>
    <xf numFmtId="0" fontId="84" fillId="0" borderId="0"/>
    <xf numFmtId="0" fontId="215" fillId="0" borderId="0" applyFont="0" applyFill="0" applyBorder="0" applyAlignment="0" applyProtection="0"/>
    <xf numFmtId="204" fontId="216" fillId="0" borderId="0" applyFont="0" applyFill="0" applyBorder="0" applyAlignment="0" applyProtection="0"/>
    <xf numFmtId="205" fontId="216" fillId="0" borderId="0" applyFont="0" applyFill="0" applyBorder="0" applyAlignment="0" applyProtection="0"/>
    <xf numFmtId="205" fontId="216" fillId="0" borderId="0" applyFont="0" applyFill="0" applyBorder="0" applyAlignment="0" applyProtection="0"/>
    <xf numFmtId="205" fontId="216" fillId="0" borderId="0" applyFont="0" applyFill="0" applyBorder="0" applyAlignment="0" applyProtection="0"/>
    <xf numFmtId="205" fontId="216" fillId="0" borderId="0" applyFont="0" applyFill="0" applyBorder="0" applyAlignment="0" applyProtection="0"/>
    <xf numFmtId="205" fontId="216" fillId="0" borderId="0" applyFont="0" applyFill="0" applyBorder="0" applyAlignment="0" applyProtection="0"/>
    <xf numFmtId="205" fontId="21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7" fillId="0" borderId="0" applyFont="0" applyFill="0" applyBorder="0" applyAlignment="0" applyProtection="0"/>
    <xf numFmtId="0" fontId="218" fillId="0" borderId="51"/>
    <xf numFmtId="206" fontId="84" fillId="0" borderId="0" applyFont="0" applyFill="0" applyBorder="0" applyAlignment="0" applyProtection="0"/>
    <xf numFmtId="190" fontId="219" fillId="0" borderId="0" applyFont="0" applyFill="0" applyBorder="0" applyAlignment="0" applyProtection="0"/>
    <xf numFmtId="191" fontId="219" fillId="0" borderId="0" applyFont="0" applyFill="0" applyBorder="0" applyAlignment="0" applyProtection="0"/>
    <xf numFmtId="207" fontId="93" fillId="0" borderId="0" applyFont="0" applyFill="0" applyBorder="0" applyAlignment="0" applyProtection="0"/>
    <xf numFmtId="0" fontId="220" fillId="0" borderId="0" applyFont="0" applyFill="0" applyBorder="0" applyAlignment="0" applyProtection="0"/>
    <xf numFmtId="0" fontId="26" fillId="0" borderId="0" applyProtection="0"/>
    <xf numFmtId="0" fontId="221" fillId="0" borderId="0"/>
    <xf numFmtId="0" fontId="26" fillId="0" borderId="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Protection="0"/>
    <xf numFmtId="0" fontId="47" fillId="0" borderId="0" applyNumberFormat="0" applyFill="0" applyBorder="0" applyProtection="0">
      <alignment vertical="center"/>
    </xf>
    <xf numFmtId="190" fontId="67" fillId="0" borderId="0" applyFont="0" applyFill="0" applyBorder="0" applyAlignment="0" applyProtection="0"/>
    <xf numFmtId="208" fontId="86" fillId="0" borderId="0" applyFont="0" applyFill="0" applyBorder="0" applyAlignment="0" applyProtection="0"/>
    <xf numFmtId="192" fontId="69" fillId="0" borderId="0" applyFont="0" applyFill="0" applyBorder="0" applyAlignment="0" applyProtection="0"/>
    <xf numFmtId="42" fontId="86"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209" fontId="67" fillId="0" borderId="0" applyFont="0" applyFill="0" applyBorder="0" applyAlignment="0" applyProtection="0"/>
    <xf numFmtId="42" fontId="86" fillId="0" borderId="0" applyFont="0" applyFill="0" applyBorder="0" applyAlignment="0" applyProtection="0"/>
    <xf numFmtId="208" fontId="86" fillId="0" borderId="0" applyFont="0" applyFill="0" applyBorder="0" applyAlignment="0" applyProtection="0"/>
    <xf numFmtId="42" fontId="86"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9" fillId="0" borderId="0"/>
    <xf numFmtId="42" fontId="86" fillId="0" borderId="0" applyFont="0" applyFill="0" applyBorder="0" applyAlignment="0" applyProtection="0"/>
    <xf numFmtId="208" fontId="86" fillId="0" borderId="0" applyFont="0" applyFill="0" applyBorder="0" applyAlignment="0" applyProtection="0"/>
    <xf numFmtId="0" fontId="209" fillId="0" borderId="0"/>
    <xf numFmtId="42" fontId="86" fillId="0" borderId="0" applyFont="0" applyFill="0" applyBorder="0" applyAlignment="0" applyProtection="0"/>
    <xf numFmtId="0" fontId="222" fillId="0" borderId="0">
      <alignment vertical="top"/>
    </xf>
    <xf numFmtId="0" fontId="223" fillId="0" borderId="0">
      <alignment vertical="top"/>
    </xf>
    <xf numFmtId="0" fontId="223" fillId="0" borderId="0">
      <alignment vertical="top"/>
    </xf>
    <xf numFmtId="0" fontId="84" fillId="0" borderId="0" applyNumberFormat="0" applyFill="0" applyBorder="0" applyAlignment="0" applyProtection="0"/>
    <xf numFmtId="184" fontId="69" fillId="0" borderId="0" applyFont="0" applyFill="0" applyBorder="0" applyAlignment="0" applyProtection="0"/>
    <xf numFmtId="0" fontId="84" fillId="0" borderId="0" applyNumberFormat="0" applyFill="0" applyBorder="0" applyAlignment="0" applyProtection="0"/>
    <xf numFmtId="42" fontId="86" fillId="0" borderId="0" applyFont="0" applyFill="0" applyBorder="0" applyAlignment="0" applyProtection="0"/>
    <xf numFmtId="0" fontId="209" fillId="0" borderId="0"/>
    <xf numFmtId="210" fontId="86" fillId="0" borderId="0" applyFont="0" applyFill="0" applyBorder="0" applyAlignment="0" applyProtection="0"/>
    <xf numFmtId="211" fontId="86" fillId="0" borderId="0" applyFont="0" applyFill="0" applyBorder="0" applyAlignment="0" applyProtection="0"/>
    <xf numFmtId="211" fontId="86" fillId="0" borderId="0" applyFont="0" applyFill="0" applyBorder="0" applyAlignment="0" applyProtection="0"/>
    <xf numFmtId="211" fontId="86" fillId="0" borderId="0" applyFont="0" applyFill="0" applyBorder="0" applyAlignment="0" applyProtection="0"/>
    <xf numFmtId="212" fontId="86"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42" fontId="86" fillId="0" borderId="0" applyFont="0" applyFill="0" applyBorder="0" applyAlignment="0" applyProtection="0"/>
    <xf numFmtId="0" fontId="209" fillId="0" borderId="0"/>
    <xf numFmtId="208" fontId="86" fillId="0" borderId="0" applyFont="0" applyFill="0" applyBorder="0" applyAlignment="0" applyProtection="0"/>
    <xf numFmtId="0" fontId="209"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9" fillId="0" borderId="0"/>
    <xf numFmtId="42" fontId="86" fillId="0" borderId="0" applyFont="0" applyFill="0" applyBorder="0" applyAlignment="0" applyProtection="0"/>
    <xf numFmtId="42" fontId="86"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9"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9" fillId="0" borderId="0"/>
    <xf numFmtId="42" fontId="86" fillId="0" borderId="0" applyFont="0" applyFill="0" applyBorder="0" applyAlignment="0" applyProtection="0"/>
    <xf numFmtId="0" fontId="209"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9" fillId="0" borderId="0"/>
    <xf numFmtId="0" fontId="209" fillId="0" borderId="0"/>
    <xf numFmtId="0" fontId="209" fillId="0" borderId="0"/>
    <xf numFmtId="212" fontId="86" fillId="0" borderId="0" applyFont="0" applyFill="0" applyBorder="0" applyAlignment="0" applyProtection="0"/>
    <xf numFmtId="210"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209"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42" fontId="86" fillId="0" borderId="0" applyFont="0" applyFill="0" applyBorder="0" applyAlignment="0" applyProtection="0"/>
    <xf numFmtId="0" fontId="209" fillId="0" borderId="0"/>
    <xf numFmtId="0" fontId="209" fillId="0" borderId="0"/>
    <xf numFmtId="208" fontId="86" fillId="0" borderId="0" applyFont="0" applyFill="0" applyBorder="0" applyAlignment="0" applyProtection="0"/>
    <xf numFmtId="0" fontId="209" fillId="0" borderId="0"/>
    <xf numFmtId="0" fontId="78" fillId="0" borderId="0"/>
    <xf numFmtId="0" fontId="209" fillId="0" borderId="0"/>
    <xf numFmtId="0" fontId="209" fillId="0" borderId="0"/>
    <xf numFmtId="192" fontId="69" fillId="0" borderId="0" applyFont="0" applyFill="0" applyBorder="0" applyAlignment="0" applyProtection="0"/>
    <xf numFmtId="42" fontId="86" fillId="0" borderId="0" applyFont="0" applyFill="0" applyBorder="0" applyAlignment="0" applyProtection="0"/>
    <xf numFmtId="210" fontId="86" fillId="0" borderId="0" applyFont="0" applyFill="0" applyBorder="0" applyAlignment="0" applyProtection="0"/>
    <xf numFmtId="42" fontId="86" fillId="0" borderId="0" applyFont="0" applyFill="0" applyBorder="0" applyAlignment="0" applyProtection="0"/>
    <xf numFmtId="192" fontId="69" fillId="0" borderId="0" applyFont="0" applyFill="0" applyBorder="0" applyAlignment="0" applyProtection="0"/>
    <xf numFmtId="213"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213"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203" fontId="69" fillId="0" borderId="0" applyFont="0" applyFill="0" applyBorder="0" applyAlignment="0" applyProtection="0"/>
    <xf numFmtId="191" fontId="69" fillId="0" borderId="0" applyFont="0" applyFill="0" applyBorder="0" applyAlignment="0" applyProtection="0"/>
    <xf numFmtId="214" fontId="86" fillId="0" borderId="0" applyFont="0" applyFill="0" applyBorder="0" applyAlignment="0" applyProtection="0"/>
    <xf numFmtId="215"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165" fontId="86" fillId="0" borderId="0" applyFont="0" applyFill="0" applyBorder="0" applyAlignment="0" applyProtection="0"/>
    <xf numFmtId="174"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6" fontId="86" fillId="0" borderId="0" applyFont="0" applyFill="0" applyBorder="0" applyAlignment="0" applyProtection="0"/>
    <xf numFmtId="165" fontId="86" fillId="0" borderId="0" applyFont="0" applyFill="0" applyBorder="0" applyAlignment="0" applyProtection="0"/>
    <xf numFmtId="217"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6" fontId="86" fillId="0" borderId="0" applyFont="0" applyFill="0" applyBorder="0" applyAlignment="0" applyProtection="0"/>
    <xf numFmtId="43" fontId="86" fillId="0" borderId="0" applyFont="0" applyFill="0" applyBorder="0" applyAlignment="0" applyProtection="0"/>
    <xf numFmtId="174"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91" fontId="86" fillId="0" borderId="0" applyFont="0" applyFill="0" applyBorder="0" applyAlignment="0" applyProtection="0"/>
    <xf numFmtId="165" fontId="86" fillId="0" borderId="0" applyFont="0" applyFill="0" applyBorder="0" applyAlignment="0" applyProtection="0"/>
    <xf numFmtId="214" fontId="86" fillId="0" borderId="0" applyFont="0" applyFill="0" applyBorder="0" applyAlignment="0" applyProtection="0"/>
    <xf numFmtId="0"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0"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8"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165"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8" fontId="86" fillId="0" borderId="0" applyFont="0" applyFill="0" applyBorder="0" applyAlignment="0" applyProtection="0"/>
    <xf numFmtId="165"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8" fontId="86" fillId="0" borderId="0" applyFont="0" applyFill="0" applyBorder="0" applyAlignment="0" applyProtection="0"/>
    <xf numFmtId="216" fontId="86" fillId="0" borderId="0" applyFont="0" applyFill="0" applyBorder="0" applyAlignment="0" applyProtection="0"/>
    <xf numFmtId="43"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9" fontId="86" fillId="0" borderId="0" applyFont="0" applyFill="0" applyBorder="0" applyAlignment="0" applyProtection="0"/>
    <xf numFmtId="220"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190" fontId="69" fillId="0" borderId="0" applyFont="0" applyFill="0" applyBorder="0" applyAlignment="0" applyProtection="0"/>
    <xf numFmtId="42" fontId="86" fillId="0" borderId="0" applyFont="0" applyFill="0" applyBorder="0" applyAlignment="0" applyProtection="0"/>
    <xf numFmtId="210" fontId="86" fillId="0" borderId="0" applyFont="0" applyFill="0" applyBorder="0" applyAlignment="0" applyProtection="0"/>
    <xf numFmtId="42" fontId="86" fillId="0" borderId="0" applyFont="0" applyFill="0" applyBorder="0" applyAlignment="0" applyProtection="0"/>
    <xf numFmtId="208"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210" fontId="86" fillId="0" borderId="0" applyFont="0" applyFill="0" applyBorder="0" applyAlignment="0" applyProtection="0"/>
    <xf numFmtId="211" fontId="86" fillId="0" borderId="0" applyFont="0" applyFill="0" applyBorder="0" applyAlignment="0" applyProtection="0"/>
    <xf numFmtId="211" fontId="86" fillId="0" borderId="0" applyFont="0" applyFill="0" applyBorder="0" applyAlignment="0" applyProtection="0"/>
    <xf numFmtId="211" fontId="86" fillId="0" borderId="0" applyFont="0" applyFill="0" applyBorder="0" applyAlignment="0" applyProtection="0"/>
    <xf numFmtId="208"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08" fontId="86" fillId="0" borderId="0" applyFont="0" applyFill="0" applyBorder="0" applyAlignment="0" applyProtection="0"/>
    <xf numFmtId="42" fontId="86" fillId="0" borderId="0" applyFont="0" applyFill="0" applyBorder="0" applyAlignment="0" applyProtection="0"/>
    <xf numFmtId="210"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184"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184" fontId="69" fillId="0" borderId="0" applyFont="0" applyFill="0" applyBorder="0" applyAlignment="0" applyProtection="0"/>
    <xf numFmtId="222" fontId="224" fillId="0" borderId="0" applyFont="0" applyFill="0" applyBorder="0" applyAlignment="0" applyProtection="0"/>
    <xf numFmtId="223"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184" fontId="86" fillId="0" borderId="0" applyFont="0" applyFill="0" applyBorder="0" applyAlignment="0" applyProtection="0"/>
    <xf numFmtId="224"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208" fontId="86" fillId="0" borderId="0" applyFont="0" applyFill="0" applyBorder="0" applyAlignment="0" applyProtection="0"/>
    <xf numFmtId="42" fontId="86" fillId="0" borderId="0" applyFont="0" applyFill="0" applyBorder="0" applyAlignment="0" applyProtection="0"/>
    <xf numFmtId="214" fontId="86" fillId="0" borderId="0" applyFont="0" applyFill="0" applyBorder="0" applyAlignment="0" applyProtection="0"/>
    <xf numFmtId="215"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165" fontId="86" fillId="0" borderId="0" applyFont="0" applyFill="0" applyBorder="0" applyAlignment="0" applyProtection="0"/>
    <xf numFmtId="174"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6" fontId="86" fillId="0" borderId="0" applyFont="0" applyFill="0" applyBorder="0" applyAlignment="0" applyProtection="0"/>
    <xf numFmtId="165" fontId="86" fillId="0" borderId="0" applyFont="0" applyFill="0" applyBorder="0" applyAlignment="0" applyProtection="0"/>
    <xf numFmtId="217"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6" fontId="86" fillId="0" borderId="0" applyFont="0" applyFill="0" applyBorder="0" applyAlignment="0" applyProtection="0"/>
    <xf numFmtId="43" fontId="86" fillId="0" borderId="0" applyFont="0" applyFill="0" applyBorder="0" applyAlignment="0" applyProtection="0"/>
    <xf numFmtId="174"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91" fontId="86" fillId="0" borderId="0" applyFont="0" applyFill="0" applyBorder="0" applyAlignment="0" applyProtection="0"/>
    <xf numFmtId="165" fontId="86" fillId="0" borderId="0" applyFont="0" applyFill="0" applyBorder="0" applyAlignment="0" applyProtection="0"/>
    <xf numFmtId="214" fontId="86" fillId="0" borderId="0" applyFont="0" applyFill="0" applyBorder="0" applyAlignment="0" applyProtection="0"/>
    <xf numFmtId="0"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0"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8"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165"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8" fontId="86" fillId="0" borderId="0" applyFont="0" applyFill="0" applyBorder="0" applyAlignment="0" applyProtection="0"/>
    <xf numFmtId="165"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8" fontId="86" fillId="0" borderId="0" applyFont="0" applyFill="0" applyBorder="0" applyAlignment="0" applyProtection="0"/>
    <xf numFmtId="216" fontId="86" fillId="0" borderId="0" applyFont="0" applyFill="0" applyBorder="0" applyAlignment="0" applyProtection="0"/>
    <xf numFmtId="43"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9" fontId="86" fillId="0" borderId="0" applyFont="0" applyFill="0" applyBorder="0" applyAlignment="0" applyProtection="0"/>
    <xf numFmtId="220" fontId="86" fillId="0" borderId="0" applyFont="0" applyFill="0" applyBorder="0" applyAlignment="0" applyProtection="0"/>
    <xf numFmtId="191" fontId="69"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209" fontId="86" fillId="0" borderId="0" applyFont="0" applyFill="0" applyBorder="0" applyAlignment="0" applyProtection="0"/>
    <xf numFmtId="225"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6" fontId="86" fillId="0" borderId="0" applyFont="0" applyFill="0" applyBorder="0" applyAlignment="0" applyProtection="0"/>
    <xf numFmtId="173" fontId="86"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227" fontId="86" fillId="0" borderId="0" applyFont="0" applyFill="0" applyBorder="0" applyAlignment="0" applyProtection="0"/>
    <xf numFmtId="226" fontId="86" fillId="0" borderId="0" applyFont="0" applyFill="0" applyBorder="0" applyAlignment="0" applyProtection="0"/>
    <xf numFmtId="228"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7" fontId="86" fillId="0" borderId="0" applyFont="0" applyFill="0" applyBorder="0" applyAlignment="0" applyProtection="0"/>
    <xf numFmtId="41" fontId="86" fillId="0" borderId="0" applyFont="0" applyFill="0" applyBorder="0" applyAlignment="0" applyProtection="0"/>
    <xf numFmtId="173" fontId="86" fillId="0" borderId="0" applyFont="0" applyFill="0" applyBorder="0" applyAlignment="0" applyProtection="0"/>
    <xf numFmtId="226" fontId="86" fillId="0" borderId="0" applyFont="0" applyFill="0" applyBorder="0" applyAlignment="0" applyProtection="0"/>
    <xf numFmtId="226" fontId="86" fillId="0" borderId="0" applyFont="0" applyFill="0" applyBorder="0" applyAlignment="0" applyProtection="0"/>
    <xf numFmtId="226" fontId="86" fillId="0" borderId="0" applyFont="0" applyFill="0" applyBorder="0" applyAlignment="0" applyProtection="0"/>
    <xf numFmtId="226" fontId="86" fillId="0" borderId="0" applyFont="0" applyFill="0" applyBorder="0" applyAlignment="0" applyProtection="0"/>
    <xf numFmtId="190" fontId="86" fillId="0" borderId="0" applyFont="0" applyFill="0" applyBorder="0" applyAlignment="0" applyProtection="0"/>
    <xf numFmtId="226" fontId="86" fillId="0" borderId="0" applyFont="0" applyFill="0" applyBorder="0" applyAlignment="0" applyProtection="0"/>
    <xf numFmtId="209" fontId="86" fillId="0" borderId="0" applyFont="0" applyFill="0" applyBorder="0" applyAlignment="0" applyProtection="0"/>
    <xf numFmtId="209" fontId="69"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228" fontId="86" fillId="0" borderId="0" applyFont="0" applyFill="0" applyBorder="0" applyAlignment="0" applyProtection="0"/>
    <xf numFmtId="209" fontId="69" fillId="0" borderId="0" applyFont="0" applyFill="0" applyBorder="0" applyAlignment="0" applyProtection="0"/>
    <xf numFmtId="209" fontId="86" fillId="0" borderId="0" applyFont="0" applyFill="0" applyBorder="0" applyAlignment="0" applyProtection="0"/>
    <xf numFmtId="230" fontId="86" fillId="0" borderId="0" applyFont="0" applyFill="0" applyBorder="0" applyAlignment="0" applyProtection="0"/>
    <xf numFmtId="209" fontId="86" fillId="0" borderId="0" applyFont="0" applyFill="0" applyBorder="0" applyAlignment="0" applyProtection="0"/>
    <xf numFmtId="22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26"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9" fontId="86" fillId="0" borderId="0" applyFont="0" applyFill="0" applyBorder="0" applyAlignment="0" applyProtection="0"/>
    <xf numFmtId="226"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228"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9" fontId="86" fillId="0" borderId="0" applyFont="0" applyFill="0" applyBorder="0" applyAlignment="0" applyProtection="0"/>
    <xf numFmtId="227" fontId="86" fillId="0" borderId="0" applyFont="0" applyFill="0" applyBorder="0" applyAlignment="0" applyProtection="0"/>
    <xf numFmtId="41" fontId="86"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231" fontId="86" fillId="0" borderId="0" applyFont="0" applyFill="0" applyBorder="0" applyAlignment="0" applyProtection="0"/>
    <xf numFmtId="232"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228" fontId="86" fillId="0" borderId="0" applyFont="0" applyFill="0" applyBorder="0" applyAlignment="0" applyProtection="0"/>
    <xf numFmtId="209" fontId="86" fillId="0" borderId="0" applyFont="0" applyFill="0" applyBorder="0" applyAlignment="0" applyProtection="0"/>
    <xf numFmtId="208"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184" fontId="69" fillId="0" borderId="0" applyFont="0" applyFill="0" applyBorder="0" applyAlignment="0" applyProtection="0"/>
    <xf numFmtId="184" fontId="69" fillId="0" borderId="0" applyFont="0" applyFill="0" applyBorder="0" applyAlignment="0" applyProtection="0"/>
    <xf numFmtId="210" fontId="86" fillId="0" borderId="0" applyFont="0" applyFill="0" applyBorder="0" applyAlignment="0" applyProtection="0"/>
    <xf numFmtId="211" fontId="86" fillId="0" borderId="0" applyFont="0" applyFill="0" applyBorder="0" applyAlignment="0" applyProtection="0"/>
    <xf numFmtId="211" fontId="86" fillId="0" borderId="0" applyFont="0" applyFill="0" applyBorder="0" applyAlignment="0" applyProtection="0"/>
    <xf numFmtId="211" fontId="86" fillId="0" borderId="0" applyFont="0" applyFill="0" applyBorder="0" applyAlignment="0" applyProtection="0"/>
    <xf numFmtId="208"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08" fontId="86" fillId="0" borderId="0" applyFont="0" applyFill="0" applyBorder="0" applyAlignment="0" applyProtection="0"/>
    <xf numFmtId="42" fontId="86" fillId="0" borderId="0" applyFont="0" applyFill="0" applyBorder="0" applyAlignment="0" applyProtection="0"/>
    <xf numFmtId="210"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184"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184" fontId="69" fillId="0" borderId="0" applyFont="0" applyFill="0" applyBorder="0" applyAlignment="0" applyProtection="0"/>
    <xf numFmtId="222" fontId="224" fillId="0" borderId="0" applyFont="0" applyFill="0" applyBorder="0" applyAlignment="0" applyProtection="0"/>
    <xf numFmtId="223"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184" fontId="86" fillId="0" borderId="0" applyFont="0" applyFill="0" applyBorder="0" applyAlignment="0" applyProtection="0"/>
    <xf numFmtId="224" fontId="86" fillId="0" borderId="0" applyFont="0" applyFill="0" applyBorder="0" applyAlignment="0" applyProtection="0"/>
    <xf numFmtId="190" fontId="69"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208" fontId="86" fillId="0" borderId="0" applyFont="0" applyFill="0" applyBorder="0" applyAlignment="0" applyProtection="0"/>
    <xf numFmtId="42" fontId="86" fillId="0" borderId="0" applyFont="0" applyFill="0" applyBorder="0" applyAlignment="0" applyProtection="0"/>
    <xf numFmtId="191" fontId="69" fillId="0" borderId="0" applyFont="0" applyFill="0" applyBorder="0" applyAlignment="0" applyProtection="0"/>
    <xf numFmtId="209" fontId="86" fillId="0" borderId="0" applyFont="0" applyFill="0" applyBorder="0" applyAlignment="0" applyProtection="0"/>
    <xf numFmtId="225"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6" fontId="86" fillId="0" borderId="0" applyFont="0" applyFill="0" applyBorder="0" applyAlignment="0" applyProtection="0"/>
    <xf numFmtId="173" fontId="86"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227" fontId="86" fillId="0" borderId="0" applyFont="0" applyFill="0" applyBorder="0" applyAlignment="0" applyProtection="0"/>
    <xf numFmtId="226" fontId="86" fillId="0" borderId="0" applyFont="0" applyFill="0" applyBorder="0" applyAlignment="0" applyProtection="0"/>
    <xf numFmtId="228"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7" fontId="86" fillId="0" borderId="0" applyFont="0" applyFill="0" applyBorder="0" applyAlignment="0" applyProtection="0"/>
    <xf numFmtId="41" fontId="86" fillId="0" borderId="0" applyFont="0" applyFill="0" applyBorder="0" applyAlignment="0" applyProtection="0"/>
    <xf numFmtId="173" fontId="86" fillId="0" borderId="0" applyFont="0" applyFill="0" applyBorder="0" applyAlignment="0" applyProtection="0"/>
    <xf numFmtId="226" fontId="86" fillId="0" borderId="0" applyFont="0" applyFill="0" applyBorder="0" applyAlignment="0" applyProtection="0"/>
    <xf numFmtId="226" fontId="86" fillId="0" borderId="0" applyFont="0" applyFill="0" applyBorder="0" applyAlignment="0" applyProtection="0"/>
    <xf numFmtId="226" fontId="86" fillId="0" borderId="0" applyFont="0" applyFill="0" applyBorder="0" applyAlignment="0" applyProtection="0"/>
    <xf numFmtId="226" fontId="86" fillId="0" borderId="0" applyFont="0" applyFill="0" applyBorder="0" applyAlignment="0" applyProtection="0"/>
    <xf numFmtId="190" fontId="86" fillId="0" borderId="0" applyFont="0" applyFill="0" applyBorder="0" applyAlignment="0" applyProtection="0"/>
    <xf numFmtId="226" fontId="86" fillId="0" borderId="0" applyFont="0" applyFill="0" applyBorder="0" applyAlignment="0" applyProtection="0"/>
    <xf numFmtId="209" fontId="86" fillId="0" borderId="0" applyFont="0" applyFill="0" applyBorder="0" applyAlignment="0" applyProtection="0"/>
    <xf numFmtId="209" fontId="69"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228" fontId="86" fillId="0" borderId="0" applyFont="0" applyFill="0" applyBorder="0" applyAlignment="0" applyProtection="0"/>
    <xf numFmtId="209" fontId="69" fillId="0" borderId="0" applyFont="0" applyFill="0" applyBorder="0" applyAlignment="0" applyProtection="0"/>
    <xf numFmtId="209" fontId="86" fillId="0" borderId="0" applyFont="0" applyFill="0" applyBorder="0" applyAlignment="0" applyProtection="0"/>
    <xf numFmtId="230" fontId="86" fillId="0" borderId="0" applyFont="0" applyFill="0" applyBorder="0" applyAlignment="0" applyProtection="0"/>
    <xf numFmtId="209" fontId="86" fillId="0" borderId="0" applyFont="0" applyFill="0" applyBorder="0" applyAlignment="0" applyProtection="0"/>
    <xf numFmtId="22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26"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9" fontId="86" fillId="0" borderId="0" applyFont="0" applyFill="0" applyBorder="0" applyAlignment="0" applyProtection="0"/>
    <xf numFmtId="226"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228"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9" fontId="86" fillId="0" borderId="0" applyFont="0" applyFill="0" applyBorder="0" applyAlignment="0" applyProtection="0"/>
    <xf numFmtId="227" fontId="86" fillId="0" borderId="0" applyFont="0" applyFill="0" applyBorder="0" applyAlignment="0" applyProtection="0"/>
    <xf numFmtId="41" fontId="86"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231" fontId="86" fillId="0" borderId="0" applyFont="0" applyFill="0" applyBorder="0" applyAlignment="0" applyProtection="0"/>
    <xf numFmtId="232"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228" fontId="86" fillId="0" borderId="0" applyFont="0" applyFill="0" applyBorder="0" applyAlignment="0" applyProtection="0"/>
    <xf numFmtId="209" fontId="86" fillId="0" borderId="0" applyFont="0" applyFill="0" applyBorder="0" applyAlignment="0" applyProtection="0"/>
    <xf numFmtId="214" fontId="86" fillId="0" borderId="0" applyFont="0" applyFill="0" applyBorder="0" applyAlignment="0" applyProtection="0"/>
    <xf numFmtId="215"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165" fontId="86" fillId="0" borderId="0" applyFont="0" applyFill="0" applyBorder="0" applyAlignment="0" applyProtection="0"/>
    <xf numFmtId="174"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6" fontId="86" fillId="0" borderId="0" applyFont="0" applyFill="0" applyBorder="0" applyAlignment="0" applyProtection="0"/>
    <xf numFmtId="165" fontId="86" fillId="0" borderId="0" applyFont="0" applyFill="0" applyBorder="0" applyAlignment="0" applyProtection="0"/>
    <xf numFmtId="217"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6" fontId="86" fillId="0" borderId="0" applyFont="0" applyFill="0" applyBorder="0" applyAlignment="0" applyProtection="0"/>
    <xf numFmtId="43" fontId="86" fillId="0" borderId="0" applyFont="0" applyFill="0" applyBorder="0" applyAlignment="0" applyProtection="0"/>
    <xf numFmtId="174"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91" fontId="86" fillId="0" borderId="0" applyFont="0" applyFill="0" applyBorder="0" applyAlignment="0" applyProtection="0"/>
    <xf numFmtId="165" fontId="86" fillId="0" borderId="0" applyFont="0" applyFill="0" applyBorder="0" applyAlignment="0" applyProtection="0"/>
    <xf numFmtId="214" fontId="86" fillId="0" borderId="0" applyFont="0" applyFill="0" applyBorder="0" applyAlignment="0" applyProtection="0"/>
    <xf numFmtId="0"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0"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8"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165"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8" fontId="86" fillId="0" borderId="0" applyFont="0" applyFill="0" applyBorder="0" applyAlignment="0" applyProtection="0"/>
    <xf numFmtId="165"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8" fontId="86" fillId="0" borderId="0" applyFont="0" applyFill="0" applyBorder="0" applyAlignment="0" applyProtection="0"/>
    <xf numFmtId="216" fontId="86" fillId="0" borderId="0" applyFont="0" applyFill="0" applyBorder="0" applyAlignment="0" applyProtection="0"/>
    <xf numFmtId="43"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9" fontId="86" fillId="0" borderId="0" applyFont="0" applyFill="0" applyBorder="0" applyAlignment="0" applyProtection="0"/>
    <xf numFmtId="220"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190" fontId="69" fillId="0" borderId="0" applyFont="0" applyFill="0" applyBorder="0" applyAlignment="0" applyProtection="0"/>
    <xf numFmtId="192" fontId="69" fillId="0" borderId="0" applyFont="0" applyFill="0" applyBorder="0" applyAlignment="0" applyProtection="0"/>
    <xf numFmtId="213"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213"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203" fontId="69" fillId="0" borderId="0" applyFont="0" applyFill="0" applyBorder="0" applyAlignment="0" applyProtection="0"/>
    <xf numFmtId="42" fontId="86" fillId="0" borderId="0" applyFont="0" applyFill="0" applyBorder="0" applyAlignment="0" applyProtection="0"/>
    <xf numFmtId="210"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212" fontId="86" fillId="0" borderId="0" applyFont="0" applyFill="0" applyBorder="0" applyAlignment="0" applyProtection="0"/>
    <xf numFmtId="184"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184" fontId="69" fillId="0" borderId="0" applyFont="0" applyFill="0" applyBorder="0" applyAlignment="0" applyProtection="0"/>
    <xf numFmtId="222" fontId="224" fillId="0" borderId="0" applyFont="0" applyFill="0" applyBorder="0" applyAlignment="0" applyProtection="0"/>
    <xf numFmtId="223"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184" fontId="86" fillId="0" borderId="0" applyFont="0" applyFill="0" applyBorder="0" applyAlignment="0" applyProtection="0"/>
    <xf numFmtId="0" fontId="209"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9" fillId="0" borderId="0"/>
    <xf numFmtId="0" fontId="209" fillId="0" borderId="0"/>
    <xf numFmtId="210"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0" fontId="209" fillId="0" borderId="0"/>
    <xf numFmtId="224"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190" fontId="69" fillId="0" borderId="0" applyFont="0" applyFill="0" applyBorder="0" applyAlignment="0" applyProtection="0"/>
    <xf numFmtId="209" fontId="86" fillId="0" borderId="0" applyFont="0" applyFill="0" applyBorder="0" applyAlignment="0" applyProtection="0"/>
    <xf numFmtId="225"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6" fontId="86" fillId="0" borderId="0" applyFont="0" applyFill="0" applyBorder="0" applyAlignment="0" applyProtection="0"/>
    <xf numFmtId="173" fontId="86"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227" fontId="86" fillId="0" borderId="0" applyFont="0" applyFill="0" applyBorder="0" applyAlignment="0" applyProtection="0"/>
    <xf numFmtId="226" fontId="86" fillId="0" borderId="0" applyFont="0" applyFill="0" applyBorder="0" applyAlignment="0" applyProtection="0"/>
    <xf numFmtId="228"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7" fontId="86" fillId="0" borderId="0" applyFont="0" applyFill="0" applyBorder="0" applyAlignment="0" applyProtection="0"/>
    <xf numFmtId="41" fontId="86" fillId="0" borderId="0" applyFont="0" applyFill="0" applyBorder="0" applyAlignment="0" applyProtection="0"/>
    <xf numFmtId="173" fontId="86" fillId="0" borderId="0" applyFont="0" applyFill="0" applyBorder="0" applyAlignment="0" applyProtection="0"/>
    <xf numFmtId="226" fontId="86" fillId="0" borderId="0" applyFont="0" applyFill="0" applyBorder="0" applyAlignment="0" applyProtection="0"/>
    <xf numFmtId="226" fontId="86" fillId="0" borderId="0" applyFont="0" applyFill="0" applyBorder="0" applyAlignment="0" applyProtection="0"/>
    <xf numFmtId="226" fontId="86" fillId="0" borderId="0" applyFont="0" applyFill="0" applyBorder="0" applyAlignment="0" applyProtection="0"/>
    <xf numFmtId="226" fontId="86" fillId="0" borderId="0" applyFont="0" applyFill="0" applyBorder="0" applyAlignment="0" applyProtection="0"/>
    <xf numFmtId="190" fontId="86" fillId="0" borderId="0" applyFont="0" applyFill="0" applyBorder="0" applyAlignment="0" applyProtection="0"/>
    <xf numFmtId="226" fontId="86" fillId="0" borderId="0" applyFont="0" applyFill="0" applyBorder="0" applyAlignment="0" applyProtection="0"/>
    <xf numFmtId="209" fontId="86" fillId="0" borderId="0" applyFont="0" applyFill="0" applyBorder="0" applyAlignment="0" applyProtection="0"/>
    <xf numFmtId="209" fontId="69"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228" fontId="86" fillId="0" borderId="0" applyFont="0" applyFill="0" applyBorder="0" applyAlignment="0" applyProtection="0"/>
    <xf numFmtId="209" fontId="69" fillId="0" borderId="0" applyFont="0" applyFill="0" applyBorder="0" applyAlignment="0" applyProtection="0"/>
    <xf numFmtId="209" fontId="86" fillId="0" borderId="0" applyFont="0" applyFill="0" applyBorder="0" applyAlignment="0" applyProtection="0"/>
    <xf numFmtId="230" fontId="86" fillId="0" borderId="0" applyFont="0" applyFill="0" applyBorder="0" applyAlignment="0" applyProtection="0"/>
    <xf numFmtId="209" fontId="86" fillId="0" borderId="0" applyFont="0" applyFill="0" applyBorder="0" applyAlignment="0" applyProtection="0"/>
    <xf numFmtId="22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26"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9" fontId="86" fillId="0" borderId="0" applyFont="0" applyFill="0" applyBorder="0" applyAlignment="0" applyProtection="0"/>
    <xf numFmtId="226"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228"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9" fontId="86" fillId="0" borderId="0" applyFont="0" applyFill="0" applyBorder="0" applyAlignment="0" applyProtection="0"/>
    <xf numFmtId="227" fontId="86" fillId="0" borderId="0" applyFont="0" applyFill="0" applyBorder="0" applyAlignment="0" applyProtection="0"/>
    <xf numFmtId="41" fontId="86"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231" fontId="86" fillId="0" borderId="0" applyFont="0" applyFill="0" applyBorder="0" applyAlignment="0" applyProtection="0"/>
    <xf numFmtId="232"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228" fontId="86" fillId="0" borderId="0" applyFont="0" applyFill="0" applyBorder="0" applyAlignment="0" applyProtection="0"/>
    <xf numFmtId="209" fontId="86" fillId="0" borderId="0" applyFont="0" applyFill="0" applyBorder="0" applyAlignment="0" applyProtection="0"/>
    <xf numFmtId="214" fontId="86" fillId="0" borderId="0" applyFont="0" applyFill="0" applyBorder="0" applyAlignment="0" applyProtection="0"/>
    <xf numFmtId="215"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165" fontId="86" fillId="0" borderId="0" applyFont="0" applyFill="0" applyBorder="0" applyAlignment="0" applyProtection="0"/>
    <xf numFmtId="174"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6" fontId="86" fillId="0" borderId="0" applyFont="0" applyFill="0" applyBorder="0" applyAlignment="0" applyProtection="0"/>
    <xf numFmtId="165" fontId="86" fillId="0" borderId="0" applyFont="0" applyFill="0" applyBorder="0" applyAlignment="0" applyProtection="0"/>
    <xf numFmtId="217"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6" fontId="86" fillId="0" borderId="0" applyFont="0" applyFill="0" applyBorder="0" applyAlignment="0" applyProtection="0"/>
    <xf numFmtId="43" fontId="86" fillId="0" borderId="0" applyFont="0" applyFill="0" applyBorder="0" applyAlignment="0" applyProtection="0"/>
    <xf numFmtId="174"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65" fontId="86" fillId="0" borderId="0" applyFont="0" applyFill="0" applyBorder="0" applyAlignment="0" applyProtection="0"/>
    <xf numFmtId="191" fontId="86" fillId="0" borderId="0" applyFont="0" applyFill="0" applyBorder="0" applyAlignment="0" applyProtection="0"/>
    <xf numFmtId="165" fontId="86" fillId="0" borderId="0" applyFont="0" applyFill="0" applyBorder="0" applyAlignment="0" applyProtection="0"/>
    <xf numFmtId="214" fontId="86" fillId="0" borderId="0" applyFont="0" applyFill="0" applyBorder="0" applyAlignment="0" applyProtection="0"/>
    <xf numFmtId="0"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0"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8"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214" fontId="86" fillId="0" borderId="0" applyFont="0" applyFill="0" applyBorder="0" applyAlignment="0" applyProtection="0"/>
    <xf numFmtId="165"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191"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8" fontId="86" fillId="0" borderId="0" applyFont="0" applyFill="0" applyBorder="0" applyAlignment="0" applyProtection="0"/>
    <xf numFmtId="165"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214"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43" fontId="86" fillId="0" borderId="0" applyFont="0" applyFill="0" applyBorder="0" applyAlignment="0" applyProtection="0"/>
    <xf numFmtId="191" fontId="86" fillId="0" borderId="0" applyFont="0" applyFill="0" applyBorder="0" applyAlignment="0" applyProtection="0"/>
    <xf numFmtId="218" fontId="86" fillId="0" borderId="0" applyFont="0" applyFill="0" applyBorder="0" applyAlignment="0" applyProtection="0"/>
    <xf numFmtId="216" fontId="86" fillId="0" borderId="0" applyFont="0" applyFill="0" applyBorder="0" applyAlignment="0" applyProtection="0"/>
    <xf numFmtId="43"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6" fontId="86" fillId="0" borderId="0" applyFont="0" applyFill="0" applyBorder="0" applyAlignment="0" applyProtection="0"/>
    <xf numFmtId="214" fontId="86" fillId="0" borderId="0" applyFont="0" applyFill="0" applyBorder="0" applyAlignment="0" applyProtection="0"/>
    <xf numFmtId="219" fontId="86" fillId="0" borderId="0" applyFont="0" applyFill="0" applyBorder="0" applyAlignment="0" applyProtection="0"/>
    <xf numFmtId="220" fontId="86" fillId="0" borderId="0" applyFont="0" applyFill="0" applyBorder="0" applyAlignment="0" applyProtection="0"/>
    <xf numFmtId="218"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217" fontId="86" fillId="0" borderId="0" applyFont="0" applyFill="0" applyBorder="0" applyAlignment="0" applyProtection="0"/>
    <xf numFmtId="214" fontId="86" fillId="0" borderId="0" applyFont="0" applyFill="0" applyBorder="0" applyAlignment="0" applyProtection="0"/>
    <xf numFmtId="192" fontId="69" fillId="0" borderId="0" applyFont="0" applyFill="0" applyBorder="0" applyAlignment="0" applyProtection="0"/>
    <xf numFmtId="213"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213"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192" fontId="69" fillId="0" borderId="0" applyFont="0" applyFill="0" applyBorder="0" applyAlignment="0" applyProtection="0"/>
    <xf numFmtId="203" fontId="69" fillId="0" borderId="0" applyFont="0" applyFill="0" applyBorder="0" applyAlignment="0" applyProtection="0"/>
    <xf numFmtId="191" fontId="69" fillId="0" borderId="0" applyFont="0" applyFill="0" applyBorder="0" applyAlignment="0" applyProtection="0"/>
    <xf numFmtId="0" fontId="209" fillId="0" borderId="0"/>
    <xf numFmtId="212" fontId="86" fillId="0" borderId="0" applyFont="0" applyFill="0" applyBorder="0" applyAlignment="0" applyProtection="0"/>
    <xf numFmtId="42" fontId="86"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42" fontId="86" fillId="0" borderId="0" applyFont="0" applyFill="0" applyBorder="0" applyAlignment="0" applyProtection="0"/>
    <xf numFmtId="0" fontId="223" fillId="0" borderId="0">
      <alignment vertical="top"/>
    </xf>
    <xf numFmtId="0" fontId="223" fillId="0" borderId="0">
      <alignment vertical="top"/>
    </xf>
    <xf numFmtId="0" fontId="222" fillId="0" borderId="0">
      <alignment vertical="top"/>
    </xf>
    <xf numFmtId="0" fontId="222" fillId="0" borderId="0">
      <alignment vertical="top"/>
    </xf>
    <xf numFmtId="0" fontId="222" fillId="0" borderId="0">
      <alignment vertical="top"/>
    </xf>
    <xf numFmtId="0" fontId="26" fillId="0" borderId="0"/>
    <xf numFmtId="0" fontId="223" fillId="0" borderId="0">
      <alignment vertical="top"/>
    </xf>
    <xf numFmtId="0" fontId="223" fillId="0" borderId="0">
      <alignment vertical="top"/>
    </xf>
    <xf numFmtId="0" fontId="222" fillId="0" borderId="0">
      <alignment vertical="top"/>
    </xf>
    <xf numFmtId="0" fontId="222" fillId="0" borderId="0">
      <alignment vertical="top"/>
    </xf>
    <xf numFmtId="0" fontId="222" fillId="0" borderId="0">
      <alignment vertical="top"/>
    </xf>
    <xf numFmtId="0" fontId="223" fillId="0" borderId="0">
      <alignment vertical="top"/>
    </xf>
    <xf numFmtId="0" fontId="223" fillId="0" borderId="0">
      <alignment vertical="top"/>
    </xf>
    <xf numFmtId="0" fontId="223" fillId="0" borderId="0">
      <alignment vertical="top"/>
    </xf>
    <xf numFmtId="0" fontId="223" fillId="0" borderId="0">
      <alignment vertical="top"/>
    </xf>
    <xf numFmtId="0" fontId="222" fillId="0" borderId="0">
      <alignment vertical="top"/>
    </xf>
    <xf numFmtId="0" fontId="222" fillId="0" borderId="0">
      <alignment vertical="top"/>
    </xf>
    <xf numFmtId="0" fontId="222" fillId="0" borderId="0">
      <alignment vertical="top"/>
    </xf>
    <xf numFmtId="0" fontId="223" fillId="0" borderId="0">
      <alignment vertical="top"/>
    </xf>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203" fontId="65" fillId="0" borderId="0" applyProtection="0"/>
    <xf numFmtId="192" fontId="65" fillId="0" borderId="0" applyProtection="0"/>
    <xf numFmtId="192" fontId="65" fillId="0" borderId="0" applyProtection="0"/>
    <xf numFmtId="0" fontId="212" fillId="0" borderId="0" applyProtection="0"/>
    <xf numFmtId="203" fontId="65" fillId="0" borderId="0" applyProtection="0"/>
    <xf numFmtId="192" fontId="65" fillId="0" borderId="0" applyProtection="0"/>
    <xf numFmtId="192" fontId="65" fillId="0" borderId="0" applyProtection="0"/>
    <xf numFmtId="0" fontId="212" fillId="0" borderId="0" applyProtection="0"/>
    <xf numFmtId="212" fontId="86"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9" fillId="0" borderId="0"/>
    <xf numFmtId="208" fontId="86" fillId="0" borderId="0" applyFont="0" applyFill="0" applyBorder="0" applyAlignment="0" applyProtection="0"/>
    <xf numFmtId="0" fontId="209" fillId="0" borderId="0"/>
    <xf numFmtId="42" fontId="86" fillId="0" borderId="0" applyFont="0" applyFill="0" applyBorder="0" applyAlignment="0" applyProtection="0"/>
    <xf numFmtId="233" fontId="225" fillId="0" borderId="0" applyFont="0" applyFill="0" applyBorder="0" applyAlignment="0" applyProtection="0"/>
    <xf numFmtId="0" fontId="26" fillId="0" borderId="0"/>
    <xf numFmtId="188" fontId="226" fillId="0" borderId="0" applyFont="0" applyFill="0" applyBorder="0" applyAlignment="0" applyProtection="0"/>
    <xf numFmtId="189" fontId="226" fillId="0" borderId="0" applyFont="0" applyFill="0" applyBorder="0" applyAlignment="0" applyProtection="0"/>
    <xf numFmtId="0" fontId="80" fillId="0" borderId="0"/>
    <xf numFmtId="0" fontId="227" fillId="0" borderId="0"/>
    <xf numFmtId="0" fontId="227" fillId="0" borderId="0"/>
    <xf numFmtId="0" fontId="227" fillId="0" borderId="0"/>
    <xf numFmtId="0" fontId="9" fillId="0" borderId="0"/>
    <xf numFmtId="1" fontId="228" fillId="0" borderId="34" applyBorder="0" applyAlignment="0">
      <alignment horizontal="center"/>
    </xf>
    <xf numFmtId="1" fontId="228" fillId="0" borderId="34" applyBorder="0" applyAlignment="0">
      <alignment horizontal="center"/>
    </xf>
    <xf numFmtId="1" fontId="228" fillId="0" borderId="34" applyBorder="0" applyAlignment="0">
      <alignment horizontal="center"/>
    </xf>
    <xf numFmtId="1" fontId="228" fillId="0" borderId="34" applyBorder="0" applyAlignment="0">
      <alignment horizontal="center"/>
    </xf>
    <xf numFmtId="1" fontId="228" fillId="0" borderId="34" applyBorder="0" applyAlignment="0">
      <alignment horizontal="center"/>
    </xf>
    <xf numFmtId="1" fontId="228" fillId="0" borderId="34" applyBorder="0" applyAlignment="0">
      <alignment horizontal="center"/>
    </xf>
    <xf numFmtId="0" fontId="229" fillId="0" borderId="0"/>
    <xf numFmtId="0" fontId="229" fillId="0" borderId="0"/>
    <xf numFmtId="0" fontId="26" fillId="0" borderId="0"/>
    <xf numFmtId="0" fontId="64" fillId="0" borderId="0"/>
    <xf numFmtId="0" fontId="26" fillId="0" borderId="0"/>
    <xf numFmtId="0" fontId="230" fillId="0" borderId="0"/>
    <xf numFmtId="0" fontId="229" fillId="0" borderId="0" applyProtection="0"/>
    <xf numFmtId="3" fontId="213" fillId="0" borderId="34"/>
    <xf numFmtId="3" fontId="213" fillId="0" borderId="34"/>
    <xf numFmtId="3" fontId="213" fillId="0" borderId="34"/>
    <xf numFmtId="3" fontId="213" fillId="0" borderId="34"/>
    <xf numFmtId="3" fontId="213" fillId="0" borderId="34"/>
    <xf numFmtId="3" fontId="213" fillId="0" borderId="34"/>
    <xf numFmtId="3" fontId="213" fillId="0" borderId="34"/>
    <xf numFmtId="3" fontId="213" fillId="0" borderId="34"/>
    <xf numFmtId="3" fontId="213" fillId="0" borderId="34"/>
    <xf numFmtId="3" fontId="213" fillId="0" borderId="34"/>
    <xf numFmtId="3" fontId="213" fillId="0" borderId="34"/>
    <xf numFmtId="3" fontId="213" fillId="0" borderId="34"/>
    <xf numFmtId="233" fontId="225" fillId="0" borderId="0" applyFont="0" applyFill="0" applyBorder="0" applyAlignment="0" applyProtection="0"/>
    <xf numFmtId="0" fontId="231" fillId="53" borderId="0"/>
    <xf numFmtId="0" fontId="231" fillId="53" borderId="0"/>
    <xf numFmtId="0" fontId="231" fillId="53" borderId="0"/>
    <xf numFmtId="233" fontId="225" fillId="0" borderId="0" applyFont="0" applyFill="0" applyBorder="0" applyAlignment="0" applyProtection="0"/>
    <xf numFmtId="0" fontId="231"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233" fontId="225" fillId="0" borderId="0" applyFont="0" applyFill="0" applyBorder="0" applyAlignment="0" applyProtection="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3" fillId="0" borderId="0" applyFont="0" applyFill="0" applyBorder="0" applyAlignment="0">
      <alignment horizontal="left"/>
    </xf>
    <xf numFmtId="0" fontId="231" fillId="53" borderId="0"/>
    <xf numFmtId="0" fontId="233" fillId="0" borderId="0" applyFont="0" applyFill="0" applyBorder="0" applyAlignment="0">
      <alignment horizontal="left"/>
    </xf>
    <xf numFmtId="0" fontId="232" fillId="53" borderId="0"/>
    <xf numFmtId="0" fontId="232" fillId="53" borderId="0"/>
    <xf numFmtId="0" fontId="232" fillId="53" borderId="0"/>
    <xf numFmtId="0" fontId="232" fillId="53" borderId="0"/>
    <xf numFmtId="0" fontId="232" fillId="53" borderId="0"/>
    <xf numFmtId="0" fontId="232" fillId="53" borderId="0"/>
    <xf numFmtId="233" fontId="225" fillId="0" borderId="0" applyFont="0" applyFill="0" applyBorder="0" applyAlignment="0" applyProtection="0"/>
    <xf numFmtId="0" fontId="231" fillId="53" borderId="0"/>
    <xf numFmtId="0" fontId="231" fillId="53" borderId="0"/>
    <xf numFmtId="0" fontId="234" fillId="0" borderId="34" applyNumberFormat="0" applyFont="0" applyBorder="0">
      <alignment horizontal="left" indent="2"/>
    </xf>
    <xf numFmtId="0" fontId="234" fillId="0" borderId="34" applyNumberFormat="0" applyFont="0" applyBorder="0">
      <alignment horizontal="left" indent="2"/>
    </xf>
    <xf numFmtId="0" fontId="234" fillId="0" borderId="34" applyNumberFormat="0" applyFont="0" applyBorder="0">
      <alignment horizontal="left" indent="2"/>
    </xf>
    <xf numFmtId="0" fontId="234" fillId="0" borderId="34" applyNumberFormat="0" applyFont="0" applyBorder="0">
      <alignment horizontal="left" indent="2"/>
    </xf>
    <xf numFmtId="0" fontId="234" fillId="0" borderId="34" applyNumberFormat="0" applyFont="0" applyBorder="0">
      <alignment horizontal="left" indent="2"/>
    </xf>
    <xf numFmtId="0" fontId="234" fillId="0" borderId="34" applyNumberFormat="0" applyFont="0" applyBorder="0">
      <alignment horizontal="left" indent="2"/>
    </xf>
    <xf numFmtId="0" fontId="233" fillId="0" borderId="0" applyFont="0" applyFill="0" applyBorder="0" applyAlignment="0">
      <alignment horizontal="left"/>
    </xf>
    <xf numFmtId="0" fontId="233" fillId="0" borderId="0" applyFont="0" applyFill="0" applyBorder="0" applyAlignment="0">
      <alignment horizontal="left"/>
    </xf>
    <xf numFmtId="0" fontId="235" fillId="0" borderId="0"/>
    <xf numFmtId="0" fontId="236" fillId="54" borderId="31" applyFont="0" applyFill="0" applyAlignment="0">
      <alignment vertical="center" wrapText="1"/>
    </xf>
    <xf numFmtId="9" fontId="237" fillId="0" borderId="0" applyBorder="0" applyAlignment="0" applyProtection="0"/>
    <xf numFmtId="0" fontId="238" fillId="53" borderId="0"/>
    <xf numFmtId="0" fontId="238"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8" fillId="53" borderId="0"/>
    <xf numFmtId="0" fontId="238" fillId="53" borderId="0"/>
    <xf numFmtId="0" fontId="234" fillId="0" borderId="34" applyNumberFormat="0" applyFont="0" applyBorder="0" applyAlignment="0">
      <alignment horizontal="center"/>
    </xf>
    <xf numFmtId="0" fontId="234" fillId="0" borderId="34" applyNumberFormat="0" applyFont="0" applyBorder="0" applyAlignment="0">
      <alignment horizontal="center"/>
    </xf>
    <xf numFmtId="0" fontId="234" fillId="0" borderId="34" applyNumberFormat="0" applyFont="0" applyBorder="0" applyAlignment="0">
      <alignment horizontal="center"/>
    </xf>
    <xf numFmtId="0" fontId="234" fillId="0" borderId="34" applyNumberFormat="0" applyFont="0" applyBorder="0" applyAlignment="0">
      <alignment horizontal="center"/>
    </xf>
    <xf numFmtId="0" fontId="234" fillId="0" borderId="34" applyNumberFormat="0" applyFont="0" applyBorder="0" applyAlignment="0">
      <alignment horizontal="center"/>
    </xf>
    <xf numFmtId="0" fontId="234" fillId="0" borderId="34" applyNumberFormat="0" applyFont="0" applyBorder="0" applyAlignment="0">
      <alignment horizontal="center"/>
    </xf>
    <xf numFmtId="0" fontId="67" fillId="0" borderId="0"/>
    <xf numFmtId="0" fontId="64" fillId="0" borderId="0"/>
    <xf numFmtId="0" fontId="239" fillId="53" borderId="0"/>
    <xf numFmtId="0" fontId="239"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2" fillId="53" borderId="0"/>
    <xf numFmtId="0" fontId="239" fillId="53" borderId="0"/>
    <xf numFmtId="0" fontId="240" fillId="0" borderId="0">
      <alignment wrapText="1"/>
    </xf>
    <xf numFmtId="0" fontId="240"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32" fillId="0" borderId="0">
      <alignment wrapText="1"/>
    </xf>
    <xf numFmtId="0" fontId="240" fillId="0" borderId="0">
      <alignment wrapText="1"/>
    </xf>
    <xf numFmtId="167" fontId="241" fillId="0" borderId="1" applyNumberFormat="0" applyFont="0" applyBorder="0" applyAlignment="0">
      <alignment horizontal="center"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2" fillId="0" borderId="0"/>
    <xf numFmtId="0" fontId="82" fillId="0" borderId="0"/>
    <xf numFmtId="0" fontId="82" fillId="0" borderId="0"/>
    <xf numFmtId="0" fontId="82" fillId="0" borderId="0"/>
    <xf numFmtId="0" fontId="82" fillId="0" borderId="0"/>
    <xf numFmtId="0" fontId="82" fillId="0" borderId="0"/>
    <xf numFmtId="234" fontId="242" fillId="0" borderId="0" applyFont="0" applyFill="0" applyBorder="0" applyAlignment="0" applyProtection="0"/>
    <xf numFmtId="0" fontId="56" fillId="0" borderId="0" applyFont="0" applyFill="0" applyBorder="0" applyAlignment="0" applyProtection="0"/>
    <xf numFmtId="235" fontId="62" fillId="0" borderId="0" applyFont="0" applyFill="0" applyBorder="0" applyAlignment="0" applyProtection="0"/>
    <xf numFmtId="228" fontId="242" fillId="0" borderId="0" applyFont="0" applyFill="0" applyBorder="0" applyAlignment="0" applyProtection="0"/>
    <xf numFmtId="0" fontId="56" fillId="0" borderId="0" applyFont="0" applyFill="0" applyBorder="0" applyAlignment="0" applyProtection="0"/>
    <xf numFmtId="236" fontId="242" fillId="0" borderId="0" applyFont="0" applyFill="0" applyBorder="0" applyAlignment="0" applyProtection="0"/>
    <xf numFmtId="0" fontId="243" fillId="0" borderId="0">
      <alignment horizontal="center" wrapText="1"/>
      <protection locked="0"/>
    </xf>
    <xf numFmtId="0" fontId="112" fillId="0" borderId="0">
      <alignment horizontal="center" wrapText="1"/>
      <protection locked="0"/>
    </xf>
    <xf numFmtId="0" fontId="244" fillId="0" borderId="0" applyNumberFormat="0" applyBorder="0" applyAlignment="0">
      <alignment horizontal="center"/>
    </xf>
    <xf numFmtId="173" fontId="245" fillId="0" borderId="0" applyFont="0" applyFill="0" applyBorder="0" applyAlignment="0" applyProtection="0"/>
    <xf numFmtId="237" fontId="86" fillId="0" borderId="0" applyFont="0" applyFill="0" applyBorder="0" applyAlignment="0" applyProtection="0"/>
    <xf numFmtId="174" fontId="245" fillId="0" borderId="0" applyFont="0" applyFill="0" applyBorder="0" applyAlignment="0" applyProtection="0"/>
    <xf numFmtId="238" fontId="86" fillId="0" borderId="0" applyFont="0" applyFill="0" applyBorder="0" applyAlignment="0" applyProtection="0"/>
    <xf numFmtId="192" fontId="69" fillId="0" borderId="0" applyFont="0" applyFill="0" applyBorder="0" applyAlignment="0" applyProtection="0"/>
    <xf numFmtId="213" fontId="69" fillId="0" borderId="0" applyFont="0" applyFill="0" applyBorder="0" applyAlignment="0" applyProtection="0"/>
    <xf numFmtId="0" fontId="246" fillId="0" borderId="0"/>
    <xf numFmtId="0" fontId="247" fillId="0" borderId="0" applyNumberFormat="0" applyFill="0" applyBorder="0" applyAlignment="0" applyProtection="0"/>
    <xf numFmtId="0" fontId="29" fillId="0" borderId="0"/>
    <xf numFmtId="0" fontId="142" fillId="0" borderId="0"/>
    <xf numFmtId="0" fontId="248" fillId="0" borderId="0"/>
    <xf numFmtId="0" fontId="249" fillId="0" borderId="0"/>
    <xf numFmtId="0" fontId="58" fillId="0" borderId="0"/>
    <xf numFmtId="239" fontId="78" fillId="0" borderId="0" applyFill="0" applyBorder="0" applyAlignment="0"/>
    <xf numFmtId="240" fontId="67" fillId="0" borderId="0" applyFill="0" applyBorder="0" applyAlignment="0"/>
    <xf numFmtId="241" fontId="250"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3"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4" fontId="26" fillId="0" borderId="0" applyFill="0" applyBorder="0" applyAlignment="0"/>
    <xf numFmtId="245"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6" fontId="26" fillId="0" borderId="0" applyFill="0" applyBorder="0" applyAlignment="0"/>
    <xf numFmtId="247" fontId="64"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248" fontId="26" fillId="0" borderId="0" applyFill="0" applyBorder="0" applyAlignment="0"/>
    <xf numFmtId="194" fontId="250"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50" fontId="250"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41" fontId="250"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0" fontId="60" fillId="0" borderId="0"/>
    <xf numFmtId="0" fontId="251" fillId="0" borderId="0" applyFill="0" applyBorder="0" applyProtection="0">
      <alignment horizontal="center"/>
      <protection locked="0"/>
    </xf>
    <xf numFmtId="252" fontId="86" fillId="0" borderId="0" applyFont="0" applyFill="0" applyBorder="0" applyAlignment="0" applyProtection="0"/>
    <xf numFmtId="0" fontId="252" fillId="51" borderId="64" applyNumberFormat="0" applyAlignment="0" applyProtection="0"/>
    <xf numFmtId="167" fontId="229" fillId="0" borderId="0" applyFont="0" applyFill="0" applyBorder="0" applyAlignment="0" applyProtection="0"/>
    <xf numFmtId="1" fontId="253" fillId="0" borderId="5" applyBorder="0"/>
    <xf numFmtId="0" fontId="254" fillId="0" borderId="35">
      <alignment horizontal="center"/>
    </xf>
    <xf numFmtId="253" fontId="255" fillId="0" borderId="0"/>
    <xf numFmtId="253" fontId="255" fillId="0" borderId="0"/>
    <xf numFmtId="253" fontId="255" fillId="0" borderId="0"/>
    <xf numFmtId="253" fontId="255" fillId="0" borderId="0"/>
    <xf numFmtId="253" fontId="255" fillId="0" borderId="0"/>
    <xf numFmtId="253" fontId="255" fillId="0" borderId="0"/>
    <xf numFmtId="253" fontId="255" fillId="0" borderId="0"/>
    <xf numFmtId="253" fontId="255" fillId="0" borderId="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254" fontId="26" fillId="0" borderId="0" applyFont="0" applyFill="0" applyBorder="0" applyAlignment="0" applyProtection="0"/>
    <xf numFmtId="41" fontId="26" fillId="0" borderId="0" applyFont="0" applyFill="0" applyBorder="0" applyAlignment="0" applyProtection="0"/>
    <xf numFmtId="41" fontId="256" fillId="0" borderId="0" applyFont="0" applyFill="0" applyBorder="0" applyAlignment="0" applyProtection="0"/>
    <xf numFmtId="41" fontId="96" fillId="0" borderId="0" applyFont="0" applyFill="0" applyBorder="0" applyAlignment="0" applyProtection="0"/>
    <xf numFmtId="226" fontId="178" fillId="0" borderId="0" applyFont="0" applyFill="0" applyBorder="0" applyAlignment="0" applyProtection="0"/>
    <xf numFmtId="226" fontId="178" fillId="0" borderId="0" applyFont="0" applyFill="0" applyBorder="0" applyAlignment="0" applyProtection="0"/>
    <xf numFmtId="190" fontId="82"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225"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 fillId="0" borderId="0" applyFont="0" applyFill="0" applyBorder="0" applyAlignment="0" applyProtection="0"/>
    <xf numFmtId="41" fontId="178" fillId="0" borderId="0" applyFont="0" applyFill="0" applyBorder="0" applyAlignment="0" applyProtection="0"/>
    <xf numFmtId="41" fontId="1"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 fillId="0" borderId="0" applyFont="0" applyFill="0" applyBorder="0" applyAlignment="0" applyProtection="0"/>
    <xf numFmtId="41" fontId="178" fillId="0" borderId="0" applyFont="0" applyFill="0" applyBorder="0" applyAlignment="0" applyProtection="0"/>
    <xf numFmtId="41" fontId="1"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 fillId="0" borderId="0" applyFont="0" applyFill="0" applyBorder="0" applyAlignment="0" applyProtection="0"/>
    <xf numFmtId="41" fontId="178" fillId="0" borderId="0" applyFont="0" applyFill="0" applyBorder="0" applyAlignment="0" applyProtection="0"/>
    <xf numFmtId="41" fontId="1"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202" fontId="65" fillId="0" borderId="0" applyProtection="0"/>
    <xf numFmtId="202" fontId="65" fillId="0" borderId="0" applyProtection="0"/>
    <xf numFmtId="225"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41" fontId="178" fillId="0" borderId="0" applyFont="0" applyFill="0" applyBorder="0" applyAlignment="0" applyProtection="0"/>
    <xf numFmtId="6" fontId="65" fillId="0" borderId="0" applyFont="0" applyFill="0" applyBorder="0" applyAlignment="0" applyProtection="0"/>
    <xf numFmtId="191" fontId="65" fillId="0" borderId="0" applyFont="0" applyFill="0" applyBorder="0" applyAlignment="0" applyProtection="0"/>
    <xf numFmtId="0" fontId="67" fillId="0" borderId="0" applyFont="0" applyFill="0" applyBorder="0" applyAlignment="0" applyProtection="0"/>
    <xf numFmtId="41" fontId="178" fillId="0" borderId="0" applyFont="0" applyFill="0" applyBorder="0" applyAlignment="0" applyProtection="0"/>
    <xf numFmtId="190" fontId="65"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194" fontId="250"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49" fontId="26" fillId="0" borderId="0" applyFont="0" applyFill="0" applyBorder="0" applyAlignment="0" applyProtection="0"/>
    <xf numFmtId="255" fontId="4" fillId="0" borderId="0" applyFont="0" applyFill="0" applyBorder="0" applyAlignment="0" applyProtection="0"/>
    <xf numFmtId="256" fontId="65" fillId="0" borderId="0" applyFont="0" applyFill="0" applyBorder="0" applyAlignment="0" applyProtection="0"/>
    <xf numFmtId="257" fontId="257" fillId="0" borderId="0" applyFont="0" applyFill="0" applyBorder="0" applyAlignment="0" applyProtection="0"/>
    <xf numFmtId="258" fontId="65" fillId="0" borderId="0" applyFont="0" applyFill="0" applyBorder="0" applyAlignment="0" applyProtection="0"/>
    <xf numFmtId="259" fontId="257" fillId="0" borderId="0" applyFont="0" applyFill="0" applyBorder="0" applyAlignment="0" applyProtection="0"/>
    <xf numFmtId="260" fontId="65" fillId="0" borderId="0" applyFont="0" applyFill="0" applyBorder="0" applyAlignment="0" applyProtection="0"/>
    <xf numFmtId="0"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0" fontId="178" fillId="0" borderId="0" applyFont="0" applyFill="0" applyBorder="0" applyAlignment="0" applyProtection="0"/>
    <xf numFmtId="165" fontId="178" fillId="0" borderId="0" applyFont="0" applyFill="0" applyBorder="0" applyAlignment="0" applyProtection="0"/>
    <xf numFmtId="41" fontId="178" fillId="0" borderId="0" applyFont="0" applyFill="0" applyBorder="0" applyAlignment="0" applyProtection="0"/>
    <xf numFmtId="165" fontId="178" fillId="0" borderId="0" applyFont="0" applyFill="0" applyBorder="0" applyAlignment="0" applyProtection="0"/>
    <xf numFmtId="261" fontId="178" fillId="0" borderId="0" applyFont="0" applyFill="0" applyBorder="0" applyAlignment="0" applyProtection="0"/>
    <xf numFmtId="43" fontId="178" fillId="0" borderId="0" applyFont="0" applyFill="0" applyBorder="0" applyAlignment="0" applyProtection="0"/>
    <xf numFmtId="203" fontId="178" fillId="0" borderId="0" applyFont="0" applyFill="0" applyBorder="0" applyAlignment="0" applyProtection="0"/>
    <xf numFmtId="43" fontId="2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59"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262" fontId="178" fillId="0" borderId="0" applyFont="0" applyFill="0" applyBorder="0" applyAlignment="0" applyProtection="0"/>
    <xf numFmtId="169"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262" fontId="178" fillId="0" borderId="0" applyFont="0" applyFill="0" applyBorder="0" applyAlignment="0" applyProtection="0"/>
    <xf numFmtId="263" fontId="178" fillId="0" borderId="0" applyFont="0" applyFill="0" applyBorder="0" applyAlignment="0" applyProtection="0"/>
    <xf numFmtId="263" fontId="178"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263" fontId="178" fillId="0" borderId="0" applyFont="0" applyFill="0" applyBorder="0" applyAlignment="0" applyProtection="0"/>
    <xf numFmtId="263" fontId="178" fillId="0" borderId="0" applyFont="0" applyFill="0" applyBorder="0" applyAlignment="0" applyProtection="0"/>
    <xf numFmtId="43" fontId="2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191"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26" fillId="0" borderId="0" applyFont="0" applyFill="0" applyBorder="0" applyAlignment="0" applyProtection="0"/>
    <xf numFmtId="43" fontId="17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29" fillId="0" borderId="0" applyFont="0" applyFill="0" applyBorder="0" applyAlignment="0" applyProtection="0"/>
    <xf numFmtId="43" fontId="260"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43" fontId="261" fillId="0" borderId="0" applyFont="0" applyFill="0" applyBorder="0" applyAlignment="0" applyProtection="0"/>
    <xf numFmtId="0"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43" fontId="9"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0" fontId="178" fillId="0" borderId="0" applyFont="0" applyFill="0" applyBorder="0" applyAlignment="0" applyProtection="0"/>
    <xf numFmtId="43" fontId="178" fillId="0" borderId="0" applyFont="0" applyFill="0" applyBorder="0" applyAlignment="0" applyProtection="0"/>
    <xf numFmtId="0" fontId="178" fillId="0" borderId="0" applyFont="0" applyFill="0" applyBorder="0" applyAlignment="0" applyProtection="0"/>
    <xf numFmtId="264" fontId="178" fillId="0" borderId="0" applyFont="0" applyFill="0" applyBorder="0" applyAlignment="0" applyProtection="0"/>
    <xf numFmtId="201" fontId="178" fillId="0" borderId="0" applyFont="0" applyFill="0" applyBorder="0" applyAlignment="0" applyProtection="0"/>
    <xf numFmtId="265" fontId="178" fillId="0" borderId="0" applyFont="0" applyFill="0" applyBorder="0" applyAlignment="0" applyProtection="0"/>
    <xf numFmtId="264" fontId="178" fillId="0" borderId="0" applyFont="0" applyFill="0" applyBorder="0" applyAlignment="0" applyProtection="0"/>
    <xf numFmtId="189" fontId="26" fillId="0" borderId="0" applyFont="0" applyFill="0" applyBorder="0" applyAlignment="0" applyProtection="0"/>
    <xf numFmtId="43" fontId="259" fillId="0" borderId="0" applyFont="0" applyFill="0" applyBorder="0" applyAlignment="0" applyProtection="0"/>
    <xf numFmtId="43" fontId="178" fillId="0" borderId="0" applyFont="0" applyFill="0" applyBorder="0" applyAlignment="0" applyProtection="0"/>
    <xf numFmtId="266" fontId="2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216" fontId="26" fillId="0" borderId="0" applyFont="0" applyFill="0" applyBorder="0" applyAlignment="0" applyProtection="0"/>
    <xf numFmtId="44" fontId="65" fillId="0" borderId="0" applyFont="0" applyFill="0" applyBorder="0" applyAlignment="0" applyProtection="0"/>
    <xf numFmtId="43" fontId="260" fillId="0" borderId="0" applyFont="0" applyFill="0" applyBorder="0" applyAlignment="0" applyProtection="0"/>
    <xf numFmtId="0" fontId="178" fillId="0" borderId="0" applyFont="0" applyFill="0" applyBorder="0" applyAlignment="0" applyProtection="0"/>
    <xf numFmtId="267" fontId="6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67" fontId="65" fillId="0" borderId="0" applyFont="0" applyFill="0" applyBorder="0" applyAlignment="0" applyProtection="0"/>
    <xf numFmtId="268" fontId="80" fillId="0" borderId="0" applyFont="0" applyFill="0" applyBorder="0" applyAlignment="0" applyProtection="0"/>
    <xf numFmtId="43" fontId="17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78" fillId="0" borderId="0" applyFont="0" applyFill="0" applyBorder="0" applyAlignment="0" applyProtection="0"/>
    <xf numFmtId="43" fontId="178" fillId="0" borderId="0" applyFont="0" applyFill="0" applyBorder="0" applyAlignment="0" applyProtection="0"/>
    <xf numFmtId="43" fontId="26" fillId="0" borderId="0" applyFont="0" applyFill="0" applyBorder="0" applyAlignment="0" applyProtection="0"/>
    <xf numFmtId="43" fontId="17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268" fontId="80" fillId="0" borderId="0" applyFont="0" applyFill="0" applyBorder="0" applyAlignment="0" applyProtection="0"/>
    <xf numFmtId="268" fontId="80" fillId="0" borderId="0" applyFont="0" applyFill="0" applyBorder="0" applyAlignment="0" applyProtection="0"/>
    <xf numFmtId="216" fontId="262" fillId="0" borderId="0" applyFont="0" applyFill="0" applyBorder="0" applyAlignment="0" applyProtection="0"/>
    <xf numFmtId="0" fontId="178" fillId="0" borderId="0" applyFont="0" applyFill="0" applyBorder="0" applyAlignment="0" applyProtection="0"/>
    <xf numFmtId="165" fontId="65" fillId="0" borderId="0" applyFont="0" applyFill="0" applyBorder="0" applyAlignment="0" applyProtection="0"/>
    <xf numFmtId="165" fontId="17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69" fontId="26" fillId="0" borderId="0" applyFont="0" applyFill="0" applyBorder="0" applyAlignment="0" applyProtection="0"/>
    <xf numFmtId="0" fontId="26" fillId="0" borderId="0" applyFont="0" applyFill="0" applyBorder="0" applyAlignment="0" applyProtection="0"/>
    <xf numFmtId="43" fontId="26" fillId="0" borderId="0" applyFont="0" applyFill="0" applyBorder="0" applyAlignment="0" applyProtection="0"/>
    <xf numFmtId="191" fontId="82" fillId="0" borderId="0" applyFont="0" applyFill="0" applyBorder="0" applyAlignment="0" applyProtection="0"/>
    <xf numFmtId="270" fontId="65" fillId="0" borderId="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270" fontId="65" fillId="0" borderId="0" applyProtection="0"/>
    <xf numFmtId="43" fontId="25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28" fontId="26" fillId="0" borderId="0" applyFont="0" applyFill="0" applyBorder="0" applyAlignment="0" applyProtection="0"/>
    <xf numFmtId="271" fontId="26" fillId="0" borderId="0" applyFont="0" applyFill="0" applyBorder="0" applyAlignment="0" applyProtection="0"/>
    <xf numFmtId="43" fontId="179" fillId="0" borderId="0" applyFont="0" applyFill="0" applyBorder="0" applyAlignment="0" applyProtection="0"/>
    <xf numFmtId="272" fontId="26" fillId="0" borderId="0" applyFont="0" applyFill="0" applyBorder="0" applyAlignment="0" applyProtection="0"/>
    <xf numFmtId="43" fontId="26" fillId="0" borderId="0" applyFont="0" applyFill="0" applyBorder="0" applyAlignment="0" applyProtection="0"/>
    <xf numFmtId="191" fontId="65" fillId="0" borderId="0" applyProtection="0"/>
    <xf numFmtId="43" fontId="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43" fontId="263"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228" fontId="17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40" fontId="78"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43" fontId="26" fillId="0" borderId="0" applyFont="0" applyFill="0" applyBorder="0" applyAlignment="0" applyProtection="0"/>
    <xf numFmtId="273" fontId="17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9" fillId="0" borderId="0" applyFont="0" applyFill="0" applyBorder="0" applyAlignment="0" applyProtection="0"/>
    <xf numFmtId="43" fontId="2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2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228" fontId="178" fillId="0" borderId="0" applyFont="0" applyFill="0" applyBorder="0" applyAlignment="0" applyProtection="0"/>
    <xf numFmtId="0" fontId="97" fillId="0" borderId="0" applyFont="0" applyFill="0" applyBorder="0" applyAlignment="0" applyProtection="0"/>
    <xf numFmtId="165" fontId="178" fillId="0" borderId="0" applyFont="0" applyFill="0" applyBorder="0" applyAlignment="0" applyProtection="0"/>
    <xf numFmtId="43" fontId="26" fillId="0" borderId="0" applyFont="0" applyFill="0" applyBorder="0" applyAlignment="0" applyProtection="0"/>
    <xf numFmtId="215" fontId="178" fillId="0" borderId="0" applyFont="0" applyFill="0" applyBorder="0" applyAlignment="0" applyProtection="0"/>
    <xf numFmtId="215" fontId="178" fillId="0" borderId="0" applyFont="0" applyFill="0" applyBorder="0" applyAlignment="0" applyProtection="0"/>
    <xf numFmtId="43" fontId="67" fillId="0" borderId="0" applyFont="0" applyFill="0" applyBorder="0" applyAlignment="0" applyProtection="0"/>
    <xf numFmtId="191" fontId="178" fillId="0" borderId="0" applyFont="0" applyFill="0" applyBorder="0" applyAlignment="0" applyProtection="0"/>
    <xf numFmtId="270" fontId="65" fillId="0" borderId="0" applyProtection="0"/>
    <xf numFmtId="270" fontId="65" fillId="0" borderId="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260" fillId="0" borderId="0" applyFont="0" applyFill="0" applyBorder="0" applyAlignment="0" applyProtection="0"/>
    <xf numFmtId="43" fontId="2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15" fontId="26" fillId="0" borderId="0" applyFont="0" applyFill="0" applyBorder="0" applyAlignment="0" applyProtection="0"/>
    <xf numFmtId="215" fontId="26" fillId="0" borderId="0" applyFont="0" applyFill="0" applyBorder="0" applyAlignment="0" applyProtection="0"/>
    <xf numFmtId="215" fontId="26" fillId="0" borderId="0" applyFont="0" applyFill="0" applyBorder="0" applyAlignment="0" applyProtection="0"/>
    <xf numFmtId="215" fontId="26" fillId="0" borderId="0" applyFont="0" applyFill="0" applyBorder="0" applyAlignment="0" applyProtection="0"/>
    <xf numFmtId="215" fontId="26" fillId="0" borderId="0" applyFont="0" applyFill="0" applyBorder="0" applyAlignment="0" applyProtection="0"/>
    <xf numFmtId="215" fontId="26" fillId="0" borderId="0" applyFont="0" applyFill="0" applyBorder="0" applyAlignment="0" applyProtection="0"/>
    <xf numFmtId="0" fontId="2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1" fontId="178" fillId="0" borderId="0" applyFont="0" applyFill="0" applyBorder="0" applyAlignment="0" applyProtection="0"/>
    <xf numFmtId="43" fontId="259" fillId="0" borderId="0" applyFont="0" applyFill="0" applyBorder="0" applyAlignment="0" applyProtection="0"/>
    <xf numFmtId="43" fontId="26" fillId="0" borderId="0" applyFont="0" applyFill="0" applyBorder="0" applyAlignment="0" applyProtection="0"/>
    <xf numFmtId="215" fontId="178" fillId="0" borderId="0" applyFont="0" applyFill="0" applyBorder="0" applyAlignment="0" applyProtection="0"/>
    <xf numFmtId="191" fontId="178" fillId="0" borderId="0" applyFont="0" applyFill="0" applyBorder="0" applyAlignment="0" applyProtection="0"/>
    <xf numFmtId="191" fontId="178" fillId="0" borderId="0" applyFont="0" applyFill="0" applyBorder="0" applyAlignment="0" applyProtection="0"/>
    <xf numFmtId="191" fontId="178" fillId="0" borderId="0" applyFont="0" applyFill="0" applyBorder="0" applyAlignment="0" applyProtection="0"/>
    <xf numFmtId="191" fontId="178" fillId="0" borderId="0" applyFont="0" applyFill="0" applyBorder="0" applyAlignment="0" applyProtection="0"/>
    <xf numFmtId="191" fontId="1"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 fillId="0" borderId="0" applyFont="0" applyFill="0" applyBorder="0" applyAlignment="0" applyProtection="0"/>
    <xf numFmtId="191" fontId="178" fillId="0" borderId="0" applyFont="0" applyFill="0" applyBorder="0" applyAlignment="0" applyProtection="0"/>
    <xf numFmtId="191" fontId="1" fillId="0" borderId="0" applyFont="0" applyFill="0" applyBorder="0" applyAlignment="0" applyProtection="0"/>
    <xf numFmtId="191" fontId="178" fillId="0" borderId="0" applyFont="0" applyFill="0" applyBorder="0" applyAlignment="0" applyProtection="0"/>
    <xf numFmtId="191" fontId="178" fillId="0" borderId="0" applyFont="0" applyFill="0" applyBorder="0" applyAlignment="0" applyProtection="0"/>
    <xf numFmtId="191" fontId="178" fillId="0" borderId="0" applyFont="0" applyFill="0" applyBorder="0" applyAlignment="0" applyProtection="0"/>
    <xf numFmtId="191" fontId="1" fillId="0" borderId="0" applyFont="0" applyFill="0" applyBorder="0" applyAlignment="0" applyProtection="0"/>
    <xf numFmtId="191" fontId="178" fillId="0" borderId="0" applyFont="0" applyFill="0" applyBorder="0" applyAlignment="0" applyProtection="0"/>
    <xf numFmtId="191" fontId="1" fillId="0" borderId="0" applyFont="0" applyFill="0" applyBorder="0" applyAlignment="0" applyProtection="0"/>
    <xf numFmtId="191" fontId="178" fillId="0" borderId="0" applyFont="0" applyFill="0" applyBorder="0" applyAlignment="0" applyProtection="0"/>
    <xf numFmtId="191" fontId="178" fillId="0" borderId="0" applyFont="0" applyFill="0" applyBorder="0" applyAlignment="0" applyProtection="0"/>
    <xf numFmtId="191" fontId="1" fillId="0" borderId="0" applyFont="0" applyFill="0" applyBorder="0" applyAlignment="0" applyProtection="0"/>
    <xf numFmtId="191" fontId="178" fillId="0" borderId="0" applyFont="0" applyFill="0" applyBorder="0" applyAlignment="0" applyProtection="0"/>
    <xf numFmtId="191" fontId="1" fillId="0" borderId="0" applyFont="0" applyFill="0" applyBorder="0" applyAlignment="0" applyProtection="0"/>
    <xf numFmtId="191" fontId="178" fillId="0" borderId="0" applyFont="0" applyFill="0" applyBorder="0" applyAlignment="0" applyProtection="0"/>
    <xf numFmtId="191" fontId="178" fillId="0" borderId="0" applyFont="0" applyFill="0" applyBorder="0" applyAlignment="0" applyProtection="0"/>
    <xf numFmtId="191" fontId="178" fillId="0" borderId="0" applyFont="0" applyFill="0" applyBorder="0" applyAlignment="0" applyProtection="0"/>
    <xf numFmtId="191" fontId="1" fillId="0" borderId="0" applyFont="0" applyFill="0" applyBorder="0" applyAlignment="0" applyProtection="0"/>
    <xf numFmtId="191" fontId="178" fillId="0" borderId="0" applyFont="0" applyFill="0" applyBorder="0" applyAlignment="0" applyProtection="0"/>
    <xf numFmtId="191" fontId="1" fillId="0" borderId="0" applyFont="0" applyFill="0" applyBorder="0" applyAlignment="0" applyProtection="0"/>
    <xf numFmtId="191" fontId="26" fillId="0" borderId="0" applyFont="0" applyFill="0" applyBorder="0" applyAlignment="0" applyProtection="0"/>
    <xf numFmtId="43" fontId="178" fillId="0" borderId="0" applyFont="0" applyFill="0" applyBorder="0" applyAlignment="0" applyProtection="0"/>
    <xf numFmtId="215" fontId="26" fillId="0" borderId="0" applyFont="0" applyFill="0" applyBorder="0" applyAlignment="0" applyProtection="0"/>
    <xf numFmtId="43" fontId="178" fillId="0" borderId="0" applyFont="0" applyFill="0" applyBorder="0" applyAlignment="0" applyProtection="0"/>
    <xf numFmtId="215" fontId="26" fillId="0" borderId="0" applyFont="0" applyFill="0" applyBorder="0" applyAlignment="0" applyProtection="0"/>
    <xf numFmtId="191" fontId="26" fillId="0" borderId="0" applyFont="0" applyFill="0" applyBorder="0" applyAlignment="0" applyProtection="0"/>
    <xf numFmtId="191" fontId="65" fillId="0" borderId="0" applyProtection="0"/>
    <xf numFmtId="191" fontId="178" fillId="0" borderId="0" applyFont="0" applyFill="0" applyBorder="0" applyAlignment="0" applyProtection="0"/>
    <xf numFmtId="43" fontId="258" fillId="0" borderId="0" applyFont="0" applyFill="0" applyBorder="0" applyAlignment="0" applyProtection="0"/>
    <xf numFmtId="43" fontId="178" fillId="0" borderId="0" applyFont="0" applyFill="0" applyBorder="0" applyAlignment="0" applyProtection="0"/>
    <xf numFmtId="215" fontId="26" fillId="0" borderId="0" applyFont="0" applyFill="0" applyBorder="0" applyAlignment="0" applyProtection="0"/>
    <xf numFmtId="215" fontId="26" fillId="0" borderId="0" applyFont="0" applyFill="0" applyBorder="0" applyAlignment="0" applyProtection="0"/>
    <xf numFmtId="215" fontId="26" fillId="0" borderId="0" applyFont="0" applyFill="0" applyBorder="0" applyAlignment="0" applyProtection="0"/>
    <xf numFmtId="215" fontId="2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256" fillId="0" borderId="0" applyFont="0" applyFill="0" applyBorder="0" applyAlignment="0" applyProtection="0"/>
    <xf numFmtId="43" fontId="9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178" fillId="0" borderId="0" applyFont="0" applyFill="0" applyBorder="0" applyAlignment="0" applyProtection="0"/>
    <xf numFmtId="43" fontId="1" fillId="0" borderId="0" applyFont="0" applyFill="0" applyBorder="0" applyAlignment="0" applyProtection="0"/>
    <xf numFmtId="43" fontId="264" fillId="0" borderId="0" applyFont="0" applyFill="0" applyBorder="0" applyAlignment="0" applyProtection="0"/>
    <xf numFmtId="43" fontId="265" fillId="0" borderId="0" applyFont="0" applyFill="0" applyBorder="0" applyAlignment="0" applyProtection="0"/>
    <xf numFmtId="191" fontId="178" fillId="0" borderId="0" applyFont="0" applyFill="0" applyBorder="0" applyAlignment="0" applyProtection="0"/>
    <xf numFmtId="191" fontId="178" fillId="0" borderId="0" applyFont="0" applyFill="0" applyBorder="0" applyAlignment="0" applyProtection="0"/>
    <xf numFmtId="191" fontId="1" fillId="0" borderId="0" applyFont="0" applyFill="0" applyBorder="0" applyAlignment="0" applyProtection="0"/>
    <xf numFmtId="165" fontId="54"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261" fontId="258"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191" fontId="65" fillId="0" borderId="0" applyFont="0" applyFill="0" applyBorder="0" applyAlignment="0" applyProtection="0"/>
    <xf numFmtId="43" fontId="259"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5" fontId="6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25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4" fontId="13" fillId="0" borderId="0" applyFont="0" applyFill="0" applyBorder="0" applyAlignment="0" applyProtection="0"/>
    <xf numFmtId="194" fontId="178" fillId="0" borderId="0" applyFont="0" applyFill="0" applyBorder="0" applyAlignment="0" applyProtection="0"/>
    <xf numFmtId="43" fontId="259" fillId="0" borderId="0" applyFont="0" applyFill="0" applyBorder="0" applyAlignment="0" applyProtection="0"/>
    <xf numFmtId="167" fontId="178" fillId="0" borderId="0" applyFont="0" applyFill="0" applyBorder="0" applyAlignment="0" applyProtection="0"/>
    <xf numFmtId="43" fontId="178" fillId="0" borderId="0" applyFont="0" applyFill="0" applyBorder="0" applyAlignment="0" applyProtection="0"/>
    <xf numFmtId="43" fontId="258" fillId="0" borderId="0" applyFont="0" applyFill="0" applyBorder="0" applyAlignment="0" applyProtection="0"/>
    <xf numFmtId="191" fontId="178" fillId="0" borderId="0" applyFont="0" applyFill="0" applyBorder="0" applyAlignment="0" applyProtection="0"/>
    <xf numFmtId="43" fontId="178" fillId="0" borderId="0" applyFont="0" applyFill="0" applyBorder="0" applyAlignment="0" applyProtection="0"/>
    <xf numFmtId="43" fontId="179" fillId="0" borderId="0" applyFont="0" applyFill="0" applyBorder="0" applyAlignment="0" applyProtection="0"/>
    <xf numFmtId="274" fontId="9"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65" fillId="0" borderId="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0" fontId="157" fillId="0" borderId="0" applyNumberFormat="0" applyFill="0" applyBorder="0" applyAlignment="0" applyProtection="0"/>
    <xf numFmtId="0" fontId="266" fillId="0" borderId="0">
      <alignment horizontal="center"/>
    </xf>
    <xf numFmtId="0" fontId="267" fillId="0" borderId="0" applyNumberFormat="0" applyAlignment="0">
      <alignment horizontal="left"/>
    </xf>
    <xf numFmtId="214" fontId="268" fillId="0" borderId="0" applyFont="0" applyFill="0" applyBorder="0" applyAlignment="0" applyProtection="0"/>
    <xf numFmtId="275" fontId="23" fillId="0" borderId="0" applyFill="0" applyBorder="0" applyProtection="0"/>
    <xf numFmtId="276" fontId="4" fillId="0" borderId="0" applyFont="0" applyFill="0" applyBorder="0" applyAlignment="0" applyProtection="0"/>
    <xf numFmtId="277" fontId="9" fillId="0" borderId="0" applyFill="0" applyBorder="0" applyProtection="0"/>
    <xf numFmtId="277" fontId="9" fillId="0" borderId="42" applyFill="0" applyProtection="0"/>
    <xf numFmtId="277" fontId="9" fillId="0" borderId="42" applyFill="0" applyProtection="0"/>
    <xf numFmtId="277" fontId="9" fillId="0" borderId="42" applyFill="0" applyProtection="0"/>
    <xf numFmtId="277" fontId="9" fillId="0" borderId="67" applyFill="0" applyProtection="0"/>
    <xf numFmtId="278" fontId="29" fillId="0" borderId="0" applyFont="0" applyFill="0" applyBorder="0" applyAlignment="0" applyProtection="0"/>
    <xf numFmtId="279" fontId="269" fillId="0" borderId="0" applyFont="0" applyFill="0" applyBorder="0" applyAlignment="0" applyProtection="0"/>
    <xf numFmtId="280"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1" fontId="26" fillId="0" borderId="0" applyFont="0" applyFill="0" applyBorder="0" applyAlignment="0" applyProtection="0"/>
    <xf numFmtId="282" fontId="178" fillId="0" borderId="0" applyFont="0" applyFill="0" applyBorder="0" applyAlignment="0" applyProtection="0"/>
    <xf numFmtId="282" fontId="178" fillId="0" borderId="0" applyFont="0" applyFill="0" applyBorder="0" applyAlignment="0" applyProtection="0"/>
    <xf numFmtId="283" fontId="269" fillId="0" borderId="0" applyFont="0" applyFill="0" applyBorder="0" applyAlignment="0" applyProtection="0"/>
    <xf numFmtId="241" fontId="250"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42" fontId="26" fillId="0" borderId="0" applyFont="0" applyFill="0" applyBorder="0" applyAlignment="0" applyProtection="0"/>
    <xf numFmtId="284" fontId="257" fillId="0" borderId="0" applyFont="0" applyFill="0" applyBorder="0" applyAlignment="0" applyProtection="0"/>
    <xf numFmtId="285" fontId="65" fillId="0" borderId="0" applyFont="0" applyFill="0" applyBorder="0" applyAlignment="0" applyProtection="0"/>
    <xf numFmtId="286" fontId="257" fillId="0" borderId="0" applyFont="0" applyFill="0" applyBorder="0" applyAlignment="0" applyProtection="0"/>
    <xf numFmtId="287" fontId="257" fillId="0" borderId="0" applyFont="0" applyFill="0" applyBorder="0" applyAlignment="0" applyProtection="0"/>
    <xf numFmtId="288" fontId="65" fillId="0" borderId="0" applyFont="0" applyFill="0" applyBorder="0" applyAlignment="0" applyProtection="0"/>
    <xf numFmtId="289" fontId="257" fillId="0" borderId="0" applyFont="0" applyFill="0" applyBorder="0" applyAlignment="0" applyProtection="0"/>
    <xf numFmtId="290" fontId="257" fillId="0" borderId="0" applyFont="0" applyFill="0" applyBorder="0" applyAlignment="0" applyProtection="0"/>
    <xf numFmtId="291" fontId="65" fillId="0" borderId="0" applyFont="0" applyFill="0" applyBorder="0" applyAlignment="0" applyProtection="0"/>
    <xf numFmtId="292" fontId="257" fillId="0" borderId="0" applyFont="0" applyFill="0" applyBorder="0" applyAlignment="0" applyProtection="0"/>
    <xf numFmtId="44" fontId="178"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294"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209" fontId="67" fillId="0" borderId="0" applyFont="0" applyFill="0" applyBorder="0" applyAlignment="0" applyProtection="0"/>
    <xf numFmtId="176" fontId="26" fillId="0" borderId="0" applyFont="0" applyFill="0" applyBorder="0" applyAlignment="0" applyProtection="0"/>
    <xf numFmtId="295" fontId="65" fillId="0" borderId="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applyProtection="0"/>
    <xf numFmtId="296" fontId="26" fillId="0" borderId="0"/>
    <xf numFmtId="296" fontId="26" fillId="0" borderId="0"/>
    <xf numFmtId="296" fontId="26" fillId="0" borderId="0"/>
    <xf numFmtId="296" fontId="26" fillId="0" borderId="0"/>
    <xf numFmtId="296" fontId="26" fillId="0" borderId="0"/>
    <xf numFmtId="296" fontId="26" fillId="0" borderId="0"/>
    <xf numFmtId="296" fontId="26" fillId="0" borderId="0"/>
    <xf numFmtId="187" fontId="67" fillId="0" borderId="68"/>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65" fillId="0" borderId="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4" fontId="223" fillId="0" borderId="0" applyFill="0" applyBorder="0" applyAlignment="0"/>
    <xf numFmtId="14" fontId="222" fillId="0" borderId="0" applyFill="0" applyBorder="0" applyAlignment="0"/>
    <xf numFmtId="0" fontId="80" fillId="0" borderId="0" applyProtection="0"/>
    <xf numFmtId="43" fontId="259" fillId="0" borderId="0" applyFont="0" applyFill="0" applyBorder="0" applyAlignment="0" applyProtection="0"/>
    <xf numFmtId="3" fontId="270" fillId="0" borderId="9">
      <alignment horizontal="left" vertical="top" wrapText="1"/>
    </xf>
    <xf numFmtId="297" fontId="9" fillId="0" borderId="0" applyFill="0" applyBorder="0" applyProtection="0"/>
    <xf numFmtId="297" fontId="9" fillId="0" borderId="42" applyFill="0" applyProtection="0"/>
    <xf numFmtId="297" fontId="9" fillId="0" borderId="42" applyFill="0" applyProtection="0"/>
    <xf numFmtId="297" fontId="9" fillId="0" borderId="42" applyFill="0" applyProtection="0"/>
    <xf numFmtId="297" fontId="9" fillId="0" borderId="67" applyFill="0" applyProtection="0"/>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298" fontId="26" fillId="0" borderId="69">
      <alignment vertical="center"/>
    </xf>
    <xf numFmtId="0" fontId="26" fillId="0" borderId="0" applyFont="0" applyFill="0" applyBorder="0" applyAlignment="0" applyProtection="0"/>
    <xf numFmtId="0" fontId="26" fillId="0" borderId="0" applyFont="0" applyFill="0" applyBorder="0" applyAlignment="0" applyProtection="0"/>
    <xf numFmtId="299" fontId="67" fillId="0" borderId="0"/>
    <xf numFmtId="300" fontId="84" fillId="0" borderId="34"/>
    <xf numFmtId="300" fontId="84" fillId="0" borderId="34"/>
    <xf numFmtId="266" fontId="26" fillId="0" borderId="0"/>
    <xf numFmtId="266" fontId="26" fillId="0" borderId="0"/>
    <xf numFmtId="266" fontId="26" fillId="0" borderId="0"/>
    <xf numFmtId="266" fontId="26" fillId="0" borderId="0"/>
    <xf numFmtId="266" fontId="26" fillId="0" borderId="0"/>
    <xf numFmtId="266" fontId="26" fillId="0" borderId="0"/>
    <xf numFmtId="266" fontId="26" fillId="0" borderId="0"/>
    <xf numFmtId="266" fontId="26" fillId="0" borderId="0"/>
    <xf numFmtId="266" fontId="26" fillId="0" borderId="0"/>
    <xf numFmtId="266" fontId="26" fillId="0" borderId="0" applyProtection="0"/>
    <xf numFmtId="266" fontId="26" fillId="0" borderId="0"/>
    <xf numFmtId="266" fontId="26" fillId="0" borderId="0"/>
    <xf numFmtId="266" fontId="26" fillId="0" borderId="0"/>
    <xf numFmtId="266" fontId="26" fillId="0" borderId="0"/>
    <xf numFmtId="266" fontId="26" fillId="0" borderId="0"/>
    <xf numFmtId="266" fontId="26" fillId="0" borderId="0"/>
    <xf numFmtId="266" fontId="26" fillId="0" borderId="0"/>
    <xf numFmtId="301" fontId="84" fillId="0" borderId="0"/>
    <xf numFmtId="190" fontId="271" fillId="0" borderId="0" applyFont="0" applyFill="0" applyBorder="0" applyAlignment="0" applyProtection="0"/>
    <xf numFmtId="191" fontId="271" fillId="0" borderId="0" applyFont="0" applyFill="0" applyBorder="0" applyAlignment="0" applyProtection="0"/>
    <xf numFmtId="190" fontId="271" fillId="0" borderId="0" applyFont="0" applyFill="0" applyBorder="0" applyAlignment="0" applyProtection="0"/>
    <xf numFmtId="41"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225" fontId="271" fillId="0" borderId="0" applyFont="0" applyFill="0" applyBorder="0" applyAlignment="0" applyProtection="0"/>
    <xf numFmtId="302" fontId="64" fillId="0" borderId="0" applyFont="0" applyFill="0" applyBorder="0" applyAlignment="0" applyProtection="0"/>
    <xf numFmtId="302" fontId="64" fillId="0" borderId="0" applyFont="0" applyFill="0" applyBorder="0" applyAlignment="0" applyProtection="0"/>
    <xf numFmtId="41" fontId="272" fillId="0" borderId="0" applyFont="0" applyFill="0" applyBorder="0" applyAlignment="0" applyProtection="0"/>
    <xf numFmtId="41" fontId="272" fillId="0" borderId="0" applyFont="0" applyFill="0" applyBorder="0" applyAlignment="0" applyProtection="0"/>
    <xf numFmtId="302" fontId="64" fillId="0" borderId="0" applyFont="0" applyFill="0" applyBorder="0" applyAlignment="0" applyProtection="0"/>
    <xf numFmtId="302" fontId="64" fillId="0" borderId="0" applyFont="0" applyFill="0" applyBorder="0" applyAlignment="0" applyProtection="0"/>
    <xf numFmtId="190" fontId="271" fillId="0" borderId="0" applyFont="0" applyFill="0" applyBorder="0" applyAlignment="0" applyProtection="0"/>
    <xf numFmtId="190" fontId="271" fillId="0" borderId="0" applyFont="0" applyFill="0" applyBorder="0" applyAlignment="0" applyProtection="0"/>
    <xf numFmtId="302" fontId="64" fillId="0" borderId="0" applyFont="0" applyFill="0" applyBorder="0" applyAlignment="0" applyProtection="0"/>
    <xf numFmtId="302" fontId="64" fillId="0" borderId="0" applyFont="0" applyFill="0" applyBorder="0" applyAlignment="0" applyProtection="0"/>
    <xf numFmtId="303" fontId="67" fillId="0" borderId="0" applyFont="0" applyFill="0" applyBorder="0" applyAlignment="0" applyProtection="0"/>
    <xf numFmtId="303" fontId="67" fillId="0" borderId="0" applyFont="0" applyFill="0" applyBorder="0" applyAlignment="0" applyProtection="0"/>
    <xf numFmtId="304" fontId="67" fillId="0" borderId="0" applyFont="0" applyFill="0" applyBorder="0" applyAlignment="0" applyProtection="0"/>
    <xf numFmtId="304" fontId="67" fillId="0" borderId="0" applyFont="0" applyFill="0" applyBorder="0" applyAlignment="0" applyProtection="0"/>
    <xf numFmtId="41" fontId="271" fillId="0" borderId="0" applyFont="0" applyFill="0" applyBorder="0" applyAlignment="0" applyProtection="0"/>
    <xf numFmtId="41" fontId="271" fillId="0" borderId="0" applyFont="0" applyFill="0" applyBorder="0" applyAlignment="0" applyProtection="0"/>
    <xf numFmtId="41" fontId="271" fillId="0" borderId="0" applyFont="0" applyFill="0" applyBorder="0" applyAlignment="0" applyProtection="0"/>
    <xf numFmtId="41" fontId="271" fillId="0" borderId="0" applyFont="0" applyFill="0" applyBorder="0" applyAlignment="0" applyProtection="0"/>
    <xf numFmtId="41" fontId="271" fillId="0" borderId="0" applyFont="0" applyFill="0" applyBorder="0" applyAlignment="0" applyProtection="0"/>
    <xf numFmtId="41" fontId="271" fillId="0" borderId="0" applyFont="0" applyFill="0" applyBorder="0" applyAlignment="0" applyProtection="0"/>
    <xf numFmtId="41" fontId="272" fillId="0" borderId="0" applyFont="0" applyFill="0" applyBorder="0" applyAlignment="0" applyProtection="0"/>
    <xf numFmtId="41" fontId="272" fillId="0" borderId="0" applyFont="0" applyFill="0" applyBorder="0" applyAlignment="0" applyProtection="0"/>
    <xf numFmtId="226" fontId="271" fillId="0" borderId="0" applyFont="0" applyFill="0" applyBorder="0" applyAlignment="0" applyProtection="0"/>
    <xf numFmtId="41" fontId="271" fillId="0" borderId="0" applyFont="0" applyFill="0" applyBorder="0" applyAlignment="0" applyProtection="0"/>
    <xf numFmtId="226" fontId="271" fillId="0" borderId="0" applyFont="0" applyFill="0" applyBorder="0" applyAlignment="0" applyProtection="0"/>
    <xf numFmtId="226" fontId="271" fillId="0" borderId="0" applyFont="0" applyFill="0" applyBorder="0" applyAlignment="0" applyProtection="0"/>
    <xf numFmtId="226" fontId="271" fillId="0" borderId="0" applyFont="0" applyFill="0" applyBorder="0" applyAlignment="0" applyProtection="0"/>
    <xf numFmtId="226" fontId="271" fillId="0" borderId="0" applyFont="0" applyFill="0" applyBorder="0" applyAlignment="0" applyProtection="0"/>
    <xf numFmtId="41" fontId="271" fillId="0" borderId="0" applyFont="0" applyFill="0" applyBorder="0" applyAlignment="0" applyProtection="0"/>
    <xf numFmtId="190" fontId="271" fillId="0" borderId="0" applyFont="0" applyFill="0" applyBorder="0" applyAlignment="0" applyProtection="0"/>
    <xf numFmtId="41" fontId="271" fillId="0" borderId="0" applyFont="0" applyFill="0" applyBorder="0" applyAlignment="0" applyProtection="0"/>
    <xf numFmtId="190" fontId="271" fillId="0" borderId="0" applyFont="0" applyFill="0" applyBorder="0" applyAlignment="0" applyProtection="0"/>
    <xf numFmtId="41" fontId="271" fillId="0" borderId="0" applyFont="0" applyFill="0" applyBorder="0" applyAlignment="0" applyProtection="0"/>
    <xf numFmtId="41" fontId="271" fillId="0" borderId="0" applyFont="0" applyFill="0" applyBorder="0" applyAlignment="0" applyProtection="0"/>
    <xf numFmtId="226" fontId="271" fillId="0" borderId="0" applyFont="0" applyFill="0" applyBorder="0" applyAlignment="0" applyProtection="0"/>
    <xf numFmtId="226" fontId="271" fillId="0" borderId="0" applyFont="0" applyFill="0" applyBorder="0" applyAlignment="0" applyProtection="0"/>
    <xf numFmtId="41" fontId="271" fillId="0" borderId="0" applyFont="0" applyFill="0" applyBorder="0" applyAlignment="0" applyProtection="0"/>
    <xf numFmtId="191" fontId="271" fillId="0" borderId="0" applyFont="0" applyFill="0" applyBorder="0" applyAlignment="0" applyProtection="0"/>
    <xf numFmtId="43"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215" fontId="271" fillId="0" borderId="0" applyFont="0" applyFill="0" applyBorder="0" applyAlignment="0" applyProtection="0"/>
    <xf numFmtId="305" fontId="64" fillId="0" borderId="0" applyFont="0" applyFill="0" applyBorder="0" applyAlignment="0" applyProtection="0"/>
    <xf numFmtId="305" fontId="64"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305" fontId="64" fillId="0" borderId="0" applyFont="0" applyFill="0" applyBorder="0" applyAlignment="0" applyProtection="0"/>
    <xf numFmtId="305" fontId="64" fillId="0" borderId="0" applyFont="0" applyFill="0" applyBorder="0" applyAlignment="0" applyProtection="0"/>
    <xf numFmtId="191" fontId="271" fillId="0" borderId="0" applyFont="0" applyFill="0" applyBorder="0" applyAlignment="0" applyProtection="0"/>
    <xf numFmtId="191" fontId="271" fillId="0" borderId="0" applyFont="0" applyFill="0" applyBorder="0" applyAlignment="0" applyProtection="0"/>
    <xf numFmtId="305" fontId="64" fillId="0" borderId="0" applyFont="0" applyFill="0" applyBorder="0" applyAlignment="0" applyProtection="0"/>
    <xf numFmtId="305" fontId="64" fillId="0" borderId="0" applyFont="0" applyFill="0" applyBorder="0" applyAlignment="0" applyProtection="0"/>
    <xf numFmtId="175" fontId="67" fillId="0" borderId="0" applyFont="0" applyFill="0" applyBorder="0" applyAlignment="0" applyProtection="0"/>
    <xf numFmtId="175" fontId="67" fillId="0" borderId="0" applyFont="0" applyFill="0" applyBorder="0" applyAlignment="0" applyProtection="0"/>
    <xf numFmtId="306" fontId="67" fillId="0" borderId="0" applyFont="0" applyFill="0" applyBorder="0" applyAlignment="0" applyProtection="0"/>
    <xf numFmtId="306" fontId="67" fillId="0" borderId="0" applyFont="0" applyFill="0" applyBorder="0" applyAlignment="0" applyProtection="0"/>
    <xf numFmtId="43" fontId="271" fillId="0" borderId="0" applyFont="0" applyFill="0" applyBorder="0" applyAlignment="0" applyProtection="0"/>
    <xf numFmtId="43" fontId="271" fillId="0" borderId="0" applyFont="0" applyFill="0" applyBorder="0" applyAlignment="0" applyProtection="0"/>
    <xf numFmtId="43" fontId="271" fillId="0" borderId="0" applyFont="0" applyFill="0" applyBorder="0" applyAlignment="0" applyProtection="0"/>
    <xf numFmtId="43" fontId="271" fillId="0" borderId="0" applyFont="0" applyFill="0" applyBorder="0" applyAlignment="0" applyProtection="0"/>
    <xf numFmtId="43" fontId="271" fillId="0" borderId="0" applyFont="0" applyFill="0" applyBorder="0" applyAlignment="0" applyProtection="0"/>
    <xf numFmtId="43" fontId="271"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165" fontId="271" fillId="0" borderId="0" applyFont="0" applyFill="0" applyBorder="0" applyAlignment="0" applyProtection="0"/>
    <xf numFmtId="43" fontId="271" fillId="0" borderId="0" applyFont="0" applyFill="0" applyBorder="0" applyAlignment="0" applyProtection="0"/>
    <xf numFmtId="165" fontId="271" fillId="0" borderId="0" applyFont="0" applyFill="0" applyBorder="0" applyAlignment="0" applyProtection="0"/>
    <xf numFmtId="165" fontId="271" fillId="0" borderId="0" applyFont="0" applyFill="0" applyBorder="0" applyAlignment="0" applyProtection="0"/>
    <xf numFmtId="165" fontId="271" fillId="0" borderId="0" applyFont="0" applyFill="0" applyBorder="0" applyAlignment="0" applyProtection="0"/>
    <xf numFmtId="165" fontId="271" fillId="0" borderId="0" applyFont="0" applyFill="0" applyBorder="0" applyAlignment="0" applyProtection="0"/>
    <xf numFmtId="43" fontId="271" fillId="0" borderId="0" applyFont="0" applyFill="0" applyBorder="0" applyAlignment="0" applyProtection="0"/>
    <xf numFmtId="191" fontId="271" fillId="0" borderId="0" applyFont="0" applyFill="0" applyBorder="0" applyAlignment="0" applyProtection="0"/>
    <xf numFmtId="43" fontId="271" fillId="0" borderId="0" applyFont="0" applyFill="0" applyBorder="0" applyAlignment="0" applyProtection="0"/>
    <xf numFmtId="191" fontId="271" fillId="0" borderId="0" applyFont="0" applyFill="0" applyBorder="0" applyAlignment="0" applyProtection="0"/>
    <xf numFmtId="43" fontId="271" fillId="0" borderId="0" applyFont="0" applyFill="0" applyBorder="0" applyAlignment="0" applyProtection="0"/>
    <xf numFmtId="43" fontId="271" fillId="0" borderId="0" applyFont="0" applyFill="0" applyBorder="0" applyAlignment="0" applyProtection="0"/>
    <xf numFmtId="165" fontId="271" fillId="0" borderId="0" applyFont="0" applyFill="0" applyBorder="0" applyAlignment="0" applyProtection="0"/>
    <xf numFmtId="165" fontId="271" fillId="0" borderId="0" applyFont="0" applyFill="0" applyBorder="0" applyAlignment="0" applyProtection="0"/>
    <xf numFmtId="43" fontId="271" fillId="0" borderId="0" applyFont="0" applyFill="0" applyBorder="0" applyAlignment="0" applyProtection="0"/>
    <xf numFmtId="3" fontId="67" fillId="0" borderId="0" applyFont="0" applyBorder="0" applyAlignment="0"/>
    <xf numFmtId="0" fontId="64"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1" fontId="250"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194" fontId="250"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50" fontId="250"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41" fontId="250"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0" fontId="273" fillId="0" borderId="0" applyNumberFormat="0" applyAlignment="0">
      <alignment horizontal="left"/>
    </xf>
    <xf numFmtId="0" fontId="274" fillId="0" borderId="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307" fontId="26" fillId="0" borderId="0" applyFont="0" applyFill="0" applyBorder="0" applyAlignment="0" applyProtection="0"/>
    <xf numFmtId="0" fontId="275" fillId="0" borderId="0"/>
    <xf numFmtId="3" fontId="67" fillId="0" borderId="0" applyFont="0" applyBorder="0" applyAlignment="0"/>
    <xf numFmtId="0" fontId="26" fillId="0" borderId="0"/>
    <xf numFmtId="0" fontId="26" fillId="0" borderId="0"/>
    <xf numFmtId="0"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65" fillId="0" borderId="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0" fontId="276" fillId="0" borderId="0" applyNumberFormat="0" applyFill="0" applyBorder="0" applyAlignment="0" applyProtection="0"/>
    <xf numFmtId="0" fontId="277" fillId="0" borderId="0" applyNumberFormat="0" applyFill="0" applyBorder="0" applyProtection="0">
      <alignment vertical="center"/>
    </xf>
    <xf numFmtId="0" fontId="278" fillId="0" borderId="0" applyNumberFormat="0" applyFill="0" applyBorder="0" applyAlignment="0" applyProtection="0"/>
    <xf numFmtId="0" fontId="279" fillId="0" borderId="0" applyNumberFormat="0" applyFill="0" applyBorder="0" applyProtection="0">
      <alignment vertical="center"/>
    </xf>
    <xf numFmtId="0" fontId="280" fillId="0" borderId="0" applyNumberFormat="0" applyFill="0" applyBorder="0" applyAlignment="0" applyProtection="0"/>
    <xf numFmtId="0" fontId="281" fillId="0" borderId="0" applyNumberFormat="0" applyFill="0" applyBorder="0" applyAlignment="0" applyProtection="0"/>
    <xf numFmtId="308" fontId="282" fillId="0" borderId="70" applyNumberFormat="0" applyFill="0" applyBorder="0" applyAlignment="0" applyProtection="0"/>
    <xf numFmtId="0" fontId="283" fillId="0" borderId="0" applyNumberFormat="0" applyFill="0" applyBorder="0" applyAlignment="0" applyProtection="0"/>
    <xf numFmtId="0" fontId="284" fillId="0" borderId="0">
      <alignment vertical="top" wrapText="1"/>
    </xf>
    <xf numFmtId="3" fontId="67" fillId="55" borderId="15">
      <alignment horizontal="right" vertical="top" wrapText="1"/>
    </xf>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53"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8" fontId="72" fillId="2" borderId="0" applyNumberFormat="0" applyBorder="0" applyAlignment="0" applyProtection="0"/>
    <xf numFmtId="309" fontId="18" fillId="53" borderId="0" applyBorder="0" applyProtection="0"/>
    <xf numFmtId="0" fontId="285" fillId="0" borderId="8" applyNumberFormat="0" applyFill="0" applyBorder="0" applyAlignment="0" applyProtection="0">
      <alignment horizontal="center" vertical="center"/>
    </xf>
    <xf numFmtId="0" fontId="286" fillId="0" borderId="0" applyNumberFormat="0" applyFont="0" applyBorder="0" applyAlignment="0">
      <alignment horizontal="left" vertical="center"/>
    </xf>
    <xf numFmtId="0" fontId="287" fillId="56" borderId="0"/>
    <xf numFmtId="0" fontId="73" fillId="0" borderId="0">
      <alignment horizontal="left"/>
    </xf>
    <xf numFmtId="0" fontId="47" fillId="0" borderId="24" applyNumberFormat="0" applyAlignment="0" applyProtection="0">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0" fontId="47" fillId="0" borderId="37">
      <alignment horizontal="left" vertical="center"/>
    </xf>
    <xf numFmtId="14" fontId="162" fillId="57" borderId="27">
      <alignment horizontal="center" vertical="center" wrapText="1"/>
    </xf>
    <xf numFmtId="0" fontId="251" fillId="0" borderId="0" applyFill="0" applyAlignment="0" applyProtection="0">
      <protection locked="0"/>
    </xf>
    <xf numFmtId="0" fontId="251" fillId="0" borderId="1" applyFill="0" applyAlignment="0" applyProtection="0">
      <protection locked="0"/>
    </xf>
    <xf numFmtId="0" fontId="288" fillId="0" borderId="27">
      <alignment horizontal="center"/>
    </xf>
    <xf numFmtId="0" fontId="288" fillId="0" borderId="0">
      <alignment horizontal="center"/>
    </xf>
    <xf numFmtId="5" fontId="289" fillId="58" borderId="34" applyNumberFormat="0" applyAlignment="0">
      <alignment horizontal="left" vertical="top"/>
    </xf>
    <xf numFmtId="5" fontId="289" fillId="58" borderId="34" applyNumberFormat="0" applyAlignment="0">
      <alignment horizontal="left" vertical="top"/>
    </xf>
    <xf numFmtId="310" fontId="289" fillId="58" borderId="34" applyNumberFormat="0" applyAlignment="0">
      <alignment horizontal="left" vertical="top"/>
    </xf>
    <xf numFmtId="49" fontId="290" fillId="0" borderId="34">
      <alignment vertical="center"/>
    </xf>
    <xf numFmtId="49" fontId="290" fillId="0" borderId="34">
      <alignment vertical="center"/>
    </xf>
    <xf numFmtId="0" fontId="9" fillId="0" borderId="0"/>
    <xf numFmtId="0" fontId="291" fillId="0" borderId="0" applyNumberFormat="0" applyFill="0" applyBorder="0" applyAlignment="0" applyProtection="0">
      <alignment vertical="top"/>
      <protection locked="0"/>
    </xf>
    <xf numFmtId="190" fontId="67" fillId="0" borderId="0" applyFont="0" applyFill="0" applyBorder="0" applyAlignment="0" applyProtection="0"/>
    <xf numFmtId="38" fontId="78" fillId="0" borderId="0" applyFont="0" applyFill="0" applyBorder="0" applyAlignment="0" applyProtection="0"/>
    <xf numFmtId="41" fontId="86" fillId="0" borderId="0" applyFont="0" applyFill="0" applyBorder="0" applyAlignment="0" applyProtection="0"/>
    <xf numFmtId="231" fontId="86" fillId="0" borderId="0" applyFont="0" applyFill="0" applyBorder="0" applyAlignment="0" applyProtection="0"/>
    <xf numFmtId="311" fontId="292" fillId="0" borderId="0" applyFont="0" applyFill="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59"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10" fontId="72" fillId="2" borderId="34" applyNumberFormat="0" applyBorder="0" applyAlignment="0" applyProtection="0"/>
    <xf numFmtId="0" fontId="76" fillId="10" borderId="39" applyNumberFormat="0" applyAlignment="0" applyProtection="0"/>
    <xf numFmtId="0" fontId="76" fillId="10" borderId="39" applyNumberFormat="0" applyAlignment="0" applyProtection="0"/>
    <xf numFmtId="0" fontId="76" fillId="10" borderId="39" applyNumberFormat="0" applyAlignment="0" applyProtection="0"/>
    <xf numFmtId="0" fontId="76" fillId="10" borderId="39" applyNumberFormat="0" applyAlignment="0" applyProtection="0"/>
    <xf numFmtId="0" fontId="76" fillId="10" borderId="39" applyNumberFormat="0" applyAlignment="0" applyProtection="0"/>
    <xf numFmtId="0" fontId="76" fillId="10" borderId="39" applyNumberFormat="0" applyAlignment="0" applyProtection="0"/>
    <xf numFmtId="0" fontId="76" fillId="10" borderId="39" applyNumberFormat="0" applyAlignment="0" applyProtection="0"/>
    <xf numFmtId="0" fontId="76" fillId="10" borderId="39" applyNumberFormat="0" applyAlignment="0" applyProtection="0"/>
    <xf numFmtId="0" fontId="76" fillId="10" borderId="39" applyNumberFormat="0" applyAlignment="0" applyProtection="0"/>
    <xf numFmtId="0" fontId="76" fillId="10" borderId="39" applyNumberFormat="0" applyAlignment="0" applyProtection="0"/>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90" fontId="67" fillId="0" borderId="0" applyFont="0" applyFill="0" applyBorder="0" applyAlignment="0" applyProtection="0"/>
    <xf numFmtId="0" fontId="67" fillId="0" borderId="0"/>
    <xf numFmtId="0" fontId="243" fillId="0" borderId="71">
      <alignment horizontal="centerContinuous"/>
    </xf>
    <xf numFmtId="0" fontId="243" fillId="0" borderId="71">
      <alignment horizontal="centerContinuous"/>
    </xf>
    <xf numFmtId="169" fontId="67" fillId="60" borderId="15">
      <alignment vertical="top" wrapText="1"/>
    </xf>
    <xf numFmtId="0" fontId="78" fillId="0" borderId="0"/>
    <xf numFmtId="0" fontId="13" fillId="0" borderId="0"/>
    <xf numFmtId="0" fontId="13" fillId="0" borderId="0"/>
    <xf numFmtId="0" fontId="80" fillId="0" borderId="0"/>
    <xf numFmtId="0" fontId="140" fillId="0" borderId="0"/>
    <xf numFmtId="0" fontId="9" fillId="0" borderId="0" applyNumberFormat="0" applyFont="0" applyFill="0" applyBorder="0" applyProtection="0">
      <alignment horizontal="left" vertical="center"/>
    </xf>
    <xf numFmtId="0" fontId="78" fillId="0" borderId="0"/>
    <xf numFmtId="0" fontId="64"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1" fontId="250"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194" fontId="250"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50" fontId="250"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41" fontId="250"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3" fontId="296" fillId="0" borderId="9" applyNumberFormat="0" applyAlignment="0">
      <alignment horizontal="center" vertical="center"/>
    </xf>
    <xf numFmtId="3" fontId="234" fillId="0" borderId="9" applyNumberFormat="0" applyAlignment="0">
      <alignment horizontal="center" vertical="center"/>
    </xf>
    <xf numFmtId="3" fontId="289" fillId="0" borderId="9" applyNumberFormat="0" applyAlignment="0">
      <alignment horizontal="center" vertical="center"/>
    </xf>
    <xf numFmtId="187" fontId="297" fillId="0" borderId="6" applyNumberFormat="0" applyFont="0" applyFill="0" applyBorder="0">
      <alignment horizontal="center"/>
    </xf>
    <xf numFmtId="187" fontId="297" fillId="0" borderId="6" applyNumberFormat="0" applyFont="0" applyFill="0" applyBorder="0">
      <alignment horizontal="center"/>
    </xf>
    <xf numFmtId="38" fontId="78" fillId="0" borderId="0" applyFont="0" applyFill="0" applyBorder="0" applyAlignment="0" applyProtection="0"/>
    <xf numFmtId="4" fontId="250" fillId="0" borderId="0" applyFont="0" applyFill="0" applyBorder="0" applyAlignment="0" applyProtection="0"/>
    <xf numFmtId="190" fontId="64" fillId="0" borderId="0" applyFont="0" applyFill="0" applyBorder="0" applyAlignment="0" applyProtection="0"/>
    <xf numFmtId="191" fontId="64" fillId="0" borderId="0" applyFont="0" applyFill="0" applyBorder="0" applyAlignment="0" applyProtection="0"/>
    <xf numFmtId="0" fontId="79" fillId="0" borderId="27"/>
    <xf numFmtId="312" fontId="64" fillId="0" borderId="6"/>
    <xf numFmtId="312" fontId="64" fillId="0" borderId="6"/>
    <xf numFmtId="313" fontId="298" fillId="0" borderId="6"/>
    <xf numFmtId="314" fontId="64" fillId="0" borderId="0" applyFont="0" applyFill="0" applyBorder="0" applyAlignment="0" applyProtection="0"/>
    <xf numFmtId="315" fontId="64" fillId="0" borderId="0" applyFont="0" applyFill="0" applyBorder="0" applyAlignment="0" applyProtection="0"/>
    <xf numFmtId="0" fontId="178" fillId="0" borderId="0"/>
    <xf numFmtId="0" fontId="29" fillId="0" borderId="34"/>
    <xf numFmtId="0" fontId="9" fillId="0" borderId="0"/>
    <xf numFmtId="0" fontId="84" fillId="0" borderId="7" applyNumberFormat="0" applyAlignment="0">
      <alignment horizontal="center"/>
    </xf>
    <xf numFmtId="37" fontId="299" fillId="0" borderId="0"/>
    <xf numFmtId="37" fontId="299" fillId="0" borderId="0"/>
    <xf numFmtId="37" fontId="299" fillId="0" borderId="0"/>
    <xf numFmtId="0" fontId="300" fillId="0" borderId="34" applyNumberFormat="0" applyFont="0" applyFill="0" applyBorder="0" applyAlignment="0">
      <alignment horizontal="center"/>
    </xf>
    <xf numFmtId="0" fontId="300" fillId="0" borderId="34" applyNumberFormat="0" applyFont="0" applyFill="0" applyBorder="0" applyAlignment="0">
      <alignment horizontal="center"/>
    </xf>
    <xf numFmtId="0" fontId="301" fillId="0" borderId="0"/>
    <xf numFmtId="0" fontId="26" fillId="0" borderId="0"/>
    <xf numFmtId="0" fontId="26" fillId="0" borderId="0"/>
    <xf numFmtId="0" fontId="302" fillId="0" borderId="0"/>
    <xf numFmtId="0" fontId="92" fillId="0" borderId="0"/>
    <xf numFmtId="0" fontId="67" fillId="0" borderId="0"/>
    <xf numFmtId="0" fontId="1" fillId="0" borderId="0"/>
    <xf numFmtId="0" fontId="179" fillId="0" borderId="0"/>
    <xf numFmtId="0" fontId="26" fillId="0" borderId="0"/>
    <xf numFmtId="0" fontId="178" fillId="0" borderId="0"/>
    <xf numFmtId="0" fontId="258" fillId="0" borderId="0"/>
    <xf numFmtId="0" fontId="1" fillId="0" borderId="0"/>
    <xf numFmtId="0" fontId="178" fillId="0" borderId="0"/>
    <xf numFmtId="0" fontId="26" fillId="0" borderId="0"/>
    <xf numFmtId="0" fontId="303" fillId="0" borderId="0"/>
    <xf numFmtId="0" fontId="26" fillId="0" borderId="0"/>
    <xf numFmtId="0" fontId="97"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304" fillId="0" borderId="0"/>
    <xf numFmtId="0" fontId="229" fillId="0" borderId="0"/>
    <xf numFmtId="0" fontId="64"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258" fillId="0" borderId="0"/>
    <xf numFmtId="0" fontId="178" fillId="0" borderId="0"/>
    <xf numFmtId="0" fontId="26" fillId="0" borderId="0"/>
    <xf numFmtId="0" fontId="64" fillId="0" borderId="0"/>
    <xf numFmtId="0" fontId="178" fillId="0" borderId="0"/>
    <xf numFmtId="0" fontId="67" fillId="0" borderId="0"/>
    <xf numFmtId="0" fontId="13" fillId="0" borderId="0"/>
    <xf numFmtId="0" fontId="80" fillId="0" borderId="0"/>
    <xf numFmtId="0" fontId="179" fillId="0" borderId="0"/>
    <xf numFmtId="0" fontId="26"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9"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26" fillId="0" borderId="0"/>
    <xf numFmtId="0" fontId="26" fillId="0" borderId="0"/>
    <xf numFmtId="0" fontId="178" fillId="0" borderId="0"/>
    <xf numFmtId="0" fontId="26" fillId="0" borderId="0"/>
    <xf numFmtId="0" fontId="13" fillId="0" borderId="0"/>
    <xf numFmtId="0" fontId="26" fillId="0" borderId="0"/>
    <xf numFmtId="0" fontId="13" fillId="0" borderId="0"/>
    <xf numFmtId="0" fontId="178" fillId="0" borderId="0"/>
    <xf numFmtId="0" fontId="13" fillId="0" borderId="0"/>
    <xf numFmtId="0" fontId="178" fillId="0" borderId="0"/>
    <xf numFmtId="0" fontId="13" fillId="0" borderId="0"/>
    <xf numFmtId="0" fontId="84" fillId="0" borderId="0"/>
    <xf numFmtId="0" fontId="13" fillId="0" borderId="0"/>
    <xf numFmtId="0" fontId="178" fillId="0" borderId="0"/>
    <xf numFmtId="0" fontId="178" fillId="0" borderId="0"/>
    <xf numFmtId="0" fontId="178" fillId="0" borderId="0"/>
    <xf numFmtId="0" fontId="13" fillId="0" borderId="0"/>
    <xf numFmtId="0" fontId="13" fillId="0" borderId="0"/>
    <xf numFmtId="0" fontId="13" fillId="0" borderId="0"/>
    <xf numFmtId="0" fontId="13" fillId="0" borderId="0"/>
    <xf numFmtId="0" fontId="1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13"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7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13" fillId="0" borderId="0"/>
    <xf numFmtId="0" fontId="178" fillId="0" borderId="0"/>
    <xf numFmtId="0" fontId="304" fillId="0" borderId="0"/>
    <xf numFmtId="0" fontId="304" fillId="0" borderId="0"/>
    <xf numFmtId="0" fontId="304" fillId="0" borderId="0"/>
    <xf numFmtId="0" fontId="303" fillId="0" borderId="0"/>
    <xf numFmtId="0" fontId="65" fillId="0" borderId="0" applyProtection="0"/>
    <xf numFmtId="0" fontId="30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78" fillId="0" borderId="0"/>
    <xf numFmtId="0" fontId="179" fillId="0" borderId="0"/>
    <xf numFmtId="0" fontId="179" fillId="0" borderId="0"/>
    <xf numFmtId="0" fontId="262" fillId="0" borderId="0"/>
    <xf numFmtId="0" fontId="140" fillId="0" borderId="0"/>
    <xf numFmtId="0" fontId="179" fillId="0" borderId="0"/>
    <xf numFmtId="0" fontId="1" fillId="0" borderId="0"/>
    <xf numFmtId="0" fontId="1" fillId="0" borderId="0"/>
    <xf numFmtId="0" fontId="179" fillId="0" borderId="0"/>
    <xf numFmtId="0" fontId="179" fillId="0" borderId="0"/>
    <xf numFmtId="0" fontId="179" fillId="0" borderId="0"/>
    <xf numFmtId="0" fontId="179" fillId="0" borderId="0"/>
    <xf numFmtId="0" fontId="178" fillId="0" borderId="0"/>
    <xf numFmtId="0" fontId="67" fillId="0" borderId="0"/>
    <xf numFmtId="0" fontId="1" fillId="0" borderId="0"/>
    <xf numFmtId="0" fontId="13" fillId="0" borderId="0"/>
    <xf numFmtId="0" fontId="178" fillId="0" borderId="0"/>
    <xf numFmtId="0" fontId="178" fillId="0" borderId="0" applyProtection="0"/>
    <xf numFmtId="0" fontId="1" fillId="0" borderId="0"/>
    <xf numFmtId="0" fontId="1"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63" fillId="0" borderId="0"/>
    <xf numFmtId="0" fontId="179" fillId="0" borderId="0"/>
    <xf numFmtId="0" fontId="179" fillId="0" borderId="0"/>
    <xf numFmtId="0" fontId="13" fillId="0" borderId="0"/>
    <xf numFmtId="0" fontId="63" fillId="0" borderId="0"/>
    <xf numFmtId="0" fontId="63" fillId="0" borderId="0"/>
    <xf numFmtId="0" fontId="13" fillId="0" borderId="0"/>
    <xf numFmtId="0" fontId="63" fillId="0" borderId="0"/>
    <xf numFmtId="0" fontId="63" fillId="0" borderId="0"/>
    <xf numFmtId="0" fontId="13" fillId="0" borderId="0"/>
    <xf numFmtId="0" fontId="63" fillId="0" borderId="0"/>
    <xf numFmtId="0" fontId="63" fillId="0" borderId="0"/>
    <xf numFmtId="0" fontId="13" fillId="0" borderId="0"/>
    <xf numFmtId="0" fontId="84" fillId="0" borderId="0"/>
    <xf numFmtId="0" fontId="178" fillId="0" borderId="0"/>
    <xf numFmtId="0" fontId="304" fillId="0" borderId="0"/>
    <xf numFmtId="0" fontId="26" fillId="0" borderId="0"/>
    <xf numFmtId="0" fontId="13" fillId="0" borderId="0"/>
    <xf numFmtId="0" fontId="304" fillId="0" borderId="0"/>
    <xf numFmtId="0" fontId="26" fillId="0" borderId="0"/>
    <xf numFmtId="0" fontId="65" fillId="0" borderId="0"/>
    <xf numFmtId="0" fontId="65" fillId="0" borderId="0" applyProtection="0"/>
    <xf numFmtId="0" fontId="65" fillId="0" borderId="0"/>
    <xf numFmtId="0" fontId="65" fillId="0" borderId="0" applyProtection="0"/>
    <xf numFmtId="0" fontId="26" fillId="0" borderId="0"/>
    <xf numFmtId="0" fontId="65" fillId="0" borderId="0" applyProtection="0"/>
    <xf numFmtId="0" fontId="80" fillId="0" borderId="0"/>
    <xf numFmtId="0" fontId="26" fillId="0" borderId="0"/>
    <xf numFmtId="0" fontId="65" fillId="0" borderId="0" applyProtection="0"/>
    <xf numFmtId="0" fontId="65" fillId="0" borderId="0"/>
    <xf numFmtId="0" fontId="80" fillId="0" borderId="0"/>
    <xf numFmtId="0" fontId="65" fillId="0" borderId="0" applyProtection="0"/>
    <xf numFmtId="0" fontId="80" fillId="0" borderId="0"/>
    <xf numFmtId="0" fontId="65" fillId="0" borderId="0" applyProtection="0"/>
    <xf numFmtId="0" fontId="178" fillId="0" borderId="0"/>
    <xf numFmtId="0" fontId="65" fillId="0" borderId="0" applyProtection="0"/>
    <xf numFmtId="0" fontId="26" fillId="0" borderId="0"/>
    <xf numFmtId="0" fontId="265" fillId="0" borderId="0"/>
    <xf numFmtId="0" fontId="178" fillId="0" borderId="0"/>
    <xf numFmtId="0" fontId="26" fillId="0" borderId="0"/>
    <xf numFmtId="0" fontId="258" fillId="0" borderId="0"/>
    <xf numFmtId="0" fontId="26" fillId="0" borderId="0"/>
    <xf numFmtId="0" fontId="26" fillId="0" borderId="0"/>
    <xf numFmtId="0" fontId="26" fillId="0" borderId="0"/>
    <xf numFmtId="0" fontId="26" fillId="0" borderId="0"/>
    <xf numFmtId="0" fontId="26" fillId="0" borderId="0"/>
    <xf numFmtId="0" fontId="178" fillId="0" borderId="0"/>
    <xf numFmtId="0" fontId="26" fillId="0" borderId="0"/>
    <xf numFmtId="0" fontId="1" fillId="0" borderId="0"/>
    <xf numFmtId="0" fontId="1" fillId="0" borderId="0"/>
    <xf numFmtId="0" fontId="304" fillId="0" borderId="0"/>
    <xf numFmtId="0" fontId="26" fillId="0" borderId="0"/>
    <xf numFmtId="0" fontId="82" fillId="0" borderId="0"/>
    <xf numFmtId="0" fontId="82" fillId="0" borderId="0" applyProtection="0"/>
    <xf numFmtId="0" fontId="178"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08" fillId="0" borderId="0"/>
    <xf numFmtId="0" fontId="65" fillId="0" borderId="0"/>
    <xf numFmtId="0" fontId="65" fillId="0" borderId="0"/>
    <xf numFmtId="0" fontId="65" fillId="0" borderId="0"/>
    <xf numFmtId="0" fontId="179" fillId="0" borderId="0"/>
    <xf numFmtId="0" fontId="179" fillId="0" borderId="0"/>
    <xf numFmtId="0" fontId="178" fillId="0" borderId="0" applyProtection="0"/>
    <xf numFmtId="0" fontId="179" fillId="0" borderId="0"/>
    <xf numFmtId="0" fontId="179" fillId="0" borderId="0"/>
    <xf numFmtId="0" fontId="179" fillId="0" borderId="0"/>
    <xf numFmtId="0" fontId="179" fillId="0" borderId="0"/>
    <xf numFmtId="0" fontId="65" fillId="0" borderId="0"/>
    <xf numFmtId="0" fontId="179" fillId="0" borderId="0"/>
    <xf numFmtId="0" fontId="179"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217" fillId="0" borderId="0"/>
    <xf numFmtId="0" fontId="13" fillId="0" borderId="0"/>
    <xf numFmtId="0" fontId="13" fillId="0" borderId="0"/>
    <xf numFmtId="0" fontId="13" fillId="0" borderId="0"/>
    <xf numFmtId="0" fontId="13" fillId="0" borderId="0"/>
    <xf numFmtId="0" fontId="13" fillId="0" borderId="0"/>
    <xf numFmtId="0" fontId="178"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65"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26" fillId="0" borderId="0"/>
    <xf numFmtId="0" fontId="65" fillId="0" borderId="0"/>
    <xf numFmtId="0" fontId="26" fillId="0" borderId="0" applyProtection="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6" fillId="0" borderId="0" applyNumberFormat="0" applyFill="0" applyBorder="0" applyProtection="0">
      <alignment vertical="top"/>
    </xf>
    <xf numFmtId="0" fontId="26" fillId="0" borderId="0"/>
    <xf numFmtId="0" fontId="26" fillId="0" borderId="0"/>
    <xf numFmtId="0" fontId="26" fillId="0" borderId="0"/>
    <xf numFmtId="0" fontId="306" fillId="0" borderId="0" applyNumberFormat="0" applyFill="0" applyBorder="0" applyProtection="0">
      <alignment vertical="top"/>
    </xf>
    <xf numFmtId="0" fontId="26" fillId="0" borderId="0"/>
    <xf numFmtId="0" fontId="26" fillId="0" borderId="0"/>
    <xf numFmtId="0" fontId="26" fillId="0" borderId="0"/>
    <xf numFmtId="0" fontId="26" fillId="0" borderId="0"/>
    <xf numFmtId="0" fontId="26" fillId="0" borderId="0"/>
    <xf numFmtId="0" fontId="262"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67" fillId="0" borderId="0"/>
    <xf numFmtId="0" fontId="229" fillId="0" borderId="0"/>
    <xf numFmtId="0" fontId="178" fillId="0" borderId="0"/>
    <xf numFmtId="0" fontId="9" fillId="0" borderId="0"/>
    <xf numFmtId="0" fontId="178" fillId="0" borderId="0"/>
    <xf numFmtId="0" fontId="9"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78" fillId="0" borderId="0"/>
    <xf numFmtId="0" fontId="26" fillId="0" borderId="0"/>
    <xf numFmtId="0" fontId="26" fillId="0" borderId="0"/>
    <xf numFmtId="0" fontId="26" fillId="0" borderId="0"/>
    <xf numFmtId="0" fontId="178" fillId="0" borderId="0"/>
    <xf numFmtId="0" fontId="1" fillId="0" borderId="0"/>
    <xf numFmtId="0" fontId="1" fillId="0" borderId="0"/>
    <xf numFmtId="0" fontId="1" fillId="0" borderId="0"/>
    <xf numFmtId="0" fontId="204" fillId="0" borderId="0"/>
    <xf numFmtId="0" fontId="26" fillId="0" borderId="0"/>
    <xf numFmtId="0" fontId="26" fillId="0" borderId="0"/>
    <xf numFmtId="0" fontId="1" fillId="0" borderId="0"/>
    <xf numFmtId="0" fontId="1" fillId="0" borderId="0"/>
    <xf numFmtId="0" fontId="26" fillId="0" borderId="0"/>
    <xf numFmtId="0" fontId="67" fillId="0" borderId="0"/>
    <xf numFmtId="0" fontId="228" fillId="0" borderId="0" applyFont="0"/>
    <xf numFmtId="0" fontId="250" fillId="2" borderId="0"/>
    <xf numFmtId="0" fontId="271" fillId="0" borderId="0"/>
    <xf numFmtId="0" fontId="178" fillId="25" borderId="72" applyNumberFormat="0" applyFont="0" applyAlignment="0" applyProtection="0"/>
    <xf numFmtId="0" fontId="178" fillId="25" borderId="72" applyNumberFormat="0" applyFont="0" applyAlignment="0" applyProtection="0"/>
    <xf numFmtId="0" fontId="178" fillId="25" borderId="72" applyNumberFormat="0" applyFont="0" applyAlignment="0" applyProtection="0"/>
    <xf numFmtId="0" fontId="178" fillId="25" borderId="72" applyNumberFormat="0" applyFont="0" applyAlignment="0" applyProtection="0"/>
    <xf numFmtId="0" fontId="178" fillId="25" borderId="72" applyNumberFormat="0" applyFont="0" applyAlignment="0" applyProtection="0"/>
    <xf numFmtId="0" fontId="178" fillId="25" borderId="72" applyNumberFormat="0" applyFont="0" applyAlignment="0" applyProtection="0"/>
    <xf numFmtId="0" fontId="178" fillId="25" borderId="72" applyNumberFormat="0" applyFont="0" applyAlignment="0" applyProtection="0"/>
    <xf numFmtId="0" fontId="178" fillId="25" borderId="72" applyNumberFormat="0" applyFont="0" applyAlignment="0" applyProtection="0"/>
    <xf numFmtId="0" fontId="178" fillId="25" borderId="72" applyNumberFormat="0" applyFont="0" applyAlignment="0" applyProtection="0"/>
    <xf numFmtId="0" fontId="178" fillId="25" borderId="72" applyNumberFormat="0" applyFont="0" applyAlignment="0" applyProtection="0"/>
    <xf numFmtId="0" fontId="64" fillId="26" borderId="72" applyNumberFormat="0" applyFont="0" applyAlignment="0" applyProtection="0"/>
    <xf numFmtId="0" fontId="64" fillId="26" borderId="72" applyNumberFormat="0" applyFont="0" applyAlignment="0" applyProtection="0"/>
    <xf numFmtId="0" fontId="178" fillId="52" borderId="65" applyNumberFormat="0" applyFont="0" applyAlignment="0" applyProtection="0"/>
    <xf numFmtId="0" fontId="178" fillId="52" borderId="65" applyNumberFormat="0" applyFont="0" applyAlignment="0" applyProtection="0"/>
    <xf numFmtId="316" fontId="307" fillId="0" borderId="0" applyFont="0" applyFill="0" applyBorder="0" applyProtection="0">
      <alignment vertical="top" wrapText="1"/>
    </xf>
    <xf numFmtId="0" fontId="84" fillId="0" borderId="0"/>
    <xf numFmtId="0" fontId="84" fillId="0" borderId="0" applyProtection="0"/>
    <xf numFmtId="0" fontId="84" fillId="0" borderId="0" applyProtection="0"/>
    <xf numFmtId="3" fontId="308" fillId="0" borderId="0" applyFont="0" applyFill="0" applyBorder="0" applyAlignment="0" applyProtection="0"/>
    <xf numFmtId="190" fontId="227" fillId="0" borderId="0" applyFont="0" applyFill="0" applyBorder="0" applyAlignment="0" applyProtection="0"/>
    <xf numFmtId="0" fontId="251" fillId="0" borderId="0" applyNumberFormat="0" applyFill="0" applyBorder="0" applyAlignment="0" applyProtection="0"/>
    <xf numFmtId="0" fontId="29" fillId="0" borderId="0" applyNumberFormat="0" applyFill="0" applyBorder="0" applyAlignment="0" applyProtection="0"/>
    <xf numFmtId="0" fontId="67" fillId="0" borderId="0" applyNumberFormat="0" applyFill="0" applyBorder="0" applyAlignment="0" applyProtection="0"/>
    <xf numFmtId="0" fontId="251" fillId="0" borderId="0" applyNumberFormat="0" applyFill="0" applyBorder="0" applyAlignment="0" applyProtection="0"/>
    <xf numFmtId="0" fontId="309" fillId="0" borderId="0" applyNumberFormat="0" applyFill="0" applyBorder="0" applyAlignment="0" applyProtection="0"/>
    <xf numFmtId="0" fontId="29" fillId="0" borderId="0" applyNumberFormat="0" applyFill="0" applyBorder="0" applyAlignment="0" applyProtection="0"/>
    <xf numFmtId="0" fontId="67" fillId="0" borderId="0" applyNumberFormat="0" applyFill="0" applyBorder="0" applyAlignment="0" applyProtection="0"/>
    <xf numFmtId="0" fontId="251" fillId="0" borderId="0" applyProtection="0"/>
    <xf numFmtId="0" fontId="85" fillId="23" borderId="73" applyNumberFormat="0" applyAlignment="0" applyProtection="0"/>
    <xf numFmtId="167" fontId="310" fillId="0" borderId="7" applyFont="0" applyBorder="0" applyAlignment="0"/>
    <xf numFmtId="0" fontId="12" fillId="2" borderId="0"/>
    <xf numFmtId="0" fontId="63" fillId="2" borderId="0"/>
    <xf numFmtId="0" fontId="63" fillId="2" borderId="0"/>
    <xf numFmtId="0" fontId="63" fillId="2" borderId="0"/>
    <xf numFmtId="41" fontId="64"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14" fontId="243" fillId="0" borderId="0">
      <alignment horizontal="center" wrapText="1"/>
      <protection locked="0"/>
    </xf>
    <xf numFmtId="14" fontId="112" fillId="0" borderId="0">
      <alignment horizontal="center" wrapText="1"/>
      <protection locked="0"/>
    </xf>
    <xf numFmtId="317" fontId="251" fillId="0" borderId="0" applyFont="0" applyFill="0" applyBorder="0" applyAlignment="0" applyProtection="0"/>
    <xf numFmtId="318" fontId="4" fillId="0" borderId="0" applyFont="0" applyFill="0" applyBorder="0" applyAlignment="0" applyProtection="0"/>
    <xf numFmtId="319" fontId="257"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320" fontId="26" fillId="0" borderId="0" applyFont="0" applyFill="0" applyBorder="0" applyAlignment="0" applyProtection="0"/>
    <xf numFmtId="247" fontId="64"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321" fontId="64"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322"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65" fillId="0" borderId="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323" fontId="257" fillId="0" borderId="0" applyFont="0" applyFill="0" applyBorder="0" applyAlignment="0" applyProtection="0"/>
    <xf numFmtId="324" fontId="4" fillId="0" borderId="0" applyFont="0" applyFill="0" applyBorder="0" applyAlignment="0" applyProtection="0"/>
    <xf numFmtId="325" fontId="257" fillId="0" borderId="0" applyFont="0" applyFill="0" applyBorder="0" applyAlignment="0" applyProtection="0"/>
    <xf numFmtId="326" fontId="4" fillId="0" borderId="0" applyFont="0" applyFill="0" applyBorder="0" applyAlignment="0" applyProtection="0"/>
    <xf numFmtId="327" fontId="257" fillId="0" borderId="0" applyFont="0" applyFill="0" applyBorder="0" applyAlignment="0" applyProtection="0"/>
    <xf numFmtId="328" fontId="4"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78" fillId="0" borderId="0" applyFont="0" applyFill="0" applyBorder="0" applyAlignment="0" applyProtection="0"/>
    <xf numFmtId="9" fontId="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7"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78" fillId="0" borderId="74" applyNumberFormat="0" applyBorder="0"/>
    <xf numFmtId="9" fontId="78" fillId="0" borderId="74" applyNumberFormat="0" applyBorder="0"/>
    <xf numFmtId="0" fontId="64"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1" fontId="250"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194" fontId="250"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49" fontId="26" fillId="0" borderId="0" applyFill="0" applyBorder="0" applyAlignment="0"/>
    <xf numFmtId="250" fontId="250"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51" fontId="26" fillId="0" borderId="0" applyFill="0" applyBorder="0" applyAlignment="0"/>
    <xf numFmtId="241" fontId="250"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242" fontId="26" fillId="0" borderId="0" applyFill="0" applyBorder="0" applyAlignment="0"/>
    <xf numFmtId="0" fontId="311" fillId="0" borderId="0"/>
    <xf numFmtId="0" fontId="312" fillId="0" borderId="0"/>
    <xf numFmtId="0" fontId="78" fillId="0" borderId="0" applyNumberFormat="0" applyFont="0" applyFill="0" applyBorder="0" applyAlignment="0" applyProtection="0">
      <alignment horizontal="left"/>
    </xf>
    <xf numFmtId="0" fontId="313" fillId="0" borderId="27">
      <alignment horizontal="center"/>
    </xf>
    <xf numFmtId="1" fontId="64" fillId="0" borderId="9" applyNumberFormat="0" applyFill="0" applyAlignment="0" applyProtection="0">
      <alignment horizontal="center" vertical="center"/>
    </xf>
    <xf numFmtId="0" fontId="314" fillId="61" borderId="0" applyNumberFormat="0" applyFont="0" applyBorder="0" applyAlignment="0">
      <alignment horizontal="center"/>
    </xf>
    <xf numFmtId="0" fontId="314" fillId="61" borderId="0" applyNumberFormat="0" applyFont="0" applyBorder="0" applyAlignment="0">
      <alignment horizontal="center"/>
    </xf>
    <xf numFmtId="14" fontId="315" fillId="0" borderId="0" applyNumberFormat="0" applyFill="0" applyBorder="0" applyAlignment="0" applyProtection="0">
      <alignment horizontal="left"/>
    </xf>
    <xf numFmtId="0" fontId="294" fillId="0" borderId="0"/>
    <xf numFmtId="0" fontId="84" fillId="0" borderId="0"/>
    <xf numFmtId="41" fontId="86" fillId="0" borderId="0" applyFont="0" applyFill="0" applyBorder="0" applyAlignment="0" applyProtection="0"/>
    <xf numFmtId="231" fontId="86"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Protection="0"/>
    <xf numFmtId="228" fontId="86" fillId="0" borderId="0" applyFont="0" applyFill="0" applyBorder="0" applyAlignment="0" applyProtection="0"/>
    <xf numFmtId="41" fontId="65" fillId="0" borderId="0" applyProtection="0"/>
    <xf numFmtId="4" fontId="316" fillId="62" borderId="75" applyNumberFormat="0" applyProtection="0">
      <alignment vertical="center"/>
    </xf>
    <xf numFmtId="4" fontId="317" fillId="62" borderId="75" applyNumberFormat="0" applyProtection="0">
      <alignment vertical="center"/>
    </xf>
    <xf numFmtId="4" fontId="317" fillId="62" borderId="75" applyNumberFormat="0" applyProtection="0">
      <alignment vertical="center"/>
    </xf>
    <xf numFmtId="4" fontId="316" fillId="62" borderId="75" applyNumberFormat="0" applyProtection="0">
      <alignment vertical="center"/>
    </xf>
    <xf numFmtId="4" fontId="318" fillId="62" borderId="75" applyNumberFormat="0" applyProtection="0">
      <alignment vertical="center"/>
    </xf>
    <xf numFmtId="4" fontId="319" fillId="62" borderId="75" applyNumberFormat="0" applyProtection="0">
      <alignment vertical="center"/>
    </xf>
    <xf numFmtId="4" fontId="319" fillId="62" borderId="75" applyNumberFormat="0" applyProtection="0">
      <alignment vertical="center"/>
    </xf>
    <xf numFmtId="4" fontId="318" fillId="62" borderId="75" applyNumberFormat="0" applyProtection="0">
      <alignment vertical="center"/>
    </xf>
    <xf numFmtId="4" fontId="320" fillId="62" borderId="75" applyNumberFormat="0" applyProtection="0">
      <alignment horizontal="left" vertical="center" indent="1"/>
    </xf>
    <xf numFmtId="4" fontId="321" fillId="62" borderId="75" applyNumberFormat="0" applyProtection="0">
      <alignment horizontal="left" vertical="center" indent="1"/>
    </xf>
    <xf numFmtId="4" fontId="321" fillId="62" borderId="75" applyNumberFormat="0" applyProtection="0">
      <alignment horizontal="left" vertical="center" indent="1"/>
    </xf>
    <xf numFmtId="4" fontId="320" fillId="62" borderId="75" applyNumberFormat="0" applyProtection="0">
      <alignment horizontal="left" vertical="center" indent="1"/>
    </xf>
    <xf numFmtId="4" fontId="320" fillId="63" borderId="0" applyNumberFormat="0" applyProtection="0">
      <alignment horizontal="left" vertical="center" indent="1"/>
    </xf>
    <xf numFmtId="4" fontId="321" fillId="63" borderId="0" applyNumberFormat="0" applyProtection="0">
      <alignment horizontal="left" vertical="center" indent="1"/>
    </xf>
    <xf numFmtId="4" fontId="320" fillId="64" borderId="75" applyNumberFormat="0" applyProtection="0">
      <alignment horizontal="right" vertical="center"/>
    </xf>
    <xf numFmtId="4" fontId="321" fillId="64" borderId="75" applyNumberFormat="0" applyProtection="0">
      <alignment horizontal="right" vertical="center"/>
    </xf>
    <xf numFmtId="4" fontId="321" fillId="64" borderId="75" applyNumberFormat="0" applyProtection="0">
      <alignment horizontal="right" vertical="center"/>
    </xf>
    <xf numFmtId="4" fontId="320" fillId="64" borderId="75" applyNumberFormat="0" applyProtection="0">
      <alignment horizontal="right" vertical="center"/>
    </xf>
    <xf numFmtId="4" fontId="320" fillId="65" borderId="75" applyNumberFormat="0" applyProtection="0">
      <alignment horizontal="right" vertical="center"/>
    </xf>
    <xf numFmtId="4" fontId="321" fillId="65" borderId="75" applyNumberFormat="0" applyProtection="0">
      <alignment horizontal="right" vertical="center"/>
    </xf>
    <xf numFmtId="4" fontId="321" fillId="65" borderId="75" applyNumberFormat="0" applyProtection="0">
      <alignment horizontal="right" vertical="center"/>
    </xf>
    <xf numFmtId="4" fontId="320" fillId="65" borderId="75" applyNumberFormat="0" applyProtection="0">
      <alignment horizontal="right" vertical="center"/>
    </xf>
    <xf numFmtId="4" fontId="320" fillId="66" borderId="75" applyNumberFormat="0" applyProtection="0">
      <alignment horizontal="right" vertical="center"/>
    </xf>
    <xf numFmtId="4" fontId="321" fillId="66" borderId="75" applyNumberFormat="0" applyProtection="0">
      <alignment horizontal="right" vertical="center"/>
    </xf>
    <xf numFmtId="4" fontId="321" fillId="66" borderId="75" applyNumberFormat="0" applyProtection="0">
      <alignment horizontal="right" vertical="center"/>
    </xf>
    <xf numFmtId="4" fontId="320" fillId="66" borderId="75" applyNumberFormat="0" applyProtection="0">
      <alignment horizontal="right" vertical="center"/>
    </xf>
    <xf numFmtId="4" fontId="320" fillId="67" borderId="75" applyNumberFormat="0" applyProtection="0">
      <alignment horizontal="right" vertical="center"/>
    </xf>
    <xf numFmtId="4" fontId="321" fillId="67" borderId="75" applyNumberFormat="0" applyProtection="0">
      <alignment horizontal="right" vertical="center"/>
    </xf>
    <xf numFmtId="4" fontId="321" fillId="67" borderId="75" applyNumberFormat="0" applyProtection="0">
      <alignment horizontal="right" vertical="center"/>
    </xf>
    <xf numFmtId="4" fontId="320" fillId="67" borderId="75" applyNumberFormat="0" applyProtection="0">
      <alignment horizontal="right" vertical="center"/>
    </xf>
    <xf numFmtId="4" fontId="320" fillId="68" borderId="75" applyNumberFormat="0" applyProtection="0">
      <alignment horizontal="right" vertical="center"/>
    </xf>
    <xf numFmtId="4" fontId="321" fillId="68" borderId="75" applyNumberFormat="0" applyProtection="0">
      <alignment horizontal="right" vertical="center"/>
    </xf>
    <xf numFmtId="4" fontId="321" fillId="68" borderId="75" applyNumberFormat="0" applyProtection="0">
      <alignment horizontal="right" vertical="center"/>
    </xf>
    <xf numFmtId="4" fontId="320" fillId="68" borderId="75" applyNumberFormat="0" applyProtection="0">
      <alignment horizontal="right" vertical="center"/>
    </xf>
    <xf numFmtId="4" fontId="320" fillId="69" borderId="75" applyNumberFormat="0" applyProtection="0">
      <alignment horizontal="right" vertical="center"/>
    </xf>
    <xf numFmtId="4" fontId="321" fillId="69" borderId="75" applyNumberFormat="0" applyProtection="0">
      <alignment horizontal="right" vertical="center"/>
    </xf>
    <xf numFmtId="4" fontId="321" fillId="69" borderId="75" applyNumberFormat="0" applyProtection="0">
      <alignment horizontal="right" vertical="center"/>
    </xf>
    <xf numFmtId="4" fontId="320" fillId="69" borderId="75" applyNumberFormat="0" applyProtection="0">
      <alignment horizontal="right" vertical="center"/>
    </xf>
    <xf numFmtId="4" fontId="320" fillId="70" borderId="75" applyNumberFormat="0" applyProtection="0">
      <alignment horizontal="right" vertical="center"/>
    </xf>
    <xf numFmtId="4" fontId="321" fillId="70" borderId="75" applyNumberFormat="0" applyProtection="0">
      <alignment horizontal="right" vertical="center"/>
    </xf>
    <xf numFmtId="4" fontId="321" fillId="70" borderId="75" applyNumberFormat="0" applyProtection="0">
      <alignment horizontal="right" vertical="center"/>
    </xf>
    <xf numFmtId="4" fontId="320" fillId="70" borderId="75" applyNumberFormat="0" applyProtection="0">
      <alignment horizontal="right" vertical="center"/>
    </xf>
    <xf numFmtId="4" fontId="320" fillId="71" borderId="75" applyNumberFormat="0" applyProtection="0">
      <alignment horizontal="right" vertical="center"/>
    </xf>
    <xf numFmtId="4" fontId="321" fillId="71" borderId="75" applyNumberFormat="0" applyProtection="0">
      <alignment horizontal="right" vertical="center"/>
    </xf>
    <xf numFmtId="4" fontId="321" fillId="71" borderId="75" applyNumberFormat="0" applyProtection="0">
      <alignment horizontal="right" vertical="center"/>
    </xf>
    <xf numFmtId="4" fontId="320" fillId="71" borderId="75" applyNumberFormat="0" applyProtection="0">
      <alignment horizontal="right" vertical="center"/>
    </xf>
    <xf numFmtId="4" fontId="320" fillId="72" borderId="75" applyNumberFormat="0" applyProtection="0">
      <alignment horizontal="right" vertical="center"/>
    </xf>
    <xf numFmtId="4" fontId="321" fillId="72" borderId="75" applyNumberFormat="0" applyProtection="0">
      <alignment horizontal="right" vertical="center"/>
    </xf>
    <xf numFmtId="4" fontId="321" fillId="72" borderId="75" applyNumberFormat="0" applyProtection="0">
      <alignment horizontal="right" vertical="center"/>
    </xf>
    <xf numFmtId="4" fontId="320" fillId="72" borderId="75" applyNumberFormat="0" applyProtection="0">
      <alignment horizontal="right" vertical="center"/>
    </xf>
    <xf numFmtId="4" fontId="316" fillId="73" borderId="76" applyNumberFormat="0" applyProtection="0">
      <alignment horizontal="left" vertical="center" indent="1"/>
    </xf>
    <xf numFmtId="4" fontId="317" fillId="73" borderId="76" applyNumberFormat="0" applyProtection="0">
      <alignment horizontal="left" vertical="center" indent="1"/>
    </xf>
    <xf numFmtId="4" fontId="316" fillId="74" borderId="0" applyNumberFormat="0" applyProtection="0">
      <alignment horizontal="left" vertical="center" indent="1"/>
    </xf>
    <xf numFmtId="4" fontId="317" fillId="74" borderId="0" applyNumberFormat="0" applyProtection="0">
      <alignment horizontal="left" vertical="center" indent="1"/>
    </xf>
    <xf numFmtId="4" fontId="316" fillId="63" borderId="0" applyNumberFormat="0" applyProtection="0">
      <alignment horizontal="left" vertical="center" indent="1"/>
    </xf>
    <xf numFmtId="4" fontId="317" fillId="63" borderId="0" applyNumberFormat="0" applyProtection="0">
      <alignment horizontal="left" vertical="center" indent="1"/>
    </xf>
    <xf numFmtId="4" fontId="320" fillId="74" borderId="75" applyNumberFormat="0" applyProtection="0">
      <alignment horizontal="right" vertical="center"/>
    </xf>
    <xf numFmtId="4" fontId="321" fillId="74" borderId="75" applyNumberFormat="0" applyProtection="0">
      <alignment horizontal="right" vertical="center"/>
    </xf>
    <xf numFmtId="4" fontId="321" fillId="74" borderId="75" applyNumberFormat="0" applyProtection="0">
      <alignment horizontal="right" vertical="center"/>
    </xf>
    <xf numFmtId="4" fontId="320" fillId="74" borderId="75" applyNumberFormat="0" applyProtection="0">
      <alignment horizontal="right" vertical="center"/>
    </xf>
    <xf numFmtId="4" fontId="223" fillId="74" borderId="0" applyNumberFormat="0" applyProtection="0">
      <alignment horizontal="left" vertical="center" indent="1"/>
    </xf>
    <xf numFmtId="4" fontId="222" fillId="74" borderId="0" applyNumberFormat="0" applyProtection="0">
      <alignment horizontal="left" vertical="center" indent="1"/>
    </xf>
    <xf numFmtId="4" fontId="223" fillId="63" borderId="0" applyNumberFormat="0" applyProtection="0">
      <alignment horizontal="left" vertical="center" indent="1"/>
    </xf>
    <xf numFmtId="4" fontId="222" fillId="63" borderId="0" applyNumberFormat="0" applyProtection="0">
      <alignment horizontal="left" vertical="center" indent="1"/>
    </xf>
    <xf numFmtId="4" fontId="320" fillId="75" borderId="75" applyNumberFormat="0" applyProtection="0">
      <alignment vertical="center"/>
    </xf>
    <xf numFmtId="4" fontId="321" fillId="75" borderId="75" applyNumberFormat="0" applyProtection="0">
      <alignment vertical="center"/>
    </xf>
    <xf numFmtId="4" fontId="321" fillId="75" borderId="75" applyNumberFormat="0" applyProtection="0">
      <alignment vertical="center"/>
    </xf>
    <xf numFmtId="4" fontId="320" fillId="75" borderId="75" applyNumberFormat="0" applyProtection="0">
      <alignment vertical="center"/>
    </xf>
    <xf numFmtId="4" fontId="322" fillId="75" borderId="75" applyNumberFormat="0" applyProtection="0">
      <alignment vertical="center"/>
    </xf>
    <xf numFmtId="4" fontId="323" fillId="75" borderId="75" applyNumberFormat="0" applyProtection="0">
      <alignment vertical="center"/>
    </xf>
    <xf numFmtId="4" fontId="323" fillId="75" borderId="75" applyNumberFormat="0" applyProtection="0">
      <alignment vertical="center"/>
    </xf>
    <xf numFmtId="4" fontId="322" fillId="75" borderId="75" applyNumberFormat="0" applyProtection="0">
      <alignment vertical="center"/>
    </xf>
    <xf numFmtId="4" fontId="316" fillId="74" borderId="77" applyNumberFormat="0" applyProtection="0">
      <alignment horizontal="left" vertical="center" indent="1"/>
    </xf>
    <xf numFmtId="4" fontId="317" fillId="74" borderId="77" applyNumberFormat="0" applyProtection="0">
      <alignment horizontal="left" vertical="center" indent="1"/>
    </xf>
    <xf numFmtId="4" fontId="317" fillId="74" borderId="77" applyNumberFormat="0" applyProtection="0">
      <alignment horizontal="left" vertical="center" indent="1"/>
    </xf>
    <xf numFmtId="4" fontId="316" fillId="74" borderId="77" applyNumberFormat="0" applyProtection="0">
      <alignment horizontal="left" vertical="center" indent="1"/>
    </xf>
    <xf numFmtId="4" fontId="320" fillId="75" borderId="75" applyNumberFormat="0" applyProtection="0">
      <alignment horizontal="right" vertical="center"/>
    </xf>
    <xf numFmtId="4" fontId="321" fillId="75" borderId="75" applyNumberFormat="0" applyProtection="0">
      <alignment horizontal="right" vertical="center"/>
    </xf>
    <xf numFmtId="4" fontId="321" fillId="75" borderId="75" applyNumberFormat="0" applyProtection="0">
      <alignment horizontal="right" vertical="center"/>
    </xf>
    <xf numFmtId="4" fontId="320" fillId="75" borderId="75" applyNumberFormat="0" applyProtection="0">
      <alignment horizontal="right" vertical="center"/>
    </xf>
    <xf numFmtId="4" fontId="322" fillId="75" borderId="75" applyNumberFormat="0" applyProtection="0">
      <alignment horizontal="right" vertical="center"/>
    </xf>
    <xf numFmtId="4" fontId="323" fillId="75" borderId="75" applyNumberFormat="0" applyProtection="0">
      <alignment horizontal="right" vertical="center"/>
    </xf>
    <xf numFmtId="4" fontId="323" fillId="75" borderId="75" applyNumberFormat="0" applyProtection="0">
      <alignment horizontal="right" vertical="center"/>
    </xf>
    <xf numFmtId="4" fontId="322" fillId="75" borderId="75" applyNumberFormat="0" applyProtection="0">
      <alignment horizontal="right" vertical="center"/>
    </xf>
    <xf numFmtId="4" fontId="316" fillId="74" borderId="75" applyNumberFormat="0" applyProtection="0">
      <alignment horizontal="left" vertical="center" indent="1"/>
    </xf>
    <xf numFmtId="4" fontId="317" fillId="74" borderId="75" applyNumberFormat="0" applyProtection="0">
      <alignment horizontal="left" vertical="center" indent="1"/>
    </xf>
    <xf numFmtId="4" fontId="317" fillId="74" borderId="75" applyNumberFormat="0" applyProtection="0">
      <alignment horizontal="left" vertical="center" indent="1"/>
    </xf>
    <xf numFmtId="4" fontId="316" fillId="74" borderId="75" applyNumberFormat="0" applyProtection="0">
      <alignment horizontal="left" vertical="center" indent="1"/>
    </xf>
    <xf numFmtId="4" fontId="324" fillId="58" borderId="77" applyNumberFormat="0" applyProtection="0">
      <alignment horizontal="left" vertical="center" indent="1"/>
    </xf>
    <xf numFmtId="4" fontId="325" fillId="58" borderId="77" applyNumberFormat="0" applyProtection="0">
      <alignment horizontal="left" vertical="center" indent="1"/>
    </xf>
    <xf numFmtId="4" fontId="325" fillId="58" borderId="77" applyNumberFormat="0" applyProtection="0">
      <alignment horizontal="left" vertical="center" indent="1"/>
    </xf>
    <xf numFmtId="4" fontId="324" fillId="58" borderId="77" applyNumberFormat="0" applyProtection="0">
      <alignment horizontal="left" vertical="center" indent="1"/>
    </xf>
    <xf numFmtId="4" fontId="326" fillId="75" borderId="75" applyNumberFormat="0" applyProtection="0">
      <alignment horizontal="right" vertical="center"/>
    </xf>
    <xf numFmtId="4" fontId="327" fillId="75" borderId="75" applyNumberFormat="0" applyProtection="0">
      <alignment horizontal="right" vertical="center"/>
    </xf>
    <xf numFmtId="4" fontId="327" fillId="75" borderId="75" applyNumberFormat="0" applyProtection="0">
      <alignment horizontal="right" vertical="center"/>
    </xf>
    <xf numFmtId="4" fontId="326" fillId="75" borderId="75" applyNumberFormat="0" applyProtection="0">
      <alignment horizontal="right" vertical="center"/>
    </xf>
    <xf numFmtId="329" fontId="328" fillId="0" borderId="0" applyFont="0" applyFill="0" applyBorder="0" applyAlignment="0" applyProtection="0"/>
    <xf numFmtId="0" fontId="314" fillId="1" borderId="78" applyNumberFormat="0" applyFont="0" applyAlignment="0">
      <alignment horizontal="center"/>
    </xf>
    <xf numFmtId="0" fontId="314" fillId="1" borderId="78" applyNumberFormat="0" applyFont="0" applyAlignment="0">
      <alignment horizontal="center"/>
    </xf>
    <xf numFmtId="0" fontId="314" fillId="1" borderId="78" applyNumberFormat="0" applyFont="0" applyAlignment="0">
      <alignment horizontal="center"/>
    </xf>
    <xf numFmtId="0" fontId="314" fillId="1" borderId="78" applyNumberFormat="0" applyFont="0" applyAlignment="0">
      <alignment horizontal="center"/>
    </xf>
    <xf numFmtId="0" fontId="314" fillId="1" borderId="78" applyNumberFormat="0" applyFont="0" applyAlignment="0">
      <alignment horizontal="center"/>
    </xf>
    <xf numFmtId="0" fontId="314" fillId="1" borderId="78" applyNumberFormat="0" applyFont="0" applyAlignment="0">
      <alignment horizontal="center"/>
    </xf>
    <xf numFmtId="0" fontId="314" fillId="1" borderId="78" applyNumberFormat="0" applyFont="0" applyAlignment="0">
      <alignment horizontal="center"/>
    </xf>
    <xf numFmtId="0" fontId="314" fillId="1" borderId="78" applyNumberFormat="0" applyFont="0" applyAlignment="0">
      <alignment horizontal="center"/>
    </xf>
    <xf numFmtId="3" fontId="69" fillId="0" borderId="0"/>
    <xf numFmtId="0" fontId="329" fillId="0" borderId="0" applyNumberFormat="0" applyFill="0" applyBorder="0" applyAlignment="0">
      <alignment horizontal="center"/>
    </xf>
    <xf numFmtId="0" fontId="64" fillId="0" borderId="0"/>
    <xf numFmtId="167" fontId="330" fillId="0" borderId="0" applyNumberFormat="0" applyBorder="0" applyAlignment="0">
      <alignment horizontal="centerContinuous"/>
    </xf>
    <xf numFmtId="0" fontId="67" fillId="0" borderId="9">
      <alignment horizontal="center"/>
    </xf>
    <xf numFmtId="0" fontId="78" fillId="0" borderId="0"/>
    <xf numFmtId="0" fontId="209" fillId="0" borderId="0"/>
    <xf numFmtId="0" fontId="84" fillId="0" borderId="0" applyNumberFormat="0" applyFill="0" applyBorder="0" applyAlignment="0" applyProtection="0"/>
    <xf numFmtId="0" fontId="209" fillId="0" borderId="0"/>
    <xf numFmtId="0" fontId="209" fillId="0" borderId="0"/>
    <xf numFmtId="0" fontId="84" fillId="0" borderId="0" applyNumberFormat="0" applyFill="0" applyBorder="0" applyAlignment="0" applyProtection="0"/>
    <xf numFmtId="42" fontId="86" fillId="0" borderId="0" applyFont="0" applyFill="0" applyBorder="0" applyAlignment="0" applyProtection="0"/>
    <xf numFmtId="167" fontId="229" fillId="0" borderId="0" applyFont="0" applyFill="0" applyBorder="0" applyAlignment="0" applyProtection="0"/>
    <xf numFmtId="230" fontId="86" fillId="0" borderId="0" applyFont="0" applyFill="0" applyBorder="0" applyAlignment="0" applyProtection="0"/>
    <xf numFmtId="190" fontId="86" fillId="0" borderId="0" applyFont="0" applyFill="0" applyBorder="0" applyAlignment="0" applyProtection="0"/>
    <xf numFmtId="229" fontId="86" fillId="0" borderId="0" applyFont="0" applyFill="0" applyBorder="0" applyAlignment="0" applyProtection="0"/>
    <xf numFmtId="41" fontId="86" fillId="0" borderId="0" applyFont="0" applyFill="0" applyBorder="0" applyAlignment="0" applyProtection="0"/>
    <xf numFmtId="231" fontId="86" fillId="0" borderId="0" applyFont="0" applyFill="0" applyBorder="0" applyAlignment="0" applyProtection="0"/>
    <xf numFmtId="232" fontId="86" fillId="0" borderId="0" applyFont="0" applyFill="0" applyBorder="0" applyAlignment="0" applyProtection="0"/>
    <xf numFmtId="229" fontId="86" fillId="0" borderId="0" applyFont="0" applyFill="0" applyBorder="0" applyAlignment="0" applyProtection="0"/>
    <xf numFmtId="229"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41" fontId="86" fillId="0" borderId="0" applyFont="0" applyFill="0" applyBorder="0" applyAlignment="0" applyProtection="0"/>
    <xf numFmtId="190" fontId="67" fillId="0" borderId="0" applyFont="0" applyFill="0" applyBorder="0" applyAlignment="0" applyProtection="0"/>
    <xf numFmtId="209" fontId="86" fillId="0" borderId="0" applyFont="0" applyFill="0" applyBorder="0" applyAlignment="0" applyProtection="0"/>
    <xf numFmtId="208" fontId="86" fillId="0" borderId="0" applyFont="0" applyFill="0" applyBorder="0" applyAlignment="0" applyProtection="0"/>
    <xf numFmtId="208"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190" fontId="67" fillId="0" borderId="0" applyFont="0" applyFill="0" applyBorder="0" applyAlignment="0" applyProtection="0"/>
    <xf numFmtId="209" fontId="86" fillId="0" borderId="0" applyFont="0" applyFill="0" applyBorder="0" applyAlignment="0" applyProtection="0"/>
    <xf numFmtId="184"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184" fontId="69" fillId="0" borderId="0" applyFont="0" applyFill="0" applyBorder="0" applyAlignment="0" applyProtection="0"/>
    <xf numFmtId="221" fontId="86" fillId="0" borderId="0" applyFont="0" applyFill="0" applyBorder="0" applyAlignment="0" applyProtection="0"/>
    <xf numFmtId="184" fontId="86" fillId="0" borderId="0" applyFont="0" applyFill="0" applyBorder="0" applyAlignment="0" applyProtection="0"/>
    <xf numFmtId="224" fontId="86" fillId="0" borderId="0" applyFont="0" applyFill="0" applyBorder="0" applyAlignment="0" applyProtection="0"/>
    <xf numFmtId="212" fontId="86" fillId="0" borderId="0" applyFont="0" applyFill="0" applyBorder="0" applyAlignment="0" applyProtection="0"/>
    <xf numFmtId="212" fontId="86" fillId="0" borderId="0" applyFont="0" applyFill="0" applyBorder="0" applyAlignment="0" applyProtection="0"/>
    <xf numFmtId="190" fontId="67" fillId="0" borderId="0" applyFont="0" applyFill="0" applyBorder="0" applyAlignment="0" applyProtection="0"/>
    <xf numFmtId="209" fontId="86" fillId="0" borderId="0" applyFont="0" applyFill="0" applyBorder="0" applyAlignment="0" applyProtection="0"/>
    <xf numFmtId="42" fontId="86" fillId="0" borderId="0" applyFont="0" applyFill="0" applyBorder="0" applyAlignment="0" applyProtection="0"/>
    <xf numFmtId="0" fontId="84" fillId="0" borderId="0"/>
    <xf numFmtId="330" fontId="29" fillId="0" borderId="0" applyFont="0" applyFill="0" applyBorder="0" applyAlignment="0" applyProtection="0"/>
    <xf numFmtId="208" fontId="86" fillId="0" borderId="0" applyFont="0" applyFill="0" applyBorder="0" applyAlignment="0" applyProtection="0"/>
    <xf numFmtId="208"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167" fontId="229" fillId="0" borderId="0" applyFont="0" applyFill="0" applyBorder="0" applyAlignment="0" applyProtection="0"/>
    <xf numFmtId="227"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212" fontId="86" fillId="0" borderId="0" applyFont="0" applyFill="0" applyBorder="0" applyAlignment="0" applyProtection="0"/>
    <xf numFmtId="184"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221" fontId="86" fillId="0" borderId="0" applyFont="0" applyFill="0" applyBorder="0" applyAlignment="0" applyProtection="0"/>
    <xf numFmtId="184" fontId="69" fillId="0" borderId="0" applyFont="0" applyFill="0" applyBorder="0" applyAlignment="0" applyProtection="0"/>
    <xf numFmtId="221" fontId="86" fillId="0" borderId="0" applyFont="0" applyFill="0" applyBorder="0" applyAlignment="0" applyProtection="0"/>
    <xf numFmtId="184" fontId="86" fillId="0" borderId="0" applyFont="0" applyFill="0" applyBorder="0" applyAlignment="0" applyProtection="0"/>
    <xf numFmtId="167" fontId="229" fillId="0" borderId="0" applyFont="0" applyFill="0" applyBorder="0" applyAlignment="0" applyProtection="0"/>
    <xf numFmtId="227" fontId="86" fillId="0" borderId="0" applyFont="0" applyFill="0" applyBorder="0" applyAlignment="0" applyProtection="0"/>
    <xf numFmtId="224" fontId="86" fillId="0" borderId="0" applyFont="0" applyFill="0" applyBorder="0" applyAlignment="0" applyProtection="0"/>
    <xf numFmtId="212" fontId="86" fillId="0" borderId="0" applyFont="0" applyFill="0" applyBorder="0" applyAlignment="0" applyProtection="0"/>
    <xf numFmtId="212" fontId="86" fillId="0" borderId="0" applyFont="0" applyFill="0" applyBorder="0" applyAlignment="0" applyProtection="0"/>
    <xf numFmtId="42" fontId="86" fillId="0" borderId="0" applyFont="0" applyFill="0" applyBorder="0" applyAlignment="0" applyProtection="0"/>
    <xf numFmtId="0" fontId="84" fillId="0" borderId="0"/>
    <xf numFmtId="330" fontId="29"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226" fontId="86" fillId="0" borderId="0" applyFont="0" applyFill="0" applyBorder="0" applyAlignment="0" applyProtection="0"/>
    <xf numFmtId="227" fontId="86" fillId="0" borderId="0" applyFont="0" applyFill="0" applyBorder="0" applyAlignment="0" applyProtection="0"/>
    <xf numFmtId="226"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31" fontId="86" fillId="0" borderId="0" applyFont="0" applyFill="0" applyBorder="0" applyAlignment="0" applyProtection="0"/>
    <xf numFmtId="41" fontId="86" fillId="0" borderId="0" applyFont="0" applyFill="0" applyBorder="0" applyAlignment="0" applyProtection="0"/>
    <xf numFmtId="225" fontId="86" fillId="0" borderId="0" applyFont="0" applyFill="0" applyBorder="0" applyAlignment="0" applyProtection="0"/>
    <xf numFmtId="226" fontId="86" fillId="0" borderId="0" applyFont="0" applyFill="0" applyBorder="0" applyAlignment="0" applyProtection="0"/>
    <xf numFmtId="225" fontId="86" fillId="0" borderId="0" applyFont="0" applyFill="0" applyBorder="0" applyAlignment="0" applyProtection="0"/>
    <xf numFmtId="226" fontId="86" fillId="0" borderId="0" applyFont="0" applyFill="0" applyBorder="0" applyAlignment="0" applyProtection="0"/>
    <xf numFmtId="173" fontId="86" fillId="0" borderId="0" applyFont="0" applyFill="0" applyBorder="0" applyAlignment="0" applyProtection="0"/>
    <xf numFmtId="41" fontId="86" fillId="0" borderId="0" applyFont="0" applyFill="0" applyBorder="0" applyAlignment="0" applyProtection="0"/>
    <xf numFmtId="227"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42" fontId="86" fillId="0" borderId="0" applyFont="0" applyFill="0" applyBorder="0" applyAlignment="0" applyProtection="0"/>
    <xf numFmtId="227" fontId="86" fillId="0" borderId="0" applyFont="0" applyFill="0" applyBorder="0" applyAlignment="0" applyProtection="0"/>
    <xf numFmtId="221" fontId="86" fillId="0" borderId="0" applyFont="0" applyFill="0" applyBorder="0" applyAlignment="0" applyProtection="0"/>
    <xf numFmtId="227" fontId="86" fillId="0" borderId="0" applyFont="0" applyFill="0" applyBorder="0" applyAlignment="0" applyProtection="0"/>
    <xf numFmtId="184" fontId="69" fillId="0" borderId="0" applyFont="0" applyFill="0" applyBorder="0" applyAlignment="0" applyProtection="0"/>
    <xf numFmtId="173" fontId="86" fillId="0" borderId="0" applyFont="0" applyFill="0" applyBorder="0" applyAlignment="0" applyProtection="0"/>
    <xf numFmtId="184" fontId="86" fillId="0" borderId="0" applyFont="0" applyFill="0" applyBorder="0" applyAlignment="0" applyProtection="0"/>
    <xf numFmtId="209" fontId="69" fillId="0" borderId="0" applyFont="0" applyFill="0" applyBorder="0" applyAlignment="0" applyProtection="0"/>
    <xf numFmtId="0" fontId="84" fillId="0" borderId="0"/>
    <xf numFmtId="230" fontId="86" fillId="0" borderId="0" applyFont="0" applyFill="0" applyBorder="0" applyAlignment="0" applyProtection="0"/>
    <xf numFmtId="330" fontId="29" fillId="0" borderId="0" applyFont="0" applyFill="0" applyBorder="0" applyAlignment="0" applyProtection="0"/>
    <xf numFmtId="209" fontId="86" fillId="0" borderId="0" applyFont="0" applyFill="0" applyBorder="0" applyAlignment="0" applyProtection="0"/>
    <xf numFmtId="226" fontId="86" fillId="0" borderId="0" applyFont="0" applyFill="0" applyBorder="0" applyAlignment="0" applyProtection="0"/>
    <xf numFmtId="173" fontId="86" fillId="0" borderId="0" applyFont="0" applyFill="0" applyBorder="0" applyAlignment="0" applyProtection="0"/>
    <xf numFmtId="167" fontId="229" fillId="0" borderId="0" applyFont="0" applyFill="0" applyBorder="0" applyAlignment="0" applyProtection="0"/>
    <xf numFmtId="209" fontId="86" fillId="0" borderId="0" applyFont="0" applyFill="0" applyBorder="0" applyAlignment="0" applyProtection="0"/>
    <xf numFmtId="190" fontId="67" fillId="0" borderId="0" applyFont="0" applyFill="0" applyBorder="0" applyAlignment="0" applyProtection="0"/>
    <xf numFmtId="209" fontId="86" fillId="0" borderId="0" applyFont="0" applyFill="0" applyBorder="0" applyAlignment="0" applyProtection="0"/>
    <xf numFmtId="190" fontId="67" fillId="0" borderId="0" applyFont="0" applyFill="0" applyBorder="0" applyAlignment="0" applyProtection="0"/>
    <xf numFmtId="227" fontId="86" fillId="0" borderId="0" applyFont="0" applyFill="0" applyBorder="0" applyAlignment="0" applyProtection="0"/>
    <xf numFmtId="190" fontId="67" fillId="0" borderId="0" applyFont="0" applyFill="0" applyBorder="0" applyAlignment="0" applyProtection="0"/>
    <xf numFmtId="227" fontId="86" fillId="0" borderId="0" applyFont="0" applyFill="0" applyBorder="0" applyAlignment="0" applyProtection="0"/>
    <xf numFmtId="167" fontId="229" fillId="0" borderId="0" applyFont="0" applyFill="0" applyBorder="0" applyAlignment="0" applyProtection="0"/>
    <xf numFmtId="209" fontId="86" fillId="0" borderId="0" applyFont="0" applyFill="0" applyBorder="0" applyAlignment="0" applyProtection="0"/>
    <xf numFmtId="167" fontId="229" fillId="0" borderId="0" applyFont="0" applyFill="0" applyBorder="0" applyAlignment="0" applyProtection="0"/>
    <xf numFmtId="227" fontId="86" fillId="0" borderId="0" applyFont="0" applyFill="0" applyBorder="0" applyAlignment="0" applyProtection="0"/>
    <xf numFmtId="209" fontId="86" fillId="0" borderId="0" applyFont="0" applyFill="0" applyBorder="0" applyAlignment="0" applyProtection="0"/>
    <xf numFmtId="190" fontId="86" fillId="0" borderId="0" applyFont="0" applyFill="0" applyBorder="0" applyAlignment="0" applyProtection="0"/>
    <xf numFmtId="231" fontId="86" fillId="0" borderId="0" applyFont="0" applyFill="0" applyBorder="0" applyAlignment="0" applyProtection="0"/>
    <xf numFmtId="226" fontId="86" fillId="0" borderId="0" applyFont="0" applyFill="0" applyBorder="0" applyAlignment="0" applyProtection="0"/>
    <xf numFmtId="210" fontId="86" fillId="0" borderId="0" applyFont="0" applyFill="0" applyBorder="0" applyAlignment="0" applyProtection="0"/>
    <xf numFmtId="226" fontId="86" fillId="0" borderId="0" applyFont="0" applyFill="0" applyBorder="0" applyAlignment="0" applyProtection="0"/>
    <xf numFmtId="184" fontId="69" fillId="0" borderId="0" applyFont="0" applyFill="0" applyBorder="0" applyAlignment="0" applyProtection="0"/>
    <xf numFmtId="226" fontId="86" fillId="0" borderId="0" applyFont="0" applyFill="0" applyBorder="0" applyAlignment="0" applyProtection="0"/>
    <xf numFmtId="227" fontId="86" fillId="0" borderId="0" applyFont="0" applyFill="0" applyBorder="0" applyAlignment="0" applyProtection="0"/>
    <xf numFmtId="41" fontId="86" fillId="0" borderId="0" applyFont="0" applyFill="0" applyBorder="0" applyAlignment="0" applyProtection="0"/>
    <xf numFmtId="210" fontId="86" fillId="0" borderId="0" applyFont="0" applyFill="0" applyBorder="0" applyAlignment="0" applyProtection="0"/>
    <xf numFmtId="190" fontId="86" fillId="0" borderId="0" applyFont="0" applyFill="0" applyBorder="0" applyAlignment="0" applyProtection="0"/>
    <xf numFmtId="210" fontId="86" fillId="0" borderId="0" applyFont="0" applyFill="0" applyBorder="0" applyAlignment="0" applyProtection="0"/>
    <xf numFmtId="190" fontId="86" fillId="0" borderId="0" applyFont="0" applyFill="0" applyBorder="0" applyAlignment="0" applyProtection="0"/>
    <xf numFmtId="184" fontId="86" fillId="0" borderId="0" applyFont="0" applyFill="0" applyBorder="0" applyAlignment="0" applyProtection="0"/>
    <xf numFmtId="190" fontId="86" fillId="0" borderId="0" applyFont="0" applyFill="0" applyBorder="0" applyAlignment="0" applyProtection="0"/>
    <xf numFmtId="222" fontId="224" fillId="0" borderId="0" applyFont="0" applyFill="0" applyBorder="0" applyAlignment="0" applyProtection="0"/>
    <xf numFmtId="190" fontId="86" fillId="0" borderId="0" applyFont="0" applyFill="0" applyBorder="0" applyAlignment="0" applyProtection="0"/>
    <xf numFmtId="223" fontId="86" fillId="0" borderId="0" applyFont="0" applyFill="0" applyBorder="0" applyAlignment="0" applyProtection="0"/>
    <xf numFmtId="41" fontId="86" fillId="0" borderId="0" applyFont="0" applyFill="0" applyBorder="0" applyAlignment="0" applyProtection="0"/>
    <xf numFmtId="184" fontId="86" fillId="0" borderId="0" applyFont="0" applyFill="0" applyBorder="0" applyAlignment="0" applyProtection="0"/>
    <xf numFmtId="226" fontId="86" fillId="0" borderId="0" applyFont="0" applyFill="0" applyBorder="0" applyAlignment="0" applyProtection="0"/>
    <xf numFmtId="224" fontId="86" fillId="0" borderId="0" applyFont="0" applyFill="0" applyBorder="0" applyAlignment="0" applyProtection="0"/>
    <xf numFmtId="226" fontId="86" fillId="0" borderId="0" applyFont="0" applyFill="0" applyBorder="0" applyAlignment="0" applyProtection="0"/>
    <xf numFmtId="210" fontId="86" fillId="0" borderId="0" applyFont="0" applyFill="0" applyBorder="0" applyAlignment="0" applyProtection="0"/>
    <xf numFmtId="209" fontId="86" fillId="0" borderId="0" applyFont="0" applyFill="0" applyBorder="0" applyAlignment="0" applyProtection="0"/>
    <xf numFmtId="184" fontId="69" fillId="0" borderId="0" applyFont="0" applyFill="0" applyBorder="0" applyAlignment="0" applyProtection="0"/>
    <xf numFmtId="190" fontId="86" fillId="0" borderId="0" applyFont="0" applyFill="0" applyBorder="0" applyAlignment="0" applyProtection="0"/>
    <xf numFmtId="210" fontId="86" fillId="0" borderId="0" applyFont="0" applyFill="0" applyBorder="0" applyAlignment="0" applyProtection="0"/>
    <xf numFmtId="209" fontId="86" fillId="0" borderId="0" applyFont="0" applyFill="0" applyBorder="0" applyAlignment="0" applyProtection="0"/>
    <xf numFmtId="190" fontId="86" fillId="0" borderId="0" applyFont="0" applyFill="0" applyBorder="0" applyAlignment="0" applyProtection="0"/>
    <xf numFmtId="210" fontId="86" fillId="0" borderId="0" applyFont="0" applyFill="0" applyBorder="0" applyAlignment="0" applyProtection="0"/>
    <xf numFmtId="209" fontId="86" fillId="0" borderId="0" applyFont="0" applyFill="0" applyBorder="0" applyAlignment="0" applyProtection="0"/>
    <xf numFmtId="184" fontId="86" fillId="0" borderId="0" applyFont="0" applyFill="0" applyBorder="0" applyAlignment="0" applyProtection="0"/>
    <xf numFmtId="209" fontId="86" fillId="0" borderId="0" applyFont="0" applyFill="0" applyBorder="0" applyAlignment="0" applyProtection="0"/>
    <xf numFmtId="222" fontId="224" fillId="0" borderId="0" applyFont="0" applyFill="0" applyBorder="0" applyAlignment="0" applyProtection="0"/>
    <xf numFmtId="226" fontId="86" fillId="0" borderId="0" applyFont="0" applyFill="0" applyBorder="0" applyAlignment="0" applyProtection="0"/>
    <xf numFmtId="223" fontId="86" fillId="0" borderId="0" applyFont="0" applyFill="0" applyBorder="0" applyAlignment="0" applyProtection="0"/>
    <xf numFmtId="41" fontId="86" fillId="0" borderId="0" applyFont="0" applyFill="0" applyBorder="0" applyAlignment="0" applyProtection="0"/>
    <xf numFmtId="184" fontId="86" fillId="0" borderId="0" applyFont="0" applyFill="0" applyBorder="0" applyAlignment="0" applyProtection="0"/>
    <xf numFmtId="190" fontId="86" fillId="0" borderId="0" applyFont="0" applyFill="0" applyBorder="0" applyAlignment="0" applyProtection="0"/>
    <xf numFmtId="224"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226" fontId="86" fillId="0" borderId="0" applyFont="0" applyFill="0" applyBorder="0" applyAlignment="0" applyProtection="0"/>
    <xf numFmtId="227"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31" fontId="86" fillId="0" borderId="0" applyFont="0" applyFill="0" applyBorder="0" applyAlignment="0" applyProtection="0"/>
    <xf numFmtId="232" fontId="86" fillId="0" borderId="0" applyFont="0" applyFill="0" applyBorder="0" applyAlignment="0" applyProtection="0"/>
    <xf numFmtId="41" fontId="86" fillId="0" borderId="0" applyFont="0" applyFill="0" applyBorder="0" applyAlignment="0" applyProtection="0"/>
    <xf numFmtId="42" fontId="86" fillId="0" borderId="0" applyFont="0" applyFill="0" applyBorder="0" applyAlignment="0" applyProtection="0"/>
    <xf numFmtId="42" fontId="86" fillId="0" borderId="0" applyFont="0" applyFill="0" applyBorder="0" applyAlignment="0" applyProtection="0"/>
    <xf numFmtId="184" fontId="86" fillId="0" borderId="0" applyFont="0" applyFill="0" applyBorder="0" applyAlignment="0" applyProtection="0"/>
    <xf numFmtId="221" fontId="86" fillId="0" borderId="0" applyFont="0" applyFill="0" applyBorder="0" applyAlignment="0" applyProtection="0"/>
    <xf numFmtId="184" fontId="69" fillId="0" borderId="0" applyFont="0" applyFill="0" applyBorder="0" applyAlignment="0" applyProtection="0"/>
    <xf numFmtId="226" fontId="86" fillId="0" borderId="0" applyFont="0" applyFill="0" applyBorder="0" applyAlignment="0" applyProtection="0"/>
    <xf numFmtId="227" fontId="86" fillId="0" borderId="0" applyFont="0" applyFill="0" applyBorder="0" applyAlignment="0" applyProtection="0"/>
    <xf numFmtId="221" fontId="86" fillId="0" borderId="0" applyFont="0" applyFill="0" applyBorder="0" applyAlignment="0" applyProtection="0"/>
    <xf numFmtId="184" fontId="86" fillId="0" borderId="0" applyFont="0" applyFill="0" applyBorder="0" applyAlignment="0" applyProtection="0"/>
    <xf numFmtId="224" fontId="86" fillId="0" borderId="0" applyFont="0" applyFill="0" applyBorder="0" applyAlignment="0" applyProtection="0"/>
    <xf numFmtId="0" fontId="84" fillId="0" borderId="0"/>
    <xf numFmtId="330" fontId="29" fillId="0" borderId="0" applyFont="0" applyFill="0" applyBorder="0" applyAlignment="0" applyProtection="0"/>
    <xf numFmtId="226" fontId="86" fillId="0" borderId="0" applyFont="0" applyFill="0" applyBorder="0" applyAlignment="0" applyProtection="0"/>
    <xf numFmtId="190" fontId="86" fillId="0" borderId="0" applyFont="0" applyFill="0" applyBorder="0" applyAlignment="0" applyProtection="0"/>
    <xf numFmtId="226" fontId="86" fillId="0" borderId="0" applyFont="0" applyFill="0" applyBorder="0" applyAlignment="0" applyProtection="0"/>
    <xf numFmtId="209"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173"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09" fontId="86" fillId="0" borderId="0" applyFont="0" applyFill="0" applyBorder="0" applyAlignment="0" applyProtection="0"/>
    <xf numFmtId="229" fontId="86" fillId="0" borderId="0" applyFont="0" applyFill="0" applyBorder="0" applyAlignment="0" applyProtection="0"/>
    <xf numFmtId="226"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209" fontId="69" fillId="0" borderId="0" applyFont="0" applyFill="0" applyBorder="0" applyAlignment="0" applyProtection="0"/>
    <xf numFmtId="190" fontId="86" fillId="0" borderId="0" applyFont="0" applyFill="0" applyBorder="0" applyAlignment="0" applyProtection="0"/>
    <xf numFmtId="209" fontId="86" fillId="0" borderId="0" applyFont="0" applyFill="0" applyBorder="0" applyAlignment="0" applyProtection="0"/>
    <xf numFmtId="190" fontId="86" fillId="0" borderId="0" applyFont="0" applyFill="0" applyBorder="0" applyAlignment="0" applyProtection="0"/>
    <xf numFmtId="41" fontId="86" fillId="0" borderId="0" applyFont="0" applyFill="0" applyBorder="0" applyAlignment="0" applyProtection="0"/>
    <xf numFmtId="190" fontId="86" fillId="0" borderId="0" applyFont="0" applyFill="0" applyBorder="0" applyAlignment="0" applyProtection="0"/>
    <xf numFmtId="229" fontId="86" fillId="0" borderId="0" applyFont="0" applyFill="0" applyBorder="0" applyAlignment="0" applyProtection="0"/>
    <xf numFmtId="226" fontId="86" fillId="0" borderId="0" applyFont="0" applyFill="0" applyBorder="0" applyAlignment="0" applyProtection="0"/>
    <xf numFmtId="229" fontId="86" fillId="0" borderId="0" applyFont="0" applyFill="0" applyBorder="0" applyAlignment="0" applyProtection="0"/>
    <xf numFmtId="209" fontId="86" fillId="0" borderId="0" applyFont="0" applyFill="0" applyBorder="0" applyAlignment="0" applyProtection="0"/>
    <xf numFmtId="41" fontId="86" fillId="0" borderId="0" applyFont="0" applyFill="0" applyBorder="0" applyAlignment="0" applyProtection="0"/>
    <xf numFmtId="14" fontId="331" fillId="0" borderId="0"/>
    <xf numFmtId="0" fontId="332" fillId="0" borderId="0"/>
    <xf numFmtId="0" fontId="79" fillId="0" borderId="0"/>
    <xf numFmtId="40" fontId="333" fillId="0" borderId="0" applyBorder="0">
      <alignment horizontal="right"/>
    </xf>
    <xf numFmtId="0" fontId="334" fillId="0" borderId="0"/>
    <xf numFmtId="183" fontId="29" fillId="0" borderId="36">
      <alignment horizontal="right" vertical="center"/>
    </xf>
    <xf numFmtId="312" fontId="335" fillId="0" borderId="36">
      <alignment horizontal="right" vertical="center"/>
    </xf>
    <xf numFmtId="312" fontId="335" fillId="0" borderId="36">
      <alignment horizontal="right" vertical="center"/>
    </xf>
    <xf numFmtId="183" fontId="29"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12" fontId="335" fillId="0" borderId="36">
      <alignment horizontal="right" vertical="center"/>
    </xf>
    <xf numFmtId="312" fontId="335" fillId="0" borderId="36">
      <alignment horizontal="right" vertical="center"/>
    </xf>
    <xf numFmtId="312" fontId="335" fillId="0" borderId="36">
      <alignment horizontal="right" vertical="center"/>
    </xf>
    <xf numFmtId="312" fontId="335" fillId="0" borderId="36">
      <alignment horizontal="right" vertical="center"/>
    </xf>
    <xf numFmtId="312" fontId="335" fillId="0" borderId="36">
      <alignment horizontal="right" vertical="center"/>
    </xf>
    <xf numFmtId="312" fontId="335" fillId="0" borderId="36">
      <alignment horizontal="right" vertical="center"/>
    </xf>
    <xf numFmtId="312" fontId="335" fillId="0" borderId="36">
      <alignment horizontal="right" vertical="center"/>
    </xf>
    <xf numFmtId="312" fontId="335" fillId="0" borderId="36">
      <alignment horizontal="right" vertical="center"/>
    </xf>
    <xf numFmtId="312" fontId="335" fillId="0" borderId="36">
      <alignment horizontal="right" vertical="center"/>
    </xf>
    <xf numFmtId="312" fontId="335"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332" fontId="86" fillId="0" borderId="36">
      <alignment horizontal="right" vertical="center"/>
    </xf>
    <xf numFmtId="332" fontId="86"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333" fontId="229" fillId="0" borderId="36">
      <alignment horizontal="right" vertical="center"/>
    </xf>
    <xf numFmtId="333" fontId="229" fillId="0" borderId="36">
      <alignment horizontal="right" vertical="center"/>
    </xf>
    <xf numFmtId="334" fontId="82" fillId="0" borderId="36">
      <alignment horizontal="right" vertical="center"/>
    </xf>
    <xf numFmtId="335" fontId="64" fillId="0" borderId="36">
      <alignment horizontal="right" vertical="center"/>
    </xf>
    <xf numFmtId="335" fontId="64" fillId="0" borderId="36">
      <alignment horizontal="right" vertical="center"/>
    </xf>
    <xf numFmtId="332" fontId="86" fillId="0" borderId="36">
      <alignment horizontal="right" vertical="center"/>
    </xf>
    <xf numFmtId="332" fontId="86"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5" fontId="26" fillId="0" borderId="36">
      <alignment horizontal="right" vertical="center"/>
    </xf>
    <xf numFmtId="335" fontId="26" fillId="0" borderId="36">
      <alignment horizontal="right" vertical="center"/>
    </xf>
    <xf numFmtId="335" fontId="64" fillId="0" borderId="36">
      <alignment horizontal="right" vertical="center"/>
    </xf>
    <xf numFmtId="335" fontId="64" fillId="0" borderId="36">
      <alignment horizontal="right" vertical="center"/>
    </xf>
    <xf numFmtId="335" fontId="64" fillId="0" borderId="36">
      <alignment horizontal="right" vertical="center"/>
    </xf>
    <xf numFmtId="335" fontId="64"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5" fontId="26" fillId="0" borderId="36">
      <alignment horizontal="right" vertical="center"/>
    </xf>
    <xf numFmtId="335" fontId="26" fillId="0" borderId="36">
      <alignment horizontal="right" vertical="center"/>
    </xf>
    <xf numFmtId="332" fontId="86" fillId="0" borderId="36">
      <alignment horizontal="right" vertical="center"/>
    </xf>
    <xf numFmtId="332" fontId="86" fillId="0" borderId="36">
      <alignment horizontal="right" vertical="center"/>
    </xf>
    <xf numFmtId="335" fontId="64" fillId="0" borderId="36">
      <alignment horizontal="right" vertical="center"/>
    </xf>
    <xf numFmtId="335" fontId="64" fillId="0" borderId="36">
      <alignment horizontal="right" vertical="center"/>
    </xf>
    <xf numFmtId="335" fontId="64" fillId="0" borderId="36">
      <alignment horizontal="right" vertical="center"/>
    </xf>
    <xf numFmtId="335" fontId="64" fillId="0" borderId="36">
      <alignment horizontal="right" vertical="center"/>
    </xf>
    <xf numFmtId="335" fontId="64" fillId="0" borderId="36">
      <alignment horizontal="right" vertical="center"/>
    </xf>
    <xf numFmtId="335" fontId="64"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2" fontId="86" fillId="0" borderId="36">
      <alignment horizontal="right" vertical="center"/>
    </xf>
    <xf numFmtId="332" fontId="86" fillId="0" borderId="36">
      <alignment horizontal="right" vertical="center"/>
    </xf>
    <xf numFmtId="332" fontId="86" fillId="0" borderId="36">
      <alignment horizontal="right" vertical="center"/>
    </xf>
    <xf numFmtId="332" fontId="86"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2" fontId="86" fillId="0" borderId="36">
      <alignment horizontal="right" vertical="center"/>
    </xf>
    <xf numFmtId="332" fontId="86" fillId="0" borderId="36">
      <alignment horizontal="right" vertical="center"/>
    </xf>
    <xf numFmtId="272" fontId="26" fillId="0" borderId="36">
      <alignment horizontal="right" vertical="center"/>
    </xf>
    <xf numFmtId="272" fontId="26"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333" fontId="229" fillId="0" borderId="36">
      <alignment horizontal="right" vertical="center"/>
    </xf>
    <xf numFmtId="333" fontId="229" fillId="0" borderId="36">
      <alignment horizontal="right" vertical="center"/>
    </xf>
    <xf numFmtId="333" fontId="229" fillId="0" borderId="36">
      <alignment horizontal="right" vertical="center"/>
    </xf>
    <xf numFmtId="333" fontId="229" fillId="0" borderId="36">
      <alignment horizontal="right" vertical="center"/>
    </xf>
    <xf numFmtId="272" fontId="26" fillId="0" borderId="36">
      <alignment horizontal="right" vertical="center"/>
    </xf>
    <xf numFmtId="272" fontId="26"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333" fontId="229" fillId="0" borderId="36">
      <alignment horizontal="right" vertical="center"/>
    </xf>
    <xf numFmtId="333" fontId="229" fillId="0" borderId="36">
      <alignment horizontal="right" vertical="center"/>
    </xf>
    <xf numFmtId="333" fontId="229" fillId="0" borderId="36">
      <alignment horizontal="right" vertical="center"/>
    </xf>
    <xf numFmtId="333" fontId="229" fillId="0" borderId="36">
      <alignment horizontal="right" vertical="center"/>
    </xf>
    <xf numFmtId="333" fontId="229" fillId="0" borderId="36">
      <alignment horizontal="right" vertical="center"/>
    </xf>
    <xf numFmtId="333" fontId="229" fillId="0" borderId="36">
      <alignment horizontal="right" vertical="center"/>
    </xf>
    <xf numFmtId="333" fontId="229" fillId="0" borderId="36">
      <alignment horizontal="right" vertical="center"/>
    </xf>
    <xf numFmtId="333" fontId="229" fillId="0" borderId="36">
      <alignment horizontal="right" vertical="center"/>
    </xf>
    <xf numFmtId="332" fontId="86" fillId="0" borderId="36">
      <alignment horizontal="right" vertical="center"/>
    </xf>
    <xf numFmtId="332" fontId="86"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26" fillId="0" borderId="36">
      <alignment horizontal="right" vertical="center"/>
    </xf>
    <xf numFmtId="272" fontId="26" fillId="0" borderId="36">
      <alignment horizontal="right" vertical="center"/>
    </xf>
    <xf numFmtId="272" fontId="64" fillId="0" borderId="36">
      <alignment horizontal="right" vertical="center"/>
    </xf>
    <xf numFmtId="272" fontId="64" fillId="0" borderId="36">
      <alignment horizontal="right" vertical="center"/>
    </xf>
    <xf numFmtId="332" fontId="86" fillId="0" borderId="36">
      <alignment horizontal="right" vertical="center"/>
    </xf>
    <xf numFmtId="332" fontId="86" fillId="0" borderId="36">
      <alignment horizontal="right" vertical="center"/>
    </xf>
    <xf numFmtId="332" fontId="86" fillId="0" borderId="36">
      <alignment horizontal="right" vertical="center"/>
    </xf>
    <xf numFmtId="332" fontId="86" fillId="0" borderId="36">
      <alignment horizontal="right" vertical="center"/>
    </xf>
    <xf numFmtId="332" fontId="86" fillId="0" borderId="36">
      <alignment horizontal="right" vertical="center"/>
    </xf>
    <xf numFmtId="332" fontId="86"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334" fontId="82"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332" fontId="86" fillId="0" borderId="36">
      <alignment horizontal="right" vertical="center"/>
    </xf>
    <xf numFmtId="332" fontId="86" fillId="0" borderId="36">
      <alignment horizontal="right" vertical="center"/>
    </xf>
    <xf numFmtId="337" fontId="336" fillId="53" borderId="79" applyFont="0" applyFill="0" applyBorder="0"/>
    <xf numFmtId="337" fontId="336" fillId="53" borderId="79" applyFont="0" applyFill="0" applyBorder="0"/>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332" fontId="86" fillId="0" borderId="36">
      <alignment horizontal="right" vertical="center"/>
    </xf>
    <xf numFmtId="332" fontId="86"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337" fontId="336" fillId="53" borderId="79" applyFont="0" applyFill="0" applyBorder="0"/>
    <xf numFmtId="337" fontId="336" fillId="53" borderId="79" applyFont="0" applyFill="0" applyBorder="0"/>
    <xf numFmtId="335" fontId="64" fillId="0" borderId="36">
      <alignment horizontal="right" vertical="center"/>
    </xf>
    <xf numFmtId="335"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26" fillId="0" borderId="36">
      <alignment horizontal="right" vertical="center"/>
    </xf>
    <xf numFmtId="272" fontId="26"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26" fillId="0" borderId="36">
      <alignment horizontal="right" vertical="center"/>
    </xf>
    <xf numFmtId="272" fontId="26" fillId="0" borderId="36">
      <alignment horizontal="right" vertical="center"/>
    </xf>
    <xf numFmtId="272" fontId="64" fillId="0" borderId="36">
      <alignment horizontal="right" vertical="center"/>
    </xf>
    <xf numFmtId="272" fontId="64" fillId="0" borderId="36">
      <alignment horizontal="right" vertical="center"/>
    </xf>
    <xf numFmtId="332" fontId="86" fillId="0" borderId="36">
      <alignment horizontal="right" vertical="center"/>
    </xf>
    <xf numFmtId="332" fontId="86"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64" fillId="0" borderId="36">
      <alignment horizontal="right" vertical="center"/>
    </xf>
    <xf numFmtId="272" fontId="26" fillId="0" borderId="36">
      <alignment horizontal="right" vertical="center"/>
    </xf>
    <xf numFmtId="272" fontId="26" fillId="0" borderId="36">
      <alignment horizontal="right" vertical="center"/>
    </xf>
    <xf numFmtId="272" fontId="64" fillId="0" borderId="36">
      <alignment horizontal="right" vertical="center"/>
    </xf>
    <xf numFmtId="272" fontId="64"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6" fontId="67" fillId="0" borderId="36">
      <alignment horizontal="right" vertical="center"/>
    </xf>
    <xf numFmtId="335" fontId="26" fillId="0" borderId="36">
      <alignment horizontal="right" vertical="center"/>
    </xf>
    <xf numFmtId="335" fontId="26"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261" fontId="67"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331" fontId="82"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5" fontId="67" fillId="0" borderId="36">
      <alignment horizontal="right" vertical="center"/>
    </xf>
    <xf numFmtId="185" fontId="67" fillId="0" borderId="36">
      <alignment horizontal="right" vertical="center"/>
    </xf>
    <xf numFmtId="0" fontId="179" fillId="0" borderId="0"/>
    <xf numFmtId="0" fontId="179" fillId="0" borderId="0"/>
    <xf numFmtId="185" fontId="67" fillId="0" borderId="36">
      <alignment horizontal="right" vertical="center"/>
    </xf>
    <xf numFmtId="185" fontId="67" fillId="0" borderId="36">
      <alignment horizontal="right" vertical="center"/>
    </xf>
    <xf numFmtId="0" fontId="179" fillId="0" borderId="0"/>
    <xf numFmtId="0" fontId="179" fillId="0" borderId="0"/>
    <xf numFmtId="185" fontId="67" fillId="0" borderId="36">
      <alignment horizontal="right" vertical="center"/>
    </xf>
    <xf numFmtId="185" fontId="67"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2" fontId="86" fillId="0" borderId="36">
      <alignment horizontal="right" vertical="center"/>
    </xf>
    <xf numFmtId="332" fontId="86"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1" fontId="82" fillId="0" borderId="36">
      <alignment horizontal="right" vertical="center"/>
    </xf>
    <xf numFmtId="331" fontId="82" fillId="0" borderId="36">
      <alignment horizontal="right" vertical="center"/>
    </xf>
    <xf numFmtId="0" fontId="179" fillId="0" borderId="0"/>
    <xf numFmtId="0" fontId="179" fillId="0" borderId="0"/>
    <xf numFmtId="337" fontId="336" fillId="53" borderId="79" applyFont="0" applyFill="0" applyBorder="0"/>
    <xf numFmtId="337" fontId="336" fillId="53" borderId="79" applyFont="0" applyFill="0" applyBorder="0"/>
    <xf numFmtId="0" fontId="179" fillId="0" borderId="0"/>
    <xf numFmtId="0" fontId="179" fillId="0" borderId="0"/>
    <xf numFmtId="314" fontId="67" fillId="0" borderId="36">
      <alignment horizontal="right" vertical="center"/>
    </xf>
    <xf numFmtId="314" fontId="67" fillId="0" borderId="36">
      <alignment horizontal="right" vertical="center"/>
    </xf>
    <xf numFmtId="0" fontId="179" fillId="0" borderId="0"/>
    <xf numFmtId="0" fontId="179" fillId="0" borderId="0"/>
    <xf numFmtId="314" fontId="67" fillId="0" borderId="36">
      <alignment horizontal="right" vertical="center"/>
    </xf>
    <xf numFmtId="314" fontId="67" fillId="0" borderId="36">
      <alignment horizontal="right" vertical="center"/>
    </xf>
    <xf numFmtId="0" fontId="179" fillId="0" borderId="0"/>
    <xf numFmtId="0" fontId="179" fillId="0" borderId="0"/>
    <xf numFmtId="314" fontId="67" fillId="0" borderId="36">
      <alignment horizontal="right" vertical="center"/>
    </xf>
    <xf numFmtId="314" fontId="67" fillId="0" borderId="36">
      <alignment horizontal="right" vertical="center"/>
    </xf>
    <xf numFmtId="0" fontId="179" fillId="0" borderId="0"/>
    <xf numFmtId="183" fontId="29" fillId="0" borderId="36">
      <alignment horizontal="right" vertical="center"/>
    </xf>
    <xf numFmtId="0" fontId="179" fillId="0" borderId="0"/>
    <xf numFmtId="0" fontId="179" fillId="0" borderId="0"/>
    <xf numFmtId="312" fontId="335" fillId="0" borderId="36">
      <alignment horizontal="right" vertical="center"/>
    </xf>
    <xf numFmtId="312" fontId="335" fillId="0" borderId="36">
      <alignment horizontal="right" vertical="center"/>
    </xf>
    <xf numFmtId="0" fontId="179" fillId="0" borderId="0"/>
    <xf numFmtId="0" fontId="179" fillId="0" borderId="0"/>
    <xf numFmtId="312" fontId="335" fillId="0" borderId="36">
      <alignment horizontal="right" vertical="center"/>
    </xf>
    <xf numFmtId="312" fontId="335" fillId="0" borderId="36">
      <alignment horizontal="right" vertical="center"/>
    </xf>
    <xf numFmtId="0" fontId="179" fillId="0" borderId="0"/>
    <xf numFmtId="0" fontId="179" fillId="0" borderId="0"/>
    <xf numFmtId="312" fontId="335" fillId="0" borderId="36">
      <alignment horizontal="right" vertical="center"/>
    </xf>
    <xf numFmtId="312" fontId="335" fillId="0" borderId="36">
      <alignment horizontal="right" vertical="center"/>
    </xf>
    <xf numFmtId="0" fontId="179" fillId="0" borderId="0"/>
    <xf numFmtId="0" fontId="179" fillId="0" borderId="0"/>
    <xf numFmtId="312" fontId="335" fillId="0" borderId="36">
      <alignment horizontal="right" vertical="center"/>
    </xf>
    <xf numFmtId="312" fontId="335" fillId="0" borderId="36">
      <alignment horizontal="right" vertical="center"/>
    </xf>
    <xf numFmtId="0" fontId="179" fillId="0" borderId="0"/>
    <xf numFmtId="0" fontId="179" fillId="0" borderId="0"/>
    <xf numFmtId="312" fontId="335" fillId="0" borderId="36">
      <alignment horizontal="right" vertical="center"/>
    </xf>
    <xf numFmtId="312" fontId="335" fillId="0" borderId="36">
      <alignment horizontal="right" vertical="center"/>
    </xf>
    <xf numFmtId="0" fontId="179" fillId="0" borderId="0"/>
    <xf numFmtId="0" fontId="179" fillId="0" borderId="0"/>
    <xf numFmtId="312" fontId="335" fillId="0" borderId="36">
      <alignment horizontal="right" vertical="center"/>
    </xf>
    <xf numFmtId="312" fontId="335"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261" fontId="67" fillId="0" borderId="36">
      <alignment horizontal="right" vertical="center"/>
    </xf>
    <xf numFmtId="261" fontId="67" fillId="0" borderId="36">
      <alignment horizontal="right" vertical="center"/>
    </xf>
    <xf numFmtId="0" fontId="179" fillId="0" borderId="0"/>
    <xf numFmtId="0" fontId="179" fillId="0" borderId="0"/>
    <xf numFmtId="261" fontId="67" fillId="0" borderId="36">
      <alignment horizontal="right" vertical="center"/>
    </xf>
    <xf numFmtId="261" fontId="67" fillId="0" borderId="36">
      <alignment horizontal="right" vertical="center"/>
    </xf>
    <xf numFmtId="0" fontId="179" fillId="0" borderId="0"/>
    <xf numFmtId="0" fontId="179" fillId="0" borderId="0"/>
    <xf numFmtId="261" fontId="67" fillId="0" borderId="36">
      <alignment horizontal="right" vertical="center"/>
    </xf>
    <xf numFmtId="261" fontId="67" fillId="0" borderId="36">
      <alignment horizontal="right" vertical="center"/>
    </xf>
    <xf numFmtId="0" fontId="179" fillId="0" borderId="0"/>
    <xf numFmtId="0" fontId="179" fillId="0" borderId="0"/>
    <xf numFmtId="261" fontId="67" fillId="0" borderId="36">
      <alignment horizontal="right" vertical="center"/>
    </xf>
    <xf numFmtId="261" fontId="67" fillId="0" borderId="36">
      <alignment horizontal="right" vertical="center"/>
    </xf>
    <xf numFmtId="0" fontId="179" fillId="0" borderId="0"/>
    <xf numFmtId="0" fontId="179" fillId="0" borderId="0"/>
    <xf numFmtId="261" fontId="67" fillId="0" borderId="36">
      <alignment horizontal="right" vertical="center"/>
    </xf>
    <xf numFmtId="261" fontId="67" fillId="0" borderId="36">
      <alignment horizontal="right" vertical="center"/>
    </xf>
    <xf numFmtId="0" fontId="179" fillId="0" borderId="0"/>
    <xf numFmtId="0" fontId="179" fillId="0" borderId="0"/>
    <xf numFmtId="261" fontId="67" fillId="0" borderId="36">
      <alignment horizontal="right" vertical="center"/>
    </xf>
    <xf numFmtId="261" fontId="67" fillId="0" borderId="36">
      <alignment horizontal="right" vertical="center"/>
    </xf>
    <xf numFmtId="0" fontId="179" fillId="0" borderId="0"/>
    <xf numFmtId="0" fontId="179" fillId="0" borderId="0"/>
    <xf numFmtId="337" fontId="336" fillId="53" borderId="79" applyFont="0" applyFill="0" applyBorder="0"/>
    <xf numFmtId="337" fontId="336" fillId="53" borderId="79" applyFont="0" applyFill="0" applyBorder="0"/>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334" fontId="82"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338" fontId="337" fillId="0" borderId="36">
      <alignment horizontal="right" vertical="center"/>
    </xf>
    <xf numFmtId="338" fontId="337" fillId="0" borderId="36">
      <alignment horizontal="right" vertical="center"/>
    </xf>
    <xf numFmtId="0" fontId="179" fillId="0" borderId="0"/>
    <xf numFmtId="0" fontId="179" fillId="0" borderId="0"/>
    <xf numFmtId="332" fontId="86" fillId="0" borderId="36">
      <alignment horizontal="right" vertical="center"/>
    </xf>
    <xf numFmtId="332" fontId="86" fillId="0" borderId="36">
      <alignment horizontal="right" vertical="center"/>
    </xf>
    <xf numFmtId="0" fontId="179" fillId="0" borderId="0"/>
    <xf numFmtId="0" fontId="179" fillId="0" borderId="0"/>
    <xf numFmtId="183" fontId="29" fillId="0" borderId="36">
      <alignment horizontal="right" vertical="center"/>
    </xf>
    <xf numFmtId="183" fontId="29" fillId="0" borderId="36">
      <alignment horizontal="right" vertical="center"/>
    </xf>
    <xf numFmtId="0" fontId="179" fillId="0" borderId="0"/>
    <xf numFmtId="49" fontId="222" fillId="0" borderId="0" applyFill="0" applyBorder="0" applyAlignment="0"/>
    <xf numFmtId="0" fontId="179" fillId="0" borderId="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64"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339" fontId="26" fillId="0" borderId="0" applyFill="0" applyBorder="0" applyAlignment="0"/>
    <xf numFmtId="0" fontId="179" fillId="0" borderId="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185" fontId="64"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0" fontId="179" fillId="0" borderId="0"/>
    <xf numFmtId="340" fontId="26" fillId="0" borderId="0" applyFill="0" applyBorder="0" applyAlignment="0"/>
    <xf numFmtId="184" fontId="29" fillId="0" borderId="36">
      <alignment horizontal="center"/>
    </xf>
    <xf numFmtId="184" fontId="29" fillId="0" borderId="36">
      <alignment horizontal="center"/>
    </xf>
    <xf numFmtId="0" fontId="179" fillId="0" borderId="0"/>
    <xf numFmtId="0" fontId="338" fillId="0" borderId="80" applyProtection="0"/>
    <xf numFmtId="0" fontId="179" fillId="0" borderId="0"/>
    <xf numFmtId="0" fontId="29" fillId="0" borderId="0" applyProtection="0"/>
    <xf numFmtId="0" fontId="179" fillId="0" borderId="0"/>
    <xf numFmtId="0" fontId="26" fillId="0" borderId="0" applyProtection="0"/>
    <xf numFmtId="0" fontId="179" fillId="0" borderId="0"/>
    <xf numFmtId="0" fontId="251" fillId="0" borderId="0" applyProtection="0"/>
    <xf numFmtId="0" fontId="179" fillId="0" borderId="0"/>
    <xf numFmtId="0" fontId="338" fillId="0" borderId="80" applyProtection="0"/>
    <xf numFmtId="0" fontId="179" fillId="0" borderId="0"/>
    <xf numFmtId="0" fontId="29" fillId="0" borderId="0" applyProtection="0"/>
    <xf numFmtId="0" fontId="179" fillId="0" borderId="0"/>
    <xf numFmtId="0" fontId="26" fillId="0" borderId="0" applyProtection="0"/>
    <xf numFmtId="0" fontId="179" fillId="0" borderId="0"/>
    <xf numFmtId="0" fontId="251" fillId="0" borderId="0" applyProtection="0"/>
    <xf numFmtId="0" fontId="179" fillId="0" borderId="0"/>
    <xf numFmtId="341" fontId="339" fillId="0" borderId="0" applyNumberFormat="0" applyFont="0" applyFill="0" applyBorder="0" applyAlignment="0">
      <alignment horizontal="centerContinuous"/>
    </xf>
    <xf numFmtId="0" fontId="179" fillId="0" borderId="0"/>
    <xf numFmtId="0" fontId="217" fillId="0" borderId="0">
      <alignment vertical="center" wrapText="1"/>
      <protection locked="0"/>
    </xf>
    <xf numFmtId="0" fontId="179" fillId="0" borderId="0"/>
    <xf numFmtId="0" fontId="338" fillId="0" borderId="81"/>
    <xf numFmtId="0" fontId="179" fillId="0" borderId="0"/>
    <xf numFmtId="0" fontId="338" fillId="0" borderId="81"/>
    <xf numFmtId="0" fontId="179" fillId="0" borderId="0"/>
    <xf numFmtId="0" fontId="29" fillId="0" borderId="0" applyNumberFormat="0" applyFill="0" applyBorder="0" applyAlignment="0" applyProtection="0"/>
    <xf numFmtId="0" fontId="179" fillId="0" borderId="0"/>
    <xf numFmtId="0" fontId="29" fillId="0" borderId="0" applyNumberFormat="0" applyFill="0" applyBorder="0" applyAlignment="0" applyProtection="0"/>
    <xf numFmtId="0" fontId="179" fillId="0" borderId="0"/>
    <xf numFmtId="0" fontId="64" fillId="0" borderId="0" applyNumberFormat="0" applyFill="0" applyBorder="0" applyAlignment="0" applyProtection="0"/>
    <xf numFmtId="0" fontId="179" fillId="0" borderId="0"/>
    <xf numFmtId="0" fontId="251" fillId="0" borderId="0" applyNumberFormat="0" applyFill="0" applyBorder="0" applyAlignment="0" applyProtection="0"/>
    <xf numFmtId="0" fontId="179" fillId="0" borderId="0"/>
    <xf numFmtId="0" fontId="251" fillId="0" borderId="0" applyNumberFormat="0" applyFill="0" applyBorder="0" applyAlignment="0" applyProtection="0"/>
    <xf numFmtId="0" fontId="179" fillId="0" borderId="0"/>
    <xf numFmtId="0" fontId="229" fillId="0" borderId="7" applyNumberFormat="0" applyBorder="0" applyAlignment="0"/>
    <xf numFmtId="0" fontId="179" fillId="0" borderId="0"/>
    <xf numFmtId="0" fontId="179" fillId="0" borderId="0"/>
    <xf numFmtId="0" fontId="340" fillId="0" borderId="6" applyNumberFormat="0" applyBorder="0" applyAlignment="0">
      <alignment horizontal="center"/>
    </xf>
    <xf numFmtId="0" fontId="340" fillId="0" borderId="6" applyNumberFormat="0" applyBorder="0" applyAlignment="0">
      <alignment horizontal="center"/>
    </xf>
    <xf numFmtId="0" fontId="179" fillId="0" borderId="0"/>
    <xf numFmtId="3" fontId="341" fillId="0" borderId="8" applyNumberFormat="0" applyBorder="0" applyAlignment="0"/>
    <xf numFmtId="0" fontId="179" fillId="0" borderId="0"/>
    <xf numFmtId="0" fontId="342" fillId="0" borderId="0" applyFill="0" applyBorder="0" applyProtection="0">
      <alignment horizontal="left" vertical="top"/>
    </xf>
    <xf numFmtId="0" fontId="179" fillId="0" borderId="0"/>
    <xf numFmtId="0" fontId="343" fillId="0" borderId="7">
      <alignment horizontal="center" vertical="center" wrapText="1"/>
    </xf>
    <xf numFmtId="0" fontId="179" fillId="0" borderId="0"/>
    <xf numFmtId="0" fontId="179" fillId="0" borderId="0"/>
    <xf numFmtId="40" fontId="18" fillId="0" borderId="0"/>
    <xf numFmtId="0" fontId="179" fillId="0" borderId="0"/>
    <xf numFmtId="3" fontId="344" fillId="0" borderId="0" applyNumberFormat="0" applyFill="0" applyBorder="0" applyAlignment="0" applyProtection="0">
      <alignment horizontal="center" wrapText="1"/>
    </xf>
    <xf numFmtId="0" fontId="179" fillId="0" borderId="0"/>
    <xf numFmtId="0" fontId="179" fillId="0" borderId="0"/>
    <xf numFmtId="0" fontId="345" fillId="0" borderId="82" applyBorder="0" applyAlignment="0">
      <alignment horizontal="center" vertical="center"/>
    </xf>
    <xf numFmtId="0" fontId="345" fillId="0" borderId="82" applyBorder="0" applyAlignment="0">
      <alignment horizontal="center" vertical="center"/>
    </xf>
    <xf numFmtId="0" fontId="345" fillId="0" borderId="82" applyBorder="0" applyAlignment="0">
      <alignment horizontal="center" vertical="center"/>
    </xf>
    <xf numFmtId="0" fontId="345" fillId="0" borderId="82" applyBorder="0" applyAlignment="0">
      <alignment horizontal="center" vertical="center"/>
    </xf>
    <xf numFmtId="0" fontId="179" fillId="0" borderId="0"/>
    <xf numFmtId="0" fontId="346" fillId="0" borderId="0" applyNumberFormat="0" applyFill="0" applyBorder="0" applyAlignment="0" applyProtection="0">
      <alignment horizontal="centerContinuous"/>
    </xf>
    <xf numFmtId="0" fontId="179" fillId="0" borderId="0"/>
    <xf numFmtId="0" fontId="285" fillId="0" borderId="83" applyNumberFormat="0" applyFill="0" applyBorder="0" applyAlignment="0" applyProtection="0">
      <alignment horizontal="center" vertical="center" wrapText="1"/>
    </xf>
    <xf numFmtId="0" fontId="87" fillId="0" borderId="0" applyNumberFormat="0" applyFill="0" applyBorder="0" applyAlignment="0" applyProtection="0"/>
    <xf numFmtId="0" fontId="179" fillId="0" borderId="0"/>
    <xf numFmtId="0" fontId="179" fillId="0" borderId="0"/>
    <xf numFmtId="3" fontId="347" fillId="0" borderId="7" applyNumberFormat="0" applyAlignment="0">
      <alignment horizontal="left" wrapText="1"/>
    </xf>
    <xf numFmtId="3" fontId="348" fillId="0" borderId="9" applyNumberFormat="0" applyAlignment="0">
      <alignment horizontal="center" vertical="center"/>
    </xf>
    <xf numFmtId="0" fontId="179" fillId="0" borderId="0"/>
    <xf numFmtId="0" fontId="179" fillId="0" borderId="0"/>
    <xf numFmtId="0" fontId="349" fillId="0" borderId="84" applyNumberFormat="0" applyBorder="0" applyAlignment="0">
      <alignment vertical="center"/>
    </xf>
    <xf numFmtId="0" fontId="350" fillId="0" borderId="85" applyNumberFormat="0" applyFill="0" applyAlignment="0" applyProtection="0"/>
    <xf numFmtId="0" fontId="350" fillId="0" borderId="85" applyNumberFormat="0" applyFill="0" applyAlignment="0" applyProtection="0"/>
    <xf numFmtId="0" fontId="350" fillId="0" borderId="85" applyNumberFormat="0" applyFill="0" applyAlignment="0" applyProtection="0"/>
    <xf numFmtId="0" fontId="179" fillId="0" borderId="0"/>
    <xf numFmtId="0" fontId="298" fillId="0" borderId="86" applyNumberFormat="0" applyAlignment="0">
      <alignment horizontal="center"/>
    </xf>
    <xf numFmtId="0" fontId="179" fillId="0" borderId="0"/>
    <xf numFmtId="0" fontId="351" fillId="0" borderId="87">
      <alignment horizontal="center"/>
    </xf>
    <xf numFmtId="0" fontId="179" fillId="0" borderId="0"/>
    <xf numFmtId="0" fontId="179" fillId="0" borderId="0"/>
    <xf numFmtId="0" fontId="179" fillId="0" borderId="0"/>
    <xf numFmtId="342" fontId="298" fillId="0" borderId="0" applyFont="0" applyFill="0" applyBorder="0" applyAlignment="0" applyProtection="0"/>
    <xf numFmtId="343" fontId="229" fillId="0" borderId="0" applyFont="0" applyFill="0" applyBorder="0" applyAlignment="0" applyProtection="0"/>
    <xf numFmtId="0" fontId="179" fillId="0" borderId="0"/>
    <xf numFmtId="0" fontId="179" fillId="0" borderId="0"/>
    <xf numFmtId="0" fontId="47" fillId="0" borderId="88">
      <alignment horizontal="center"/>
    </xf>
    <xf numFmtId="0" fontId="47" fillId="0" borderId="88">
      <alignment horizontal="center"/>
    </xf>
    <xf numFmtId="185" fontId="29" fillId="0" borderId="0"/>
    <xf numFmtId="186" fontId="29" fillId="0" borderId="34"/>
    <xf numFmtId="186" fontId="29" fillId="0" borderId="34"/>
    <xf numFmtId="0" fontId="179" fillId="0" borderId="0"/>
    <xf numFmtId="3" fontId="67" fillId="64" borderId="15">
      <alignment horizontal="right" vertical="top" wrapText="1"/>
    </xf>
    <xf numFmtId="0" fontId="179" fillId="0" borderId="0"/>
    <xf numFmtId="0" fontId="179" fillId="0" borderId="0"/>
    <xf numFmtId="0" fontId="179" fillId="0" borderId="0"/>
    <xf numFmtId="0" fontId="352" fillId="0" borderId="0"/>
    <xf numFmtId="0" fontId="353" fillId="0" borderId="0" applyProtection="0"/>
    <xf numFmtId="0" fontId="179" fillId="0" borderId="0"/>
    <xf numFmtId="0" fontId="179" fillId="0" borderId="0"/>
    <xf numFmtId="0" fontId="353" fillId="0" borderId="0"/>
    <xf numFmtId="0" fontId="353" fillId="0" borderId="0"/>
    <xf numFmtId="0" fontId="353" fillId="0" borderId="0"/>
    <xf numFmtId="0" fontId="179" fillId="0" borderId="0"/>
    <xf numFmtId="0" fontId="179" fillId="0" borderId="0"/>
    <xf numFmtId="3" fontId="29" fillId="0" borderId="0" applyNumberFormat="0" applyBorder="0" applyAlignment="0" applyProtection="0">
      <alignment horizontal="centerContinuous"/>
      <protection locked="0"/>
    </xf>
    <xf numFmtId="0" fontId="179" fillId="0" borderId="0"/>
    <xf numFmtId="0" fontId="179" fillId="0" borderId="0"/>
    <xf numFmtId="3" fontId="228" fillId="0" borderId="0">
      <protection locked="0"/>
    </xf>
    <xf numFmtId="0" fontId="179" fillId="0" borderId="0"/>
    <xf numFmtId="3" fontId="228" fillId="0" borderId="0">
      <protection locked="0"/>
    </xf>
    <xf numFmtId="3" fontId="354" fillId="0" borderId="0">
      <protection locked="0"/>
    </xf>
    <xf numFmtId="0" fontId="179" fillId="0" borderId="0"/>
    <xf numFmtId="0" fontId="179" fillId="0" borderId="0"/>
    <xf numFmtId="0" fontId="179" fillId="0" borderId="0"/>
    <xf numFmtId="0" fontId="352" fillId="0" borderId="0"/>
    <xf numFmtId="0" fontId="353" fillId="0" borderId="0" applyProtection="0"/>
    <xf numFmtId="0" fontId="179" fillId="0" borderId="0"/>
    <xf numFmtId="0" fontId="179" fillId="0" borderId="0"/>
    <xf numFmtId="0" fontId="353" fillId="0" borderId="0"/>
    <xf numFmtId="0" fontId="353" fillId="0" borderId="0"/>
    <xf numFmtId="0" fontId="353" fillId="0" borderId="0"/>
    <xf numFmtId="0" fontId="179" fillId="0" borderId="0"/>
    <xf numFmtId="0" fontId="179" fillId="0" borderId="0"/>
    <xf numFmtId="0" fontId="179" fillId="0" borderId="0"/>
    <xf numFmtId="0" fontId="179" fillId="0" borderId="0"/>
    <xf numFmtId="5" fontId="355" fillId="76" borderId="82">
      <alignment vertical="top"/>
    </xf>
    <xf numFmtId="5" fontId="355" fillId="76" borderId="82">
      <alignment vertical="top"/>
    </xf>
    <xf numFmtId="0" fontId="179" fillId="0" borderId="0"/>
    <xf numFmtId="310" fontId="355" fillId="76" borderId="82">
      <alignment vertical="top"/>
    </xf>
    <xf numFmtId="310" fontId="355" fillId="76" borderId="82">
      <alignment vertical="top"/>
    </xf>
    <xf numFmtId="5" fontId="355" fillId="76" borderId="82">
      <alignment vertical="top"/>
    </xf>
    <xf numFmtId="5" fontId="355" fillId="76" borderId="82">
      <alignment vertical="top"/>
    </xf>
    <xf numFmtId="0" fontId="179" fillId="0" borderId="0"/>
    <xf numFmtId="0" fontId="179" fillId="0" borderId="0"/>
    <xf numFmtId="0" fontId="356" fillId="77" borderId="34">
      <alignment horizontal="left" vertical="center"/>
    </xf>
    <xf numFmtId="0" fontId="356" fillId="77" borderId="34">
      <alignment horizontal="left" vertical="center"/>
    </xf>
    <xf numFmtId="0" fontId="179" fillId="0" borderId="0"/>
    <xf numFmtId="0" fontId="179" fillId="0" borderId="0"/>
    <xf numFmtId="6" fontId="357" fillId="78" borderId="82"/>
    <xf numFmtId="6" fontId="357" fillId="78" borderId="82"/>
    <xf numFmtId="0" fontId="179" fillId="0" borderId="0"/>
    <xf numFmtId="344" fontId="357" fillId="78" borderId="82"/>
    <xf numFmtId="344" fontId="357" fillId="78" borderId="82"/>
    <xf numFmtId="6" fontId="357" fillId="78" borderId="82"/>
    <xf numFmtId="6" fontId="357" fillId="78" borderId="82"/>
    <xf numFmtId="0" fontId="179" fillId="0" borderId="0"/>
    <xf numFmtId="0" fontId="179" fillId="0" borderId="0"/>
    <xf numFmtId="5" fontId="289" fillId="0" borderId="82">
      <alignment horizontal="left" vertical="top"/>
    </xf>
    <xf numFmtId="5" fontId="289" fillId="0" borderId="82">
      <alignment horizontal="left" vertical="top"/>
    </xf>
    <xf numFmtId="0" fontId="179" fillId="0" borderId="0"/>
    <xf numFmtId="310" fontId="358" fillId="0" borderId="82">
      <alignment horizontal="left" vertical="top"/>
    </xf>
    <xf numFmtId="310" fontId="358" fillId="0" borderId="82">
      <alignment horizontal="left" vertical="top"/>
    </xf>
    <xf numFmtId="5" fontId="289" fillId="0" borderId="82">
      <alignment horizontal="left" vertical="top"/>
    </xf>
    <xf numFmtId="5" fontId="289" fillId="0" borderId="82">
      <alignment horizontal="left" vertical="top"/>
    </xf>
    <xf numFmtId="0" fontId="179" fillId="0" borderId="0"/>
    <xf numFmtId="0" fontId="359" fillId="79" borderId="0">
      <alignment horizontal="left" vertical="center"/>
    </xf>
    <xf numFmtId="0" fontId="179" fillId="0" borderId="0"/>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310" fontId="360" fillId="0" borderId="9">
      <alignment horizontal="left" vertical="top"/>
    </xf>
    <xf numFmtId="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175" fontId="84" fillId="0" borderId="9">
      <alignment horizontal="left" vertical="top"/>
    </xf>
    <xf numFmtId="0" fontId="179" fillId="0" borderId="0"/>
    <xf numFmtId="0" fontId="179" fillId="0" borderId="0"/>
    <xf numFmtId="0" fontId="361" fillId="0" borderId="9">
      <alignment horizontal="lef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88" fillId="0" borderId="0" applyNumberFormat="0" applyFill="0" applyBorder="0" applyAlignment="0" applyProtection="0"/>
    <xf numFmtId="0" fontId="179" fillId="0" borderId="0"/>
    <xf numFmtId="0" fontId="362" fillId="0" borderId="0" applyNumberFormat="0" applyFont="0" applyFill="0" applyBorder="0" applyProtection="0">
      <alignment horizontal="center" vertical="center" wrapText="1"/>
    </xf>
    <xf numFmtId="0" fontId="179" fillId="0" borderId="0"/>
    <xf numFmtId="0" fontId="179" fillId="0" borderId="0"/>
    <xf numFmtId="0" fontId="179" fillId="0" borderId="0"/>
    <xf numFmtId="0" fontId="363" fillId="0" borderId="89" applyNumberFormat="0" applyFont="0" applyAlignment="0">
      <alignment horizontal="center"/>
    </xf>
    <xf numFmtId="0" fontId="179" fillId="0" borderId="0"/>
    <xf numFmtId="0" fontId="364" fillId="0" borderId="0" applyNumberFormat="0" applyFill="0" applyBorder="0" applyAlignment="0" applyProtection="0"/>
    <xf numFmtId="0" fontId="179" fillId="0" borderId="0"/>
    <xf numFmtId="0" fontId="179" fillId="0" borderId="0"/>
    <xf numFmtId="0" fontId="82" fillId="0" borderId="90" applyFont="0" applyBorder="0" applyAlignment="0">
      <alignment horizontal="center"/>
    </xf>
    <xf numFmtId="0" fontId="82" fillId="0" borderId="90" applyFont="0" applyBorder="0" applyAlignment="0">
      <alignment horizontal="center"/>
    </xf>
    <xf numFmtId="0" fontId="179" fillId="0" borderId="0"/>
    <xf numFmtId="0" fontId="179" fillId="0" borderId="0"/>
    <xf numFmtId="0" fontId="179" fillId="0" borderId="0"/>
    <xf numFmtId="0" fontId="179" fillId="0" borderId="0"/>
    <xf numFmtId="0" fontId="179" fillId="0" borderId="0"/>
    <xf numFmtId="0" fontId="179" fillId="0" borderId="0"/>
    <xf numFmtId="0" fontId="365" fillId="0" borderId="51"/>
    <xf numFmtId="0" fontId="179" fillId="0" borderId="0"/>
    <xf numFmtId="0" fontId="179" fillId="0" borderId="0"/>
    <xf numFmtId="0" fontId="209" fillId="0" borderId="0"/>
    <xf numFmtId="0" fontId="179" fillId="0" borderId="0"/>
    <xf numFmtId="0" fontId="209" fillId="0" borderId="0"/>
    <xf numFmtId="0" fontId="179" fillId="0" borderId="0"/>
    <xf numFmtId="0" fontId="209" fillId="0" borderId="0"/>
    <xf numFmtId="0" fontId="179" fillId="0" borderId="0"/>
    <xf numFmtId="0" fontId="209" fillId="0" borderId="0"/>
    <xf numFmtId="0" fontId="179" fillId="0" borderId="0"/>
    <xf numFmtId="0" fontId="209" fillId="0" borderId="0"/>
    <xf numFmtId="0" fontId="179" fillId="0" borderId="0"/>
    <xf numFmtId="0" fontId="209" fillId="0" borderId="0"/>
    <xf numFmtId="0" fontId="179" fillId="0" borderId="0"/>
    <xf numFmtId="0" fontId="209" fillId="0" borderId="0"/>
    <xf numFmtId="0" fontId="179" fillId="0" borderId="0"/>
    <xf numFmtId="0" fontId="20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cellStyleXfs>
  <cellXfs count="3331">
    <xf numFmtId="0" fontId="0" fillId="0" borderId="0" xfId="0"/>
    <xf numFmtId="0" fontId="8" fillId="0" borderId="0" xfId="2" applyFont="1" applyAlignment="1">
      <alignment horizontal="center" vertical="center"/>
    </xf>
    <xf numFmtId="0" fontId="4" fillId="0" borderId="0" xfId="2" applyFont="1" applyAlignment="1">
      <alignment vertical="center"/>
    </xf>
    <xf numFmtId="0" fontId="5" fillId="0" borderId="0" xfId="2" applyFont="1" applyAlignment="1">
      <alignment vertical="center"/>
    </xf>
    <xf numFmtId="0" fontId="6" fillId="0" borderId="0" xfId="2" applyFont="1" applyAlignment="1">
      <alignment vertical="center"/>
    </xf>
    <xf numFmtId="166" fontId="6" fillId="0" borderId="0" xfId="2" applyNumberFormat="1" applyFont="1" applyFill="1" applyBorder="1" applyAlignment="1">
      <alignment vertical="center"/>
    </xf>
    <xf numFmtId="0" fontId="6" fillId="0" borderId="0" xfId="2" applyFont="1" applyBorder="1" applyAlignment="1">
      <alignment vertical="center"/>
    </xf>
    <xf numFmtId="0" fontId="4" fillId="0" borderId="0" xfId="2" applyFont="1" applyAlignment="1">
      <alignment horizontal="center" vertical="center"/>
    </xf>
    <xf numFmtId="0" fontId="10" fillId="0" borderId="0" xfId="2" applyFont="1" applyAlignment="1">
      <alignment horizontal="center" vertical="center"/>
    </xf>
    <xf numFmtId="166" fontId="13" fillId="2" borderId="7" xfId="2" applyNumberFormat="1" applyFont="1" applyFill="1" applyBorder="1" applyAlignment="1">
      <alignment vertical="center"/>
    </xf>
    <xf numFmtId="0" fontId="14" fillId="0" borderId="7" xfId="2" applyFont="1" applyFill="1" applyBorder="1" applyAlignment="1">
      <alignment horizontal="left" vertical="center"/>
    </xf>
    <xf numFmtId="166" fontId="15" fillId="2" borderId="7" xfId="2" applyNumberFormat="1" applyFont="1" applyFill="1" applyBorder="1" applyAlignment="1">
      <alignment vertical="center"/>
    </xf>
    <xf numFmtId="0" fontId="14" fillId="0" borderId="0" xfId="2" applyFont="1" applyAlignment="1">
      <alignment horizontal="center" vertical="center"/>
    </xf>
    <xf numFmtId="167" fontId="13" fillId="2" borderId="7" xfId="1" applyNumberFormat="1" applyFont="1" applyFill="1" applyBorder="1" applyAlignment="1">
      <alignment vertical="center"/>
    </xf>
    <xf numFmtId="166" fontId="11" fillId="2" borderId="7" xfId="2" applyNumberFormat="1" applyFont="1" applyFill="1" applyBorder="1" applyAlignment="1">
      <alignment vertical="center"/>
    </xf>
    <xf numFmtId="0" fontId="10" fillId="0" borderId="0" xfId="2" applyFont="1" applyAlignment="1">
      <alignment vertical="center"/>
    </xf>
    <xf numFmtId="0" fontId="4" fillId="0" borderId="7" xfId="2" quotePrefix="1" applyNumberFormat="1" applyFont="1" applyBorder="1" applyAlignment="1">
      <alignment vertical="center"/>
    </xf>
    <xf numFmtId="0" fontId="13" fillId="0" borderId="7" xfId="2" quotePrefix="1" applyNumberFormat="1" applyFont="1" applyBorder="1" applyAlignment="1">
      <alignment vertical="center"/>
    </xf>
    <xf numFmtId="0" fontId="16" fillId="0" borderId="0" xfId="2" applyFont="1" applyAlignment="1">
      <alignment vertical="center"/>
    </xf>
    <xf numFmtId="0" fontId="15" fillId="0" borderId="7" xfId="2" applyNumberFormat="1" applyFont="1" applyBorder="1" applyAlignment="1">
      <alignment vertical="center"/>
    </xf>
    <xf numFmtId="0" fontId="14" fillId="0" borderId="0" xfId="2" applyFont="1" applyAlignment="1">
      <alignment vertical="center"/>
    </xf>
    <xf numFmtId="0" fontId="4" fillId="0" borderId="10" xfId="2" applyFont="1" applyBorder="1" applyAlignment="1">
      <alignment vertical="center"/>
    </xf>
    <xf numFmtId="166" fontId="13" fillId="0" borderId="10" xfId="2" applyNumberFormat="1" applyFont="1" applyFill="1" applyBorder="1" applyAlignment="1">
      <alignment vertical="center"/>
    </xf>
    <xf numFmtId="43" fontId="4" fillId="0" borderId="10" xfId="1" applyNumberFormat="1" applyFont="1" applyBorder="1" applyAlignment="1">
      <alignment vertical="center"/>
    </xf>
    <xf numFmtId="0" fontId="13" fillId="0" borderId="0" xfId="0" applyFont="1" applyAlignment="1">
      <alignment vertical="center"/>
    </xf>
    <xf numFmtId="0" fontId="13" fillId="2" borderId="0" xfId="0" applyFont="1" applyFill="1" applyAlignment="1">
      <alignment vertical="center"/>
    </xf>
    <xf numFmtId="0" fontId="5" fillId="0" borderId="0" xfId="0" applyFont="1" applyAlignment="1">
      <alignment vertical="center"/>
    </xf>
    <xf numFmtId="0" fontId="5" fillId="2" borderId="0" xfId="0" applyFont="1" applyFill="1" applyAlignment="1">
      <alignment vertical="center"/>
    </xf>
    <xf numFmtId="0" fontId="0" fillId="0" borderId="0" xfId="0" applyAlignment="1">
      <alignment vertical="center"/>
    </xf>
    <xf numFmtId="166" fontId="4" fillId="0" borderId="0" xfId="2" applyNumberFormat="1" applyFont="1" applyFill="1" applyAlignment="1">
      <alignment vertical="center"/>
    </xf>
    <xf numFmtId="0" fontId="18" fillId="0" borderId="7" xfId="2" applyNumberFormat="1" applyFont="1" applyBorder="1" applyAlignment="1">
      <alignment vertical="center"/>
    </xf>
    <xf numFmtId="166" fontId="5" fillId="2" borderId="7" xfId="2" applyNumberFormat="1" applyFont="1" applyFill="1" applyBorder="1" applyAlignment="1">
      <alignment vertical="center"/>
    </xf>
    <xf numFmtId="166" fontId="19" fillId="2" borderId="7" xfId="2" applyNumberFormat="1" applyFont="1" applyFill="1" applyBorder="1" applyAlignment="1">
      <alignment vertical="center"/>
    </xf>
    <xf numFmtId="0" fontId="18" fillId="0" borderId="0" xfId="2" applyFont="1" applyAlignment="1">
      <alignment vertical="center"/>
    </xf>
    <xf numFmtId="0" fontId="20" fillId="0" borderId="7" xfId="2" applyFont="1" applyBorder="1" applyAlignment="1">
      <alignment horizontal="left" vertical="center"/>
    </xf>
    <xf numFmtId="0" fontId="20" fillId="0" borderId="0" xfId="2" applyFont="1" applyAlignment="1">
      <alignment horizontal="center" vertical="center"/>
    </xf>
    <xf numFmtId="3" fontId="11" fillId="2" borderId="7" xfId="2" applyNumberFormat="1" applyFont="1" applyFill="1" applyBorder="1" applyAlignment="1">
      <alignment vertical="center"/>
    </xf>
    <xf numFmtId="166" fontId="21" fillId="2" borderId="7" xfId="2" applyNumberFormat="1" applyFont="1" applyFill="1" applyBorder="1" applyAlignment="1">
      <alignment vertical="center"/>
    </xf>
    <xf numFmtId="0" fontId="13" fillId="2" borderId="0" xfId="0" applyFont="1" applyFill="1" applyAlignment="1">
      <alignment horizontal="center" vertical="center"/>
    </xf>
    <xf numFmtId="166" fontId="7" fillId="2" borderId="7" xfId="2" applyNumberFormat="1" applyFont="1" applyFill="1" applyBorder="1" applyAlignment="1">
      <alignment vertical="center"/>
    </xf>
    <xf numFmtId="166" fontId="22" fillId="2" borderId="7" xfId="2" applyNumberFormat="1" applyFont="1" applyFill="1" applyBorder="1" applyAlignment="1">
      <alignment vertical="center"/>
    </xf>
    <xf numFmtId="0" fontId="6" fillId="0" borderId="0" xfId="2" applyFont="1" applyAlignment="1">
      <alignment horizontal="center" vertical="center"/>
    </xf>
    <xf numFmtId="43" fontId="23" fillId="0" borderId="7" xfId="1" applyNumberFormat="1" applyFont="1" applyBorder="1" applyAlignment="1">
      <alignment horizontal="center" vertical="center"/>
    </xf>
    <xf numFmtId="0" fontId="4" fillId="0" borderId="7" xfId="2" applyNumberFormat="1" applyFont="1" applyBorder="1" applyAlignment="1">
      <alignment vertical="center" wrapText="1"/>
    </xf>
    <xf numFmtId="0" fontId="13" fillId="0" borderId="7" xfId="2" applyNumberFormat="1" applyFont="1" applyBorder="1" applyAlignment="1">
      <alignment vertical="center"/>
    </xf>
    <xf numFmtId="43" fontId="24" fillId="0" borderId="7" xfId="1" applyNumberFormat="1" applyFont="1" applyBorder="1" applyAlignment="1">
      <alignment horizontal="center" vertical="center"/>
    </xf>
    <xf numFmtId="167" fontId="19" fillId="2" borderId="7" xfId="1" applyNumberFormat="1" applyFont="1" applyFill="1" applyBorder="1" applyAlignment="1">
      <alignment vertical="center"/>
    </xf>
    <xf numFmtId="167" fontId="5" fillId="2" borderId="7" xfId="1" applyNumberFormat="1" applyFont="1" applyFill="1" applyBorder="1" applyAlignment="1">
      <alignment vertical="center"/>
    </xf>
    <xf numFmtId="167" fontId="13" fillId="2" borderId="0" xfId="1" applyNumberFormat="1" applyFont="1" applyFill="1" applyAlignment="1">
      <alignment vertical="center"/>
    </xf>
    <xf numFmtId="167" fontId="13" fillId="2" borderId="0" xfId="1" applyNumberFormat="1" applyFont="1" applyFill="1" applyAlignment="1">
      <alignment horizontal="center" vertical="center"/>
    </xf>
    <xf numFmtId="167" fontId="5" fillId="2" borderId="0" xfId="1" applyNumberFormat="1" applyFont="1" applyFill="1" applyAlignment="1">
      <alignment vertical="center"/>
    </xf>
    <xf numFmtId="167" fontId="4" fillId="0" borderId="0" xfId="1" applyNumberFormat="1" applyFont="1" applyAlignment="1">
      <alignment vertical="center"/>
    </xf>
    <xf numFmtId="0" fontId="18" fillId="0" borderId="0" xfId="2" applyFont="1" applyAlignment="1">
      <alignment horizontal="center" vertical="center"/>
    </xf>
    <xf numFmtId="0" fontId="18" fillId="0" borderId="7" xfId="2" applyNumberFormat="1" applyFont="1" applyBorder="1" applyAlignment="1">
      <alignment horizontal="center" vertical="center"/>
    </xf>
    <xf numFmtId="166" fontId="28" fillId="2" borderId="7" xfId="2" applyNumberFormat="1" applyFont="1" applyFill="1" applyBorder="1" applyAlignment="1">
      <alignment vertical="center"/>
    </xf>
    <xf numFmtId="167" fontId="13" fillId="0" borderId="7" xfId="6" applyNumberFormat="1" applyFont="1" applyFill="1" applyBorder="1" applyAlignment="1">
      <alignment vertical="center" wrapText="1"/>
    </xf>
    <xf numFmtId="166" fontId="27" fillId="2" borderId="7" xfId="2" applyNumberFormat="1" applyFont="1" applyFill="1" applyBorder="1" applyAlignment="1">
      <alignment vertical="center"/>
    </xf>
    <xf numFmtId="0" fontId="13" fillId="2" borderId="0" xfId="0" applyFont="1" applyFill="1" applyAlignment="1">
      <alignment horizontal="center" vertical="center"/>
    </xf>
    <xf numFmtId="0" fontId="13" fillId="2" borderId="0" xfId="0" applyFont="1" applyFill="1" applyAlignment="1">
      <alignment horizontal="center" vertical="center"/>
    </xf>
    <xf numFmtId="168" fontId="11" fillId="2" borderId="7" xfId="2" applyNumberFormat="1" applyFont="1" applyFill="1" applyBorder="1" applyAlignment="1">
      <alignment vertical="center"/>
    </xf>
    <xf numFmtId="165" fontId="13" fillId="0" borderId="0" xfId="0" applyNumberFormat="1" applyFont="1" applyAlignment="1">
      <alignment vertical="center"/>
    </xf>
    <xf numFmtId="167" fontId="28" fillId="0" borderId="7" xfId="6" applyNumberFormat="1" applyFont="1" applyFill="1" applyBorder="1" applyAlignment="1">
      <alignment vertical="center" wrapText="1"/>
    </xf>
    <xf numFmtId="166" fontId="15" fillId="0" borderId="7" xfId="2" applyNumberFormat="1" applyFont="1" applyFill="1" applyBorder="1" applyAlignment="1">
      <alignment vertical="center"/>
    </xf>
    <xf numFmtId="166" fontId="19" fillId="0" borderId="7" xfId="2" applyNumberFormat="1" applyFont="1" applyFill="1" applyBorder="1" applyAlignment="1">
      <alignment vertical="center"/>
    </xf>
    <xf numFmtId="166" fontId="5" fillId="0" borderId="7" xfId="2" applyNumberFormat="1" applyFont="1" applyFill="1" applyBorder="1" applyAlignment="1">
      <alignment vertical="center"/>
    </xf>
    <xf numFmtId="3" fontId="12" fillId="2" borderId="7" xfId="1" applyNumberFormat="1" applyFont="1" applyFill="1" applyBorder="1" applyAlignment="1">
      <alignment vertical="center"/>
    </xf>
    <xf numFmtId="3" fontId="12" fillId="0" borderId="7" xfId="1" applyNumberFormat="1" applyFont="1" applyFill="1" applyBorder="1" applyAlignment="1">
      <alignment vertical="center"/>
    </xf>
    <xf numFmtId="3" fontId="15" fillId="0" borderId="7" xfId="2" applyNumberFormat="1" applyFont="1" applyFill="1" applyBorder="1" applyAlignment="1">
      <alignment vertical="center"/>
    </xf>
    <xf numFmtId="3" fontId="19" fillId="0" borderId="7" xfId="1" applyNumberFormat="1" applyFont="1" applyFill="1" applyBorder="1" applyAlignment="1">
      <alignment vertical="center"/>
    </xf>
    <xf numFmtId="3" fontId="19" fillId="0" borderId="7" xfId="2" applyNumberFormat="1" applyFont="1" applyFill="1" applyBorder="1" applyAlignment="1">
      <alignment vertical="center"/>
    </xf>
    <xf numFmtId="3" fontId="21" fillId="2" borderId="7" xfId="2" applyNumberFormat="1" applyFont="1" applyFill="1" applyBorder="1" applyAlignment="1">
      <alignment vertical="center"/>
    </xf>
    <xf numFmtId="3" fontId="6" fillId="0" borderId="0" xfId="2" applyNumberFormat="1" applyFont="1" applyBorder="1" applyAlignment="1">
      <alignment vertical="center"/>
    </xf>
    <xf numFmtId="3" fontId="19" fillId="2" borderId="7" xfId="2" applyNumberFormat="1" applyFont="1" applyFill="1" applyBorder="1" applyAlignment="1">
      <alignment vertical="center"/>
    </xf>
    <xf numFmtId="3" fontId="15" fillId="2" borderId="7" xfId="2" applyNumberFormat="1" applyFont="1" applyFill="1" applyBorder="1" applyAlignment="1">
      <alignment vertical="center"/>
    </xf>
    <xf numFmtId="3" fontId="27" fillId="2" borderId="7" xfId="2" applyNumberFormat="1" applyFont="1" applyFill="1" applyBorder="1" applyAlignment="1">
      <alignment vertical="center"/>
    </xf>
    <xf numFmtId="3" fontId="22" fillId="2" borderId="7" xfId="2" applyNumberFormat="1" applyFont="1" applyFill="1" applyBorder="1" applyAlignment="1">
      <alignment vertical="center"/>
    </xf>
    <xf numFmtId="3" fontId="5" fillId="2" borderId="7" xfId="2" applyNumberFormat="1" applyFont="1" applyFill="1" applyBorder="1" applyAlignment="1">
      <alignment vertical="center"/>
    </xf>
    <xf numFmtId="3" fontId="28" fillId="2" borderId="7" xfId="2" applyNumberFormat="1" applyFont="1" applyFill="1" applyBorder="1" applyAlignment="1">
      <alignment vertical="center"/>
    </xf>
    <xf numFmtId="3" fontId="13" fillId="2" borderId="7" xfId="2" applyNumberFormat="1" applyFont="1" applyFill="1" applyBorder="1" applyAlignment="1">
      <alignment vertical="center"/>
    </xf>
    <xf numFmtId="3" fontId="13" fillId="0" borderId="10" xfId="2" applyNumberFormat="1" applyFont="1" applyBorder="1" applyAlignment="1">
      <alignment vertical="center"/>
    </xf>
    <xf numFmtId="3" fontId="13" fillId="0" borderId="0" xfId="0" applyNumberFormat="1" applyFont="1" applyAlignment="1">
      <alignment vertical="center"/>
    </xf>
    <xf numFmtId="3" fontId="5" fillId="0" borderId="0" xfId="0" applyNumberFormat="1" applyFont="1" applyAlignment="1">
      <alignment vertical="center"/>
    </xf>
    <xf numFmtId="3" fontId="0" fillId="0" borderId="0" xfId="0" applyNumberFormat="1" applyAlignment="1">
      <alignment vertical="center"/>
    </xf>
    <xf numFmtId="3" fontId="4" fillId="0" borderId="0" xfId="2" applyNumberFormat="1" applyFont="1" applyAlignment="1">
      <alignment vertical="center"/>
    </xf>
    <xf numFmtId="166" fontId="21" fillId="0" borderId="7" xfId="2" applyNumberFormat="1" applyFont="1" applyFill="1" applyBorder="1" applyAlignment="1">
      <alignment vertical="center"/>
    </xf>
    <xf numFmtId="167" fontId="8" fillId="0" borderId="7" xfId="1" applyNumberFormat="1" applyFont="1" applyBorder="1" applyAlignment="1">
      <alignment horizontal="center" vertical="center"/>
    </xf>
    <xf numFmtId="43" fontId="8" fillId="0" borderId="7" xfId="1" applyNumberFormat="1" applyFont="1" applyBorder="1" applyAlignment="1">
      <alignment horizontal="center" vertical="center"/>
    </xf>
    <xf numFmtId="167" fontId="4" fillId="0" borderId="7" xfId="1" applyNumberFormat="1" applyFont="1" applyBorder="1" applyAlignment="1">
      <alignment horizontal="center" vertical="center"/>
    </xf>
    <xf numFmtId="43" fontId="4" fillId="0" borderId="7" xfId="1" applyNumberFormat="1" applyFont="1" applyBorder="1" applyAlignment="1">
      <alignment horizontal="center" vertical="center"/>
    </xf>
    <xf numFmtId="0" fontId="18" fillId="0" borderId="7" xfId="2" applyFont="1" applyBorder="1" applyAlignment="1">
      <alignment horizontal="left" vertical="center"/>
    </xf>
    <xf numFmtId="0" fontId="6" fillId="0" borderId="7" xfId="2" applyFont="1" applyBorder="1" applyAlignment="1">
      <alignment horizontal="left" vertical="center"/>
    </xf>
    <xf numFmtId="0" fontId="4" fillId="0" borderId="7" xfId="2" applyFont="1" applyBorder="1" applyAlignment="1">
      <alignment vertical="center"/>
    </xf>
    <xf numFmtId="166" fontId="13" fillId="0" borderId="7" xfId="2" applyNumberFormat="1" applyFont="1" applyFill="1" applyBorder="1" applyAlignment="1">
      <alignment vertical="center"/>
    </xf>
    <xf numFmtId="166" fontId="28" fillId="0" borderId="7" xfId="2" applyNumberFormat="1" applyFont="1" applyFill="1" applyBorder="1" applyAlignment="1">
      <alignment vertical="center"/>
    </xf>
    <xf numFmtId="166" fontId="12" fillId="0" borderId="7" xfId="1" applyNumberFormat="1" applyFont="1" applyFill="1" applyBorder="1" applyAlignment="1">
      <alignment vertical="center"/>
    </xf>
    <xf numFmtId="166" fontId="19" fillId="0" borderId="7" xfId="1" applyNumberFormat="1" applyFont="1" applyFill="1" applyBorder="1" applyAlignment="1">
      <alignment vertical="center"/>
    </xf>
    <xf numFmtId="0" fontId="4" fillId="0" borderId="0" xfId="0" applyFont="1" applyAlignment="1">
      <alignment vertical="center"/>
    </xf>
    <xf numFmtId="0" fontId="4" fillId="2" borderId="0" xfId="0" applyFont="1" applyFill="1" applyAlignment="1">
      <alignment vertical="center"/>
    </xf>
    <xf numFmtId="0" fontId="18" fillId="0" borderId="0" xfId="0" applyFont="1" applyAlignment="1">
      <alignment vertical="center"/>
    </xf>
    <xf numFmtId="0" fontId="18" fillId="2" borderId="0" xfId="0" applyFont="1" applyFill="1" applyAlignment="1">
      <alignment vertical="center"/>
    </xf>
    <xf numFmtId="0" fontId="18" fillId="0" borderId="0" xfId="0" applyFont="1" applyAlignment="1">
      <alignment horizontal="center" vertical="center"/>
    </xf>
    <xf numFmtId="0" fontId="32" fillId="0" borderId="0" xfId="0" applyFont="1"/>
    <xf numFmtId="0" fontId="32" fillId="0" borderId="0" xfId="0" applyFont="1" applyAlignment="1">
      <alignment vertical="center"/>
    </xf>
    <xf numFmtId="167" fontId="12" fillId="2" borderId="7" xfId="1" applyNumberFormat="1" applyFont="1" applyFill="1" applyBorder="1" applyAlignment="1">
      <alignment vertical="center"/>
    </xf>
    <xf numFmtId="167" fontId="12" fillId="0" borderId="7" xfId="1" applyNumberFormat="1" applyFont="1" applyFill="1" applyBorder="1" applyAlignment="1">
      <alignment vertical="center"/>
    </xf>
    <xf numFmtId="167" fontId="13" fillId="0" borderId="7" xfId="1" applyNumberFormat="1" applyFont="1" applyFill="1" applyBorder="1" applyAlignment="1">
      <alignment vertical="center"/>
    </xf>
    <xf numFmtId="166" fontId="0" fillId="0" borderId="0" xfId="0" applyNumberFormat="1"/>
    <xf numFmtId="0" fontId="0" fillId="0" borderId="0" xfId="0" applyFill="1"/>
    <xf numFmtId="43" fontId="23" fillId="0" borderId="7" xfId="1" applyNumberFormat="1" applyFont="1" applyFill="1" applyBorder="1" applyAlignment="1">
      <alignment horizontal="center" vertical="center"/>
    </xf>
    <xf numFmtId="43" fontId="24" fillId="0" borderId="7" xfId="1" applyNumberFormat="1" applyFont="1" applyFill="1" applyBorder="1" applyAlignment="1">
      <alignment horizontal="center" vertical="center"/>
    </xf>
    <xf numFmtId="0" fontId="18" fillId="0" borderId="0" xfId="0" applyFont="1" applyAlignment="1">
      <alignment horizontal="left" vertical="center"/>
    </xf>
    <xf numFmtId="0" fontId="4" fillId="0" borderId="0" xfId="0" applyFont="1"/>
    <xf numFmtId="0" fontId="18" fillId="0" borderId="0" xfId="0" applyFont="1"/>
    <xf numFmtId="0" fontId="4" fillId="0" borderId="0" xfId="0" applyFont="1" applyAlignment="1">
      <alignment horizontal="center" vertical="center"/>
    </xf>
    <xf numFmtId="0" fontId="4" fillId="0" borderId="0" xfId="0" applyFont="1" applyAlignment="1">
      <alignment horizontal="center"/>
    </xf>
    <xf numFmtId="0" fontId="30" fillId="0" borderId="6" xfId="0" applyFont="1" applyBorder="1" applyAlignment="1">
      <alignment horizontal="center" vertical="center"/>
    </xf>
    <xf numFmtId="0" fontId="30" fillId="0" borderId="6" xfId="0" applyFont="1" applyBorder="1" applyAlignment="1">
      <alignment horizontal="center" vertical="center" wrapText="1"/>
    </xf>
    <xf numFmtId="0" fontId="4" fillId="0" borderId="7" xfId="0" applyFont="1" applyBorder="1" applyAlignment="1">
      <alignment horizontal="center"/>
    </xf>
    <xf numFmtId="0" fontId="4" fillId="0" borderId="7" xfId="0" applyFont="1" applyBorder="1" applyAlignment="1"/>
    <xf numFmtId="167" fontId="4" fillId="0" borderId="7" xfId="1" applyNumberFormat="1" applyFont="1" applyBorder="1"/>
    <xf numFmtId="167" fontId="4" fillId="0" borderId="7" xfId="1" applyNumberFormat="1" applyFont="1" applyFill="1" applyBorder="1"/>
    <xf numFmtId="0" fontId="18" fillId="0" borderId="10" xfId="0" applyFont="1" applyBorder="1" applyAlignment="1">
      <alignment horizontal="center" vertical="center"/>
    </xf>
    <xf numFmtId="0" fontId="18" fillId="0" borderId="10" xfId="0" applyFont="1" applyBorder="1" applyAlignment="1">
      <alignment vertical="center"/>
    </xf>
    <xf numFmtId="167" fontId="18" fillId="0" borderId="10" xfId="0" applyNumberFormat="1" applyFont="1" applyFill="1" applyBorder="1" applyAlignment="1">
      <alignment vertical="center"/>
    </xf>
    <xf numFmtId="167" fontId="4" fillId="0" borderId="0" xfId="0" applyNumberFormat="1" applyFont="1"/>
    <xf numFmtId="166" fontId="6" fillId="0" borderId="0" xfId="2" applyNumberFormat="1" applyFont="1" applyBorder="1" applyAlignment="1">
      <alignment vertical="center"/>
    </xf>
    <xf numFmtId="0" fontId="0" fillId="0" borderId="0" xfId="0" applyFont="1"/>
    <xf numFmtId="0" fontId="0" fillId="0" borderId="0" xfId="0" applyFont="1" applyAlignment="1">
      <alignment wrapText="1"/>
    </xf>
    <xf numFmtId="167" fontId="0" fillId="0" borderId="0" xfId="1" applyNumberFormat="1" applyFont="1"/>
    <xf numFmtId="167" fontId="0" fillId="0" borderId="0" xfId="0" applyNumberFormat="1" applyFont="1"/>
    <xf numFmtId="0" fontId="37" fillId="0" borderId="0" xfId="0" applyFont="1" applyAlignment="1"/>
    <xf numFmtId="0" fontId="37" fillId="0" borderId="2" xfId="0" applyFont="1" applyBorder="1"/>
    <xf numFmtId="167" fontId="37" fillId="0" borderId="2" xfId="0" applyNumberFormat="1" applyFont="1" applyBorder="1" applyAlignment="1">
      <alignment horizontal="center"/>
    </xf>
    <xf numFmtId="0" fontId="0" fillId="0" borderId="2" xfId="0" applyFont="1" applyBorder="1" applyAlignment="1">
      <alignment horizontal="left" wrapText="1"/>
    </xf>
    <xf numFmtId="167" fontId="0" fillId="0" borderId="2" xfId="0" applyNumberFormat="1" applyFont="1" applyBorder="1"/>
    <xf numFmtId="167" fontId="37" fillId="0" borderId="2" xfId="0" applyNumberFormat="1" applyFont="1" applyBorder="1"/>
    <xf numFmtId="0" fontId="0" fillId="0" borderId="2" xfId="0" applyFont="1" applyBorder="1" applyAlignment="1">
      <alignment horizontal="left"/>
    </xf>
    <xf numFmtId="0" fontId="37" fillId="0" borderId="2" xfId="0" applyFont="1" applyBorder="1" applyAlignment="1">
      <alignment horizontal="left" wrapText="1"/>
    </xf>
    <xf numFmtId="0" fontId="38" fillId="0" borderId="7" xfId="2" applyFont="1" applyBorder="1" applyAlignment="1">
      <alignment horizontal="left" vertical="center" wrapText="1"/>
    </xf>
    <xf numFmtId="166" fontId="39" fillId="2" borderId="7" xfId="2" applyNumberFormat="1" applyFont="1" applyFill="1" applyBorder="1" applyAlignment="1">
      <alignment vertical="center"/>
    </xf>
    <xf numFmtId="166" fontId="40" fillId="2" borderId="7" xfId="2" applyNumberFormat="1" applyFont="1" applyFill="1" applyBorder="1" applyAlignment="1">
      <alignment vertical="center"/>
    </xf>
    <xf numFmtId="167" fontId="0" fillId="0" borderId="0" xfId="0" applyNumberFormat="1"/>
    <xf numFmtId="3" fontId="39" fillId="2" borderId="7" xfId="2" applyNumberFormat="1" applyFont="1" applyFill="1" applyBorder="1" applyAlignment="1">
      <alignment vertical="center"/>
    </xf>
    <xf numFmtId="0" fontId="33" fillId="0" borderId="7" xfId="2" applyNumberFormat="1" applyFont="1" applyBorder="1" applyAlignment="1">
      <alignment vertical="center"/>
    </xf>
    <xf numFmtId="166" fontId="41" fillId="2" borderId="7" xfId="2" applyNumberFormat="1" applyFont="1" applyFill="1" applyBorder="1" applyAlignment="1">
      <alignment vertical="center"/>
    </xf>
    <xf numFmtId="166" fontId="41" fillId="0" borderId="7" xfId="2" applyNumberFormat="1" applyFont="1" applyFill="1" applyBorder="1" applyAlignment="1">
      <alignment vertical="center"/>
    </xf>
    <xf numFmtId="167" fontId="37" fillId="0" borderId="0" xfId="1" applyNumberFormat="1" applyFont="1"/>
    <xf numFmtId="0" fontId="37" fillId="0" borderId="0" xfId="0" applyFont="1" applyAlignment="1">
      <alignment wrapText="1"/>
    </xf>
    <xf numFmtId="0" fontId="42" fillId="0" borderId="7" xfId="2" applyNumberFormat="1" applyFont="1" applyBorder="1" applyAlignment="1">
      <alignment vertical="center"/>
    </xf>
    <xf numFmtId="3" fontId="43" fillId="2" borderId="7" xfId="2" applyNumberFormat="1" applyFont="1" applyFill="1" applyBorder="1" applyAlignment="1">
      <alignment vertical="center"/>
    </xf>
    <xf numFmtId="166" fontId="44" fillId="2" borderId="7" xfId="2" applyNumberFormat="1" applyFont="1" applyFill="1" applyBorder="1" applyAlignment="1">
      <alignment vertical="center"/>
    </xf>
    <xf numFmtId="166" fontId="43" fillId="2" borderId="7" xfId="2" applyNumberFormat="1" applyFont="1" applyFill="1" applyBorder="1" applyAlignment="1">
      <alignment vertical="center"/>
    </xf>
    <xf numFmtId="167" fontId="44" fillId="0" borderId="7" xfId="1" applyNumberFormat="1" applyFont="1" applyFill="1" applyBorder="1" applyAlignment="1">
      <alignment vertical="center"/>
    </xf>
    <xf numFmtId="0" fontId="5" fillId="0" borderId="0" xfId="6" applyNumberFormat="1" applyFont="1" applyFill="1" applyAlignment="1">
      <alignment horizontal="center" vertical="center"/>
    </xf>
    <xf numFmtId="0" fontId="13" fillId="0" borderId="0" xfId="6" applyFont="1" applyFill="1" applyAlignment="1">
      <alignment vertical="center" wrapText="1"/>
    </xf>
    <xf numFmtId="0" fontId="13" fillId="0" borderId="0" xfId="6" applyFont="1" applyFill="1" applyAlignment="1">
      <alignment vertical="center"/>
    </xf>
    <xf numFmtId="167" fontId="13" fillId="0" borderId="0" xfId="1" applyNumberFormat="1" applyFont="1" applyFill="1" applyAlignment="1">
      <alignment vertical="center"/>
    </xf>
    <xf numFmtId="0" fontId="5" fillId="0" borderId="0" xfId="6" applyFont="1" applyFill="1" applyAlignment="1">
      <alignment vertical="center" wrapText="1"/>
    </xf>
    <xf numFmtId="167" fontId="40" fillId="0" borderId="0" xfId="6" applyNumberFormat="1" applyFont="1" applyFill="1" applyAlignment="1">
      <alignment horizontal="right" vertical="center"/>
    </xf>
    <xf numFmtId="167" fontId="5" fillId="0" borderId="0" xfId="1" applyNumberFormat="1" applyFont="1" applyFill="1" applyAlignment="1">
      <alignment vertical="center"/>
    </xf>
    <xf numFmtId="0" fontId="5" fillId="0" borderId="0" xfId="6" applyFont="1" applyFill="1" applyAlignment="1">
      <alignment vertical="center"/>
    </xf>
    <xf numFmtId="167" fontId="13" fillId="0" borderId="13" xfId="1" applyNumberFormat="1" applyFont="1" applyFill="1" applyBorder="1" applyAlignment="1">
      <alignment vertical="center"/>
    </xf>
    <xf numFmtId="167" fontId="13" fillId="0" borderId="6" xfId="1" applyNumberFormat="1" applyFont="1" applyFill="1" applyBorder="1" applyAlignment="1">
      <alignment vertical="center" wrapText="1"/>
    </xf>
    <xf numFmtId="0" fontId="13" fillId="0" borderId="14" xfId="6" applyFont="1" applyFill="1" applyBorder="1" applyAlignment="1">
      <alignment horizontal="center" vertical="center"/>
    </xf>
    <xf numFmtId="167" fontId="13" fillId="0" borderId="15" xfId="1" applyNumberFormat="1" applyFont="1" applyFill="1" applyBorder="1" applyAlignment="1">
      <alignment vertical="center"/>
    </xf>
    <xf numFmtId="0" fontId="13" fillId="0" borderId="4" xfId="6" applyFont="1" applyFill="1" applyBorder="1" applyAlignment="1">
      <alignment vertical="center"/>
    </xf>
    <xf numFmtId="167" fontId="7" fillId="0" borderId="15" xfId="1" applyNumberFormat="1" applyFont="1" applyFill="1" applyBorder="1" applyAlignment="1">
      <alignment vertical="center"/>
    </xf>
    <xf numFmtId="0" fontId="7" fillId="0" borderId="0" xfId="6" applyFont="1" applyFill="1" applyAlignment="1">
      <alignment vertical="center"/>
    </xf>
    <xf numFmtId="0" fontId="13" fillId="0" borderId="14" xfId="0" applyFont="1" applyFill="1" applyBorder="1" applyAlignment="1">
      <alignment horizontal="left" vertical="center" wrapText="1"/>
    </xf>
    <xf numFmtId="167" fontId="13" fillId="0" borderId="14" xfId="6" applyNumberFormat="1" applyFont="1" applyFill="1" applyBorder="1" applyAlignment="1">
      <alignment vertical="center" wrapText="1"/>
    </xf>
    <xf numFmtId="0" fontId="13" fillId="0" borderId="14" xfId="6" applyFont="1" applyFill="1" applyBorder="1" applyAlignment="1">
      <alignment vertical="center"/>
    </xf>
    <xf numFmtId="167" fontId="13" fillId="0" borderId="14" xfId="1" applyNumberFormat="1" applyFont="1" applyFill="1" applyBorder="1" applyAlignment="1">
      <alignment vertical="center"/>
    </xf>
    <xf numFmtId="0" fontId="7" fillId="0" borderId="14" xfId="6" applyFont="1" applyFill="1" applyBorder="1" applyAlignment="1">
      <alignment horizontal="right" vertical="center" wrapText="1"/>
    </xf>
    <xf numFmtId="167" fontId="13" fillId="0" borderId="14" xfId="1" applyNumberFormat="1" applyFont="1" applyFill="1" applyBorder="1" applyAlignment="1">
      <alignment vertical="center" wrapText="1"/>
    </xf>
    <xf numFmtId="0" fontId="13" fillId="0" borderId="15" xfId="6" applyFont="1" applyFill="1" applyBorder="1" applyAlignment="1">
      <alignment vertical="center"/>
    </xf>
    <xf numFmtId="0" fontId="13" fillId="0" borderId="7" xfId="6" applyFont="1" applyFill="1" applyBorder="1" applyAlignment="1">
      <alignment vertical="center"/>
    </xf>
    <xf numFmtId="0" fontId="13" fillId="0" borderId="16" xfId="6" applyNumberFormat="1" applyFont="1" applyFill="1" applyBorder="1" applyAlignment="1">
      <alignment horizontal="left" vertical="center" wrapText="1"/>
    </xf>
    <xf numFmtId="167" fontId="13" fillId="0" borderId="16" xfId="1" applyNumberFormat="1" applyFont="1" applyFill="1" applyBorder="1" applyAlignment="1">
      <alignment vertical="center"/>
    </xf>
    <xf numFmtId="0" fontId="13" fillId="0" borderId="12" xfId="6" applyFont="1" applyFill="1" applyBorder="1" applyAlignment="1">
      <alignment vertical="center"/>
    </xf>
    <xf numFmtId="0" fontId="13" fillId="0" borderId="10" xfId="6" applyFont="1" applyFill="1" applyBorder="1" applyAlignment="1">
      <alignment vertical="center"/>
    </xf>
    <xf numFmtId="0" fontId="13" fillId="0" borderId="0" xfId="6" applyFont="1" applyFill="1" applyAlignment="1">
      <alignment horizontal="center" vertical="center"/>
    </xf>
    <xf numFmtId="0" fontId="11" fillId="0" borderId="0" xfId="6" applyFont="1" applyFill="1" applyBorder="1" applyAlignment="1">
      <alignment horizontal="left" vertical="center" wrapText="1"/>
    </xf>
    <xf numFmtId="167" fontId="13" fillId="0" borderId="0" xfId="6" applyNumberFormat="1" applyFont="1" applyFill="1" applyAlignment="1">
      <alignment vertical="center"/>
    </xf>
    <xf numFmtId="167" fontId="0" fillId="0" borderId="2" xfId="0" applyNumberFormat="1" applyFont="1" applyFill="1" applyBorder="1"/>
    <xf numFmtId="167" fontId="37" fillId="0" borderId="2" xfId="0" applyNumberFormat="1" applyFont="1" applyFill="1" applyBorder="1"/>
    <xf numFmtId="0" fontId="5" fillId="2" borderId="0" xfId="8" applyFont="1" applyFill="1" applyAlignment="1">
      <alignment horizontal="center" vertical="center"/>
    </xf>
    <xf numFmtId="0" fontId="13" fillId="2" borderId="0" xfId="8" applyFont="1" applyFill="1" applyAlignment="1">
      <alignment vertical="center"/>
    </xf>
    <xf numFmtId="0" fontId="13" fillId="2" borderId="0" xfId="8" applyFont="1" applyFill="1" applyBorder="1" applyAlignment="1">
      <alignment vertical="center"/>
    </xf>
    <xf numFmtId="167" fontId="5" fillId="0" borderId="0" xfId="1" applyNumberFormat="1" applyFont="1" applyFill="1" applyBorder="1" applyAlignment="1">
      <alignment vertical="center"/>
    </xf>
    <xf numFmtId="0" fontId="5" fillId="2" borderId="0" xfId="8" applyFont="1" applyFill="1" applyBorder="1" applyAlignment="1">
      <alignment horizontal="right" vertical="center"/>
    </xf>
    <xf numFmtId="167" fontId="13" fillId="2" borderId="0" xfId="8" applyNumberFormat="1" applyFont="1" applyFill="1" applyBorder="1" applyAlignment="1">
      <alignment vertical="center"/>
    </xf>
    <xf numFmtId="2" fontId="13" fillId="2" borderId="0" xfId="8" applyNumberFormat="1" applyFont="1" applyFill="1" applyBorder="1" applyAlignment="1">
      <alignment vertical="center"/>
    </xf>
    <xf numFmtId="0" fontId="5" fillId="2" borderId="0" xfId="8" applyFont="1" applyFill="1" applyBorder="1" applyAlignment="1">
      <alignment horizontal="center" vertical="center" wrapText="1"/>
    </xf>
    <xf numFmtId="3" fontId="13" fillId="2" borderId="0" xfId="8" applyNumberFormat="1" applyFont="1" applyFill="1" applyAlignment="1">
      <alignment vertical="center"/>
    </xf>
    <xf numFmtId="0" fontId="13" fillId="2" borderId="0" xfId="8" applyFont="1" applyFill="1" applyAlignment="1">
      <alignment horizontal="center" vertical="center"/>
    </xf>
    <xf numFmtId="43" fontId="5" fillId="2" borderId="6" xfId="10" applyFont="1" applyFill="1" applyBorder="1" applyAlignment="1">
      <alignment vertical="center"/>
    </xf>
    <xf numFmtId="167" fontId="5" fillId="2" borderId="8" xfId="10" applyNumberFormat="1" applyFont="1" applyFill="1" applyBorder="1" applyAlignment="1">
      <alignment vertical="center"/>
    </xf>
    <xf numFmtId="43" fontId="5" fillId="2" borderId="20" xfId="10" applyFont="1" applyFill="1" applyBorder="1" applyAlignment="1">
      <alignment vertical="center"/>
    </xf>
    <xf numFmtId="43" fontId="5" fillId="2" borderId="8" xfId="10" applyFont="1" applyFill="1" applyBorder="1" applyAlignment="1">
      <alignment vertical="center"/>
    </xf>
    <xf numFmtId="3" fontId="5" fillId="0" borderId="8" xfId="8" applyNumberFormat="1" applyFont="1" applyFill="1" applyBorder="1" applyAlignment="1">
      <alignment horizontal="right" vertical="center"/>
    </xf>
    <xf numFmtId="0" fontId="5" fillId="2" borderId="8" xfId="8" applyFont="1" applyFill="1" applyBorder="1" applyAlignment="1">
      <alignment vertical="center"/>
    </xf>
    <xf numFmtId="9" fontId="5" fillId="2" borderId="8" xfId="9" applyFont="1" applyFill="1" applyBorder="1" applyAlignment="1">
      <alignment horizontal="right" vertical="center"/>
    </xf>
    <xf numFmtId="3" fontId="5" fillId="0" borderId="20" xfId="8" applyNumberFormat="1" applyFont="1" applyFill="1" applyBorder="1" applyAlignment="1">
      <alignment horizontal="right" vertical="center"/>
    </xf>
    <xf numFmtId="0" fontId="47" fillId="4" borderId="7" xfId="11" applyFont="1" applyFill="1" applyBorder="1" applyAlignment="1">
      <alignment vertical="center" wrapText="1"/>
    </xf>
    <xf numFmtId="3" fontId="5" fillId="4" borderId="8" xfId="8" applyNumberFormat="1" applyFont="1" applyFill="1" applyBorder="1" applyAlignment="1">
      <alignment horizontal="right" vertical="center"/>
    </xf>
    <xf numFmtId="9" fontId="5" fillId="4" borderId="8" xfId="9" applyFont="1" applyFill="1" applyBorder="1" applyAlignment="1">
      <alignment horizontal="right" vertical="center"/>
    </xf>
    <xf numFmtId="167" fontId="5" fillId="4" borderId="8" xfId="10" applyNumberFormat="1" applyFont="1" applyFill="1" applyBorder="1" applyAlignment="1">
      <alignment vertical="center"/>
    </xf>
    <xf numFmtId="3" fontId="13" fillId="0" borderId="7" xfId="8" applyNumberFormat="1" applyFont="1" applyFill="1" applyBorder="1" applyAlignment="1">
      <alignment horizontal="right" vertical="center"/>
    </xf>
    <xf numFmtId="9" fontId="13" fillId="2" borderId="7" xfId="9" applyFont="1" applyFill="1" applyBorder="1" applyAlignment="1">
      <alignment horizontal="right" vertical="center"/>
    </xf>
    <xf numFmtId="3" fontId="13" fillId="2" borderId="7" xfId="8" applyNumberFormat="1" applyFont="1" applyFill="1" applyBorder="1" applyAlignment="1">
      <alignment vertical="center"/>
    </xf>
    <xf numFmtId="43" fontId="13" fillId="2" borderId="7" xfId="10" applyFont="1" applyFill="1" applyBorder="1" applyAlignment="1">
      <alignment vertical="center"/>
    </xf>
    <xf numFmtId="167" fontId="13" fillId="2" borderId="15" xfId="10" applyNumberFormat="1" applyFont="1" applyFill="1" applyBorder="1" applyAlignment="1">
      <alignment vertical="center"/>
    </xf>
    <xf numFmtId="3" fontId="13" fillId="0" borderId="8" xfId="8" applyNumberFormat="1" applyFont="1" applyFill="1" applyBorder="1" applyAlignment="1">
      <alignment horizontal="right" vertical="center"/>
    </xf>
    <xf numFmtId="43" fontId="13" fillId="2" borderId="8" xfId="10" applyFont="1" applyFill="1" applyBorder="1" applyAlignment="1">
      <alignment vertical="center"/>
    </xf>
    <xf numFmtId="167" fontId="13" fillId="2" borderId="8" xfId="10" applyNumberFormat="1" applyFont="1" applyFill="1" applyBorder="1" applyAlignment="1">
      <alignment vertical="center"/>
    </xf>
    <xf numFmtId="43" fontId="13" fillId="2" borderId="20" xfId="10" applyFont="1" applyFill="1" applyBorder="1" applyAlignment="1">
      <alignment vertical="center"/>
    </xf>
    <xf numFmtId="43" fontId="13" fillId="2" borderId="15" xfId="10" applyFont="1" applyFill="1" applyBorder="1" applyAlignment="1">
      <alignment vertical="center"/>
    </xf>
    <xf numFmtId="3" fontId="12" fillId="2" borderId="15" xfId="8" applyNumberFormat="1" applyFont="1" applyFill="1" applyBorder="1" applyAlignment="1">
      <alignment vertical="center"/>
    </xf>
    <xf numFmtId="0" fontId="13" fillId="2" borderId="7" xfId="8" applyFont="1" applyFill="1" applyBorder="1" applyAlignment="1">
      <alignment vertical="center"/>
    </xf>
    <xf numFmtId="0" fontId="7" fillId="2" borderId="7" xfId="8" quotePrefix="1" applyFont="1" applyFill="1" applyBorder="1" applyAlignment="1">
      <alignment horizontal="left" vertical="center"/>
    </xf>
    <xf numFmtId="3" fontId="7" fillId="0" borderId="7" xfId="8" applyNumberFormat="1" applyFont="1" applyFill="1" applyBorder="1" applyAlignment="1">
      <alignment horizontal="right" vertical="center"/>
    </xf>
    <xf numFmtId="9" fontId="7" fillId="2" borderId="7" xfId="9" applyFont="1" applyFill="1" applyBorder="1" applyAlignment="1">
      <alignment horizontal="right" vertical="center"/>
    </xf>
    <xf numFmtId="3" fontId="7" fillId="2" borderId="7" xfId="8" applyNumberFormat="1" applyFont="1" applyFill="1" applyBorder="1" applyAlignment="1">
      <alignment vertical="center"/>
    </xf>
    <xf numFmtId="43" fontId="7" fillId="2" borderId="7" xfId="10" applyFont="1" applyFill="1" applyBorder="1" applyAlignment="1">
      <alignment vertical="center"/>
    </xf>
    <xf numFmtId="167" fontId="7" fillId="2" borderId="15" xfId="10" applyNumberFormat="1" applyFont="1" applyFill="1" applyBorder="1" applyAlignment="1">
      <alignment vertical="center"/>
    </xf>
    <xf numFmtId="43" fontId="7" fillId="2" borderId="15" xfId="10" applyFont="1" applyFill="1" applyBorder="1" applyAlignment="1">
      <alignment vertical="center"/>
    </xf>
    <xf numFmtId="3" fontId="7" fillId="2" borderId="15" xfId="8" applyNumberFormat="1" applyFont="1" applyFill="1" applyBorder="1" applyAlignment="1">
      <alignment vertical="center"/>
    </xf>
    <xf numFmtId="0" fontId="7" fillId="2" borderId="0" xfId="8" applyFont="1" applyFill="1" applyAlignment="1">
      <alignment vertical="center"/>
    </xf>
    <xf numFmtId="0" fontId="48" fillId="0" borderId="7" xfId="11" applyFont="1" applyBorder="1" applyAlignment="1">
      <alignment vertical="center" wrapText="1"/>
    </xf>
    <xf numFmtId="3" fontId="28" fillId="0" borderId="7" xfId="8" applyNumberFormat="1" applyFont="1" applyFill="1" applyBorder="1" applyAlignment="1">
      <alignment horizontal="right" vertical="center"/>
    </xf>
    <xf numFmtId="9" fontId="28" fillId="2" borderId="7" xfId="9" applyFont="1" applyFill="1" applyBorder="1" applyAlignment="1">
      <alignment horizontal="right" vertical="center"/>
    </xf>
    <xf numFmtId="3" fontId="28" fillId="2" borderId="7" xfId="8" applyNumberFormat="1" applyFont="1" applyFill="1" applyBorder="1" applyAlignment="1">
      <alignment vertical="center"/>
    </xf>
    <xf numFmtId="43" fontId="28" fillId="2" borderId="7" xfId="10" applyFont="1" applyFill="1" applyBorder="1" applyAlignment="1">
      <alignment vertical="center"/>
    </xf>
    <xf numFmtId="167" fontId="28" fillId="2" borderId="15" xfId="10" applyNumberFormat="1" applyFont="1" applyFill="1" applyBorder="1" applyAlignment="1">
      <alignment vertical="center"/>
    </xf>
    <xf numFmtId="0" fontId="49" fillId="0" borderId="7" xfId="11" applyFont="1" applyBorder="1" applyAlignment="1">
      <alignment vertical="center" wrapText="1"/>
    </xf>
    <xf numFmtId="3" fontId="13" fillId="2" borderId="15" xfId="8" applyNumberFormat="1" applyFont="1" applyFill="1" applyBorder="1" applyAlignment="1">
      <alignment vertical="center"/>
    </xf>
    <xf numFmtId="49" fontId="7" fillId="2" borderId="7" xfId="8" applyNumberFormat="1" applyFont="1" applyFill="1" applyBorder="1" applyAlignment="1">
      <alignment horizontal="left" vertical="center"/>
    </xf>
    <xf numFmtId="3" fontId="27" fillId="0" borderId="7" xfId="8" applyNumberFormat="1" applyFont="1" applyFill="1" applyBorder="1" applyAlignment="1">
      <alignment horizontal="right" vertical="center"/>
    </xf>
    <xf numFmtId="9" fontId="27" fillId="2" borderId="7" xfId="9" applyFont="1" applyFill="1" applyBorder="1" applyAlignment="1">
      <alignment horizontal="right" vertical="center"/>
    </xf>
    <xf numFmtId="3" fontId="27" fillId="2" borderId="7" xfId="8" applyNumberFormat="1" applyFont="1" applyFill="1" applyBorder="1" applyAlignment="1">
      <alignment vertical="center"/>
    </xf>
    <xf numFmtId="43" fontId="27" fillId="2" borderId="7" xfId="10" applyFont="1" applyFill="1" applyBorder="1" applyAlignment="1">
      <alignment vertical="center"/>
    </xf>
    <xf numFmtId="167" fontId="27" fillId="2" borderId="15" xfId="10" applyNumberFormat="1" applyFont="1" applyFill="1" applyBorder="1" applyAlignment="1">
      <alignment vertical="center"/>
    </xf>
    <xf numFmtId="3" fontId="22" fillId="2" borderId="15" xfId="8" applyNumberFormat="1" applyFont="1" applyFill="1" applyBorder="1" applyAlignment="1">
      <alignment vertical="center"/>
    </xf>
    <xf numFmtId="43" fontId="7" fillId="2" borderId="0" xfId="10" applyFont="1" applyFill="1" applyAlignment="1">
      <alignment vertical="center"/>
    </xf>
    <xf numFmtId="167" fontId="13" fillId="2" borderId="0" xfId="8" applyNumberFormat="1" applyFont="1" applyFill="1" applyAlignment="1">
      <alignment vertical="center"/>
    </xf>
    <xf numFmtId="43" fontId="13" fillId="2" borderId="0" xfId="8" applyNumberFormat="1" applyFont="1" applyFill="1" applyAlignment="1">
      <alignment vertical="center"/>
    </xf>
    <xf numFmtId="0" fontId="49" fillId="0" borderId="7" xfId="11" quotePrefix="1" applyFont="1" applyBorder="1" applyAlignment="1">
      <alignment vertical="center" wrapText="1"/>
    </xf>
    <xf numFmtId="0" fontId="48" fillId="0" borderId="7" xfId="11" quotePrefix="1" applyFont="1" applyBorder="1" applyAlignment="1">
      <alignment vertical="center" wrapText="1"/>
    </xf>
    <xf numFmtId="43" fontId="28" fillId="2" borderId="15" xfId="10" applyFont="1" applyFill="1" applyBorder="1" applyAlignment="1">
      <alignment vertical="center"/>
    </xf>
    <xf numFmtId="3" fontId="28" fillId="2" borderId="15" xfId="8" applyNumberFormat="1" applyFont="1" applyFill="1" applyBorder="1" applyAlignment="1">
      <alignment vertical="center"/>
    </xf>
    <xf numFmtId="0" fontId="28" fillId="2" borderId="0" xfId="8" applyFont="1" applyFill="1" applyAlignment="1">
      <alignment vertical="center"/>
    </xf>
    <xf numFmtId="0" fontId="50" fillId="0" borderId="7" xfId="11" applyFont="1" applyBorder="1" applyAlignment="1">
      <alignment vertical="center" wrapText="1"/>
    </xf>
    <xf numFmtId="0" fontId="5" fillId="2" borderId="7" xfId="8" applyFont="1" applyFill="1" applyBorder="1" applyAlignment="1">
      <alignment vertical="center"/>
    </xf>
    <xf numFmtId="3" fontId="5" fillId="0" borderId="7" xfId="8" applyNumberFormat="1" applyFont="1" applyFill="1" applyBorder="1" applyAlignment="1">
      <alignment vertical="center"/>
    </xf>
    <xf numFmtId="9" fontId="5" fillId="2" borderId="7" xfId="9" applyFont="1" applyFill="1" applyBorder="1" applyAlignment="1">
      <alignment horizontal="right" vertical="center"/>
    </xf>
    <xf numFmtId="3" fontId="5" fillId="2" borderId="7" xfId="8" applyNumberFormat="1" applyFont="1" applyFill="1" applyBorder="1" applyAlignment="1">
      <alignment vertical="center"/>
    </xf>
    <xf numFmtId="43" fontId="5" fillId="2" borderId="7" xfId="10" applyFont="1" applyFill="1" applyBorder="1" applyAlignment="1">
      <alignment vertical="center"/>
    </xf>
    <xf numFmtId="167" fontId="5" fillId="2" borderId="15" xfId="10" applyNumberFormat="1" applyFont="1" applyFill="1" applyBorder="1" applyAlignment="1">
      <alignment vertical="center"/>
    </xf>
    <xf numFmtId="43" fontId="5" fillId="2" borderId="15" xfId="10" applyFont="1" applyFill="1" applyBorder="1" applyAlignment="1">
      <alignment vertical="center"/>
    </xf>
    <xf numFmtId="3" fontId="41" fillId="2" borderId="15" xfId="8" applyNumberFormat="1" applyFont="1" applyFill="1" applyBorder="1" applyAlignment="1">
      <alignment vertical="center"/>
    </xf>
    <xf numFmtId="0" fontId="5" fillId="2" borderId="0" xfId="8" applyFont="1" applyFill="1" applyAlignment="1">
      <alignment vertical="center"/>
    </xf>
    <xf numFmtId="0" fontId="13" fillId="2" borderId="7" xfId="8" quotePrefix="1" applyFont="1" applyFill="1" applyBorder="1" applyAlignment="1">
      <alignment horizontal="left" vertical="center"/>
    </xf>
    <xf numFmtId="3" fontId="13" fillId="0" borderId="7" xfId="8" applyNumberFormat="1" applyFont="1" applyFill="1" applyBorder="1" applyAlignment="1">
      <alignment vertical="center"/>
    </xf>
    <xf numFmtId="0" fontId="5" fillId="2" borderId="7" xfId="8" applyFont="1" applyFill="1" applyBorder="1" applyAlignment="1">
      <alignment horizontal="left" vertical="center"/>
    </xf>
    <xf numFmtId="0" fontId="5" fillId="0" borderId="17" xfId="8" applyFont="1" applyFill="1" applyBorder="1" applyAlignment="1">
      <alignment vertical="center" wrapText="1"/>
    </xf>
    <xf numFmtId="3" fontId="5" fillId="0" borderId="17" xfId="8" applyNumberFormat="1" applyFont="1" applyFill="1" applyBorder="1" applyAlignment="1">
      <alignment vertical="center"/>
    </xf>
    <xf numFmtId="43" fontId="5" fillId="2" borderId="17" xfId="10" applyFont="1" applyFill="1" applyBorder="1" applyAlignment="1">
      <alignment vertical="center"/>
    </xf>
    <xf numFmtId="43" fontId="5" fillId="2" borderId="9" xfId="10" applyFont="1" applyFill="1" applyBorder="1" applyAlignment="1">
      <alignment vertical="center"/>
    </xf>
    <xf numFmtId="3" fontId="5" fillId="0" borderId="0" xfId="8" applyNumberFormat="1" applyFont="1" applyFill="1" applyBorder="1" applyAlignment="1">
      <alignment vertical="center"/>
    </xf>
    <xf numFmtId="0" fontId="5" fillId="0" borderId="0" xfId="8" applyFont="1" applyFill="1" applyBorder="1" applyAlignment="1">
      <alignment vertical="center"/>
    </xf>
    <xf numFmtId="167" fontId="13" fillId="0" borderId="0" xfId="8" applyNumberFormat="1" applyFont="1" applyFill="1" applyBorder="1" applyAlignment="1">
      <alignment horizontal="left" vertical="center" wrapText="1"/>
    </xf>
    <xf numFmtId="3" fontId="13" fillId="0" borderId="0" xfId="8" applyNumberFormat="1" applyFont="1" applyFill="1" applyBorder="1" applyAlignment="1">
      <alignment horizontal="left" vertical="center" wrapText="1"/>
    </xf>
    <xf numFmtId="3" fontId="13" fillId="0" borderId="0" xfId="8" applyNumberFormat="1" applyFont="1" applyFill="1" applyBorder="1" applyAlignment="1">
      <alignment vertical="center"/>
    </xf>
    <xf numFmtId="167" fontId="13" fillId="0" borderId="0" xfId="10" applyNumberFormat="1" applyFont="1" applyFill="1" applyBorder="1" applyAlignment="1">
      <alignment horizontal="left" vertical="center" wrapText="1"/>
    </xf>
    <xf numFmtId="167" fontId="5" fillId="0" borderId="0" xfId="8" applyNumberFormat="1" applyFont="1" applyFill="1" applyBorder="1" applyAlignment="1">
      <alignment vertical="center"/>
    </xf>
    <xf numFmtId="0" fontId="13" fillId="0" borderId="0" xfId="8" applyFont="1" applyFill="1" applyBorder="1" applyAlignment="1">
      <alignment vertical="center"/>
    </xf>
    <xf numFmtId="0" fontId="13" fillId="0" borderId="0" xfId="8" applyFont="1" applyFill="1" applyBorder="1" applyAlignment="1">
      <alignment horizontal="left" vertical="center" wrapText="1"/>
    </xf>
    <xf numFmtId="167" fontId="13" fillId="0" borderId="0" xfId="10" applyNumberFormat="1" applyFont="1" applyFill="1" applyBorder="1" applyAlignment="1">
      <alignment vertical="center"/>
    </xf>
    <xf numFmtId="0" fontId="51" fillId="0" borderId="0" xfId="8" applyFont="1" applyFill="1" applyBorder="1" applyAlignment="1">
      <alignment vertical="center"/>
    </xf>
    <xf numFmtId="3" fontId="51" fillId="0" borderId="0" xfId="8" applyNumberFormat="1" applyFont="1" applyFill="1" applyBorder="1" applyAlignment="1">
      <alignment vertical="center"/>
    </xf>
    <xf numFmtId="167" fontId="51" fillId="0" borderId="0" xfId="8" applyNumberFormat="1" applyFont="1" applyFill="1" applyBorder="1" applyAlignment="1">
      <alignment vertical="center"/>
    </xf>
    <xf numFmtId="167" fontId="13" fillId="0" borderId="0" xfId="10" applyNumberFormat="1" applyFont="1" applyFill="1" applyAlignment="1">
      <alignment vertical="center"/>
    </xf>
    <xf numFmtId="3" fontId="13" fillId="0" borderId="0" xfId="8" applyNumberFormat="1" applyFont="1" applyFill="1" applyAlignment="1">
      <alignment vertical="center"/>
    </xf>
    <xf numFmtId="0" fontId="13" fillId="0" borderId="0" xfId="8" applyFont="1" applyFill="1" applyAlignment="1">
      <alignment vertical="center"/>
    </xf>
    <xf numFmtId="0" fontId="5" fillId="2" borderId="0" xfId="8" applyFont="1" applyFill="1" applyBorder="1" applyAlignment="1">
      <alignment vertical="center"/>
    </xf>
    <xf numFmtId="167" fontId="94" fillId="0" borderId="7" xfId="1" applyNumberFormat="1" applyFont="1" applyFill="1" applyBorder="1"/>
    <xf numFmtId="0" fontId="0" fillId="3" borderId="0" xfId="0" applyFill="1"/>
    <xf numFmtId="166" fontId="0" fillId="3" borderId="0" xfId="0" applyNumberFormat="1" applyFill="1"/>
    <xf numFmtId="0" fontId="13" fillId="0" borderId="0" xfId="0" quotePrefix="1" applyFont="1" applyAlignment="1">
      <alignment vertical="center"/>
    </xf>
    <xf numFmtId="195" fontId="11" fillId="2" borderId="7" xfId="2" applyNumberFormat="1" applyFont="1" applyFill="1" applyBorder="1" applyAlignment="1">
      <alignment vertical="center"/>
    </xf>
    <xf numFmtId="166" fontId="5" fillId="27" borderId="7" xfId="2" applyNumberFormat="1" applyFont="1" applyFill="1" applyBorder="1" applyAlignment="1">
      <alignment vertical="center"/>
    </xf>
    <xf numFmtId="0" fontId="18" fillId="4" borderId="7" xfId="2" applyNumberFormat="1" applyFont="1" applyFill="1" applyBorder="1" applyAlignment="1">
      <alignment horizontal="center" vertical="center"/>
    </xf>
    <xf numFmtId="166" fontId="5" fillId="4" borderId="7" xfId="2" applyNumberFormat="1" applyFont="1" applyFill="1" applyBorder="1" applyAlignment="1">
      <alignment vertical="center"/>
    </xf>
    <xf numFmtId="3" fontId="5" fillId="4" borderId="7" xfId="2" applyNumberFormat="1" applyFont="1" applyFill="1" applyBorder="1" applyAlignment="1">
      <alignment vertical="center"/>
    </xf>
    <xf numFmtId="43" fontId="24" fillId="4" borderId="7" xfId="1" applyNumberFormat="1" applyFont="1" applyFill="1" applyBorder="1" applyAlignment="1">
      <alignment horizontal="center" vertical="center"/>
    </xf>
    <xf numFmtId="0" fontId="10" fillId="4" borderId="7" xfId="2" applyFont="1" applyFill="1" applyBorder="1" applyAlignment="1">
      <alignment horizontal="left" vertical="center"/>
    </xf>
    <xf numFmtId="166" fontId="11" fillId="4" borderId="7" xfId="2" applyNumberFormat="1" applyFont="1" applyFill="1" applyBorder="1" applyAlignment="1">
      <alignment vertical="center"/>
    </xf>
    <xf numFmtId="43" fontId="37" fillId="0" borderId="0" xfId="1" applyFont="1"/>
    <xf numFmtId="43" fontId="37" fillId="0" borderId="0" xfId="0" applyNumberFormat="1" applyFont="1"/>
    <xf numFmtId="166" fontId="15" fillId="3" borderId="7" xfId="2" applyNumberFormat="1" applyFont="1" applyFill="1" applyBorder="1" applyAlignment="1">
      <alignment vertical="center"/>
    </xf>
    <xf numFmtId="167" fontId="5" fillId="0" borderId="15" xfId="6" applyNumberFormat="1" applyFont="1" applyFill="1" applyBorder="1" applyAlignment="1">
      <alignment horizontal="center" vertical="center"/>
    </xf>
    <xf numFmtId="167" fontId="5" fillId="0" borderId="7" xfId="6" applyNumberFormat="1" applyFont="1" applyFill="1" applyBorder="1" applyAlignment="1">
      <alignment horizontal="center" vertical="center"/>
    </xf>
    <xf numFmtId="0" fontId="5" fillId="0" borderId="0" xfId="6" applyFont="1" applyFill="1" applyBorder="1" applyAlignment="1">
      <alignment vertical="center"/>
    </xf>
    <xf numFmtId="167" fontId="13" fillId="0" borderId="14" xfId="1" applyNumberFormat="1" applyFont="1" applyFill="1" applyBorder="1" applyAlignment="1">
      <alignment horizontal="center" vertical="center"/>
    </xf>
    <xf numFmtId="0" fontId="13" fillId="0" borderId="14" xfId="0" applyFont="1" applyFill="1" applyBorder="1" applyAlignment="1">
      <alignment vertical="center" wrapText="1"/>
    </xf>
    <xf numFmtId="169" fontId="5" fillId="0" borderId="15" xfId="6" applyNumberFormat="1" applyFont="1" applyFill="1" applyBorder="1" applyAlignment="1">
      <alignment vertical="center" wrapText="1"/>
    </xf>
    <xf numFmtId="169" fontId="5" fillId="0" borderId="7" xfId="6" applyNumberFormat="1" applyFont="1" applyFill="1" applyBorder="1" applyAlignment="1">
      <alignment vertical="center" wrapText="1"/>
    </xf>
    <xf numFmtId="167" fontId="13" fillId="0" borderId="16" xfId="1" applyNumberFormat="1" applyFont="1" applyFill="1" applyBorder="1" applyAlignment="1">
      <alignment horizontal="center" vertical="center"/>
    </xf>
    <xf numFmtId="0" fontId="95" fillId="0" borderId="0" xfId="0" applyFont="1"/>
    <xf numFmtId="0" fontId="5" fillId="28" borderId="14" xfId="6" applyFont="1" applyFill="1" applyBorder="1" applyAlignment="1">
      <alignment horizontal="center" vertical="center"/>
    </xf>
    <xf numFmtId="167" fontId="5" fillId="28" borderId="14" xfId="1" applyNumberFormat="1" applyFont="1" applyFill="1" applyBorder="1" applyAlignment="1">
      <alignment horizontal="center" vertical="center" wrapText="1"/>
    </xf>
    <xf numFmtId="167" fontId="5" fillId="28" borderId="14" xfId="6" applyNumberFormat="1" applyFont="1" applyFill="1" applyBorder="1" applyAlignment="1">
      <alignment horizontal="center" vertical="center"/>
    </xf>
    <xf numFmtId="0" fontId="5" fillId="3" borderId="14" xfId="6" applyFont="1" applyFill="1" applyBorder="1" applyAlignment="1">
      <alignment horizontal="center" vertical="center"/>
    </xf>
    <xf numFmtId="0" fontId="5" fillId="3" borderId="14" xfId="0" applyFont="1" applyFill="1" applyBorder="1" applyAlignment="1">
      <alignment horizontal="left" vertical="center" wrapText="1"/>
    </xf>
    <xf numFmtId="167" fontId="5" fillId="3" borderId="14" xfId="1" applyNumberFormat="1" applyFont="1" applyFill="1" applyBorder="1" applyAlignment="1">
      <alignment horizontal="center" vertical="center"/>
    </xf>
    <xf numFmtId="3" fontId="5" fillId="3" borderId="14" xfId="6" applyNumberFormat="1" applyFont="1" applyFill="1" applyBorder="1" applyAlignment="1">
      <alignment vertical="center" wrapText="1"/>
    </xf>
    <xf numFmtId="0" fontId="13" fillId="0" borderId="33" xfId="6" applyFont="1" applyFill="1" applyBorder="1" applyAlignment="1">
      <alignment horizontal="center" vertical="center"/>
    </xf>
    <xf numFmtId="0" fontId="13" fillId="0" borderId="33" xfId="6" applyFont="1" applyFill="1" applyBorder="1" applyAlignment="1">
      <alignment horizontal="center" vertical="center" wrapText="1"/>
    </xf>
    <xf numFmtId="0" fontId="5" fillId="29" borderId="32" xfId="6" applyNumberFormat="1" applyFont="1" applyFill="1" applyBorder="1" applyAlignment="1">
      <alignment horizontal="center" vertical="center"/>
    </xf>
    <xf numFmtId="0" fontId="5" fillId="29" borderId="32" xfId="6" applyNumberFormat="1" applyFont="1" applyFill="1" applyBorder="1" applyAlignment="1">
      <alignment horizontal="center" vertical="center" wrapText="1"/>
    </xf>
    <xf numFmtId="0" fontId="13" fillId="0" borderId="0" xfId="147" applyFont="1" applyFill="1" applyAlignment="1">
      <alignment horizontal="center" vertical="center"/>
    </xf>
    <xf numFmtId="0" fontId="13" fillId="0" borderId="0" xfId="147" applyFont="1" applyFill="1" applyAlignment="1">
      <alignment horizontal="left" vertical="center"/>
    </xf>
    <xf numFmtId="0" fontId="13" fillId="0" borderId="0" xfId="147" applyFont="1" applyFill="1" applyAlignment="1">
      <alignment vertical="center"/>
    </xf>
    <xf numFmtId="0" fontId="13" fillId="0" borderId="0" xfId="147" applyFont="1" applyFill="1" applyBorder="1" applyAlignment="1">
      <alignment vertical="center"/>
    </xf>
    <xf numFmtId="0" fontId="95" fillId="0" borderId="0" xfId="147" applyFont="1" applyFill="1" applyAlignment="1">
      <alignment vertical="center"/>
    </xf>
    <xf numFmtId="0" fontId="5" fillId="0" borderId="0" xfId="147" applyFont="1" applyFill="1" applyAlignment="1">
      <alignment horizontal="center" vertical="center"/>
    </xf>
    <xf numFmtId="0" fontId="5" fillId="0" borderId="0" xfId="147" applyFont="1" applyFill="1" applyAlignment="1">
      <alignment horizontal="left" vertical="center"/>
    </xf>
    <xf numFmtId="0" fontId="13" fillId="0" borderId="0" xfId="148" applyFont="1" applyFill="1" applyAlignment="1">
      <alignment horizontal="center" vertical="center"/>
    </xf>
    <xf numFmtId="0" fontId="99" fillId="0" borderId="0" xfId="147" applyFont="1" applyFill="1" applyAlignment="1">
      <alignment vertical="center"/>
    </xf>
    <xf numFmtId="0" fontId="100" fillId="0" borderId="1" xfId="147" applyNumberFormat="1" applyFont="1" applyFill="1" applyBorder="1" applyAlignment="1">
      <alignment vertical="center"/>
    </xf>
    <xf numFmtId="0" fontId="9" fillId="0" borderId="0" xfId="147" applyFont="1" applyFill="1" applyAlignment="1">
      <alignment vertical="center"/>
    </xf>
    <xf numFmtId="0" fontId="30" fillId="0" borderId="34" xfId="147" applyNumberFormat="1" applyFont="1" applyFill="1" applyBorder="1" applyAlignment="1" applyProtection="1">
      <alignment horizontal="center" vertical="center" wrapText="1"/>
    </xf>
    <xf numFmtId="0" fontId="30" fillId="0" borderId="34" xfId="147" applyNumberFormat="1" applyFont="1" applyFill="1" applyBorder="1" applyAlignment="1" applyProtection="1">
      <alignment horizontal="center" vertical="center"/>
    </xf>
    <xf numFmtId="0" fontId="30" fillId="0" borderId="34" xfId="147" applyFont="1" applyFill="1" applyBorder="1" applyAlignment="1" applyProtection="1">
      <alignment horizontal="center" vertical="center" wrapText="1"/>
    </xf>
    <xf numFmtId="0" fontId="30" fillId="0" borderId="34" xfId="149" applyNumberFormat="1" applyFont="1" applyFill="1" applyBorder="1" applyAlignment="1" applyProtection="1">
      <alignment horizontal="center" vertical="center" wrapText="1"/>
    </xf>
    <xf numFmtId="0" fontId="9" fillId="0" borderId="0" xfId="147" applyFont="1" applyFill="1" applyAlignment="1">
      <alignment horizontal="center" vertical="center"/>
    </xf>
    <xf numFmtId="0" fontId="31" fillId="0" borderId="34" xfId="147" applyFont="1" applyFill="1" applyBorder="1" applyAlignment="1">
      <alignment horizontal="center" vertical="center"/>
    </xf>
    <xf numFmtId="0" fontId="31" fillId="0" borderId="34" xfId="147" applyFont="1" applyFill="1" applyBorder="1" applyAlignment="1" applyProtection="1">
      <alignment horizontal="center" vertical="center"/>
    </xf>
    <xf numFmtId="0" fontId="31" fillId="0" borderId="0" xfId="147" applyFont="1" applyFill="1" applyAlignment="1">
      <alignment vertical="center"/>
    </xf>
    <xf numFmtId="0" fontId="101" fillId="0" borderId="6" xfId="147" applyFont="1" applyFill="1" applyBorder="1" applyAlignment="1">
      <alignment horizontal="center"/>
    </xf>
    <xf numFmtId="0" fontId="101" fillId="0" borderId="6" xfId="147" applyFont="1" applyFill="1" applyBorder="1" applyAlignment="1" applyProtection="1">
      <alignment horizontal="center"/>
    </xf>
    <xf numFmtId="41" fontId="11" fillId="0" borderId="6" xfId="150" applyNumberFormat="1" applyFont="1" applyFill="1" applyBorder="1" applyAlignment="1" applyProtection="1">
      <alignment horizontal="right" wrapText="1"/>
    </xf>
    <xf numFmtId="0" fontId="101" fillId="0" borderId="7" xfId="147" applyFont="1" applyFill="1" applyBorder="1" applyAlignment="1">
      <alignment horizontal="center"/>
    </xf>
    <xf numFmtId="0" fontId="101" fillId="0" borderId="7" xfId="147" applyFont="1" applyFill="1" applyBorder="1" applyAlignment="1" applyProtection="1">
      <alignment horizontal="center"/>
    </xf>
    <xf numFmtId="41" fontId="11" fillId="0" borderId="7" xfId="150" applyNumberFormat="1" applyFont="1" applyFill="1" applyBorder="1" applyAlignment="1" applyProtection="1">
      <alignment horizontal="right" wrapText="1"/>
    </xf>
    <xf numFmtId="196" fontId="103" fillId="0" borderId="7" xfId="147" applyNumberFormat="1" applyFont="1" applyFill="1" applyBorder="1" applyAlignment="1" applyProtection="1">
      <alignment horizontal="center"/>
    </xf>
    <xf numFmtId="0" fontId="103" fillId="0" borderId="7" xfId="147" applyNumberFormat="1" applyFont="1" applyFill="1" applyBorder="1" applyAlignment="1" applyProtection="1">
      <alignment horizontal="left"/>
    </xf>
    <xf numFmtId="41" fontId="5" fillId="0" borderId="7" xfId="151" applyNumberFormat="1" applyFont="1" applyFill="1" applyBorder="1" applyAlignment="1" applyProtection="1">
      <alignment vertical="center"/>
    </xf>
    <xf numFmtId="0" fontId="105" fillId="0" borderId="0" xfId="147" applyFont="1" applyFill="1" applyAlignment="1">
      <alignment vertical="center"/>
    </xf>
    <xf numFmtId="196" fontId="106" fillId="0" borderId="7" xfId="147" applyNumberFormat="1" applyFont="1" applyFill="1" applyBorder="1" applyAlignment="1" applyProtection="1">
      <alignment horizontal="center"/>
    </xf>
    <xf numFmtId="0" fontId="106" fillId="0" borderId="7" xfId="147" applyNumberFormat="1" applyFont="1" applyFill="1" applyBorder="1" applyAlignment="1" applyProtection="1">
      <alignment horizontal="left"/>
    </xf>
    <xf numFmtId="41" fontId="40" fillId="0" borderId="7" xfId="150" applyNumberFormat="1" applyFont="1" applyFill="1" applyBorder="1" applyAlignment="1" applyProtection="1">
      <alignment horizontal="right" wrapText="1"/>
    </xf>
    <xf numFmtId="0" fontId="107" fillId="0" borderId="0" xfId="147" applyFont="1" applyFill="1" applyAlignment="1">
      <alignment vertical="center"/>
    </xf>
    <xf numFmtId="196" fontId="108" fillId="0" borderId="7" xfId="147" applyNumberFormat="1" applyFont="1" applyFill="1" applyBorder="1" applyAlignment="1" applyProtection="1">
      <alignment horizontal="center"/>
    </xf>
    <xf numFmtId="0" fontId="108" fillId="0" borderId="7" xfId="147" applyNumberFormat="1" applyFont="1" applyFill="1" applyBorder="1" applyAlignment="1" applyProtection="1">
      <alignment horizontal="left"/>
    </xf>
    <xf numFmtId="41" fontId="13" fillId="0" borderId="7" xfId="151" applyNumberFormat="1" applyFont="1" applyFill="1" applyBorder="1" applyAlignment="1" applyProtection="1">
      <alignment vertical="center"/>
    </xf>
    <xf numFmtId="41" fontId="13" fillId="0" borderId="7" xfId="151" applyNumberFormat="1" applyFont="1" applyFill="1" applyBorder="1" applyAlignment="1" applyProtection="1">
      <alignment horizontal="right" vertical="center"/>
    </xf>
    <xf numFmtId="41" fontId="31" fillId="0" borderId="7" xfId="147" applyNumberFormat="1" applyFont="1" applyFill="1" applyBorder="1" applyAlignment="1" applyProtection="1">
      <alignment horizontal="center" vertical="center"/>
    </xf>
    <xf numFmtId="41" fontId="31" fillId="0" borderId="7" xfId="147" applyNumberFormat="1" applyFont="1" applyFill="1" applyBorder="1" applyAlignment="1" applyProtection="1">
      <alignment horizontal="right" vertical="center"/>
    </xf>
    <xf numFmtId="41" fontId="13" fillId="0" borderId="7" xfId="147" applyNumberFormat="1" applyFont="1" applyFill="1" applyBorder="1" applyAlignment="1" applyProtection="1">
      <alignment vertical="center"/>
    </xf>
    <xf numFmtId="0" fontId="108" fillId="0" borderId="7" xfId="152" applyNumberFormat="1" applyFont="1" applyFill="1" applyBorder="1" applyAlignment="1" applyProtection="1">
      <alignment horizontal="left"/>
    </xf>
    <xf numFmtId="0" fontId="110" fillId="0" borderId="0" xfId="147" applyFont="1" applyFill="1" applyAlignment="1">
      <alignment vertical="center"/>
    </xf>
    <xf numFmtId="41" fontId="13" fillId="30" borderId="7" xfId="151" applyNumberFormat="1" applyFont="1" applyFill="1" applyBorder="1" applyAlignment="1" applyProtection="1">
      <alignment vertical="center"/>
    </xf>
    <xf numFmtId="0" fontId="111" fillId="0" borderId="0" xfId="147" applyFont="1" applyFill="1" applyAlignment="1">
      <alignment vertical="center"/>
    </xf>
    <xf numFmtId="196" fontId="35" fillId="0" borderId="7" xfId="147" applyNumberFormat="1" applyFont="1" applyFill="1" applyBorder="1" applyAlignment="1" applyProtection="1">
      <alignment horizontal="center"/>
    </xf>
    <xf numFmtId="0" fontId="35" fillId="0" borderId="7" xfId="147" applyNumberFormat="1" applyFont="1" applyFill="1" applyBorder="1" applyAlignment="1" applyProtection="1">
      <alignment horizontal="left"/>
    </xf>
    <xf numFmtId="41" fontId="7" fillId="0" borderId="7" xfId="150" applyNumberFormat="1" applyFont="1" applyFill="1" applyBorder="1" applyAlignment="1" applyProtection="1">
      <alignment horizontal="right" wrapText="1"/>
    </xf>
    <xf numFmtId="41" fontId="5" fillId="30" borderId="7" xfId="151" applyNumberFormat="1" applyFont="1" applyFill="1" applyBorder="1" applyAlignment="1" applyProtection="1">
      <alignment vertical="center"/>
    </xf>
    <xf numFmtId="41" fontId="40" fillId="0" borderId="7" xfId="151" applyNumberFormat="1" applyFont="1" applyFill="1" applyBorder="1" applyAlignment="1" applyProtection="1">
      <alignment vertical="center"/>
    </xf>
    <xf numFmtId="196" fontId="103" fillId="0" borderId="10" xfId="147" applyNumberFormat="1" applyFont="1" applyFill="1" applyBorder="1" applyAlignment="1" applyProtection="1">
      <alignment horizontal="center"/>
    </xf>
    <xf numFmtId="0" fontId="103" fillId="0" borderId="10" xfId="147" applyNumberFormat="1" applyFont="1" applyFill="1" applyBorder="1" applyAlignment="1" applyProtection="1">
      <alignment horizontal="left"/>
    </xf>
    <xf numFmtId="41" fontId="40" fillId="0" borderId="10" xfId="151" applyNumberFormat="1" applyFont="1" applyFill="1" applyBorder="1" applyAlignment="1" applyProtection="1">
      <alignment vertical="center"/>
    </xf>
    <xf numFmtId="0" fontId="112" fillId="0" borderId="0" xfId="147" applyFont="1" applyFill="1" applyAlignment="1">
      <alignment horizontal="center" vertical="center"/>
    </xf>
    <xf numFmtId="0" fontId="112" fillId="0" borderId="0" xfId="147" quotePrefix="1" applyFont="1" applyFill="1" applyAlignment="1">
      <alignment vertical="center"/>
    </xf>
    <xf numFmtId="0" fontId="113" fillId="0" borderId="0" xfId="147" applyFont="1" applyFill="1" applyAlignment="1">
      <alignment vertical="center"/>
    </xf>
    <xf numFmtId="0" fontId="112" fillId="0" borderId="0" xfId="147" applyFont="1" applyFill="1" applyAlignment="1">
      <alignment vertical="center"/>
    </xf>
    <xf numFmtId="37" fontId="114" fillId="0" borderId="0" xfId="147" applyNumberFormat="1" applyFont="1" applyFill="1" applyBorder="1" applyAlignment="1" applyProtection="1">
      <alignment vertical="center"/>
    </xf>
    <xf numFmtId="0" fontId="113" fillId="0" borderId="0" xfId="147" applyFont="1" applyFill="1" applyBorder="1" applyAlignment="1">
      <alignment vertical="center"/>
    </xf>
    <xf numFmtId="0" fontId="108" fillId="0" borderId="0" xfId="147" applyFont="1" applyFill="1" applyAlignment="1">
      <alignment vertical="center"/>
    </xf>
    <xf numFmtId="0" fontId="108" fillId="0" borderId="0" xfId="147" applyFont="1" applyFill="1" applyBorder="1" applyAlignment="1">
      <alignment vertical="center"/>
    </xf>
    <xf numFmtId="3" fontId="103" fillId="0" borderId="0" xfId="147" applyNumberFormat="1" applyFont="1" applyFill="1" applyAlignment="1">
      <alignment vertical="center"/>
    </xf>
    <xf numFmtId="0" fontId="115" fillId="0" borderId="0" xfId="147" applyFont="1" applyBorder="1" applyAlignment="1">
      <alignment horizontal="center" vertical="center"/>
    </xf>
    <xf numFmtId="0" fontId="116" fillId="0" borderId="0" xfId="147" applyFont="1" applyBorder="1" applyAlignment="1">
      <alignment horizontal="center" vertical="center"/>
    </xf>
    <xf numFmtId="43" fontId="0" fillId="0" borderId="0" xfId="0" applyNumberFormat="1"/>
    <xf numFmtId="167" fontId="13" fillId="3" borderId="14" xfId="6" applyNumberFormat="1" applyFont="1" applyFill="1" applyBorder="1" applyAlignment="1">
      <alignment vertical="center" wrapText="1"/>
    </xf>
    <xf numFmtId="3" fontId="0" fillId="0" borderId="0" xfId="0" applyNumberFormat="1"/>
    <xf numFmtId="166" fontId="118" fillId="2" borderId="7" xfId="2" applyNumberFormat="1" applyFont="1" applyFill="1" applyBorder="1" applyAlignment="1">
      <alignment vertical="center"/>
    </xf>
    <xf numFmtId="0" fontId="119" fillId="0" borderId="0" xfId="2" applyFont="1" applyAlignment="1">
      <alignment vertical="center"/>
    </xf>
    <xf numFmtId="166" fontId="119" fillId="2" borderId="7" xfId="2" applyNumberFormat="1" applyFont="1" applyFill="1" applyBorder="1" applyAlignment="1">
      <alignment vertical="center"/>
    </xf>
    <xf numFmtId="166" fontId="121" fillId="2" borderId="7" xfId="2" applyNumberFormat="1" applyFont="1" applyFill="1" applyBorder="1" applyAlignment="1">
      <alignment vertical="center"/>
    </xf>
    <xf numFmtId="167" fontId="122" fillId="0" borderId="7" xfId="6" applyNumberFormat="1" applyFont="1" applyFill="1" applyBorder="1" applyAlignment="1">
      <alignment vertical="center" wrapText="1"/>
    </xf>
    <xf numFmtId="166" fontId="122" fillId="2" borderId="7" xfId="2" applyNumberFormat="1" applyFont="1" applyFill="1" applyBorder="1" applyAlignment="1">
      <alignment vertical="center"/>
    </xf>
    <xf numFmtId="0" fontId="122" fillId="0" borderId="7" xfId="2" quotePrefix="1" applyNumberFormat="1" applyFont="1" applyBorder="1" applyAlignment="1">
      <alignment vertical="center"/>
    </xf>
    <xf numFmtId="0" fontId="122" fillId="0" borderId="7" xfId="2" applyNumberFormat="1" applyFont="1" applyBorder="1" applyAlignment="1">
      <alignment vertical="center"/>
    </xf>
    <xf numFmtId="166" fontId="122" fillId="0" borderId="7" xfId="2" applyNumberFormat="1" applyFont="1" applyFill="1" applyBorder="1" applyAlignment="1">
      <alignment vertical="center"/>
    </xf>
    <xf numFmtId="166" fontId="119" fillId="0" borderId="7" xfId="2" applyNumberFormat="1" applyFont="1" applyFill="1" applyBorder="1" applyAlignment="1">
      <alignment vertical="center"/>
    </xf>
    <xf numFmtId="166" fontId="122" fillId="0" borderId="7" xfId="1" applyNumberFormat="1" applyFont="1" applyFill="1" applyBorder="1" applyAlignment="1">
      <alignment vertical="center"/>
    </xf>
    <xf numFmtId="166" fontId="118" fillId="0" borderId="7" xfId="2" applyNumberFormat="1" applyFont="1" applyFill="1" applyBorder="1" applyAlignment="1">
      <alignment vertical="center"/>
    </xf>
    <xf numFmtId="166" fontId="119" fillId="0" borderId="7" xfId="1" applyNumberFormat="1" applyFont="1" applyFill="1" applyBorder="1" applyAlignment="1">
      <alignment vertical="center"/>
    </xf>
    <xf numFmtId="0" fontId="5" fillId="0" borderId="0" xfId="6" applyFont="1" applyFill="1" applyAlignment="1">
      <alignment horizontal="center" vertical="center"/>
    </xf>
    <xf numFmtId="0" fontId="3" fillId="0" borderId="0" xfId="2" applyFont="1" applyAlignment="1">
      <alignment horizontal="center" vertical="center"/>
    </xf>
    <xf numFmtId="0" fontId="13" fillId="0" borderId="0" xfId="148" applyFont="1" applyFill="1" applyAlignment="1">
      <alignment horizontal="center" vertical="center"/>
    </xf>
    <xf numFmtId="41" fontId="41" fillId="0" borderId="7" xfId="151" applyNumberFormat="1" applyFont="1" applyFill="1" applyBorder="1" applyAlignment="1" applyProtection="1">
      <alignment vertical="center"/>
    </xf>
    <xf numFmtId="41" fontId="44" fillId="0" borderId="7" xfId="151" applyNumberFormat="1" applyFont="1" applyFill="1" applyBorder="1" applyAlignment="1" applyProtection="1">
      <alignment vertical="center"/>
    </xf>
    <xf numFmtId="167" fontId="124" fillId="0" borderId="15" xfId="1" applyNumberFormat="1" applyFont="1" applyFill="1" applyBorder="1" applyAlignment="1">
      <alignment vertical="center"/>
    </xf>
    <xf numFmtId="167" fontId="124" fillId="0" borderId="7" xfId="1" applyNumberFormat="1" applyFont="1" applyFill="1" applyBorder="1" applyAlignment="1">
      <alignment vertical="center"/>
    </xf>
    <xf numFmtId="0" fontId="124" fillId="0" borderId="0" xfId="6" applyFont="1" applyFill="1" applyAlignment="1">
      <alignment vertical="center"/>
    </xf>
    <xf numFmtId="0" fontId="28" fillId="0" borderId="14" xfId="6" applyFont="1" applyFill="1" applyBorder="1" applyAlignment="1">
      <alignment horizontal="center" vertical="center"/>
    </xf>
    <xf numFmtId="0" fontId="28" fillId="0" borderId="14" xfId="0" applyFont="1" applyFill="1" applyBorder="1" applyAlignment="1">
      <alignment horizontal="left" vertical="center" wrapText="1"/>
    </xf>
    <xf numFmtId="167" fontId="28" fillId="0" borderId="14" xfId="1" applyNumberFormat="1" applyFont="1" applyFill="1" applyBorder="1" applyAlignment="1">
      <alignment horizontal="center" vertical="center"/>
    </xf>
    <xf numFmtId="167" fontId="28" fillId="0" borderId="14" xfId="6" applyNumberFormat="1" applyFont="1" applyFill="1" applyBorder="1" applyAlignment="1">
      <alignment vertical="center" wrapText="1"/>
    </xf>
    <xf numFmtId="0" fontId="41" fillId="0" borderId="14" xfId="0" applyFont="1" applyFill="1" applyBorder="1" applyAlignment="1">
      <alignment horizontal="left" vertical="center" wrapText="1"/>
    </xf>
    <xf numFmtId="167" fontId="41" fillId="0" borderId="14" xfId="1" applyNumberFormat="1" applyFont="1" applyFill="1" applyBorder="1" applyAlignment="1">
      <alignment horizontal="center" vertical="center"/>
    </xf>
    <xf numFmtId="167" fontId="41" fillId="0" borderId="14" xfId="6" applyNumberFormat="1" applyFont="1" applyFill="1" applyBorder="1" applyAlignment="1">
      <alignment vertical="center" wrapText="1"/>
    </xf>
    <xf numFmtId="0" fontId="124" fillId="0" borderId="0" xfId="6" applyFont="1" applyFill="1" applyAlignment="1">
      <alignment vertical="center" wrapText="1"/>
    </xf>
    <xf numFmtId="41" fontId="125" fillId="0" borderId="7" xfId="150" applyNumberFormat="1" applyFont="1" applyFill="1" applyBorder="1" applyAlignment="1" applyProtection="1">
      <alignment horizontal="right" wrapText="1"/>
    </xf>
    <xf numFmtId="0" fontId="7" fillId="0" borderId="7" xfId="2" quotePrefix="1" applyNumberFormat="1" applyFont="1" applyBorder="1" applyAlignment="1">
      <alignment vertical="center"/>
    </xf>
    <xf numFmtId="43" fontId="126" fillId="0" borderId="7" xfId="1" applyNumberFormat="1" applyFont="1" applyBorder="1" applyAlignment="1">
      <alignment horizontal="center" vertical="center"/>
    </xf>
    <xf numFmtId="0" fontId="127" fillId="0" borderId="0" xfId="0" applyFont="1"/>
    <xf numFmtId="0" fontId="128" fillId="0" borderId="0" xfId="2" applyFont="1" applyAlignment="1">
      <alignment vertical="center"/>
    </xf>
    <xf numFmtId="0" fontId="7" fillId="0" borderId="7" xfId="2" quotePrefix="1" applyNumberFormat="1" applyFont="1" applyBorder="1" applyAlignment="1">
      <alignment vertical="center" wrapText="1"/>
    </xf>
    <xf numFmtId="167" fontId="28" fillId="0" borderId="15" xfId="1" applyNumberFormat="1" applyFont="1" applyFill="1" applyBorder="1" applyAlignment="1">
      <alignment vertical="center"/>
    </xf>
    <xf numFmtId="167" fontId="28" fillId="0" borderId="7" xfId="1" applyNumberFormat="1" applyFont="1" applyFill="1" applyBorder="1" applyAlignment="1">
      <alignment vertical="center"/>
    </xf>
    <xf numFmtId="0" fontId="28" fillId="0" borderId="0" xfId="6" applyFont="1" applyFill="1" applyAlignment="1">
      <alignment vertical="center"/>
    </xf>
    <xf numFmtId="0" fontId="28" fillId="0" borderId="14" xfId="6" applyNumberFormat="1" applyFont="1" applyFill="1" applyBorder="1" applyAlignment="1">
      <alignment horizontal="left" vertical="center" wrapText="1"/>
    </xf>
    <xf numFmtId="0" fontId="28" fillId="0" borderId="14" xfId="6" applyFont="1" applyFill="1" applyBorder="1" applyAlignment="1">
      <alignment vertical="center"/>
    </xf>
    <xf numFmtId="166" fontId="27" fillId="0" borderId="7" xfId="2" applyNumberFormat="1" applyFont="1" applyFill="1" applyBorder="1" applyAlignment="1">
      <alignment vertical="center"/>
    </xf>
    <xf numFmtId="0" fontId="5" fillId="0" borderId="0" xfId="114" applyFont="1" applyAlignment="1">
      <alignment horizontal="centerContinuous"/>
    </xf>
    <xf numFmtId="0" fontId="5" fillId="0" borderId="0" xfId="114" applyFont="1" applyAlignment="1">
      <alignment horizontal="centerContinuous" wrapText="1"/>
    </xf>
    <xf numFmtId="0" fontId="13" fillId="0" borderId="0" xfId="114" applyFont="1" applyAlignment="1">
      <alignment horizontal="centerContinuous"/>
    </xf>
    <xf numFmtId="0" fontId="13" fillId="0" borderId="0" xfId="114" applyFont="1"/>
    <xf numFmtId="0" fontId="5" fillId="0" borderId="0" xfId="114" applyFont="1" applyAlignment="1">
      <alignment horizontal="center"/>
    </xf>
    <xf numFmtId="0" fontId="13" fillId="0" borderId="34" xfId="114" applyFont="1" applyBorder="1"/>
    <xf numFmtId="167" fontId="13" fillId="0" borderId="0" xfId="62" applyNumberFormat="1" applyFont="1" applyAlignment="1">
      <alignment horizontal="centerContinuous"/>
    </xf>
    <xf numFmtId="167" fontId="13" fillId="0" borderId="0" xfId="62" applyNumberFormat="1" applyFont="1"/>
    <xf numFmtId="167" fontId="5" fillId="0" borderId="0" xfId="62" applyNumberFormat="1" applyFont="1" applyAlignment="1">
      <alignment horizontal="center"/>
    </xf>
    <xf numFmtId="167" fontId="13" fillId="0" borderId="34" xfId="62" applyNumberFormat="1" applyFont="1" applyBorder="1"/>
    <xf numFmtId="167" fontId="5" fillId="0" borderId="34" xfId="62" applyNumberFormat="1" applyFont="1" applyBorder="1" applyAlignment="1">
      <alignment horizontal="center"/>
    </xf>
    <xf numFmtId="3" fontId="129" fillId="0" borderId="34" xfId="114" applyNumberFormat="1" applyFont="1" applyBorder="1" applyAlignment="1">
      <alignment horizontal="center"/>
    </xf>
    <xf numFmtId="3" fontId="13" fillId="0" borderId="0" xfId="114" applyNumberFormat="1" applyFont="1"/>
    <xf numFmtId="167" fontId="5" fillId="0" borderId="0" xfId="114" applyNumberFormat="1" applyFont="1" applyAlignment="1">
      <alignment horizontal="center"/>
    </xf>
    <xf numFmtId="0" fontId="5" fillId="0" borderId="0" xfId="114" applyFont="1" applyAlignment="1">
      <alignment horizontal="center" wrapText="1"/>
    </xf>
    <xf numFmtId="0" fontId="7" fillId="0" borderId="0" xfId="114" applyFont="1" applyAlignment="1">
      <alignment horizontal="left"/>
    </xf>
    <xf numFmtId="0" fontId="7" fillId="0" borderId="0" xfId="114" applyFont="1" applyBorder="1" applyAlignment="1"/>
    <xf numFmtId="0" fontId="5" fillId="3" borderId="0" xfId="114" applyFont="1" applyFill="1" applyBorder="1" applyAlignment="1">
      <alignment horizontal="center" vertical="center"/>
    </xf>
    <xf numFmtId="4" fontId="5" fillId="0" borderId="0" xfId="114" applyNumberFormat="1" applyFont="1" applyAlignment="1">
      <alignment vertical="center"/>
    </xf>
    <xf numFmtId="0" fontId="5" fillId="0" borderId="0" xfId="114" applyFont="1" applyAlignment="1">
      <alignment vertical="center"/>
    </xf>
    <xf numFmtId="0" fontId="5" fillId="27" borderId="34" xfId="114" applyFont="1" applyFill="1" applyBorder="1" applyAlignment="1">
      <alignment horizontal="center" vertical="center"/>
    </xf>
    <xf numFmtId="4" fontId="5" fillId="27" borderId="34" xfId="114" applyNumberFormat="1" applyFont="1" applyFill="1" applyBorder="1" applyAlignment="1">
      <alignment vertical="center"/>
    </xf>
    <xf numFmtId="0" fontId="5" fillId="31" borderId="34" xfId="114" applyFont="1" applyFill="1" applyBorder="1" applyAlignment="1">
      <alignment horizontal="center" vertical="center"/>
    </xf>
    <xf numFmtId="0" fontId="5" fillId="31" borderId="34" xfId="114" applyFont="1" applyFill="1" applyBorder="1" applyAlignment="1">
      <alignment vertical="center" wrapText="1"/>
    </xf>
    <xf numFmtId="3" fontId="5" fillId="31" borderId="34" xfId="114" applyNumberFormat="1" applyFont="1" applyFill="1" applyBorder="1" applyAlignment="1">
      <alignment vertical="center"/>
    </xf>
    <xf numFmtId="2" fontId="5" fillId="31" borderId="34" xfId="114" applyNumberFormat="1" applyFont="1" applyFill="1" applyBorder="1" applyAlignment="1">
      <alignment vertical="center"/>
    </xf>
    <xf numFmtId="0" fontId="13" fillId="4" borderId="7" xfId="114" applyFont="1" applyFill="1" applyBorder="1" applyAlignment="1">
      <alignment horizontal="center" vertical="center"/>
    </xf>
    <xf numFmtId="0" fontId="13" fillId="4" borderId="7" xfId="114" applyFont="1" applyFill="1" applyBorder="1" applyAlignment="1">
      <alignment vertical="center" wrapText="1"/>
    </xf>
    <xf numFmtId="3" fontId="13" fillId="4" borderId="7" xfId="114" applyNumberFormat="1" applyFont="1" applyFill="1" applyBorder="1" applyAlignment="1">
      <alignment vertical="center"/>
    </xf>
    <xf numFmtId="3" fontId="13" fillId="0" borderId="7" xfId="106" applyNumberFormat="1" applyFont="1" applyFill="1" applyBorder="1" applyAlignment="1">
      <alignment horizontal="right" vertical="center"/>
    </xf>
    <xf numFmtId="0" fontId="7" fillId="0" borderId="0" xfId="114" applyFont="1"/>
    <xf numFmtId="3" fontId="7" fillId="0" borderId="0" xfId="114" applyNumberFormat="1" applyFont="1"/>
    <xf numFmtId="0" fontId="13" fillId="0" borderId="7" xfId="114" quotePrefix="1" applyFont="1" applyBorder="1" applyAlignment="1">
      <alignment horizontal="center" vertical="center"/>
    </xf>
    <xf numFmtId="0" fontId="13" fillId="0" borderId="7" xfId="114" quotePrefix="1" applyFont="1" applyBorder="1" applyAlignment="1">
      <alignment vertical="center" wrapText="1"/>
    </xf>
    <xf numFmtId="3" fontId="7" fillId="31" borderId="7" xfId="114" applyNumberFormat="1" applyFont="1" applyFill="1" applyBorder="1" applyAlignment="1">
      <alignment vertical="center"/>
    </xf>
    <xf numFmtId="3" fontId="13" fillId="0" borderId="7" xfId="114" applyNumberFormat="1" applyFont="1" applyBorder="1" applyAlignment="1">
      <alignment vertical="center"/>
    </xf>
    <xf numFmtId="2" fontId="5" fillId="31" borderId="7" xfId="114" applyNumberFormat="1" applyFont="1" applyFill="1" applyBorder="1" applyAlignment="1">
      <alignment vertical="center"/>
    </xf>
    <xf numFmtId="197" fontId="13" fillId="0" borderId="7" xfId="155" quotePrefix="1" applyNumberFormat="1" applyFont="1" applyFill="1" applyBorder="1" applyAlignment="1">
      <alignment vertical="center" wrapText="1"/>
    </xf>
    <xf numFmtId="0" fontId="13" fillId="4" borderId="7" xfId="114" quotePrefix="1" applyFont="1" applyFill="1" applyBorder="1" applyAlignment="1">
      <alignment horizontal="center" vertical="center"/>
    </xf>
    <xf numFmtId="0" fontId="7" fillId="0" borderId="7" xfId="114" quotePrefix="1" applyFont="1" applyBorder="1" applyAlignment="1">
      <alignment horizontal="center" vertical="center"/>
    </xf>
    <xf numFmtId="0" fontId="7" fillId="0" borderId="7" xfId="114" quotePrefix="1" applyFont="1" applyBorder="1" applyAlignment="1">
      <alignment vertical="center" wrapText="1"/>
    </xf>
    <xf numFmtId="3" fontId="7" fillId="0" borderId="7" xfId="106" applyNumberFormat="1" applyFont="1" applyFill="1" applyBorder="1" applyAlignment="1">
      <alignment horizontal="right" vertical="center"/>
    </xf>
    <xf numFmtId="0" fontId="13" fillId="0" borderId="7" xfId="114" applyFont="1" applyBorder="1" applyAlignment="1">
      <alignment horizontal="center" vertical="center"/>
    </xf>
    <xf numFmtId="0" fontId="5" fillId="31" borderId="7" xfId="114" applyFont="1" applyFill="1" applyBorder="1" applyAlignment="1">
      <alignment horizontal="center" vertical="center"/>
    </xf>
    <xf numFmtId="0" fontId="5" fillId="31" borderId="7" xfId="114" applyFont="1" applyFill="1" applyBorder="1" applyAlignment="1">
      <alignment vertical="center" wrapText="1"/>
    </xf>
    <xf numFmtId="3" fontId="5" fillId="31" borderId="7" xfId="114" applyNumberFormat="1" applyFont="1" applyFill="1" applyBorder="1" applyAlignment="1">
      <alignment vertical="center"/>
    </xf>
    <xf numFmtId="3" fontId="13" fillId="31" borderId="7" xfId="114" applyNumberFormat="1" applyFont="1" applyFill="1" applyBorder="1" applyAlignment="1">
      <alignment vertical="center"/>
    </xf>
    <xf numFmtId="2" fontId="13" fillId="31" borderId="7" xfId="114" applyNumberFormat="1" applyFont="1" applyFill="1" applyBorder="1" applyAlignment="1">
      <alignment vertical="center"/>
    </xf>
    <xf numFmtId="0" fontId="13" fillId="0" borderId="7" xfId="106" applyFont="1" applyFill="1" applyBorder="1" applyAlignment="1">
      <alignment vertical="center" wrapText="1"/>
    </xf>
    <xf numFmtId="0" fontId="7" fillId="0" borderId="7" xfId="106" applyFont="1" applyFill="1" applyBorder="1" applyAlignment="1">
      <alignment vertical="center" wrapText="1"/>
    </xf>
    <xf numFmtId="0" fontId="7" fillId="0" borderId="7" xfId="106" quotePrefix="1" applyFont="1" applyFill="1" applyBorder="1" applyAlignment="1">
      <alignment vertical="center" wrapText="1"/>
    </xf>
    <xf numFmtId="3" fontId="7" fillId="0" borderId="7" xfId="114" applyNumberFormat="1" applyFont="1" applyBorder="1" applyAlignment="1">
      <alignment vertical="center"/>
    </xf>
    <xf numFmtId="0" fontId="7" fillId="0" borderId="7" xfId="114" applyFont="1" applyFill="1" applyBorder="1" applyAlignment="1">
      <alignment horizontal="left" vertical="center" wrapText="1"/>
    </xf>
    <xf numFmtId="3" fontId="7" fillId="0" borderId="7" xfId="106" quotePrefix="1" applyNumberFormat="1" applyFont="1" applyFill="1" applyBorder="1" applyAlignment="1">
      <alignment horizontal="right" vertical="center"/>
    </xf>
    <xf numFmtId="0" fontId="7" fillId="0" borderId="7" xfId="106" applyFont="1" applyFill="1" applyBorder="1" applyAlignment="1">
      <alignment horizontal="left" vertical="center" wrapText="1"/>
    </xf>
    <xf numFmtId="167" fontId="13" fillId="0" borderId="7" xfId="55" applyNumberFormat="1" applyFont="1" applyFill="1" applyBorder="1" applyAlignment="1">
      <alignment horizontal="right" vertical="center"/>
    </xf>
    <xf numFmtId="0" fontId="5" fillId="0" borderId="7" xfId="114" applyFont="1" applyBorder="1" applyAlignment="1">
      <alignment horizontal="center" vertical="center"/>
    </xf>
    <xf numFmtId="197" fontId="7" fillId="0" borderId="7" xfId="155" quotePrefix="1" applyNumberFormat="1" applyFont="1" applyFill="1" applyBorder="1" applyAlignment="1">
      <alignment vertical="center" wrapText="1"/>
    </xf>
    <xf numFmtId="0" fontId="40" fillId="0" borderId="7" xfId="114" applyFont="1" applyBorder="1" applyAlignment="1">
      <alignment horizontal="center" vertical="center"/>
    </xf>
    <xf numFmtId="3" fontId="7" fillId="0" borderId="15" xfId="106" applyNumberFormat="1" applyFont="1" applyFill="1" applyBorder="1" applyAlignment="1">
      <alignment horizontal="right" vertical="center"/>
    </xf>
    <xf numFmtId="0" fontId="13" fillId="0" borderId="7" xfId="106" quotePrefix="1" applyFont="1" applyFill="1" applyBorder="1" applyAlignment="1">
      <alignment vertical="center" wrapText="1"/>
    </xf>
    <xf numFmtId="3" fontId="5" fillId="0" borderId="7" xfId="106" applyNumberFormat="1" applyFont="1" applyFill="1" applyBorder="1" applyAlignment="1">
      <alignment horizontal="right" vertical="center"/>
    </xf>
    <xf numFmtId="167" fontId="13" fillId="0" borderId="0" xfId="114" applyNumberFormat="1" applyFont="1"/>
    <xf numFmtId="2" fontId="5" fillId="32" borderId="7" xfId="114" applyNumberFormat="1" applyFont="1" applyFill="1" applyBorder="1" applyAlignment="1">
      <alignment vertical="center"/>
    </xf>
    <xf numFmtId="3" fontId="11" fillId="0" borderId="0" xfId="114" applyNumberFormat="1" applyFont="1" applyBorder="1"/>
    <xf numFmtId="0" fontId="5" fillId="33" borderId="7" xfId="114" applyFont="1" applyFill="1" applyBorder="1" applyAlignment="1">
      <alignment horizontal="center" vertical="center"/>
    </xf>
    <xf numFmtId="0" fontId="132" fillId="33" borderId="7" xfId="114" applyFont="1" applyFill="1" applyBorder="1" applyAlignment="1">
      <alignment vertical="center" wrapText="1"/>
    </xf>
    <xf numFmtId="3" fontId="11" fillId="33" borderId="7" xfId="114" applyNumberFormat="1" applyFont="1" applyFill="1" applyBorder="1" applyAlignment="1">
      <alignment vertical="center"/>
    </xf>
    <xf numFmtId="4" fontId="11" fillId="0" borderId="0" xfId="114" applyNumberFormat="1" applyFont="1" applyBorder="1"/>
    <xf numFmtId="167" fontId="13" fillId="0" borderId="7" xfId="55" applyNumberFormat="1" applyFont="1" applyFill="1" applyBorder="1" applyAlignment="1">
      <alignment horizontal="right" vertical="center" wrapText="1"/>
    </xf>
    <xf numFmtId="3" fontId="13" fillId="0" borderId="7" xfId="106" applyNumberFormat="1" applyFont="1" applyFill="1" applyBorder="1" applyAlignment="1">
      <alignment horizontal="right" vertical="center" wrapText="1"/>
    </xf>
    <xf numFmtId="3" fontId="5" fillId="33" borderId="7" xfId="114" applyNumberFormat="1" applyFont="1" applyFill="1" applyBorder="1" applyAlignment="1">
      <alignment vertical="center"/>
    </xf>
    <xf numFmtId="0" fontId="5" fillId="0" borderId="7" xfId="114" applyFont="1" applyBorder="1" applyAlignment="1">
      <alignment vertical="center" wrapText="1"/>
    </xf>
    <xf numFmtId="3" fontId="17" fillId="0" borderId="7" xfId="114" applyNumberFormat="1" applyFont="1" applyBorder="1" applyAlignment="1">
      <alignment vertical="center"/>
    </xf>
    <xf numFmtId="167" fontId="13" fillId="0" borderId="7" xfId="62" applyNumberFormat="1" applyFont="1" applyFill="1" applyBorder="1" applyAlignment="1">
      <alignment horizontal="right" vertical="center" wrapText="1"/>
    </xf>
    <xf numFmtId="3" fontId="5" fillId="0" borderId="7" xfId="106" applyNumberFormat="1" applyFont="1" applyFill="1" applyBorder="1" applyAlignment="1">
      <alignment horizontal="right" vertical="center" wrapText="1"/>
    </xf>
    <xf numFmtId="3" fontId="11" fillId="0" borderId="7" xfId="114" applyNumberFormat="1" applyFont="1" applyBorder="1" applyAlignment="1">
      <alignment vertical="center"/>
    </xf>
    <xf numFmtId="0" fontId="5" fillId="0" borderId="7" xfId="106" quotePrefix="1" applyFont="1" applyFill="1" applyBorder="1" applyAlignment="1">
      <alignment vertical="center" wrapText="1"/>
    </xf>
    <xf numFmtId="0" fontId="5" fillId="0" borderId="7" xfId="114" applyFont="1" applyFill="1" applyBorder="1" applyAlignment="1">
      <alignment horizontal="center" vertical="center"/>
    </xf>
    <xf numFmtId="0" fontId="5" fillId="0" borderId="7" xfId="106" applyFont="1" applyFill="1" applyBorder="1" applyAlignment="1">
      <alignment vertical="center" wrapText="1"/>
    </xf>
    <xf numFmtId="0" fontId="28" fillId="0" borderId="7" xfId="106" quotePrefix="1" applyFont="1" applyFill="1" applyBorder="1" applyAlignment="1">
      <alignment vertical="center" wrapText="1"/>
    </xf>
    <xf numFmtId="167" fontId="7" fillId="0" borderId="7" xfId="62" applyNumberFormat="1" applyFont="1" applyFill="1" applyBorder="1" applyAlignment="1">
      <alignment horizontal="right" vertical="center" wrapText="1"/>
    </xf>
    <xf numFmtId="167" fontId="5" fillId="0" borderId="7" xfId="55" applyNumberFormat="1" applyFont="1" applyFill="1" applyBorder="1" applyAlignment="1">
      <alignment horizontal="right" vertical="center" wrapText="1"/>
    </xf>
    <xf numFmtId="3" fontId="11" fillId="35" borderId="34" xfId="114" applyNumberFormat="1" applyFont="1" applyFill="1" applyBorder="1" applyAlignment="1">
      <alignment vertical="center"/>
    </xf>
    <xf numFmtId="0" fontId="13" fillId="0" borderId="0" xfId="114" applyFont="1" applyBorder="1"/>
    <xf numFmtId="0" fontId="13" fillId="0" borderId="0" xfId="114" applyFont="1" applyBorder="1" applyAlignment="1">
      <alignment wrapText="1"/>
    </xf>
    <xf numFmtId="0" fontId="6" fillId="0" borderId="0" xfId="114" applyFont="1" applyBorder="1" applyAlignment="1">
      <alignment wrapText="1"/>
    </xf>
    <xf numFmtId="0" fontId="6" fillId="0" borderId="0" xfId="114" applyFont="1" applyBorder="1" applyAlignment="1">
      <alignment horizontal="left" wrapText="1"/>
    </xf>
    <xf numFmtId="0" fontId="6" fillId="0" borderId="0" xfId="114" applyFont="1" applyAlignment="1">
      <alignment horizontal="left"/>
    </xf>
    <xf numFmtId="0" fontId="4" fillId="0" borderId="0" xfId="114" applyFont="1" applyAlignment="1">
      <alignment wrapText="1"/>
    </xf>
    <xf numFmtId="0" fontId="4" fillId="0" borderId="0" xfId="114" applyFont="1"/>
    <xf numFmtId="0" fontId="6" fillId="0" borderId="0" xfId="114" applyFont="1" applyAlignment="1"/>
    <xf numFmtId="0" fontId="6" fillId="0" borderId="0" xfId="114" applyFont="1"/>
    <xf numFmtId="0" fontId="6" fillId="0" borderId="0" xfId="114" applyFont="1" applyAlignment="1">
      <alignment wrapText="1"/>
    </xf>
    <xf numFmtId="0" fontId="13" fillId="0" borderId="0" xfId="114" applyFont="1" applyAlignment="1">
      <alignment wrapText="1"/>
    </xf>
    <xf numFmtId="167" fontId="5" fillId="0" borderId="0" xfId="62" applyNumberFormat="1" applyFont="1"/>
    <xf numFmtId="3" fontId="5" fillId="0" borderId="0" xfId="114" applyNumberFormat="1" applyFont="1"/>
    <xf numFmtId="41" fontId="5" fillId="0" borderId="7" xfId="150" applyNumberFormat="1" applyFont="1" applyFill="1" applyBorder="1" applyAlignment="1" applyProtection="1">
      <alignment horizontal="right" wrapText="1"/>
    </xf>
    <xf numFmtId="0" fontId="134" fillId="0" borderId="0" xfId="147" applyFont="1" applyFill="1" applyAlignment="1">
      <alignment vertical="center"/>
    </xf>
    <xf numFmtId="41" fontId="27" fillId="0" borderId="7" xfId="150" applyNumberFormat="1" applyFont="1" applyFill="1" applyBorder="1" applyAlignment="1" applyProtection="1">
      <alignment horizontal="right" wrapText="1"/>
    </xf>
    <xf numFmtId="0" fontId="5" fillId="0" borderId="0" xfId="147" applyFont="1" applyFill="1" applyAlignment="1">
      <alignment horizontal="center" vertical="center" wrapText="1"/>
    </xf>
    <xf numFmtId="49" fontId="27" fillId="2" borderId="7" xfId="8" applyNumberFormat="1" applyFont="1" applyFill="1" applyBorder="1" applyAlignment="1">
      <alignment horizontal="left" vertical="center" wrapText="1"/>
    </xf>
    <xf numFmtId="49" fontId="7" fillId="2" borderId="7" xfId="8" applyNumberFormat="1" applyFont="1" applyFill="1" applyBorder="1" applyAlignment="1">
      <alignment horizontal="left" vertical="center" wrapText="1"/>
    </xf>
    <xf numFmtId="0" fontId="5" fillId="2" borderId="7" xfId="8" quotePrefix="1" applyFont="1" applyFill="1" applyBorder="1" applyAlignment="1">
      <alignment horizontal="left" vertical="center" wrapText="1"/>
    </xf>
    <xf numFmtId="0" fontId="5" fillId="2" borderId="7" xfId="8" applyFont="1" applyFill="1" applyBorder="1" applyAlignment="1">
      <alignment horizontal="left" vertical="center" wrapText="1"/>
    </xf>
    <xf numFmtId="0" fontId="95" fillId="0" borderId="0" xfId="147" applyFont="1" applyFill="1" applyAlignment="1">
      <alignment vertical="center" wrapText="1"/>
    </xf>
    <xf numFmtId="41" fontId="28" fillId="0" borderId="7" xfId="151" applyNumberFormat="1" applyFont="1" applyFill="1" applyBorder="1" applyAlignment="1" applyProtection="1">
      <alignment vertical="center"/>
    </xf>
    <xf numFmtId="0" fontId="7" fillId="0" borderId="1" xfId="147" applyNumberFormat="1" applyFont="1" applyFill="1" applyBorder="1" applyAlignment="1">
      <alignment vertical="center"/>
    </xf>
    <xf numFmtId="0" fontId="7" fillId="0" borderId="1" xfId="147" applyNumberFormat="1" applyFont="1" applyFill="1" applyBorder="1" applyAlignment="1">
      <alignment vertical="center" wrapText="1"/>
    </xf>
    <xf numFmtId="0" fontId="5" fillId="0" borderId="34" xfId="147" applyNumberFormat="1" applyFont="1" applyFill="1" applyBorder="1" applyAlignment="1" applyProtection="1">
      <alignment horizontal="center" vertical="center" wrapText="1"/>
    </xf>
    <xf numFmtId="0" fontId="5" fillId="0" borderId="34" xfId="147" applyNumberFormat="1" applyFont="1" applyFill="1" applyBorder="1" applyAlignment="1" applyProtection="1">
      <alignment horizontal="center" vertical="center"/>
    </xf>
    <xf numFmtId="0" fontId="5" fillId="0" borderId="34" xfId="147" applyFont="1" applyFill="1" applyBorder="1" applyAlignment="1" applyProtection="1">
      <alignment horizontal="center" vertical="center" wrapText="1"/>
    </xf>
    <xf numFmtId="0" fontId="5" fillId="0" borderId="34" xfId="149" applyNumberFormat="1" applyFont="1" applyFill="1" applyBorder="1" applyAlignment="1" applyProtection="1">
      <alignment horizontal="center" vertical="center" wrapText="1"/>
    </xf>
    <xf numFmtId="0" fontId="7" fillId="0" borderId="34" xfId="147" applyFont="1" applyFill="1" applyBorder="1" applyAlignment="1">
      <alignment horizontal="center" vertical="center"/>
    </xf>
    <xf numFmtId="0" fontId="7" fillId="0" borderId="34" xfId="147" applyFont="1" applyFill="1" applyBorder="1" applyAlignment="1" applyProtection="1">
      <alignment horizontal="center" vertical="center" wrapText="1"/>
    </xf>
    <xf numFmtId="0" fontId="7" fillId="0" borderId="34" xfId="147" applyFont="1" applyFill="1" applyBorder="1" applyAlignment="1" applyProtection="1">
      <alignment horizontal="center" vertical="center"/>
    </xf>
    <xf numFmtId="0" fontId="7" fillId="0" borderId="0" xfId="147" applyFont="1" applyFill="1" applyAlignment="1">
      <alignment vertical="center"/>
    </xf>
    <xf numFmtId="0" fontId="11" fillId="0" borderId="6" xfId="147" applyFont="1" applyFill="1" applyBorder="1" applyAlignment="1">
      <alignment horizontal="center"/>
    </xf>
    <xf numFmtId="0" fontId="11" fillId="0" borderId="6" xfId="147" applyFont="1" applyFill="1" applyBorder="1" applyAlignment="1" applyProtection="1">
      <alignment horizontal="left" wrapText="1"/>
    </xf>
    <xf numFmtId="0" fontId="11" fillId="0" borderId="7" xfId="147" applyFont="1" applyFill="1" applyBorder="1" applyAlignment="1">
      <alignment horizontal="center"/>
    </xf>
    <xf numFmtId="0" fontId="11" fillId="0" borderId="7" xfId="147" applyFont="1" applyFill="1" applyBorder="1" applyAlignment="1" applyProtection="1">
      <alignment horizontal="left" wrapText="1"/>
    </xf>
    <xf numFmtId="196" fontId="5" fillId="0" borderId="7" xfId="147" applyNumberFormat="1" applyFont="1" applyFill="1" applyBorder="1" applyAlignment="1" applyProtection="1">
      <alignment horizontal="center"/>
    </xf>
    <xf numFmtId="0" fontId="5" fillId="0" borderId="7" xfId="147" applyNumberFormat="1" applyFont="1" applyFill="1" applyBorder="1" applyAlignment="1" applyProtection="1">
      <alignment horizontal="left" wrapText="1"/>
    </xf>
    <xf numFmtId="196" fontId="40" fillId="0" borderId="7" xfId="147" applyNumberFormat="1" applyFont="1" applyFill="1" applyBorder="1" applyAlignment="1" applyProtection="1">
      <alignment horizontal="center"/>
    </xf>
    <xf numFmtId="0" fontId="40" fillId="0" borderId="7" xfId="147" applyNumberFormat="1" applyFont="1" applyFill="1" applyBorder="1" applyAlignment="1" applyProtection="1">
      <alignment horizontal="left" wrapText="1"/>
    </xf>
    <xf numFmtId="0" fontId="40" fillId="0" borderId="0" xfId="147" applyFont="1" applyFill="1" applyAlignment="1">
      <alignment vertical="center"/>
    </xf>
    <xf numFmtId="196" fontId="13" fillId="0" borderId="7" xfId="147" applyNumberFormat="1" applyFont="1" applyFill="1" applyBorder="1" applyAlignment="1" applyProtection="1">
      <alignment horizontal="center"/>
    </xf>
    <xf numFmtId="0" fontId="13" fillId="0" borderId="7" xfId="147" applyNumberFormat="1" applyFont="1" applyFill="1" applyBorder="1" applyAlignment="1" applyProtection="1">
      <alignment horizontal="left" wrapText="1"/>
    </xf>
    <xf numFmtId="41" fontId="7" fillId="0" borderId="7" xfId="147" applyNumberFormat="1" applyFont="1" applyFill="1" applyBorder="1" applyAlignment="1" applyProtection="1">
      <alignment horizontal="center" vertical="center"/>
    </xf>
    <xf numFmtId="41" fontId="7" fillId="0" borderId="7" xfId="147" applyNumberFormat="1" applyFont="1" applyFill="1" applyBorder="1" applyAlignment="1" applyProtection="1">
      <alignment horizontal="right" vertical="center"/>
    </xf>
    <xf numFmtId="0" fontId="13" fillId="0" borderId="7" xfId="152" applyNumberFormat="1" applyFont="1" applyFill="1" applyBorder="1" applyAlignment="1" applyProtection="1">
      <alignment horizontal="left" wrapText="1"/>
    </xf>
    <xf numFmtId="196" fontId="7" fillId="0" borderId="7" xfId="147" applyNumberFormat="1" applyFont="1" applyFill="1" applyBorder="1" applyAlignment="1" applyProtection="1">
      <alignment horizontal="center"/>
    </xf>
    <xf numFmtId="0" fontId="7" fillId="0" borderId="7" xfId="147" applyNumberFormat="1" applyFont="1" applyFill="1" applyBorder="1" applyAlignment="1" applyProtection="1">
      <alignment horizontal="left" wrapText="1"/>
    </xf>
    <xf numFmtId="196" fontId="27" fillId="0" borderId="7" xfId="147" applyNumberFormat="1" applyFont="1" applyFill="1" applyBorder="1" applyAlignment="1" applyProtection="1">
      <alignment horizontal="center"/>
    </xf>
    <xf numFmtId="0" fontId="27" fillId="0" borderId="0" xfId="147" applyFont="1" applyFill="1" applyAlignment="1">
      <alignment vertical="center"/>
    </xf>
    <xf numFmtId="196" fontId="125" fillId="0" borderId="7" xfId="147" applyNumberFormat="1" applyFont="1" applyFill="1" applyBorder="1" applyAlignment="1" applyProtection="1">
      <alignment horizontal="center"/>
    </xf>
    <xf numFmtId="0" fontId="125" fillId="0" borderId="7" xfId="147" applyNumberFormat="1" applyFont="1" applyFill="1" applyBorder="1" applyAlignment="1" applyProtection="1">
      <alignment horizontal="left" wrapText="1"/>
    </xf>
    <xf numFmtId="0" fontId="125" fillId="0" borderId="0" xfId="147" applyFont="1" applyFill="1" applyAlignment="1">
      <alignment vertical="center"/>
    </xf>
    <xf numFmtId="0" fontId="7" fillId="0" borderId="7" xfId="2" applyFont="1" applyFill="1" applyBorder="1" applyAlignment="1">
      <alignment horizontal="left" vertical="center" wrapText="1"/>
    </xf>
    <xf numFmtId="196" fontId="5" fillId="0" borderId="17" xfId="147" applyNumberFormat="1" applyFont="1" applyFill="1" applyBorder="1" applyAlignment="1" applyProtection="1">
      <alignment horizontal="center"/>
    </xf>
    <xf numFmtId="0" fontId="5" fillId="2" borderId="17" xfId="8" applyFont="1" applyFill="1" applyBorder="1" applyAlignment="1">
      <alignment vertical="center" wrapText="1"/>
    </xf>
    <xf numFmtId="0" fontId="5" fillId="0" borderId="6" xfId="147" applyFont="1" applyFill="1" applyBorder="1" applyAlignment="1">
      <alignment horizontal="center" vertical="center"/>
    </xf>
    <xf numFmtId="0" fontId="5" fillId="2" borderId="6" xfId="8" quotePrefix="1" applyFont="1" applyFill="1" applyBorder="1" applyAlignment="1">
      <alignment horizontal="left" vertical="center" wrapText="1"/>
    </xf>
    <xf numFmtId="3" fontId="5" fillId="0" borderId="6" xfId="147" applyNumberFormat="1" applyFont="1" applyFill="1" applyBorder="1" applyAlignment="1">
      <alignment vertical="center"/>
    </xf>
    <xf numFmtId="0" fontId="13" fillId="0" borderId="7" xfId="147" applyFont="1" applyFill="1" applyBorder="1" applyAlignment="1">
      <alignment horizontal="center" vertical="center"/>
    </xf>
    <xf numFmtId="0" fontId="13" fillId="0" borderId="7" xfId="147" applyFont="1" applyFill="1" applyBorder="1" applyAlignment="1">
      <alignment vertical="center"/>
    </xf>
    <xf numFmtId="3" fontId="13" fillId="0" borderId="7" xfId="147" applyNumberFormat="1" applyFont="1" applyFill="1" applyBorder="1" applyAlignment="1">
      <alignment vertical="center"/>
    </xf>
    <xf numFmtId="37" fontId="13" fillId="0" borderId="7" xfId="147" applyNumberFormat="1" applyFont="1" applyFill="1" applyBorder="1" applyAlignment="1" applyProtection="1">
      <alignment vertical="center"/>
    </xf>
    <xf numFmtId="3" fontId="95" fillId="0" borderId="7" xfId="147" applyNumberFormat="1" applyFont="1" applyFill="1" applyBorder="1" applyAlignment="1">
      <alignment vertical="center"/>
    </xf>
    <xf numFmtId="0" fontId="111" fillId="0" borderId="7" xfId="147" applyFont="1" applyFill="1" applyBorder="1" applyAlignment="1">
      <alignment horizontal="center" vertical="center"/>
    </xf>
    <xf numFmtId="3" fontId="5" fillId="0" borderId="7" xfId="147" applyNumberFormat="1" applyFont="1" applyFill="1" applyBorder="1" applyAlignment="1">
      <alignment vertical="center"/>
    </xf>
    <xf numFmtId="0" fontId="95" fillId="0" borderId="7" xfId="147" applyFont="1" applyFill="1" applyBorder="1" applyAlignment="1">
      <alignment vertical="center"/>
    </xf>
    <xf numFmtId="0" fontId="7" fillId="0" borderId="7" xfId="2" applyFont="1" applyBorder="1" applyAlignment="1">
      <alignment horizontal="left" vertical="center" wrapText="1"/>
    </xf>
    <xf numFmtId="3" fontId="135" fillId="0" borderId="7" xfId="147" applyNumberFormat="1" applyFont="1" applyBorder="1" applyAlignment="1">
      <alignment horizontal="right" vertical="center"/>
    </xf>
    <xf numFmtId="41" fontId="13" fillId="0" borderId="7" xfId="150" applyNumberFormat="1" applyFont="1" applyFill="1" applyBorder="1" applyAlignment="1" applyProtection="1">
      <alignment horizontal="right" wrapText="1"/>
    </xf>
    <xf numFmtId="3" fontId="13" fillId="0" borderId="6" xfId="147" applyNumberFormat="1" applyFont="1" applyFill="1" applyBorder="1" applyAlignment="1">
      <alignment vertical="center"/>
    </xf>
    <xf numFmtId="41" fontId="5" fillId="0" borderId="17" xfId="151" applyNumberFormat="1" applyFont="1" applyFill="1" applyBorder="1" applyAlignment="1" applyProtection="1">
      <alignment vertical="center"/>
    </xf>
    <xf numFmtId="3" fontId="5" fillId="0" borderId="7" xfId="8" applyNumberFormat="1" applyFont="1" applyFill="1" applyBorder="1" applyAlignment="1">
      <alignment horizontal="right" vertical="center"/>
    </xf>
    <xf numFmtId="3" fontId="19" fillId="2" borderId="15" xfId="8" applyNumberFormat="1" applyFont="1" applyFill="1" applyBorder="1" applyAlignment="1">
      <alignment vertical="center"/>
    </xf>
    <xf numFmtId="0" fontId="19" fillId="2" borderId="7" xfId="8" applyFont="1" applyFill="1" applyBorder="1" applyAlignment="1">
      <alignment vertical="center"/>
    </xf>
    <xf numFmtId="3" fontId="5" fillId="2" borderId="0" xfId="8" applyNumberFormat="1" applyFont="1" applyFill="1" applyAlignment="1">
      <alignment vertical="center"/>
    </xf>
    <xf numFmtId="43" fontId="14" fillId="0" borderId="7" xfId="1" applyNumberFormat="1" applyFont="1" applyBorder="1" applyAlignment="1">
      <alignment horizontal="center" vertical="center"/>
    </xf>
    <xf numFmtId="167" fontId="124" fillId="2" borderId="15" xfId="10" applyNumberFormat="1" applyFont="1" applyFill="1" applyBorder="1" applyAlignment="1">
      <alignment vertical="center"/>
    </xf>
    <xf numFmtId="49" fontId="136" fillId="2" borderId="7" xfId="8" applyNumberFormat="1" applyFont="1" applyFill="1" applyBorder="1" applyAlignment="1">
      <alignment horizontal="left" vertical="center"/>
    </xf>
    <xf numFmtId="3" fontId="7" fillId="37" borderId="7" xfId="106" applyNumberFormat="1" applyFont="1" applyFill="1" applyBorder="1" applyAlignment="1">
      <alignment horizontal="right" vertical="center"/>
    </xf>
    <xf numFmtId="3" fontId="13" fillId="37" borderId="7" xfId="147" applyNumberFormat="1" applyFont="1" applyFill="1" applyBorder="1" applyAlignment="1">
      <alignment vertical="center"/>
    </xf>
    <xf numFmtId="167" fontId="95" fillId="0" borderId="0" xfId="147" applyNumberFormat="1" applyFont="1" applyFill="1" applyAlignment="1">
      <alignment vertical="center"/>
    </xf>
    <xf numFmtId="41" fontId="13" fillId="0" borderId="0" xfId="147" applyNumberFormat="1" applyFont="1" applyFill="1" applyAlignment="1">
      <alignment vertical="center"/>
    </xf>
    <xf numFmtId="41" fontId="95" fillId="0" borderId="0" xfId="147" applyNumberFormat="1" applyFont="1" applyFill="1" applyAlignment="1">
      <alignment vertical="center"/>
    </xf>
    <xf numFmtId="41" fontId="7" fillId="0" borderId="1" xfId="147" applyNumberFormat="1" applyFont="1" applyFill="1" applyBorder="1" applyAlignment="1">
      <alignment vertical="center"/>
    </xf>
    <xf numFmtId="0" fontId="4" fillId="0" borderId="14" xfId="0" applyFont="1" applyFill="1" applyBorder="1" applyAlignment="1">
      <alignment vertical="center" wrapText="1"/>
    </xf>
    <xf numFmtId="0" fontId="10" fillId="0" borderId="0" xfId="2" applyFont="1" applyAlignment="1">
      <alignment vertical="center"/>
    </xf>
    <xf numFmtId="0" fontId="10" fillId="0" borderId="7" xfId="2" applyNumberFormat="1" applyFont="1" applyBorder="1" applyAlignment="1">
      <alignment vertical="center"/>
    </xf>
    <xf numFmtId="167" fontId="13" fillId="0" borderId="7" xfId="1" applyNumberFormat="1" applyFont="1" applyFill="1" applyBorder="1" applyAlignment="1">
      <alignment vertical="center"/>
    </xf>
    <xf numFmtId="0" fontId="5" fillId="0" borderId="0" xfId="6" applyFont="1" applyFill="1" applyAlignment="1">
      <alignment horizontal="center" vertical="center"/>
    </xf>
    <xf numFmtId="0" fontId="13" fillId="2" borderId="0" xfId="0" applyFont="1" applyFill="1" applyAlignment="1">
      <alignment horizontal="center" vertical="center"/>
    </xf>
    <xf numFmtId="0" fontId="5" fillId="2" borderId="0" xfId="0" applyFont="1" applyFill="1" applyAlignment="1">
      <alignment horizontal="center" vertical="center"/>
    </xf>
    <xf numFmtId="167" fontId="18" fillId="0" borderId="0" xfId="1" applyNumberFormat="1" applyFont="1" applyAlignment="1">
      <alignment horizontal="center" vertical="center"/>
    </xf>
    <xf numFmtId="0" fontId="3" fillId="0" borderId="0" xfId="2" applyNumberFormat="1" applyFont="1" applyAlignment="1">
      <alignment horizontal="center" vertical="center"/>
    </xf>
    <xf numFmtId="0" fontId="3" fillId="0" borderId="0" xfId="2" applyFont="1" applyAlignment="1">
      <alignment horizontal="center" vertical="center"/>
    </xf>
    <xf numFmtId="3" fontId="137" fillId="0" borderId="0" xfId="101" applyNumberFormat="1" applyFont="1" applyFill="1" applyAlignment="1">
      <alignment horizontal="center" vertical="center" wrapText="1"/>
    </xf>
    <xf numFmtId="3" fontId="137" fillId="0" borderId="0" xfId="101" applyNumberFormat="1" applyFont="1" applyFill="1" applyAlignment="1">
      <alignment vertical="center" wrapText="1"/>
    </xf>
    <xf numFmtId="3" fontId="137" fillId="38" borderId="0" xfId="101" applyNumberFormat="1" applyFont="1" applyFill="1" applyAlignment="1">
      <alignment vertical="center" wrapText="1"/>
    </xf>
    <xf numFmtId="3" fontId="137" fillId="3" borderId="0" xfId="101" applyNumberFormat="1" applyFont="1" applyFill="1" applyAlignment="1">
      <alignment vertical="center" wrapText="1"/>
    </xf>
    <xf numFmtId="3" fontId="137" fillId="34" borderId="0" xfId="101" applyNumberFormat="1" applyFont="1" applyFill="1" applyAlignment="1">
      <alignment vertical="center" wrapText="1"/>
    </xf>
    <xf numFmtId="0" fontId="137" fillId="0" borderId="0" xfId="101" applyFont="1" applyFill="1" applyAlignment="1">
      <alignment vertical="center" wrapText="1"/>
    </xf>
    <xf numFmtId="0" fontId="137" fillId="3" borderId="0" xfId="101" applyFont="1" applyFill="1" applyAlignment="1">
      <alignment vertical="center" wrapText="1"/>
    </xf>
    <xf numFmtId="0" fontId="137" fillId="0" borderId="0" xfId="101" applyFont="1" applyFill="1" applyAlignment="1">
      <alignment vertical="center"/>
    </xf>
    <xf numFmtId="0" fontId="137" fillId="39" borderId="0" xfId="101" applyFont="1" applyFill="1" applyAlignment="1">
      <alignment vertical="center"/>
    </xf>
    <xf numFmtId="0" fontId="140" fillId="0" borderId="0" xfId="101" applyFont="1" applyFill="1" applyAlignment="1">
      <alignment horizontal="center" vertical="center"/>
    </xf>
    <xf numFmtId="0" fontId="140" fillId="0" borderId="0" xfId="101" applyFont="1" applyFill="1" applyAlignment="1">
      <alignment vertical="center" wrapText="1"/>
    </xf>
    <xf numFmtId="3" fontId="140" fillId="0" borderId="0" xfId="101" applyNumberFormat="1" applyFont="1" applyFill="1" applyAlignment="1">
      <alignment horizontal="center" vertical="center" wrapText="1"/>
    </xf>
    <xf numFmtId="3" fontId="140" fillId="0" borderId="0" xfId="101" applyNumberFormat="1" applyFont="1" applyFill="1" applyAlignment="1">
      <alignment vertical="center" wrapText="1"/>
    </xf>
    <xf numFmtId="3" fontId="140" fillId="38" borderId="0" xfId="101" applyNumberFormat="1" applyFont="1" applyFill="1" applyAlignment="1">
      <alignment vertical="center" wrapText="1"/>
    </xf>
    <xf numFmtId="3" fontId="140" fillId="3" borderId="0" xfId="101" applyNumberFormat="1" applyFont="1" applyFill="1" applyAlignment="1">
      <alignment vertical="center" wrapText="1"/>
    </xf>
    <xf numFmtId="3" fontId="141" fillId="0" borderId="1" xfId="101" applyNumberFormat="1" applyFont="1" applyFill="1" applyBorder="1" applyAlignment="1">
      <alignment vertical="center" wrapText="1"/>
    </xf>
    <xf numFmtId="3" fontId="141" fillId="34" borderId="1" xfId="101" applyNumberFormat="1" applyFont="1" applyFill="1" applyBorder="1" applyAlignment="1">
      <alignment vertical="center" wrapText="1"/>
    </xf>
    <xf numFmtId="0" fontId="140" fillId="3" borderId="0" xfId="101" applyFont="1" applyFill="1" applyAlignment="1">
      <alignment vertical="center" wrapText="1"/>
    </xf>
    <xf numFmtId="0" fontId="140" fillId="0" borderId="0" xfId="101" applyFont="1" applyFill="1" applyAlignment="1">
      <alignment vertical="center"/>
    </xf>
    <xf numFmtId="0" fontId="140" fillId="39" borderId="0" xfId="101" applyFont="1" applyFill="1" applyAlignment="1">
      <alignment vertical="center"/>
    </xf>
    <xf numFmtId="0" fontId="137" fillId="0" borderId="0" xfId="101" applyFont="1" applyFill="1" applyAlignment="1">
      <alignment horizontal="center" vertical="center" wrapText="1"/>
    </xf>
    <xf numFmtId="0" fontId="137" fillId="3" borderId="0" xfId="101" applyFont="1" applyFill="1" applyAlignment="1">
      <alignment horizontal="center" vertical="center" wrapText="1"/>
    </xf>
    <xf numFmtId="0" fontId="137" fillId="0" borderId="0" xfId="101" applyFont="1" applyFill="1" applyAlignment="1">
      <alignment horizontal="center" vertical="center"/>
    </xf>
    <xf numFmtId="3" fontId="137" fillId="0" borderId="8" xfId="101" applyNumberFormat="1" applyFont="1" applyFill="1" applyBorder="1" applyAlignment="1">
      <alignment horizontal="center" vertical="center" textRotation="90" wrapText="1"/>
    </xf>
    <xf numFmtId="3" fontId="137" fillId="0" borderId="8" xfId="101" applyNumberFormat="1" applyFont="1" applyFill="1" applyBorder="1" applyAlignment="1">
      <alignment horizontal="center" vertical="center" wrapText="1"/>
    </xf>
    <xf numFmtId="3" fontId="137" fillId="38" borderId="8" xfId="101" applyNumberFormat="1" applyFont="1" applyFill="1" applyBorder="1" applyAlignment="1">
      <alignment horizontal="center" vertical="center" wrapText="1"/>
    </xf>
    <xf numFmtId="3" fontId="137" fillId="3" borderId="8" xfId="101" applyNumberFormat="1" applyFont="1" applyFill="1" applyBorder="1" applyAlignment="1">
      <alignment horizontal="center" vertical="center" wrapText="1"/>
    </xf>
    <xf numFmtId="3" fontId="137" fillId="39" borderId="8" xfId="101" applyNumberFormat="1" applyFont="1" applyFill="1" applyBorder="1" applyAlignment="1">
      <alignment horizontal="center" vertical="center" wrapText="1"/>
    </xf>
    <xf numFmtId="0" fontId="142" fillId="0" borderId="10" xfId="101" applyFont="1" applyFill="1" applyBorder="1" applyAlignment="1">
      <alignment horizontal="center" vertical="center" wrapText="1"/>
    </xf>
    <xf numFmtId="3" fontId="142" fillId="0" borderId="10" xfId="101" applyNumberFormat="1" applyFont="1" applyFill="1" applyBorder="1" applyAlignment="1">
      <alignment horizontal="center" vertical="center" wrapText="1"/>
    </xf>
    <xf numFmtId="3" fontId="142" fillId="38" borderId="10" xfId="101" applyNumberFormat="1" applyFont="1" applyFill="1" applyBorder="1" applyAlignment="1">
      <alignment horizontal="center" vertical="center" wrapText="1"/>
    </xf>
    <xf numFmtId="3" fontId="142" fillId="3" borderId="10" xfId="101" applyNumberFormat="1" applyFont="1" applyFill="1" applyBorder="1" applyAlignment="1">
      <alignment horizontal="center" vertical="center" wrapText="1"/>
    </xf>
    <xf numFmtId="3" fontId="142" fillId="34" borderId="10" xfId="101" applyNumberFormat="1" applyFont="1" applyFill="1" applyBorder="1" applyAlignment="1">
      <alignment horizontal="center" vertical="center" wrapText="1"/>
    </xf>
    <xf numFmtId="0" fontId="142" fillId="0" borderId="1" xfId="101" applyFont="1" applyFill="1" applyBorder="1" applyAlignment="1">
      <alignment horizontal="center" vertical="center" wrapText="1"/>
    </xf>
    <xf numFmtId="0" fontId="142" fillId="3" borderId="0" xfId="101" applyFont="1" applyFill="1" applyBorder="1" applyAlignment="1">
      <alignment horizontal="center" vertical="center" wrapText="1"/>
    </xf>
    <xf numFmtId="3" fontId="142" fillId="39" borderId="10" xfId="101" applyNumberFormat="1" applyFont="1" applyFill="1" applyBorder="1" applyAlignment="1">
      <alignment horizontal="center" vertical="center" wrapText="1"/>
    </xf>
    <xf numFmtId="0" fontId="142" fillId="0" borderId="0" xfId="101" applyFont="1" applyFill="1" applyBorder="1" applyAlignment="1">
      <alignment horizontal="center" vertical="center"/>
    </xf>
    <xf numFmtId="0" fontId="137" fillId="0" borderId="8" xfId="101" applyFont="1" applyFill="1" applyBorder="1" applyAlignment="1">
      <alignment horizontal="center" vertical="center" wrapText="1"/>
    </xf>
    <xf numFmtId="0" fontId="137" fillId="0" borderId="8" xfId="101" applyFont="1" applyFill="1" applyBorder="1" applyAlignment="1">
      <alignment horizontal="left" vertical="center" wrapText="1"/>
    </xf>
    <xf numFmtId="3" fontId="137" fillId="0" borderId="8" xfId="101" applyNumberFormat="1" applyFont="1" applyFill="1" applyBorder="1" applyAlignment="1">
      <alignment horizontal="right" vertical="center" wrapText="1"/>
    </xf>
    <xf numFmtId="3" fontId="137" fillId="38" borderId="8" xfId="101" applyNumberFormat="1" applyFont="1" applyFill="1" applyBorder="1" applyAlignment="1">
      <alignment horizontal="right" vertical="center" wrapText="1"/>
    </xf>
    <xf numFmtId="3" fontId="137" fillId="34" borderId="8" xfId="101" applyNumberFormat="1" applyFont="1" applyFill="1" applyBorder="1" applyAlignment="1">
      <alignment horizontal="right" vertical="center" wrapText="1"/>
    </xf>
    <xf numFmtId="3" fontId="137" fillId="39" borderId="8" xfId="101" applyNumberFormat="1" applyFont="1" applyFill="1" applyBorder="1" applyAlignment="1">
      <alignment horizontal="right" vertical="center" wrapText="1"/>
    </xf>
    <xf numFmtId="0" fontId="137" fillId="0" borderId="7" xfId="101" applyFont="1" applyFill="1" applyBorder="1" applyAlignment="1">
      <alignment horizontal="center" vertical="center" wrapText="1"/>
    </xf>
    <xf numFmtId="0" fontId="137" fillId="0" borderId="7" xfId="101" applyFont="1" applyFill="1" applyBorder="1" applyAlignment="1">
      <alignment horizontal="left" vertical="center" wrapText="1"/>
    </xf>
    <xf numFmtId="3" fontId="137" fillId="0" borderId="7" xfId="101" applyNumberFormat="1" applyFont="1" applyFill="1" applyBorder="1" applyAlignment="1">
      <alignment horizontal="center" vertical="center" wrapText="1"/>
    </xf>
    <xf numFmtId="3" fontId="137" fillId="0" borderId="7" xfId="101" applyNumberFormat="1" applyFont="1" applyFill="1" applyBorder="1" applyAlignment="1">
      <alignment horizontal="right" vertical="center" wrapText="1"/>
    </xf>
    <xf numFmtId="3" fontId="143" fillId="38" borderId="7" xfId="101" applyNumberFormat="1" applyFont="1" applyFill="1" applyBorder="1" applyAlignment="1">
      <alignment horizontal="right" vertical="center" wrapText="1"/>
    </xf>
    <xf numFmtId="3" fontId="137" fillId="38" borderId="7" xfId="101" applyNumberFormat="1" applyFont="1" applyFill="1" applyBorder="1" applyAlignment="1">
      <alignment horizontal="right" vertical="center" wrapText="1"/>
    </xf>
    <xf numFmtId="3" fontId="137" fillId="34" borderId="7" xfId="101" applyNumberFormat="1" applyFont="1" applyFill="1" applyBorder="1" applyAlignment="1">
      <alignment horizontal="right" vertical="center" wrapText="1"/>
    </xf>
    <xf numFmtId="3" fontId="137" fillId="0" borderId="15" xfId="101" applyNumberFormat="1" applyFont="1" applyFill="1" applyBorder="1" applyAlignment="1">
      <alignment horizontal="right" vertical="center" wrapText="1"/>
    </xf>
    <xf numFmtId="3" fontId="137" fillId="39" borderId="7" xfId="101" applyNumberFormat="1" applyFont="1" applyFill="1" applyBorder="1" applyAlignment="1">
      <alignment horizontal="right" vertical="center" wrapText="1"/>
    </xf>
    <xf numFmtId="0" fontId="140" fillId="0" borderId="7" xfId="101" applyFont="1" applyFill="1" applyBorder="1" applyAlignment="1">
      <alignment horizontal="center" vertical="center" wrapText="1"/>
    </xf>
    <xf numFmtId="0" fontId="140" fillId="0" borderId="7" xfId="101" applyFont="1" applyFill="1" applyBorder="1" applyAlignment="1">
      <alignment horizontal="left" vertical="center" wrapText="1"/>
    </xf>
    <xf numFmtId="3" fontId="140" fillId="0" borderId="7" xfId="101" applyNumberFormat="1" applyFont="1" applyFill="1" applyBorder="1" applyAlignment="1">
      <alignment horizontal="center" vertical="center" wrapText="1"/>
    </xf>
    <xf numFmtId="3" fontId="140" fillId="0" borderId="7" xfId="101" applyNumberFormat="1" applyFont="1" applyFill="1" applyBorder="1" applyAlignment="1">
      <alignment horizontal="right" vertical="center" wrapText="1"/>
    </xf>
    <xf numFmtId="3" fontId="140" fillId="38" borderId="7" xfId="101" applyNumberFormat="1" applyFont="1" applyFill="1" applyBorder="1" applyAlignment="1">
      <alignment horizontal="right" vertical="center" wrapText="1"/>
    </xf>
    <xf numFmtId="3" fontId="140" fillId="34" borderId="7" xfId="101" applyNumberFormat="1" applyFont="1" applyFill="1" applyBorder="1" applyAlignment="1">
      <alignment horizontal="right" vertical="center" wrapText="1"/>
    </xf>
    <xf numFmtId="3" fontId="140" fillId="39" borderId="7" xfId="101" applyNumberFormat="1" applyFont="1" applyFill="1" applyBorder="1" applyAlignment="1">
      <alignment horizontal="right" vertical="center" wrapText="1"/>
    </xf>
    <xf numFmtId="3" fontId="140" fillId="0" borderId="7" xfId="101" applyNumberFormat="1" applyFont="1" applyFill="1" applyBorder="1" applyAlignment="1">
      <alignment vertical="center" wrapText="1"/>
    </xf>
    <xf numFmtId="3" fontId="140" fillId="38" borderId="7" xfId="101" applyNumberFormat="1" applyFont="1" applyFill="1" applyBorder="1" applyAlignment="1">
      <alignment vertical="center" wrapText="1"/>
    </xf>
    <xf numFmtId="3" fontId="140" fillId="3" borderId="7" xfId="101" applyNumberFormat="1" applyFont="1" applyFill="1" applyBorder="1" applyAlignment="1">
      <alignment vertical="center" wrapText="1"/>
    </xf>
    <xf numFmtId="3" fontId="140" fillId="34" borderId="7" xfId="101" applyNumberFormat="1" applyFont="1" applyFill="1" applyBorder="1" applyAlignment="1">
      <alignment vertical="center" wrapText="1"/>
    </xf>
    <xf numFmtId="3" fontId="140" fillId="39" borderId="7" xfId="101" applyNumberFormat="1" applyFont="1" applyFill="1" applyBorder="1" applyAlignment="1">
      <alignment vertical="center" wrapText="1"/>
    </xf>
    <xf numFmtId="0" fontId="144" fillId="0" borderId="7" xfId="101" applyFont="1" applyFill="1" applyBorder="1" applyAlignment="1">
      <alignment horizontal="center" vertical="center" wrapText="1"/>
    </xf>
    <xf numFmtId="0" fontId="144" fillId="0" borderId="7" xfId="101" applyFont="1" applyFill="1" applyBorder="1" applyAlignment="1">
      <alignment horizontal="left" vertical="center" wrapText="1"/>
    </xf>
    <xf numFmtId="3" fontId="144" fillId="0" borderId="7" xfId="101" applyNumberFormat="1" applyFont="1" applyFill="1" applyBorder="1" applyAlignment="1">
      <alignment horizontal="center" vertical="center" wrapText="1"/>
    </xf>
    <xf numFmtId="3" fontId="144" fillId="0" borderId="7" xfId="101" applyNumberFormat="1" applyFont="1" applyFill="1" applyBorder="1" applyAlignment="1">
      <alignment vertical="center" wrapText="1"/>
    </xf>
    <xf numFmtId="3" fontId="144" fillId="38" borderId="7" xfId="101" applyNumberFormat="1" applyFont="1" applyFill="1" applyBorder="1" applyAlignment="1">
      <alignment vertical="center" wrapText="1"/>
    </xf>
    <xf numFmtId="3" fontId="144" fillId="3" borderId="7" xfId="101" applyNumberFormat="1" applyFont="1" applyFill="1" applyBorder="1" applyAlignment="1">
      <alignment vertical="center" wrapText="1"/>
    </xf>
    <xf numFmtId="3" fontId="144" fillId="34" borderId="7" xfId="101" applyNumberFormat="1" applyFont="1" applyFill="1" applyBorder="1" applyAlignment="1">
      <alignment vertical="center" wrapText="1"/>
    </xf>
    <xf numFmtId="3" fontId="144" fillId="0" borderId="7" xfId="101" applyNumberFormat="1" applyFont="1" applyFill="1" applyBorder="1" applyAlignment="1">
      <alignment horizontal="right" vertical="center" wrapText="1"/>
    </xf>
    <xf numFmtId="3" fontId="145" fillId="3" borderId="0" xfId="101" applyNumberFormat="1" applyFont="1" applyFill="1" applyAlignment="1">
      <alignment vertical="center" wrapText="1"/>
    </xf>
    <xf numFmtId="3" fontId="144" fillId="39" borderId="7" xfId="101" applyNumberFormat="1" applyFont="1" applyFill="1" applyBorder="1" applyAlignment="1">
      <alignment vertical="center" wrapText="1"/>
    </xf>
    <xf numFmtId="0" fontId="144" fillId="0" borderId="0" xfId="101" applyFont="1" applyFill="1" applyAlignment="1">
      <alignment vertical="center"/>
    </xf>
    <xf numFmtId="0" fontId="141" fillId="0" borderId="7" xfId="101" applyFont="1" applyFill="1" applyBorder="1" applyAlignment="1">
      <alignment horizontal="center" vertical="center" wrapText="1"/>
    </xf>
    <xf numFmtId="0" fontId="141" fillId="0" borderId="7" xfId="101" applyFont="1" applyFill="1" applyBorder="1" applyAlignment="1">
      <alignment horizontal="left" vertical="center" wrapText="1"/>
    </xf>
    <xf numFmtId="3" fontId="141" fillId="0" borderId="7" xfId="101" applyNumberFormat="1" applyFont="1" applyFill="1" applyBorder="1" applyAlignment="1">
      <alignment horizontal="center" vertical="center" wrapText="1"/>
    </xf>
    <xf numFmtId="3" fontId="141" fillId="0" borderId="7" xfId="101" applyNumberFormat="1" applyFont="1" applyFill="1" applyBorder="1" applyAlignment="1">
      <alignment vertical="center" wrapText="1"/>
    </xf>
    <xf numFmtId="3" fontId="141" fillId="38" borderId="7" xfId="101" applyNumberFormat="1" applyFont="1" applyFill="1" applyBorder="1" applyAlignment="1">
      <alignment vertical="center" wrapText="1"/>
    </xf>
    <xf numFmtId="3" fontId="141" fillId="34" borderId="7" xfId="101" applyNumberFormat="1" applyFont="1" applyFill="1" applyBorder="1" applyAlignment="1">
      <alignment vertical="center" wrapText="1"/>
    </xf>
    <xf numFmtId="3" fontId="141" fillId="34" borderId="7" xfId="101" applyNumberFormat="1" applyFont="1" applyFill="1" applyBorder="1" applyAlignment="1">
      <alignment horizontal="right" vertical="center" wrapText="1"/>
    </xf>
    <xf numFmtId="0" fontId="141" fillId="0" borderId="0" xfId="101" applyFont="1" applyFill="1" applyAlignment="1">
      <alignment vertical="center" wrapText="1"/>
    </xf>
    <xf numFmtId="3" fontId="146" fillId="3" borderId="0" xfId="101" applyNumberFormat="1" applyFont="1" applyFill="1" applyAlignment="1">
      <alignment vertical="center" wrapText="1"/>
    </xf>
    <xf numFmtId="3" fontId="141" fillId="39" borderId="7" xfId="101" applyNumberFormat="1" applyFont="1" applyFill="1" applyBorder="1" applyAlignment="1">
      <alignment vertical="center" wrapText="1"/>
    </xf>
    <xf numFmtId="3" fontId="141" fillId="0" borderId="7" xfId="101" applyNumberFormat="1" applyFont="1" applyFill="1" applyBorder="1" applyAlignment="1">
      <alignment horizontal="right" vertical="center" wrapText="1"/>
    </xf>
    <xf numFmtId="0" fontId="141" fillId="0" borderId="0" xfId="101" applyFont="1" applyFill="1" applyAlignment="1">
      <alignment vertical="center"/>
    </xf>
    <xf numFmtId="0" fontId="140" fillId="3" borderId="7" xfId="101" applyFont="1" applyFill="1" applyBorder="1" applyAlignment="1">
      <alignment horizontal="center" vertical="center" wrapText="1"/>
    </xf>
    <xf numFmtId="0" fontId="140" fillId="3" borderId="7" xfId="101" applyFont="1" applyFill="1" applyBorder="1" applyAlignment="1">
      <alignment horizontal="left" vertical="center" wrapText="1"/>
    </xf>
    <xf numFmtId="3" fontId="140" fillId="3" borderId="7" xfId="101" applyNumberFormat="1" applyFont="1" applyFill="1" applyBorder="1" applyAlignment="1">
      <alignment horizontal="center" vertical="center" wrapText="1"/>
    </xf>
    <xf numFmtId="3" fontId="140" fillId="3" borderId="7" xfId="101" applyNumberFormat="1" applyFont="1" applyFill="1" applyBorder="1" applyAlignment="1">
      <alignment horizontal="right" vertical="center" wrapText="1"/>
    </xf>
    <xf numFmtId="0" fontId="140" fillId="3" borderId="0" xfId="101" applyFont="1" applyFill="1" applyAlignment="1">
      <alignment vertical="center"/>
    </xf>
    <xf numFmtId="0" fontId="146" fillId="0" borderId="0" xfId="101" applyFont="1" applyFill="1" applyAlignment="1">
      <alignment vertical="center"/>
    </xf>
    <xf numFmtId="0" fontId="147" fillId="0" borderId="7" xfId="101" applyFont="1" applyFill="1" applyBorder="1" applyAlignment="1">
      <alignment horizontal="center" vertical="center" wrapText="1"/>
    </xf>
    <xf numFmtId="0" fontId="147" fillId="0" borderId="7" xfId="101" applyFont="1" applyFill="1" applyBorder="1" applyAlignment="1">
      <alignment horizontal="left" vertical="center" wrapText="1"/>
    </xf>
    <xf numFmtId="3" fontId="147" fillId="0" borderId="7" xfId="101" applyNumberFormat="1" applyFont="1" applyFill="1" applyBorder="1" applyAlignment="1">
      <alignment horizontal="center" vertical="center" wrapText="1"/>
    </xf>
    <xf numFmtId="3" fontId="147" fillId="0" borderId="7" xfId="101" applyNumberFormat="1" applyFont="1" applyFill="1" applyBorder="1" applyAlignment="1">
      <alignment horizontal="right" vertical="center" wrapText="1"/>
    </xf>
    <xf numFmtId="3" fontId="147" fillId="38" borderId="7" xfId="101" applyNumberFormat="1" applyFont="1" applyFill="1" applyBorder="1" applyAlignment="1">
      <alignment vertical="center" wrapText="1"/>
    </xf>
    <xf numFmtId="3" fontId="147" fillId="34" borderId="7" xfId="101" applyNumberFormat="1" applyFont="1" applyFill="1" applyBorder="1" applyAlignment="1">
      <alignment horizontal="right" vertical="center" wrapText="1"/>
    </xf>
    <xf numFmtId="0" fontId="147" fillId="0" borderId="0" xfId="101" applyFont="1" applyFill="1" applyAlignment="1">
      <alignment vertical="center" wrapText="1"/>
    </xf>
    <xf numFmtId="3" fontId="143" fillId="3" borderId="0" xfId="101" applyNumberFormat="1" applyFont="1" applyFill="1" applyAlignment="1">
      <alignment vertical="center" wrapText="1"/>
    </xf>
    <xf numFmtId="3" fontId="147" fillId="39" borderId="7" xfId="101" applyNumberFormat="1" applyFont="1" applyFill="1" applyBorder="1" applyAlignment="1">
      <alignment horizontal="right" vertical="center" wrapText="1"/>
    </xf>
    <xf numFmtId="3" fontId="147" fillId="0" borderId="7" xfId="101" applyNumberFormat="1" applyFont="1" applyFill="1" applyBorder="1" applyAlignment="1">
      <alignment vertical="center" wrapText="1"/>
    </xf>
    <xf numFmtId="0" fontId="147" fillId="0" borderId="0" xfId="101" applyFont="1" applyFill="1" applyAlignment="1">
      <alignment vertical="center"/>
    </xf>
    <xf numFmtId="3" fontId="140" fillId="0" borderId="7" xfId="101" quotePrefix="1" applyNumberFormat="1" applyFont="1" applyFill="1" applyBorder="1" applyAlignment="1">
      <alignment horizontal="center" vertical="center" wrapText="1"/>
    </xf>
    <xf numFmtId="3" fontId="141" fillId="38" borderId="7" xfId="101" applyNumberFormat="1" applyFont="1" applyFill="1" applyBorder="1" applyAlignment="1">
      <alignment horizontal="right" vertical="center" wrapText="1"/>
    </xf>
    <xf numFmtId="3" fontId="141" fillId="39" borderId="7" xfId="101" applyNumberFormat="1" applyFont="1" applyFill="1" applyBorder="1" applyAlignment="1">
      <alignment horizontal="right" vertical="center" wrapText="1"/>
    </xf>
    <xf numFmtId="0" fontId="141" fillId="0" borderId="7" xfId="101" quotePrefix="1" applyFont="1" applyFill="1" applyBorder="1" applyAlignment="1">
      <alignment horizontal="left" vertical="center" wrapText="1"/>
    </xf>
    <xf numFmtId="169" fontId="140" fillId="3" borderId="7" xfId="101" applyNumberFormat="1" applyFont="1" applyFill="1" applyBorder="1" applyAlignment="1">
      <alignment horizontal="right" vertical="center" wrapText="1"/>
    </xf>
    <xf numFmtId="167" fontId="140" fillId="0" borderId="7" xfId="53" applyNumberFormat="1" applyFont="1" applyFill="1" applyBorder="1" applyAlignment="1">
      <alignment horizontal="right" vertical="center" wrapText="1"/>
    </xf>
    <xf numFmtId="167" fontId="141" fillId="0" borderId="7" xfId="53" applyNumberFormat="1" applyFont="1" applyFill="1" applyBorder="1" applyAlignment="1">
      <alignment horizontal="right" vertical="center" wrapText="1"/>
    </xf>
    <xf numFmtId="0" fontId="140" fillId="0" borderId="7" xfId="101" quotePrefix="1" applyFont="1" applyFill="1" applyBorder="1" applyAlignment="1">
      <alignment horizontal="left" vertical="center" wrapText="1"/>
    </xf>
    <xf numFmtId="0" fontId="140" fillId="3" borderId="7" xfId="101" applyFont="1" applyFill="1" applyBorder="1" applyAlignment="1">
      <alignment horizontal="right" vertical="center" wrapText="1"/>
    </xf>
    <xf numFmtId="0" fontId="140" fillId="34" borderId="7" xfId="101" applyFont="1" applyFill="1" applyBorder="1" applyAlignment="1">
      <alignment horizontal="right" vertical="center" wrapText="1"/>
    </xf>
    <xf numFmtId="0" fontId="140" fillId="0" borderId="7" xfId="101" applyFont="1" applyFill="1" applyBorder="1" applyAlignment="1">
      <alignment horizontal="right" vertical="center" wrapText="1"/>
    </xf>
    <xf numFmtId="0" fontId="140" fillId="0" borderId="7" xfId="3" applyFont="1" applyFill="1" applyBorder="1" applyAlignment="1">
      <alignment horizontal="justify" vertical="center"/>
    </xf>
    <xf numFmtId="0" fontId="140" fillId="0" borderId="7" xfId="107" applyFont="1" applyFill="1" applyBorder="1" applyAlignment="1">
      <alignment horizontal="justify" vertical="center"/>
    </xf>
    <xf numFmtId="0" fontId="147" fillId="0" borderId="7" xfId="3" applyFont="1" applyFill="1" applyBorder="1" applyAlignment="1">
      <alignment horizontal="justify" vertical="center"/>
    </xf>
    <xf numFmtId="0" fontId="147" fillId="34" borderId="7" xfId="101" applyFont="1" applyFill="1" applyBorder="1" applyAlignment="1">
      <alignment horizontal="right" vertical="center" wrapText="1"/>
    </xf>
    <xf numFmtId="3" fontId="147" fillId="3" borderId="0" xfId="101" applyNumberFormat="1" applyFont="1" applyFill="1" applyAlignment="1">
      <alignment vertical="center" wrapText="1"/>
    </xf>
    <xf numFmtId="0" fontId="147" fillId="0" borderId="7" xfId="107" applyFont="1" applyFill="1" applyBorder="1" applyAlignment="1">
      <alignment horizontal="justify" vertical="center"/>
    </xf>
    <xf numFmtId="0" fontId="147" fillId="0" borderId="7" xfId="101" applyFont="1" applyFill="1" applyBorder="1" applyAlignment="1">
      <alignment horizontal="right" vertical="center" wrapText="1"/>
    </xf>
    <xf numFmtId="0" fontId="137" fillId="38" borderId="7" xfId="101" applyFont="1" applyFill="1" applyBorder="1" applyAlignment="1">
      <alignment horizontal="center" vertical="center" wrapText="1"/>
    </xf>
    <xf numFmtId="0" fontId="137" fillId="38" borderId="7" xfId="101" applyFont="1" applyFill="1" applyBorder="1" applyAlignment="1">
      <alignment horizontal="left" vertical="center" wrapText="1"/>
    </xf>
    <xf numFmtId="3" fontId="137" fillId="37" borderId="7" xfId="101" applyNumberFormat="1" applyFont="1" applyFill="1" applyBorder="1" applyAlignment="1">
      <alignment horizontal="right" vertical="center" wrapText="1"/>
    </xf>
    <xf numFmtId="0" fontId="137" fillId="38" borderId="0" xfId="101" applyFont="1" applyFill="1" applyAlignment="1">
      <alignment vertical="center"/>
    </xf>
    <xf numFmtId="3" fontId="147" fillId="34" borderId="7" xfId="101" applyNumberFormat="1" applyFont="1" applyFill="1" applyBorder="1" applyAlignment="1">
      <alignment vertical="center" wrapText="1"/>
    </xf>
    <xf numFmtId="3" fontId="147" fillId="39" borderId="7" xfId="101" applyNumberFormat="1" applyFont="1" applyFill="1" applyBorder="1" applyAlignment="1">
      <alignment vertical="center" wrapText="1"/>
    </xf>
    <xf numFmtId="3" fontId="148" fillId="0" borderId="7" xfId="101" applyNumberFormat="1" applyFont="1" applyFill="1" applyBorder="1" applyAlignment="1">
      <alignment horizontal="right" vertical="center" wrapText="1"/>
    </xf>
    <xf numFmtId="3" fontId="148" fillId="34" borderId="7" xfId="101" applyNumberFormat="1" applyFont="1" applyFill="1" applyBorder="1" applyAlignment="1">
      <alignment horizontal="right" vertical="center" wrapText="1"/>
    </xf>
    <xf numFmtId="3" fontId="147" fillId="0" borderId="7" xfId="101" applyNumberFormat="1" applyFont="1" applyFill="1" applyBorder="1" applyAlignment="1">
      <alignment horizontal="left" vertical="center" wrapText="1"/>
    </xf>
    <xf numFmtId="0" fontId="147" fillId="0" borderId="7" xfId="101" applyFont="1" applyFill="1" applyBorder="1" applyAlignment="1">
      <alignment horizontal="left" vertical="center"/>
    </xf>
    <xf numFmtId="3" fontId="149" fillId="0" borderId="7" xfId="53" applyNumberFormat="1" applyFont="1" applyFill="1" applyBorder="1" applyAlignment="1">
      <alignment vertical="center"/>
    </xf>
    <xf numFmtId="3" fontId="149" fillId="39" borderId="7" xfId="53" applyNumberFormat="1" applyFont="1" applyFill="1" applyBorder="1" applyAlignment="1">
      <alignment vertical="center"/>
    </xf>
    <xf numFmtId="3" fontId="147" fillId="0" borderId="7" xfId="101" quotePrefix="1" applyNumberFormat="1" applyFont="1" applyFill="1" applyBorder="1" applyAlignment="1">
      <alignment horizontal="center" vertical="center" wrapText="1"/>
    </xf>
    <xf numFmtId="0" fontId="147" fillId="3" borderId="7" xfId="101" applyFont="1" applyFill="1" applyBorder="1" applyAlignment="1">
      <alignment horizontal="center" vertical="center" wrapText="1"/>
    </xf>
    <xf numFmtId="0" fontId="147" fillId="3" borderId="7" xfId="101" applyFont="1" applyFill="1" applyBorder="1" applyAlignment="1">
      <alignment horizontal="left" vertical="center" wrapText="1"/>
    </xf>
    <xf numFmtId="3" fontId="147" fillId="3" borderId="7" xfId="101" applyNumberFormat="1" applyFont="1" applyFill="1" applyBorder="1" applyAlignment="1">
      <alignment horizontal="center" vertical="center" wrapText="1"/>
    </xf>
    <xf numFmtId="3" fontId="147" fillId="3" borderId="7" xfId="101" applyNumberFormat="1" applyFont="1" applyFill="1" applyBorder="1" applyAlignment="1">
      <alignment horizontal="right" vertical="center" wrapText="1"/>
    </xf>
    <xf numFmtId="3" fontId="149" fillId="3" borderId="7" xfId="53" applyNumberFormat="1" applyFont="1" applyFill="1" applyBorder="1" applyAlignment="1">
      <alignment vertical="center"/>
    </xf>
    <xf numFmtId="0" fontId="147" fillId="3" borderId="0" xfId="101" applyFont="1" applyFill="1" applyAlignment="1">
      <alignment vertical="center" wrapText="1"/>
    </xf>
    <xf numFmtId="0" fontId="147" fillId="3" borderId="7" xfId="101" applyFont="1" applyFill="1" applyBorder="1" applyAlignment="1">
      <alignment horizontal="left" vertical="center"/>
    </xf>
    <xf numFmtId="3" fontId="147" fillId="3" borderId="7" xfId="101" applyNumberFormat="1" applyFont="1" applyFill="1" applyBorder="1" applyAlignment="1">
      <alignment vertical="center" wrapText="1"/>
    </xf>
    <xf numFmtId="0" fontId="147" fillId="3" borderId="0" xfId="101" applyFont="1" applyFill="1" applyAlignment="1">
      <alignment vertical="center"/>
    </xf>
    <xf numFmtId="0" fontId="140" fillId="0" borderId="7" xfId="101" applyFont="1" applyFill="1" applyBorder="1" applyAlignment="1">
      <alignment horizontal="left" vertical="center"/>
    </xf>
    <xf numFmtId="0" fontId="7" fillId="0" borderId="7" xfId="101" applyFont="1" applyFill="1" applyBorder="1" applyAlignment="1">
      <alignment horizontal="center" vertical="center" wrapText="1"/>
    </xf>
    <xf numFmtId="0" fontId="7" fillId="0" borderId="7" xfId="101" applyFont="1" applyFill="1" applyBorder="1" applyAlignment="1">
      <alignment horizontal="left" vertical="center" wrapText="1"/>
    </xf>
    <xf numFmtId="3" fontId="27" fillId="0" borderId="7" xfId="101" applyNumberFormat="1" applyFont="1" applyFill="1" applyBorder="1" applyAlignment="1">
      <alignment horizontal="center" vertical="center" wrapText="1"/>
    </xf>
    <xf numFmtId="3" fontId="27" fillId="0" borderId="7" xfId="101" applyNumberFormat="1" applyFont="1" applyFill="1" applyBorder="1" applyAlignment="1">
      <alignment horizontal="right" vertical="center" wrapText="1"/>
    </xf>
    <xf numFmtId="3" fontId="27" fillId="38" borderId="7" xfId="101" applyNumberFormat="1" applyFont="1" applyFill="1" applyBorder="1" applyAlignment="1">
      <alignment vertical="center" wrapText="1"/>
    </xf>
    <xf numFmtId="3" fontId="27" fillId="34" borderId="7" xfId="101" applyNumberFormat="1" applyFont="1" applyFill="1" applyBorder="1" applyAlignment="1">
      <alignment horizontal="right" vertical="center" wrapText="1"/>
    </xf>
    <xf numFmtId="0" fontId="7" fillId="0" borderId="0" xfId="101" applyFont="1" applyFill="1" applyAlignment="1">
      <alignment vertical="center" wrapText="1"/>
    </xf>
    <xf numFmtId="3" fontId="40" fillId="3" borderId="0" xfId="101" applyNumberFormat="1" applyFont="1" applyFill="1" applyAlignment="1">
      <alignment vertical="center" wrapText="1"/>
    </xf>
    <xf numFmtId="0" fontId="7" fillId="0" borderId="7" xfId="101" applyFont="1" applyFill="1" applyBorder="1" applyAlignment="1">
      <alignment horizontal="left" vertical="center"/>
    </xf>
    <xf numFmtId="3" fontId="7" fillId="0" borderId="7" xfId="101" applyNumberFormat="1" applyFont="1" applyFill="1" applyBorder="1" applyAlignment="1">
      <alignment horizontal="center" vertical="center" wrapText="1"/>
    </xf>
    <xf numFmtId="3" fontId="7" fillId="0" borderId="7" xfId="101" applyNumberFormat="1" applyFont="1" applyFill="1" applyBorder="1" applyAlignment="1">
      <alignment horizontal="right" vertical="center" wrapText="1"/>
    </xf>
    <xf numFmtId="3" fontId="7" fillId="39" borderId="7" xfId="101" applyNumberFormat="1" applyFont="1" applyFill="1" applyBorder="1" applyAlignment="1">
      <alignment horizontal="right" vertical="center" wrapText="1"/>
    </xf>
    <xf numFmtId="3" fontId="7" fillId="0" borderId="7" xfId="101" applyNumberFormat="1" applyFont="1" applyFill="1" applyBorder="1" applyAlignment="1">
      <alignment vertical="center" wrapText="1"/>
    </xf>
    <xf numFmtId="3" fontId="7" fillId="38" borderId="7" xfId="101" applyNumberFormat="1" applyFont="1" applyFill="1" applyBorder="1" applyAlignment="1">
      <alignment vertical="center" wrapText="1"/>
    </xf>
    <xf numFmtId="0" fontId="7" fillId="0" borderId="0" xfId="101" applyFont="1" applyFill="1" applyAlignment="1">
      <alignment vertical="center"/>
    </xf>
    <xf numFmtId="3" fontId="137" fillId="0" borderId="7" xfId="101" applyNumberFormat="1" applyFont="1" applyFill="1" applyBorder="1" applyAlignment="1">
      <alignment vertical="center" wrapText="1"/>
    </xf>
    <xf numFmtId="3" fontId="137" fillId="38" borderId="7" xfId="101" applyNumberFormat="1" applyFont="1" applyFill="1" applyBorder="1" applyAlignment="1">
      <alignment vertical="center" wrapText="1"/>
    </xf>
    <xf numFmtId="3" fontId="137" fillId="34" borderId="7" xfId="101" applyNumberFormat="1" applyFont="1" applyFill="1" applyBorder="1" applyAlignment="1">
      <alignment vertical="center" wrapText="1"/>
    </xf>
    <xf numFmtId="3" fontId="137" fillId="0" borderId="15" xfId="101" applyNumberFormat="1" applyFont="1" applyFill="1" applyBorder="1" applyAlignment="1">
      <alignment vertical="center" wrapText="1"/>
    </xf>
    <xf numFmtId="3" fontId="137" fillId="39" borderId="7" xfId="101" applyNumberFormat="1" applyFont="1" applyFill="1" applyBorder="1" applyAlignment="1">
      <alignment vertical="center" wrapText="1"/>
    </xf>
    <xf numFmtId="3" fontId="140" fillId="0" borderId="15" xfId="101" applyNumberFormat="1" applyFont="1" applyFill="1" applyBorder="1" applyAlignment="1">
      <alignment horizontal="right" vertical="center" wrapText="1"/>
    </xf>
    <xf numFmtId="3" fontId="147" fillId="0" borderId="0" xfId="101" applyNumberFormat="1" applyFont="1" applyFill="1" applyBorder="1" applyAlignment="1">
      <alignment horizontal="right" vertical="center" wrapText="1"/>
    </xf>
    <xf numFmtId="3" fontId="147" fillId="38" borderId="7" xfId="101" applyNumberFormat="1" applyFont="1" applyFill="1" applyBorder="1" applyAlignment="1">
      <alignment horizontal="right" vertical="center" wrapText="1"/>
    </xf>
    <xf numFmtId="0" fontId="140" fillId="0" borderId="7" xfId="101" applyFont="1" applyFill="1" applyBorder="1" applyAlignment="1">
      <alignment vertical="center"/>
    </xf>
    <xf numFmtId="0" fontId="140" fillId="0" borderId="7" xfId="101" applyFont="1" applyFill="1" applyBorder="1" applyAlignment="1">
      <alignment horizontal="center" vertical="center"/>
    </xf>
    <xf numFmtId="3" fontId="140" fillId="0" borderId="7" xfId="101" applyNumberFormat="1" applyFont="1" applyFill="1" applyBorder="1" applyAlignment="1">
      <alignment vertical="center"/>
    </xf>
    <xf numFmtId="0" fontId="140" fillId="34" borderId="7" xfId="101" applyFont="1" applyFill="1" applyBorder="1" applyAlignment="1">
      <alignment vertical="center"/>
    </xf>
    <xf numFmtId="3" fontId="140" fillId="38" borderId="7" xfId="101" applyNumberFormat="1" applyFont="1" applyFill="1" applyBorder="1" applyAlignment="1">
      <alignment vertical="center"/>
    </xf>
    <xf numFmtId="0" fontId="140" fillId="0" borderId="7" xfId="101" applyFont="1" applyFill="1" applyBorder="1" applyAlignment="1">
      <alignment vertical="center" wrapText="1"/>
    </xf>
    <xf numFmtId="3" fontId="140" fillId="0" borderId="0" xfId="101" applyNumberFormat="1" applyFont="1" applyFill="1" applyBorder="1" applyAlignment="1">
      <alignment horizontal="right" vertical="center" wrapText="1"/>
    </xf>
    <xf numFmtId="0" fontId="148" fillId="34" borderId="7" xfId="101" applyFont="1" applyFill="1" applyBorder="1" applyAlignment="1">
      <alignment horizontal="right" vertical="center" wrapText="1"/>
    </xf>
    <xf numFmtId="0" fontId="148" fillId="0" borderId="0" xfId="101" applyFont="1" applyFill="1" applyAlignment="1">
      <alignment vertical="center" wrapText="1"/>
    </xf>
    <xf numFmtId="0" fontId="148" fillId="0" borderId="7" xfId="101" applyFont="1" applyFill="1" applyBorder="1" applyAlignment="1">
      <alignment horizontal="right" vertical="center" wrapText="1"/>
    </xf>
    <xf numFmtId="0" fontId="148" fillId="0" borderId="0" xfId="101" applyFont="1" applyFill="1" applyAlignment="1">
      <alignment vertical="center"/>
    </xf>
    <xf numFmtId="0" fontId="141" fillId="34" borderId="7" xfId="101" applyFont="1" applyFill="1" applyBorder="1" applyAlignment="1">
      <alignment horizontal="right" vertical="center" wrapText="1"/>
    </xf>
    <xf numFmtId="0" fontId="141" fillId="0" borderId="7" xfId="101" applyFont="1" applyFill="1" applyBorder="1" applyAlignment="1">
      <alignment horizontal="right" vertical="center" wrapText="1"/>
    </xf>
    <xf numFmtId="0" fontId="137" fillId="0" borderId="7" xfId="101" quotePrefix="1" applyFont="1" applyFill="1" applyBorder="1" applyAlignment="1">
      <alignment horizontal="center" vertical="center" wrapText="1"/>
    </xf>
    <xf numFmtId="3" fontId="140" fillId="0" borderId="15" xfId="101" applyNumberFormat="1" applyFont="1" applyFill="1" applyBorder="1" applyAlignment="1">
      <alignment vertical="center" wrapText="1"/>
    </xf>
    <xf numFmtId="3" fontId="144" fillId="34" borderId="7" xfId="101" applyNumberFormat="1" applyFont="1" applyFill="1" applyBorder="1" applyAlignment="1">
      <alignment horizontal="right" vertical="center" wrapText="1"/>
    </xf>
    <xf numFmtId="0" fontId="144" fillId="0" borderId="0" xfId="101" applyFont="1" applyFill="1" applyAlignment="1">
      <alignment vertical="center" wrapText="1"/>
    </xf>
    <xf numFmtId="3" fontId="145" fillId="0" borderId="0" xfId="101" applyNumberFormat="1" applyFont="1" applyFill="1" applyAlignment="1">
      <alignment vertical="center" wrapText="1"/>
    </xf>
    <xf numFmtId="0" fontId="144" fillId="0" borderId="7" xfId="101" quotePrefix="1" applyFont="1" applyFill="1" applyBorder="1" applyAlignment="1">
      <alignment horizontal="left" vertical="center" wrapText="1"/>
    </xf>
    <xf numFmtId="0" fontId="144" fillId="0" borderId="7" xfId="101" quotePrefix="1" applyFont="1" applyFill="1" applyBorder="1" applyAlignment="1">
      <alignment horizontal="left" vertical="center"/>
    </xf>
    <xf numFmtId="3" fontId="144" fillId="39" borderId="7" xfId="101" applyNumberFormat="1" applyFont="1" applyFill="1" applyBorder="1" applyAlignment="1">
      <alignment horizontal="right" vertical="center" wrapText="1"/>
    </xf>
    <xf numFmtId="167" fontId="140" fillId="0" borderId="7" xfId="53" applyNumberFormat="1" applyFont="1" applyFill="1" applyBorder="1" applyAlignment="1">
      <alignment vertical="center" wrapText="1"/>
    </xf>
    <xf numFmtId="0" fontId="140" fillId="0" borderId="0" xfId="101" applyFont="1" applyFill="1" applyBorder="1" applyAlignment="1">
      <alignment vertical="center"/>
    </xf>
    <xf numFmtId="0" fontId="144" fillId="0" borderId="7" xfId="101" applyFont="1" applyFill="1" applyBorder="1" applyAlignment="1">
      <alignment horizontal="left" vertical="center"/>
    </xf>
    <xf numFmtId="167" fontId="144" fillId="0" borderId="7" xfId="53" applyNumberFormat="1" applyFont="1" applyFill="1" applyBorder="1" applyAlignment="1">
      <alignment vertical="center" wrapText="1"/>
    </xf>
    <xf numFmtId="0" fontId="144" fillId="0" borderId="0" xfId="101" applyFont="1" applyFill="1" applyBorder="1" applyAlignment="1">
      <alignment vertical="center"/>
    </xf>
    <xf numFmtId="169" fontId="140" fillId="34" borderId="7" xfId="101" applyNumberFormat="1" applyFont="1" applyFill="1" applyBorder="1" applyAlignment="1">
      <alignment horizontal="right" vertical="center" wrapText="1"/>
    </xf>
    <xf numFmtId="169" fontId="140" fillId="0" borderId="7" xfId="101" applyNumberFormat="1" applyFont="1" applyFill="1" applyBorder="1" applyAlignment="1">
      <alignment horizontal="right" vertical="center" wrapText="1"/>
    </xf>
    <xf numFmtId="0" fontId="141" fillId="0" borderId="7" xfId="101" applyFont="1" applyFill="1" applyBorder="1" applyAlignment="1">
      <alignment vertical="center" wrapText="1"/>
    </xf>
    <xf numFmtId="0" fontId="141" fillId="0" borderId="7" xfId="101" applyFont="1" applyFill="1" applyBorder="1" applyAlignment="1">
      <alignment horizontal="center" vertical="center"/>
    </xf>
    <xf numFmtId="0" fontId="141" fillId="0" borderId="7" xfId="101" applyFont="1" applyFill="1" applyBorder="1" applyAlignment="1">
      <alignment vertical="center"/>
    </xf>
    <xf numFmtId="0" fontId="141" fillId="38" borderId="7" xfId="101" applyFont="1" applyFill="1" applyBorder="1" applyAlignment="1">
      <alignment vertical="center"/>
    </xf>
    <xf numFmtId="3" fontId="141" fillId="0" borderId="7" xfId="101" applyNumberFormat="1" applyFont="1" applyFill="1" applyBorder="1" applyAlignment="1">
      <alignment vertical="center"/>
    </xf>
    <xf numFmtId="3" fontId="141" fillId="38" borderId="7" xfId="101" applyNumberFormat="1" applyFont="1" applyFill="1" applyBorder="1" applyAlignment="1">
      <alignment vertical="center"/>
    </xf>
    <xf numFmtId="0" fontId="141" fillId="34" borderId="7" xfId="101" applyFont="1" applyFill="1" applyBorder="1" applyAlignment="1">
      <alignment vertical="center"/>
    </xf>
    <xf numFmtId="3" fontId="7" fillId="3" borderId="7" xfId="101" applyNumberFormat="1" applyFont="1" applyFill="1" applyBorder="1" applyAlignment="1">
      <alignment vertical="center" wrapText="1"/>
    </xf>
    <xf numFmtId="3" fontId="7" fillId="34" borderId="7" xfId="101" applyNumberFormat="1" applyFont="1" applyFill="1" applyBorder="1" applyAlignment="1">
      <alignment vertical="center" wrapText="1"/>
    </xf>
    <xf numFmtId="3" fontId="7" fillId="34" borderId="7" xfId="101" applyNumberFormat="1" applyFont="1" applyFill="1" applyBorder="1" applyAlignment="1">
      <alignment horizontal="right" vertical="center" wrapText="1"/>
    </xf>
    <xf numFmtId="0" fontId="7" fillId="0" borderId="7" xfId="101" quotePrefix="1" applyFont="1" applyFill="1" applyBorder="1" applyAlignment="1">
      <alignment horizontal="left" vertical="center" wrapText="1"/>
    </xf>
    <xf numFmtId="3" fontId="7" fillId="39" borderId="7" xfId="101" applyNumberFormat="1" applyFont="1" applyFill="1" applyBorder="1" applyAlignment="1">
      <alignment vertical="center" wrapText="1"/>
    </xf>
    <xf numFmtId="167" fontId="12" fillId="3" borderId="7" xfId="53" applyNumberFormat="1" applyFont="1" applyFill="1" applyBorder="1" applyAlignment="1">
      <alignment vertical="center"/>
    </xf>
    <xf numFmtId="3" fontId="13" fillId="3" borderId="7" xfId="101" applyNumberFormat="1" applyFont="1" applyFill="1" applyBorder="1" applyAlignment="1">
      <alignment vertical="center" wrapText="1"/>
    </xf>
    <xf numFmtId="38" fontId="12" fillId="3" borderId="7" xfId="53" applyNumberFormat="1" applyFont="1" applyFill="1" applyBorder="1" applyAlignment="1">
      <alignment vertical="center"/>
    </xf>
    <xf numFmtId="0" fontId="5" fillId="0" borderId="7" xfId="101" applyFont="1" applyFill="1" applyBorder="1" applyAlignment="1">
      <alignment horizontal="center" vertical="center" wrapText="1"/>
    </xf>
    <xf numFmtId="3" fontId="140" fillId="34" borderId="7" xfId="101" applyNumberFormat="1" applyFont="1" applyFill="1" applyBorder="1" applyAlignment="1">
      <alignment horizontal="center" vertical="center" wrapText="1"/>
    </xf>
    <xf numFmtId="3" fontId="137" fillId="3" borderId="7" xfId="101" applyNumberFormat="1" applyFont="1" applyFill="1" applyBorder="1" applyAlignment="1">
      <alignment horizontal="right" vertical="center" wrapText="1"/>
    </xf>
    <xf numFmtId="49" fontId="140" fillId="0" borderId="7" xfId="101" applyNumberFormat="1" applyFont="1" applyFill="1" applyBorder="1" applyAlignment="1">
      <alignment horizontal="left" vertical="center" wrapText="1"/>
    </xf>
    <xf numFmtId="49" fontId="140" fillId="0" borderId="7" xfId="101" quotePrefix="1" applyNumberFormat="1" applyFont="1" applyFill="1" applyBorder="1" applyAlignment="1">
      <alignment horizontal="left" vertical="center" wrapText="1"/>
    </xf>
    <xf numFmtId="49" fontId="137" fillId="0" borderId="7" xfId="101" applyNumberFormat="1" applyFont="1" applyFill="1" applyBorder="1" applyAlignment="1">
      <alignment horizontal="left" vertical="center" wrapText="1"/>
    </xf>
    <xf numFmtId="0" fontId="137" fillId="0" borderId="7" xfId="101" applyFont="1" applyFill="1" applyBorder="1" applyAlignment="1">
      <alignment horizontal="center" vertical="center"/>
    </xf>
    <xf numFmtId="0" fontId="137" fillId="0" borderId="30" xfId="101" applyFont="1" applyFill="1" applyBorder="1" applyAlignment="1">
      <alignment vertical="center" wrapText="1"/>
    </xf>
    <xf numFmtId="0" fontId="137" fillId="0" borderId="30" xfId="101" applyFont="1" applyFill="1" applyBorder="1" applyAlignment="1">
      <alignment vertical="center"/>
    </xf>
    <xf numFmtId="0" fontId="137" fillId="0" borderId="9" xfId="101" applyFont="1" applyFill="1" applyBorder="1" applyAlignment="1">
      <alignment horizontal="center" vertical="center"/>
    </xf>
    <xf numFmtId="0" fontId="137" fillId="0" borderId="9" xfId="101" applyFont="1" applyFill="1" applyBorder="1" applyAlignment="1">
      <alignment horizontal="left" vertical="center" wrapText="1"/>
    </xf>
    <xf numFmtId="3" fontId="137" fillId="0" borderId="9" xfId="101" applyNumberFormat="1" applyFont="1" applyFill="1" applyBorder="1" applyAlignment="1">
      <alignment horizontal="center" vertical="center" wrapText="1"/>
    </xf>
    <xf numFmtId="0" fontId="137" fillId="0" borderId="0" xfId="101" applyFont="1" applyFill="1" applyBorder="1" applyAlignment="1">
      <alignment vertical="center" wrapText="1"/>
    </xf>
    <xf numFmtId="0" fontId="137" fillId="0" borderId="0" xfId="101" applyFont="1" applyFill="1" applyBorder="1" applyAlignment="1">
      <alignment vertical="center"/>
    </xf>
    <xf numFmtId="0" fontId="5" fillId="0" borderId="34" xfId="101" applyFont="1" applyFill="1" applyBorder="1" applyAlignment="1">
      <alignment vertical="center"/>
    </xf>
    <xf numFmtId="0" fontId="5" fillId="0" borderId="34" xfId="101" applyFont="1" applyFill="1" applyBorder="1" applyAlignment="1">
      <alignment horizontal="left" vertical="center" wrapText="1"/>
    </xf>
    <xf numFmtId="3" fontId="5" fillId="0" borderId="34" xfId="101" applyNumberFormat="1" applyFont="1" applyFill="1" applyBorder="1" applyAlignment="1">
      <alignment horizontal="center" vertical="center" wrapText="1"/>
    </xf>
    <xf numFmtId="3" fontId="5" fillId="0" borderId="34" xfId="101" applyNumberFormat="1" applyFont="1" applyFill="1" applyBorder="1" applyAlignment="1">
      <alignment horizontal="right" vertical="center" wrapText="1"/>
    </xf>
    <xf numFmtId="3" fontId="5" fillId="38" borderId="34" xfId="101" applyNumberFormat="1" applyFont="1" applyFill="1" applyBorder="1" applyAlignment="1">
      <alignment horizontal="right" vertical="center" wrapText="1"/>
    </xf>
    <xf numFmtId="3" fontId="5" fillId="3" borderId="34" xfId="101" applyNumberFormat="1" applyFont="1" applyFill="1" applyBorder="1" applyAlignment="1">
      <alignment horizontal="right" vertical="center" wrapText="1"/>
    </xf>
    <xf numFmtId="3" fontId="5" fillId="34" borderId="34" xfId="101" applyNumberFormat="1" applyFont="1" applyFill="1" applyBorder="1" applyAlignment="1">
      <alignment horizontal="right" vertical="center" wrapText="1"/>
    </xf>
    <xf numFmtId="3" fontId="5" fillId="3" borderId="0" xfId="101" applyNumberFormat="1" applyFont="1" applyFill="1" applyAlignment="1">
      <alignment vertical="center" wrapText="1"/>
    </xf>
    <xf numFmtId="3" fontId="5" fillId="39" borderId="34" xfId="101" applyNumberFormat="1" applyFont="1" applyFill="1" applyBorder="1" applyAlignment="1">
      <alignment horizontal="right" vertical="center" wrapText="1"/>
    </xf>
    <xf numFmtId="0" fontId="5" fillId="0" borderId="0" xfId="101" applyFont="1" applyFill="1" applyAlignment="1">
      <alignment vertical="center"/>
    </xf>
    <xf numFmtId="3" fontId="137" fillId="0" borderId="5" xfId="101" applyNumberFormat="1" applyFont="1" applyFill="1" applyBorder="1" applyAlignment="1">
      <alignment horizontal="right" vertical="center" wrapText="1"/>
    </xf>
    <xf numFmtId="3" fontId="137" fillId="0" borderId="5" xfId="101" applyNumberFormat="1" applyFont="1" applyFill="1" applyBorder="1" applyAlignment="1">
      <alignment horizontal="center" vertical="center" wrapText="1"/>
    </xf>
    <xf numFmtId="3" fontId="137" fillId="38" borderId="5" xfId="101" applyNumberFormat="1" applyFont="1" applyFill="1" applyBorder="1" applyAlignment="1">
      <alignment horizontal="right" vertical="center" wrapText="1"/>
    </xf>
    <xf numFmtId="3" fontId="137" fillId="3" borderId="5" xfId="101" applyNumberFormat="1" applyFont="1" applyFill="1" applyBorder="1" applyAlignment="1">
      <alignment horizontal="right" vertical="center" wrapText="1"/>
    </xf>
    <xf numFmtId="3" fontId="137" fillId="34" borderId="5" xfId="101" applyNumberFormat="1" applyFont="1" applyFill="1" applyBorder="1" applyAlignment="1">
      <alignment horizontal="right" vertical="center" wrapText="1"/>
    </xf>
    <xf numFmtId="3" fontId="137" fillId="39" borderId="5" xfId="101" applyNumberFormat="1" applyFont="1" applyFill="1" applyBorder="1" applyAlignment="1">
      <alignment horizontal="right" vertical="center" wrapText="1"/>
    </xf>
    <xf numFmtId="0" fontId="137" fillId="0" borderId="0" xfId="101" applyFont="1" applyFill="1" applyBorder="1" applyAlignment="1">
      <alignment horizontal="center" vertical="center"/>
    </xf>
    <xf numFmtId="3" fontId="137" fillId="0" borderId="0" xfId="101" applyNumberFormat="1" applyFont="1" applyFill="1" applyBorder="1" applyAlignment="1">
      <alignment horizontal="right" vertical="center" wrapText="1"/>
    </xf>
    <xf numFmtId="3" fontId="137" fillId="0" borderId="0" xfId="101" applyNumberFormat="1" applyFont="1" applyFill="1" applyBorder="1" applyAlignment="1">
      <alignment horizontal="center" vertical="center" wrapText="1"/>
    </xf>
    <xf numFmtId="3" fontId="137" fillId="38" borderId="0" xfId="101" applyNumberFormat="1" applyFont="1" applyFill="1" applyBorder="1" applyAlignment="1">
      <alignment horizontal="right" vertical="center" wrapText="1"/>
    </xf>
    <xf numFmtId="3" fontId="137" fillId="3" borderId="0" xfId="101" applyNumberFormat="1" applyFont="1" applyFill="1" applyBorder="1" applyAlignment="1">
      <alignment horizontal="right" vertical="center" wrapText="1"/>
    </xf>
    <xf numFmtId="3" fontId="137" fillId="34" borderId="0" xfId="101" applyNumberFormat="1" applyFont="1" applyFill="1" applyBorder="1" applyAlignment="1">
      <alignment horizontal="right" vertical="center" wrapText="1"/>
    </xf>
    <xf numFmtId="3" fontId="137" fillId="39" borderId="0" xfId="101" applyNumberFormat="1" applyFont="1" applyFill="1" applyBorder="1" applyAlignment="1">
      <alignment horizontal="right" vertical="center" wrapText="1"/>
    </xf>
    <xf numFmtId="3" fontId="137" fillId="38" borderId="42" xfId="101" applyNumberFormat="1" applyFont="1" applyFill="1" applyBorder="1" applyAlignment="1">
      <alignment horizontal="right" vertical="center" wrapText="1"/>
    </xf>
    <xf numFmtId="3" fontId="137" fillId="0" borderId="0" xfId="101" applyNumberFormat="1" applyFont="1" applyFill="1" applyAlignment="1">
      <alignment vertical="center"/>
    </xf>
    <xf numFmtId="3" fontId="137" fillId="3" borderId="0" xfId="101" applyNumberFormat="1" applyFont="1" applyFill="1" applyBorder="1" applyAlignment="1">
      <alignment vertical="center" wrapText="1"/>
    </xf>
    <xf numFmtId="3" fontId="137" fillId="0" borderId="0" xfId="101" applyNumberFormat="1" applyFont="1" applyFill="1" applyBorder="1" applyAlignment="1">
      <alignment vertical="center" wrapText="1"/>
    </xf>
    <xf numFmtId="0" fontId="137" fillId="39" borderId="0" xfId="101" applyFont="1" applyFill="1" applyBorder="1" applyAlignment="1">
      <alignment vertical="center"/>
    </xf>
    <xf numFmtId="0" fontId="13" fillId="0" borderId="0" xfId="101" applyFont="1" applyFill="1" applyBorder="1" applyAlignment="1">
      <alignment horizontal="center" vertical="center"/>
    </xf>
    <xf numFmtId="0" fontId="13" fillId="0" borderId="0" xfId="101" applyFont="1" applyFill="1" applyBorder="1" applyAlignment="1">
      <alignment horizontal="left" vertical="center"/>
    </xf>
    <xf numFmtId="3" fontId="13" fillId="0" borderId="0" xfId="101" applyNumberFormat="1" applyFont="1" applyFill="1" applyBorder="1" applyAlignment="1">
      <alignment horizontal="right" vertical="center" wrapText="1"/>
    </xf>
    <xf numFmtId="3" fontId="13" fillId="0" borderId="0" xfId="101" applyNumberFormat="1" applyFont="1" applyFill="1" applyBorder="1" applyAlignment="1">
      <alignment horizontal="center" vertical="center" wrapText="1"/>
    </xf>
    <xf numFmtId="3" fontId="13" fillId="38" borderId="0" xfId="101" applyNumberFormat="1" applyFont="1" applyFill="1" applyBorder="1" applyAlignment="1">
      <alignment horizontal="right" vertical="center" wrapText="1"/>
    </xf>
    <xf numFmtId="3" fontId="13" fillId="3" borderId="0" xfId="101" applyNumberFormat="1" applyFont="1" applyFill="1" applyBorder="1" applyAlignment="1">
      <alignment horizontal="right" vertical="center" wrapText="1"/>
    </xf>
    <xf numFmtId="3" fontId="13" fillId="34" borderId="0" xfId="101" applyNumberFormat="1" applyFont="1" applyFill="1" applyBorder="1" applyAlignment="1">
      <alignment horizontal="right" vertical="center" wrapText="1"/>
    </xf>
    <xf numFmtId="3" fontId="13" fillId="3" borderId="0" xfId="101" applyNumberFormat="1" applyFont="1" applyFill="1" applyBorder="1" applyAlignment="1">
      <alignment vertical="center" wrapText="1"/>
    </xf>
    <xf numFmtId="3" fontId="13" fillId="0" borderId="0" xfId="101" applyNumberFormat="1" applyFont="1" applyFill="1" applyBorder="1" applyAlignment="1">
      <alignment vertical="center" wrapText="1"/>
    </xf>
    <xf numFmtId="0" fontId="13" fillId="0" borderId="0" xfId="101" applyFont="1" applyFill="1" applyBorder="1" applyAlignment="1">
      <alignment vertical="center" wrapText="1"/>
    </xf>
    <xf numFmtId="0" fontId="13" fillId="0" borderId="0" xfId="101" applyFont="1" applyFill="1" applyBorder="1" applyAlignment="1">
      <alignment vertical="center"/>
    </xf>
    <xf numFmtId="0" fontId="13" fillId="39" borderId="0" xfId="101" applyFont="1" applyFill="1" applyBorder="1" applyAlignment="1">
      <alignment vertical="center"/>
    </xf>
    <xf numFmtId="0" fontId="13" fillId="0" borderId="0" xfId="101" applyFont="1" applyFill="1" applyAlignment="1">
      <alignment vertical="center" wrapText="1"/>
    </xf>
    <xf numFmtId="3" fontId="13" fillId="3" borderId="0" xfId="101" applyNumberFormat="1" applyFont="1" applyFill="1" applyAlignment="1">
      <alignment vertical="center" wrapText="1"/>
    </xf>
    <xf numFmtId="3" fontId="13" fillId="0" borderId="0" xfId="101" applyNumberFormat="1" applyFont="1" applyFill="1" applyAlignment="1">
      <alignment vertical="center" wrapText="1"/>
    </xf>
    <xf numFmtId="0" fontId="13" fillId="0" borderId="0" xfId="101" applyFont="1" applyFill="1" applyAlignment="1">
      <alignment vertical="center"/>
    </xf>
    <xf numFmtId="0" fontId="13" fillId="39" borderId="0" xfId="101" applyFont="1" applyFill="1" applyAlignment="1">
      <alignment vertical="center"/>
    </xf>
    <xf numFmtId="3" fontId="137" fillId="40" borderId="0" xfId="101" applyNumberFormat="1" applyFont="1" applyFill="1" applyBorder="1" applyAlignment="1">
      <alignment horizontal="right" vertical="center" wrapText="1"/>
    </xf>
    <xf numFmtId="0" fontId="137" fillId="0" borderId="0" xfId="101" applyFont="1" applyFill="1" applyBorder="1" applyAlignment="1">
      <alignment horizontal="left" vertical="center" wrapText="1"/>
    </xf>
    <xf numFmtId="0" fontId="140" fillId="0" borderId="0" xfId="101" applyFont="1" applyFill="1" applyBorder="1" applyAlignment="1">
      <alignment horizontal="center" vertical="center"/>
    </xf>
    <xf numFmtId="3" fontId="150" fillId="0" borderId="0" xfId="101" applyNumberFormat="1" applyFont="1" applyFill="1" applyBorder="1" applyAlignment="1">
      <alignment horizontal="right" vertical="center" wrapText="1"/>
    </xf>
    <xf numFmtId="3" fontId="140" fillId="38" borderId="0" xfId="101" applyNumberFormat="1" applyFont="1" applyFill="1" applyBorder="1" applyAlignment="1">
      <alignment horizontal="right" vertical="center" wrapText="1"/>
    </xf>
    <xf numFmtId="3" fontId="140" fillId="3" borderId="0" xfId="101" applyNumberFormat="1" applyFont="1" applyFill="1" applyBorder="1" applyAlignment="1">
      <alignment horizontal="right" vertical="center" wrapText="1"/>
    </xf>
    <xf numFmtId="3" fontId="140" fillId="34" borderId="0" xfId="101" applyNumberFormat="1" applyFont="1" applyFill="1" applyBorder="1" applyAlignment="1">
      <alignment horizontal="right" vertical="center" wrapText="1"/>
    </xf>
    <xf numFmtId="0" fontId="140" fillId="0" borderId="0" xfId="101" applyFont="1" applyFill="1" applyBorder="1" applyAlignment="1">
      <alignment vertical="center" wrapText="1"/>
    </xf>
    <xf numFmtId="0" fontId="140" fillId="3" borderId="0" xfId="101" applyFont="1" applyFill="1" applyBorder="1" applyAlignment="1">
      <alignment vertical="center" wrapText="1"/>
    </xf>
    <xf numFmtId="0" fontId="140" fillId="39" borderId="0" xfId="101" applyFont="1" applyFill="1" applyBorder="1" applyAlignment="1">
      <alignment vertical="center"/>
    </xf>
    <xf numFmtId="4" fontId="137" fillId="0" borderId="0" xfId="101" applyNumberFormat="1" applyFont="1" applyFill="1" applyBorder="1" applyAlignment="1">
      <alignment horizontal="right" vertical="center" wrapText="1"/>
    </xf>
    <xf numFmtId="3" fontId="140" fillId="37" borderId="0" xfId="101" applyNumberFormat="1" applyFont="1" applyFill="1" applyAlignment="1">
      <alignment vertical="center" wrapText="1"/>
    </xf>
    <xf numFmtId="3" fontId="140" fillId="34" borderId="0" xfId="101" applyNumberFormat="1" applyFont="1" applyFill="1" applyAlignment="1">
      <alignment vertical="center" wrapText="1"/>
    </xf>
    <xf numFmtId="3" fontId="140" fillId="0" borderId="0" xfId="101" quotePrefix="1" applyNumberFormat="1" applyFont="1" applyFill="1" applyAlignment="1">
      <alignment vertical="center" wrapText="1"/>
    </xf>
    <xf numFmtId="0" fontId="140" fillId="38" borderId="0" xfId="101" applyFont="1" applyFill="1" applyAlignment="1">
      <alignment vertical="center"/>
    </xf>
    <xf numFmtId="0" fontId="140" fillId="34" borderId="0" xfId="101" applyFont="1" applyFill="1" applyAlignment="1">
      <alignment vertical="center"/>
    </xf>
    <xf numFmtId="0" fontId="13" fillId="0" borderId="0" xfId="166" applyFont="1" applyAlignment="1">
      <alignment horizontal="centerContinuous"/>
    </xf>
    <xf numFmtId="0" fontId="5" fillId="0" borderId="0" xfId="166" applyFont="1" applyAlignment="1">
      <alignment horizontal="centerContinuous"/>
    </xf>
    <xf numFmtId="0" fontId="3" fillId="0" borderId="0" xfId="166" applyFont="1" applyAlignment="1">
      <alignment horizontal="centerContinuous"/>
    </xf>
    <xf numFmtId="0" fontId="3" fillId="0" borderId="0" xfId="166" applyFont="1" applyAlignment="1"/>
    <xf numFmtId="0" fontId="3" fillId="0" borderId="0" xfId="166" applyFont="1" applyAlignment="1">
      <alignment horizontal="right"/>
    </xf>
    <xf numFmtId="0" fontId="13" fillId="0" borderId="0" xfId="166" applyFont="1"/>
    <xf numFmtId="0" fontId="13" fillId="0" borderId="0" xfId="166" applyFont="1" applyAlignment="1">
      <alignment horizontal="left"/>
    </xf>
    <xf numFmtId="0" fontId="3" fillId="0" borderId="0" xfId="166" applyFont="1" applyAlignment="1">
      <alignment horizontal="left"/>
    </xf>
    <xf numFmtId="0" fontId="154" fillId="0" borderId="0" xfId="166" applyFont="1" applyAlignment="1">
      <alignment horizontal="centerContinuous"/>
    </xf>
    <xf numFmtId="0" fontId="3" fillId="0" borderId="0" xfId="166" quotePrefix="1" applyFont="1" applyAlignment="1">
      <alignment horizontal="centerContinuous"/>
    </xf>
    <xf numFmtId="41" fontId="13" fillId="0" borderId="0" xfId="166" applyNumberFormat="1" applyFont="1" applyAlignment="1">
      <alignment horizontal="centerContinuous"/>
    </xf>
    <xf numFmtId="0" fontId="13" fillId="0" borderId="0" xfId="166" applyNumberFormat="1" applyFont="1" applyAlignment="1">
      <alignment horizontal="centerContinuous"/>
    </xf>
    <xf numFmtId="167" fontId="13" fillId="0" borderId="0" xfId="53" applyNumberFormat="1" applyFont="1" applyAlignment="1">
      <alignment horizontal="centerContinuous"/>
    </xf>
    <xf numFmtId="0" fontId="7" fillId="0" borderId="0" xfId="166" applyFont="1" applyAlignment="1">
      <alignment horizontal="left"/>
    </xf>
    <xf numFmtId="0" fontId="100" fillId="0" borderId="0" xfId="166" applyFont="1" applyAlignment="1">
      <alignment horizontal="left"/>
    </xf>
    <xf numFmtId="167" fontId="97" fillId="0" borderId="0" xfId="53" applyNumberFormat="1" applyFont="1"/>
    <xf numFmtId="167" fontId="100" fillId="0" borderId="0" xfId="53" applyNumberFormat="1" applyFont="1" applyBorder="1" applyAlignment="1">
      <alignment horizontal="center"/>
    </xf>
    <xf numFmtId="167" fontId="100" fillId="0" borderId="0" xfId="53" applyNumberFormat="1" applyFont="1" applyBorder="1" applyAlignment="1">
      <alignment horizontal="right"/>
    </xf>
    <xf numFmtId="0" fontId="13" fillId="0" borderId="0" xfId="166" applyFont="1" applyBorder="1" applyAlignment="1">
      <alignment horizontal="center" vertical="center" wrapText="1"/>
    </xf>
    <xf numFmtId="167" fontId="13" fillId="0" borderId="0" xfId="53" applyNumberFormat="1" applyFont="1" applyBorder="1" applyAlignment="1">
      <alignment horizontal="center" vertical="center" wrapText="1"/>
    </xf>
    <xf numFmtId="0" fontId="108" fillId="0" borderId="0" xfId="166" applyFont="1"/>
    <xf numFmtId="41" fontId="13" fillId="0" borderId="0" xfId="166" applyNumberFormat="1" applyFont="1" applyBorder="1" applyAlignment="1">
      <alignment horizontal="center" vertical="center" wrapText="1"/>
    </xf>
    <xf numFmtId="0" fontId="13" fillId="0" borderId="7" xfId="166" applyFont="1" applyBorder="1" applyAlignment="1">
      <alignment horizontal="center" vertical="center"/>
    </xf>
    <xf numFmtId="0" fontId="4" fillId="0" borderId="7" xfId="166" applyFont="1" applyBorder="1" applyAlignment="1">
      <alignment horizontal="center" vertical="center"/>
    </xf>
    <xf numFmtId="0" fontId="4" fillId="0" borderId="7" xfId="166" quotePrefix="1" applyFont="1" applyBorder="1" applyAlignment="1">
      <alignment horizontal="center" vertical="center"/>
    </xf>
    <xf numFmtId="0" fontId="4" fillId="0" borderId="0" xfId="166" quotePrefix="1" applyFont="1" applyBorder="1" applyAlignment="1">
      <alignment horizontal="center" vertical="center"/>
    </xf>
    <xf numFmtId="0" fontId="4" fillId="0" borderId="0" xfId="166" applyFont="1" applyAlignment="1">
      <alignment vertical="center"/>
    </xf>
    <xf numFmtId="0" fontId="5" fillId="0" borderId="7" xfId="166" applyFont="1" applyBorder="1" applyAlignment="1">
      <alignment horizontal="center" vertical="center"/>
    </xf>
    <xf numFmtId="0" fontId="18" fillId="0" borderId="7" xfId="166" applyFont="1" applyBorder="1" applyAlignment="1">
      <alignment horizontal="center" vertical="center"/>
    </xf>
    <xf numFmtId="0" fontId="18" fillId="0" borderId="7" xfId="166" quotePrefix="1" applyFont="1" applyBorder="1" applyAlignment="1">
      <alignment horizontal="center" vertical="center"/>
    </xf>
    <xf numFmtId="0" fontId="18" fillId="0" borderId="0" xfId="166" quotePrefix="1" applyFont="1" applyBorder="1" applyAlignment="1">
      <alignment horizontal="center" vertical="center"/>
    </xf>
    <xf numFmtId="0" fontId="18" fillId="0" borderId="0" xfId="166" applyFont="1" applyAlignment="1">
      <alignment vertical="center"/>
    </xf>
    <xf numFmtId="0" fontId="13" fillId="0" borderId="7" xfId="166" applyFont="1" applyFill="1" applyBorder="1" applyAlignment="1">
      <alignment horizontal="center"/>
    </xf>
    <xf numFmtId="0" fontId="3" fillId="0" borderId="7" xfId="166" applyFont="1" applyFill="1" applyBorder="1"/>
    <xf numFmtId="41" fontId="3" fillId="0" borderId="7" xfId="166" applyNumberFormat="1" applyFont="1" applyFill="1" applyBorder="1"/>
    <xf numFmtId="41" fontId="3" fillId="3" borderId="7" xfId="166" applyNumberFormat="1" applyFont="1" applyFill="1" applyBorder="1"/>
    <xf numFmtId="41" fontId="3" fillId="3" borderId="0" xfId="166" applyNumberFormat="1" applyFont="1" applyFill="1" applyBorder="1"/>
    <xf numFmtId="41" fontId="3" fillId="0" borderId="0" xfId="166" applyNumberFormat="1" applyFont="1" applyFill="1" applyBorder="1"/>
    <xf numFmtId="41" fontId="3" fillId="40" borderId="0" xfId="166" applyNumberFormat="1" applyFont="1" applyFill="1" applyBorder="1"/>
    <xf numFmtId="3" fontId="3" fillId="0" borderId="0" xfId="166" applyNumberFormat="1" applyFont="1" applyFill="1"/>
    <xf numFmtId="0" fontId="3" fillId="0" borderId="0" xfId="166" applyFont="1" applyFill="1"/>
    <xf numFmtId="0" fontId="13" fillId="0" borderId="7" xfId="166" applyFont="1" applyBorder="1" applyAlignment="1">
      <alignment horizontal="center"/>
    </xf>
    <xf numFmtId="0" fontId="5" fillId="0" borderId="7" xfId="101" applyFont="1" applyFill="1" applyBorder="1" applyAlignment="1">
      <alignment horizontal="left" vertical="center" wrapText="1"/>
    </xf>
    <xf numFmtId="41" fontId="3" fillId="0" borderId="7" xfId="166" applyNumberFormat="1" applyFont="1" applyBorder="1"/>
    <xf numFmtId="41" fontId="3" fillId="0" borderId="0" xfId="166" applyNumberFormat="1" applyFont="1" applyBorder="1"/>
    <xf numFmtId="0" fontId="3" fillId="0" borderId="0" xfId="166" applyFont="1"/>
    <xf numFmtId="0" fontId="13" fillId="0" borderId="7" xfId="101" applyFont="1" applyFill="1" applyBorder="1" applyAlignment="1">
      <alignment horizontal="left" vertical="center" wrapText="1"/>
    </xf>
    <xf numFmtId="41" fontId="97" fillId="0" borderId="7" xfId="166" applyNumberFormat="1" applyFont="1" applyBorder="1"/>
    <xf numFmtId="41" fontId="97" fillId="0" borderId="7" xfId="166" applyNumberFormat="1" applyFont="1" applyFill="1" applyBorder="1"/>
    <xf numFmtId="41" fontId="97" fillId="0" borderId="0" xfId="166" applyNumberFormat="1" applyFont="1" applyBorder="1"/>
    <xf numFmtId="3" fontId="97" fillId="0" borderId="0" xfId="166" applyNumberFormat="1" applyFont="1"/>
    <xf numFmtId="41" fontId="97" fillId="0" borderId="0" xfId="166" applyNumberFormat="1" applyFont="1"/>
    <xf numFmtId="0" fontId="97" fillId="0" borderId="0" xfId="166" applyFont="1"/>
    <xf numFmtId="0" fontId="28" fillId="0" borderId="7" xfId="166" applyFont="1" applyBorder="1" applyAlignment="1">
      <alignment horizontal="center"/>
    </xf>
    <xf numFmtId="0" fontId="28" fillId="0" borderId="7" xfId="101" applyFont="1" applyFill="1" applyBorder="1" applyAlignment="1">
      <alignment horizontal="left" vertical="center" wrapText="1"/>
    </xf>
    <xf numFmtId="41" fontId="155" fillId="0" borderId="7" xfId="166" applyNumberFormat="1" applyFont="1" applyBorder="1"/>
    <xf numFmtId="41" fontId="155" fillId="0" borderId="0" xfId="166" applyNumberFormat="1" applyFont="1" applyBorder="1"/>
    <xf numFmtId="0" fontId="155" fillId="0" borderId="0" xfId="166" applyFont="1"/>
    <xf numFmtId="41" fontId="155" fillId="0" borderId="0" xfId="166" applyNumberFormat="1" applyFont="1"/>
    <xf numFmtId="41" fontId="155" fillId="0" borderId="7" xfId="166" applyNumberFormat="1" applyFont="1" applyBorder="1" applyAlignment="1">
      <alignment vertical="center"/>
    </xf>
    <xf numFmtId="41" fontId="155" fillId="0" borderId="0" xfId="166" applyNumberFormat="1" applyFont="1" applyBorder="1" applyAlignment="1">
      <alignment vertical="center"/>
    </xf>
    <xf numFmtId="41" fontId="28" fillId="0" borderId="7" xfId="166" applyNumberFormat="1" applyFont="1" applyBorder="1" applyAlignment="1">
      <alignment vertical="center"/>
    </xf>
    <xf numFmtId="3" fontId="155" fillId="0" borderId="0" xfId="166" applyNumberFormat="1" applyFont="1"/>
    <xf numFmtId="0" fontId="28" fillId="0" borderId="7" xfId="101" applyFont="1" applyFill="1" applyBorder="1" applyAlignment="1">
      <alignment horizontal="left" vertical="center"/>
    </xf>
    <xf numFmtId="0" fontId="27" fillId="0" borderId="7" xfId="101" applyFont="1" applyFill="1" applyBorder="1" applyAlignment="1">
      <alignment horizontal="left" vertical="center" wrapText="1"/>
    </xf>
    <xf numFmtId="0" fontId="27" fillId="0" borderId="7" xfId="166" applyFont="1" applyBorder="1" applyAlignment="1">
      <alignment horizontal="center"/>
    </xf>
    <xf numFmtId="0" fontId="27" fillId="0" borderId="7" xfId="101" applyFont="1" applyFill="1" applyBorder="1" applyAlignment="1">
      <alignment vertical="center" wrapText="1"/>
    </xf>
    <xf numFmtId="41" fontId="156" fillId="0" borderId="7" xfId="166" applyNumberFormat="1" applyFont="1" applyBorder="1"/>
    <xf numFmtId="41" fontId="156" fillId="0" borderId="0" xfId="166" applyNumberFormat="1" applyFont="1" applyBorder="1"/>
    <xf numFmtId="3" fontId="156" fillId="0" borderId="0" xfId="166" applyNumberFormat="1" applyFont="1"/>
    <xf numFmtId="0" fontId="156" fillId="0" borderId="0" xfId="166" applyFont="1"/>
    <xf numFmtId="0" fontId="28" fillId="0" borderId="7" xfId="101" applyFont="1" applyFill="1" applyBorder="1" applyAlignment="1">
      <alignment vertical="center"/>
    </xf>
    <xf numFmtId="41" fontId="97" fillId="38" borderId="7" xfId="166" applyNumberFormat="1" applyFont="1" applyFill="1" applyBorder="1"/>
    <xf numFmtId="41" fontId="97" fillId="0" borderId="7" xfId="166" applyNumberFormat="1" applyFont="1" applyBorder="1" applyAlignment="1">
      <alignment vertical="center"/>
    </xf>
    <xf numFmtId="41" fontId="97" fillId="0" borderId="0" xfId="166" applyNumberFormat="1" applyFont="1" applyBorder="1" applyAlignment="1">
      <alignment vertical="center"/>
    </xf>
    <xf numFmtId="41" fontId="97" fillId="0" borderId="0" xfId="166" applyNumberFormat="1" applyFont="1" applyFill="1" applyBorder="1"/>
    <xf numFmtId="3" fontId="97" fillId="0" borderId="0" xfId="166" applyNumberFormat="1" applyFont="1" applyFill="1"/>
    <xf numFmtId="0" fontId="97" fillId="0" borderId="0" xfId="166" applyFont="1" applyFill="1"/>
    <xf numFmtId="0" fontId="7" fillId="0" borderId="7" xfId="166" applyFont="1" applyFill="1" applyBorder="1" applyAlignment="1">
      <alignment horizontal="center"/>
    </xf>
    <xf numFmtId="41" fontId="100" fillId="0" borderId="7" xfId="166" applyNumberFormat="1" applyFont="1" applyFill="1" applyBorder="1"/>
    <xf numFmtId="0" fontId="100" fillId="0" borderId="0" xfId="166" applyFont="1" applyFill="1"/>
    <xf numFmtId="0" fontId="7" fillId="0" borderId="7" xfId="166" applyFont="1" applyBorder="1" applyAlignment="1">
      <alignment horizontal="center"/>
    </xf>
    <xf numFmtId="41" fontId="100" fillId="0" borderId="7" xfId="166" applyNumberFormat="1" applyFont="1" applyBorder="1"/>
    <xf numFmtId="0" fontId="100" fillId="0" borderId="0" xfId="166" applyFont="1"/>
    <xf numFmtId="41" fontId="97" fillId="40" borderId="7" xfId="166" applyNumberFormat="1" applyFont="1" applyFill="1" applyBorder="1"/>
    <xf numFmtId="41" fontId="97" fillId="40" borderId="0" xfId="166" applyNumberFormat="1" applyFont="1" applyFill="1" applyBorder="1"/>
    <xf numFmtId="0" fontId="13" fillId="0" borderId="7" xfId="101" applyFont="1" applyFill="1" applyBorder="1" applyAlignment="1">
      <alignment horizontal="left" vertical="center"/>
    </xf>
    <xf numFmtId="0" fontId="13" fillId="0" borderId="7" xfId="101" quotePrefix="1" applyFont="1" applyFill="1" applyBorder="1" applyAlignment="1">
      <alignment horizontal="left" vertical="center" wrapText="1"/>
    </xf>
    <xf numFmtId="0" fontId="13" fillId="0" borderId="7" xfId="101" quotePrefix="1" applyFont="1" applyFill="1" applyBorder="1" applyAlignment="1">
      <alignment horizontal="left" vertical="center"/>
    </xf>
    <xf numFmtId="0" fontId="7" fillId="0" borderId="7" xfId="101" applyFont="1" applyFill="1" applyBorder="1" applyAlignment="1">
      <alignment vertical="center" wrapText="1"/>
    </xf>
    <xf numFmtId="49" fontId="13" fillId="0" borderId="7" xfId="101" applyNumberFormat="1" applyFont="1" applyFill="1" applyBorder="1" applyAlignment="1">
      <alignment horizontal="left" vertical="center" wrapText="1"/>
    </xf>
    <xf numFmtId="0" fontId="13" fillId="0" borderId="10" xfId="166" applyFont="1" applyBorder="1"/>
    <xf numFmtId="0" fontId="97" fillId="0" borderId="10" xfId="166" applyFont="1" applyBorder="1"/>
    <xf numFmtId="41" fontId="97" fillId="0" borderId="10" xfId="166" applyNumberFormat="1" applyFont="1" applyBorder="1"/>
    <xf numFmtId="0" fontId="7" fillId="0" borderId="0" xfId="166" applyFont="1"/>
    <xf numFmtId="3" fontId="142" fillId="40" borderId="10" xfId="101" applyNumberFormat="1" applyFont="1" applyFill="1" applyBorder="1" applyAlignment="1">
      <alignment horizontal="center" vertical="center" wrapText="1"/>
    </xf>
    <xf numFmtId="3" fontId="137" fillId="40" borderId="8" xfId="101" applyNumberFormat="1" applyFont="1" applyFill="1" applyBorder="1" applyAlignment="1">
      <alignment horizontal="right" vertical="center" wrapText="1"/>
    </xf>
    <xf numFmtId="0" fontId="140" fillId="37" borderId="7" xfId="101" applyFont="1" applyFill="1" applyBorder="1" applyAlignment="1">
      <alignment horizontal="left" vertical="center" wrapText="1"/>
    </xf>
    <xf numFmtId="3" fontId="140" fillId="37" borderId="7" xfId="101" applyNumberFormat="1" applyFont="1" applyFill="1" applyBorder="1" applyAlignment="1">
      <alignment horizontal="right" vertical="center" wrapText="1"/>
    </xf>
    <xf numFmtId="0" fontId="141" fillId="37" borderId="7" xfId="101" applyFont="1" applyFill="1" applyBorder="1" applyAlignment="1">
      <alignment horizontal="center" vertical="center" wrapText="1"/>
    </xf>
    <xf numFmtId="0" fontId="141" fillId="37" borderId="7" xfId="101" applyFont="1" applyFill="1" applyBorder="1" applyAlignment="1">
      <alignment horizontal="left" vertical="center" wrapText="1"/>
    </xf>
    <xf numFmtId="3" fontId="140" fillId="37" borderId="7" xfId="101" applyNumberFormat="1" applyFont="1" applyFill="1" applyBorder="1" applyAlignment="1">
      <alignment vertical="center" wrapText="1"/>
    </xf>
    <xf numFmtId="3" fontId="147" fillId="37" borderId="7" xfId="101" applyNumberFormat="1" applyFont="1" applyFill="1" applyBorder="1" applyAlignment="1">
      <alignment horizontal="right" vertical="center" wrapText="1"/>
    </xf>
    <xf numFmtId="3" fontId="13" fillId="0" borderId="7" xfId="101" applyNumberFormat="1" applyFont="1" applyFill="1" applyBorder="1" applyAlignment="1">
      <alignment horizontal="right" vertical="center" wrapText="1"/>
    </xf>
    <xf numFmtId="0" fontId="7" fillId="40" borderId="7" xfId="106" applyFont="1" applyFill="1" applyBorder="1" applyAlignment="1">
      <alignment vertical="center" wrapText="1"/>
    </xf>
    <xf numFmtId="3" fontId="7" fillId="40" borderId="7" xfId="114" applyNumberFormat="1" applyFont="1" applyFill="1" applyBorder="1" applyAlignment="1">
      <alignment vertical="center"/>
    </xf>
    <xf numFmtId="2" fontId="13" fillId="40" borderId="7" xfId="114" applyNumberFormat="1" applyFont="1" applyFill="1" applyBorder="1" applyAlignment="1">
      <alignment vertical="center"/>
    </xf>
    <xf numFmtId="0" fontId="7" fillId="4" borderId="7" xfId="106" quotePrefix="1" applyFont="1" applyFill="1" applyBorder="1" applyAlignment="1">
      <alignment vertical="center" wrapText="1"/>
    </xf>
    <xf numFmtId="3" fontId="13" fillId="4" borderId="7" xfId="106" applyNumberFormat="1" applyFont="1" applyFill="1" applyBorder="1" applyAlignment="1">
      <alignment horizontal="right" vertical="center"/>
    </xf>
    <xf numFmtId="167" fontId="13" fillId="4" borderId="7" xfId="55" applyNumberFormat="1" applyFont="1" applyFill="1" applyBorder="1" applyAlignment="1">
      <alignment horizontal="right" vertical="center"/>
    </xf>
    <xf numFmtId="2" fontId="13" fillId="4" borderId="7" xfId="114" applyNumberFormat="1" applyFont="1" applyFill="1" applyBorder="1" applyAlignment="1">
      <alignment vertical="center"/>
    </xf>
    <xf numFmtId="0" fontId="5" fillId="35" borderId="34" xfId="114" applyFont="1" applyFill="1" applyBorder="1"/>
    <xf numFmtId="3" fontId="5" fillId="35" borderId="34" xfId="114" applyNumberFormat="1" applyFont="1" applyFill="1" applyBorder="1" applyAlignment="1">
      <alignment horizontal="center"/>
    </xf>
    <xf numFmtId="3" fontId="13" fillId="35" borderId="7" xfId="114" applyNumberFormat="1" applyFont="1" applyFill="1" applyBorder="1" applyAlignment="1">
      <alignment vertical="center"/>
    </xf>
    <xf numFmtId="3" fontId="95" fillId="0" borderId="0" xfId="147" applyNumberFormat="1" applyFont="1" applyFill="1" applyAlignment="1">
      <alignment vertical="center"/>
    </xf>
    <xf numFmtId="167" fontId="6" fillId="0" borderId="0" xfId="114" applyNumberFormat="1" applyFont="1" applyBorder="1" applyAlignment="1">
      <alignment wrapText="1"/>
    </xf>
    <xf numFmtId="0" fontId="8" fillId="0" borderId="6" xfId="2" applyFont="1" applyBorder="1" applyAlignment="1">
      <alignment horizontal="center" vertical="center"/>
    </xf>
    <xf numFmtId="0" fontId="31" fillId="0" borderId="0" xfId="2" applyNumberFormat="1" applyFont="1" applyBorder="1" applyAlignment="1">
      <alignment horizontal="center" vertical="center"/>
    </xf>
    <xf numFmtId="43" fontId="16" fillId="0" borderId="0" xfId="1" applyNumberFormat="1" applyFont="1" applyBorder="1" applyAlignment="1">
      <alignment horizontal="center" vertical="center"/>
    </xf>
    <xf numFmtId="0" fontId="4" fillId="0" borderId="7" xfId="2" applyFont="1" applyBorder="1" applyAlignment="1">
      <alignment horizontal="center" vertical="center"/>
    </xf>
    <xf numFmtId="0" fontId="10" fillId="0" borderId="7" xfId="2" applyFont="1" applyBorder="1" applyAlignment="1">
      <alignment horizontal="center" vertical="center"/>
    </xf>
    <xf numFmtId="0" fontId="10" fillId="0" borderId="7" xfId="2" applyFont="1" applyBorder="1" applyAlignment="1">
      <alignment horizontal="left" vertical="center"/>
    </xf>
    <xf numFmtId="0" fontId="20" fillId="0" borderId="7" xfId="2" applyFont="1" applyBorder="1" applyAlignment="1">
      <alignment horizontal="center" vertical="center"/>
    </xf>
    <xf numFmtId="0" fontId="14" fillId="0" borderId="7" xfId="2" applyFont="1" applyBorder="1" applyAlignment="1">
      <alignment horizontal="center" vertical="center"/>
    </xf>
    <xf numFmtId="0" fontId="14" fillId="0" borderId="7" xfId="2" applyFont="1" applyFill="1" applyBorder="1" applyAlignment="1">
      <alignment horizontal="left" vertical="center" wrapText="1"/>
    </xf>
    <xf numFmtId="0" fontId="18" fillId="0" borderId="7" xfId="2" applyFont="1" applyBorder="1" applyAlignment="1">
      <alignment horizontal="center" vertical="center"/>
    </xf>
    <xf numFmtId="0" fontId="6" fillId="0" borderId="7" xfId="2" applyFont="1" applyBorder="1" applyAlignment="1">
      <alignment horizontal="center" vertical="center"/>
    </xf>
    <xf numFmtId="0" fontId="10" fillId="0" borderId="7" xfId="2" applyFont="1" applyBorder="1" applyAlignment="1">
      <alignment vertical="center"/>
    </xf>
    <xf numFmtId="0" fontId="18" fillId="0" borderId="7" xfId="2" applyFont="1" applyBorder="1" applyAlignment="1">
      <alignment vertical="center"/>
    </xf>
    <xf numFmtId="3" fontId="5" fillId="0" borderId="7" xfId="2" applyNumberFormat="1" applyFont="1" applyFill="1" applyBorder="1" applyAlignment="1">
      <alignment vertical="center"/>
    </xf>
    <xf numFmtId="0" fontId="16" fillId="0" borderId="10" xfId="2" applyFont="1" applyBorder="1" applyAlignment="1">
      <alignment vertical="center"/>
    </xf>
    <xf numFmtId="0" fontId="16" fillId="0" borderId="10" xfId="2" applyNumberFormat="1" applyFont="1" applyBorder="1" applyAlignment="1">
      <alignment vertical="center"/>
    </xf>
    <xf numFmtId="166" fontId="17" fillId="0" borderId="10" xfId="2" applyNumberFormat="1" applyFont="1" applyFill="1" applyBorder="1" applyAlignment="1">
      <alignment vertical="center"/>
    </xf>
    <xf numFmtId="166" fontId="17" fillId="0" borderId="10" xfId="2" applyNumberFormat="1" applyFont="1" applyBorder="1" applyAlignment="1">
      <alignment vertical="center"/>
    </xf>
    <xf numFmtId="167" fontId="13" fillId="2" borderId="10" xfId="1" applyNumberFormat="1" applyFont="1" applyFill="1" applyBorder="1" applyAlignment="1">
      <alignment vertical="center"/>
    </xf>
    <xf numFmtId="43" fontId="16" fillId="0" borderId="10" xfId="1" applyNumberFormat="1" applyFont="1" applyBorder="1" applyAlignment="1">
      <alignment horizontal="center" vertical="center"/>
    </xf>
    <xf numFmtId="43" fontId="4" fillId="0" borderId="7" xfId="1" applyNumberFormat="1" applyFont="1" applyFill="1" applyBorder="1" applyAlignment="1">
      <alignment horizontal="center" vertical="center"/>
    </xf>
    <xf numFmtId="43" fontId="126" fillId="0" borderId="7" xfId="1" applyNumberFormat="1" applyFont="1" applyFill="1" applyBorder="1" applyAlignment="1">
      <alignment horizontal="center" vertical="center"/>
    </xf>
    <xf numFmtId="0" fontId="18" fillId="0" borderId="7" xfId="2" applyFont="1" applyFill="1" applyBorder="1" applyAlignment="1">
      <alignment horizontal="left" vertical="center"/>
    </xf>
    <xf numFmtId="43" fontId="4" fillId="0" borderId="0" xfId="1" applyNumberFormat="1" applyFont="1" applyBorder="1" applyAlignment="1">
      <alignment vertical="center"/>
    </xf>
    <xf numFmtId="166" fontId="19" fillId="2" borderId="21" xfId="2" applyNumberFormat="1" applyFont="1" applyFill="1" applyBorder="1" applyAlignment="1">
      <alignment vertical="center"/>
    </xf>
    <xf numFmtId="166" fontId="11" fillId="27" borderId="7" xfId="2" applyNumberFormat="1" applyFont="1" applyFill="1" applyBorder="1" applyAlignment="1">
      <alignment vertical="center"/>
    </xf>
    <xf numFmtId="0" fontId="33" fillId="0" borderId="7" xfId="2" applyFont="1" applyBorder="1" applyAlignment="1">
      <alignment horizontal="left" vertical="center"/>
    </xf>
    <xf numFmtId="0" fontId="10" fillId="0" borderId="10" xfId="2" applyFont="1" applyBorder="1" applyAlignment="1">
      <alignment vertical="center"/>
    </xf>
    <xf numFmtId="0" fontId="18" fillId="0" borderId="10" xfId="2" applyNumberFormat="1" applyFont="1" applyBorder="1" applyAlignment="1">
      <alignment vertical="center"/>
    </xf>
    <xf numFmtId="3" fontId="11" fillId="2" borderId="10" xfId="2" applyNumberFormat="1" applyFont="1" applyFill="1" applyBorder="1" applyAlignment="1">
      <alignment vertical="center"/>
    </xf>
    <xf numFmtId="166" fontId="21" fillId="2" borderId="10" xfId="2" applyNumberFormat="1" applyFont="1" applyFill="1" applyBorder="1" applyAlignment="1">
      <alignment vertical="center"/>
    </xf>
    <xf numFmtId="43" fontId="24" fillId="0" borderId="10" xfId="1" applyNumberFormat="1" applyFont="1" applyBorder="1" applyAlignment="1">
      <alignment horizontal="center" vertical="center"/>
    </xf>
    <xf numFmtId="166" fontId="13" fillId="3" borderId="7" xfId="2" applyNumberFormat="1" applyFont="1" applyFill="1" applyBorder="1" applyAlignment="1">
      <alignment vertical="center"/>
    </xf>
    <xf numFmtId="167" fontId="13" fillId="3" borderId="7" xfId="1" applyNumberFormat="1" applyFont="1" applyFill="1" applyBorder="1" applyAlignment="1">
      <alignment vertical="center"/>
    </xf>
    <xf numFmtId="43" fontId="23" fillId="3" borderId="7" xfId="1" applyNumberFormat="1" applyFont="1" applyFill="1" applyBorder="1" applyAlignment="1">
      <alignment horizontal="center" vertical="center"/>
    </xf>
    <xf numFmtId="0" fontId="6" fillId="0" borderId="7" xfId="2" applyFont="1" applyFill="1" applyBorder="1" applyAlignment="1">
      <alignment horizontal="left" vertical="center"/>
    </xf>
    <xf numFmtId="166" fontId="7" fillId="0" borderId="7" xfId="2" applyNumberFormat="1" applyFont="1" applyFill="1" applyBorder="1" applyAlignment="1">
      <alignment vertical="center"/>
    </xf>
    <xf numFmtId="166" fontId="22" fillId="0" borderId="7" xfId="2" applyNumberFormat="1" applyFont="1" applyFill="1" applyBorder="1" applyAlignment="1">
      <alignment vertical="center"/>
    </xf>
    <xf numFmtId="166" fontId="13" fillId="3" borderId="7" xfId="1" applyNumberFormat="1" applyFont="1" applyFill="1" applyBorder="1" applyAlignment="1">
      <alignment vertical="center"/>
    </xf>
    <xf numFmtId="166" fontId="122" fillId="3" borderId="7" xfId="2" applyNumberFormat="1" applyFont="1" applyFill="1" applyBorder="1" applyAlignment="1">
      <alignment vertical="center"/>
    </xf>
    <xf numFmtId="166" fontId="122" fillId="3" borderId="7" xfId="1" applyNumberFormat="1" applyFont="1" applyFill="1" applyBorder="1" applyAlignment="1">
      <alignment vertical="center"/>
    </xf>
    <xf numFmtId="0" fontId="4" fillId="0" borderId="5" xfId="2" applyFont="1" applyBorder="1" applyAlignment="1">
      <alignment vertical="center"/>
    </xf>
    <xf numFmtId="166" fontId="13" fillId="0" borderId="5" xfId="2" applyNumberFormat="1" applyFont="1" applyFill="1" applyBorder="1" applyAlignment="1">
      <alignment vertical="center"/>
    </xf>
    <xf numFmtId="166" fontId="13" fillId="0" borderId="5" xfId="2" applyNumberFormat="1" applyFont="1" applyBorder="1" applyAlignment="1">
      <alignment vertical="center"/>
    </xf>
    <xf numFmtId="167" fontId="4" fillId="0" borderId="5" xfId="1" applyNumberFormat="1" applyFont="1" applyBorder="1" applyAlignment="1">
      <alignment horizontal="center" vertical="center"/>
    </xf>
    <xf numFmtId="43" fontId="4" fillId="0" borderId="5" xfId="1" applyNumberFormat="1" applyFont="1" applyBorder="1" applyAlignment="1">
      <alignment vertical="center"/>
    </xf>
    <xf numFmtId="0" fontId="0" fillId="0" borderId="7" xfId="0" applyBorder="1"/>
    <xf numFmtId="165" fontId="13" fillId="0" borderId="7" xfId="0" applyNumberFormat="1" applyFont="1" applyBorder="1" applyAlignment="1">
      <alignment vertical="center"/>
    </xf>
    <xf numFmtId="0" fontId="0" fillId="0" borderId="10" xfId="0" applyBorder="1"/>
    <xf numFmtId="0" fontId="16" fillId="0" borderId="8" xfId="2" applyNumberFormat="1" applyFont="1" applyBorder="1" applyAlignment="1">
      <alignment vertical="center"/>
    </xf>
    <xf numFmtId="166" fontId="17" fillId="0" borderId="8" xfId="2" applyNumberFormat="1" applyFont="1" applyFill="1" applyBorder="1" applyAlignment="1">
      <alignment vertical="center"/>
    </xf>
    <xf numFmtId="166" fontId="17" fillId="0" borderId="8" xfId="2" applyNumberFormat="1" applyFont="1" applyBorder="1" applyAlignment="1">
      <alignment vertical="center"/>
    </xf>
    <xf numFmtId="167" fontId="13" fillId="2" borderId="8" xfId="1" applyNumberFormat="1" applyFont="1" applyFill="1" applyBorder="1" applyAlignment="1">
      <alignment vertical="center"/>
    </xf>
    <xf numFmtId="43" fontId="16" fillId="0" borderId="8" xfId="1" applyNumberFormat="1" applyFont="1" applyBorder="1" applyAlignment="1">
      <alignment horizontal="center" vertical="center"/>
    </xf>
    <xf numFmtId="166" fontId="21" fillId="0" borderId="10" xfId="2" applyNumberFormat="1" applyFont="1" applyFill="1" applyBorder="1" applyAlignment="1">
      <alignment vertical="center"/>
    </xf>
    <xf numFmtId="166" fontId="123" fillId="0" borderId="7" xfId="2" applyNumberFormat="1" applyFont="1" applyFill="1" applyBorder="1" applyAlignment="1">
      <alignment vertical="center"/>
    </xf>
    <xf numFmtId="166" fontId="123" fillId="0" borderId="7" xfId="2" applyNumberFormat="1" applyFont="1" applyBorder="1" applyAlignment="1">
      <alignment vertical="center"/>
    </xf>
    <xf numFmtId="167" fontId="122" fillId="2" borderId="7" xfId="1" applyNumberFormat="1" applyFont="1" applyFill="1" applyBorder="1" applyAlignment="1">
      <alignment vertical="center"/>
    </xf>
    <xf numFmtId="0" fontId="4" fillId="0" borderId="7" xfId="2" quotePrefix="1" applyFont="1" applyBorder="1" applyAlignment="1">
      <alignment horizontal="center" vertical="center"/>
    </xf>
    <xf numFmtId="167" fontId="12" fillId="3" borderId="7" xfId="1" applyNumberFormat="1" applyFont="1" applyFill="1" applyBorder="1" applyAlignment="1">
      <alignment vertical="center"/>
    </xf>
    <xf numFmtId="0" fontId="18" fillId="0" borderId="0" xfId="0" applyFont="1" applyAlignment="1">
      <alignment horizontal="center"/>
    </xf>
    <xf numFmtId="0" fontId="30" fillId="0" borderId="0" xfId="0" applyFont="1" applyAlignment="1">
      <alignment horizontal="center" vertical="center"/>
    </xf>
    <xf numFmtId="0" fontId="3" fillId="0" borderId="0" xfId="0" applyFont="1" applyAlignment="1">
      <alignment horizontal="center"/>
    </xf>
    <xf numFmtId="0" fontId="18" fillId="0" borderId="34" xfId="0" applyFont="1" applyBorder="1" applyAlignment="1">
      <alignment horizontal="center" vertical="center"/>
    </xf>
    <xf numFmtId="0" fontId="18" fillId="0" borderId="34" xfId="0" applyFont="1" applyBorder="1" applyAlignment="1">
      <alignment horizontal="center" vertical="center" wrapText="1"/>
    </xf>
    <xf numFmtId="0" fontId="157" fillId="0" borderId="0" xfId="0" applyFont="1" applyAlignment="1">
      <alignment horizontal="center" vertical="center"/>
    </xf>
    <xf numFmtId="0" fontId="35" fillId="0" borderId="0" xfId="0" applyFont="1" applyAlignment="1">
      <alignment horizontal="center"/>
    </xf>
    <xf numFmtId="0" fontId="4" fillId="0" borderId="0" xfId="0" applyFont="1" applyBorder="1" applyAlignment="1">
      <alignment horizontal="center"/>
    </xf>
    <xf numFmtId="0" fontId="36" fillId="0" borderId="0" xfId="0" applyFont="1" applyBorder="1" applyAlignment="1">
      <alignment horizontal="center" vertical="center"/>
    </xf>
    <xf numFmtId="0" fontId="18" fillId="0" borderId="0" xfId="0" applyFont="1" applyBorder="1" applyAlignment="1">
      <alignment horizontal="center" vertical="center" wrapText="1"/>
    </xf>
    <xf numFmtId="0" fontId="30" fillId="3" borderId="6" xfId="0" applyFont="1" applyFill="1" applyBorder="1" applyAlignment="1">
      <alignment horizontal="center" vertical="center"/>
    </xf>
    <xf numFmtId="0" fontId="30" fillId="0" borderId="0" xfId="0" applyFont="1" applyBorder="1" applyAlignment="1">
      <alignment horizontal="center" vertical="center"/>
    </xf>
    <xf numFmtId="9" fontId="37" fillId="0" borderId="0" xfId="0" applyNumberFormat="1" applyFont="1" applyAlignment="1">
      <alignment horizontal="center" vertical="center"/>
    </xf>
    <xf numFmtId="9" fontId="30" fillId="0" borderId="0" xfId="0" applyNumberFormat="1" applyFont="1" applyAlignment="1">
      <alignment horizontal="center" vertical="center"/>
    </xf>
    <xf numFmtId="167" fontId="4" fillId="3" borderId="7" xfId="1" applyNumberFormat="1" applyFont="1" applyFill="1" applyBorder="1"/>
    <xf numFmtId="43" fontId="4" fillId="0" borderId="0" xfId="1" applyNumberFormat="1" applyFont="1" applyBorder="1"/>
    <xf numFmtId="1" fontId="4" fillId="0" borderId="0" xfId="0" applyNumberFormat="1" applyFont="1"/>
    <xf numFmtId="167" fontId="18" fillId="3" borderId="10" xfId="0" applyNumberFormat="1" applyFont="1" applyFill="1" applyBorder="1" applyAlignment="1">
      <alignment vertical="center"/>
    </xf>
    <xf numFmtId="43" fontId="18" fillId="0" borderId="0" xfId="0" applyNumberFormat="1" applyFont="1" applyFill="1" applyBorder="1" applyAlignment="1">
      <alignment vertical="center"/>
    </xf>
    <xf numFmtId="167" fontId="18" fillId="0" borderId="0" xfId="0" applyNumberFormat="1" applyFont="1"/>
    <xf numFmtId="167" fontId="18" fillId="3" borderId="0" xfId="0" applyNumberFormat="1" applyFont="1" applyFill="1"/>
    <xf numFmtId="167" fontId="37" fillId="0" borderId="0" xfId="0" applyNumberFormat="1" applyFont="1"/>
    <xf numFmtId="0" fontId="13" fillId="2" borderId="0" xfId="0" applyFont="1" applyFill="1" applyAlignment="1">
      <alignment horizontal="center" vertical="center"/>
    </xf>
    <xf numFmtId="0" fontId="5" fillId="2" borderId="0" xfId="0" applyFont="1" applyFill="1" applyAlignment="1">
      <alignment horizontal="center" vertical="center"/>
    </xf>
    <xf numFmtId="43" fontId="32" fillId="0" borderId="7" xfId="1" applyNumberFormat="1" applyFont="1" applyBorder="1" applyAlignment="1">
      <alignment horizontal="left" vertical="center" wrapText="1"/>
    </xf>
    <xf numFmtId="43" fontId="32" fillId="0" borderId="7" xfId="1" applyNumberFormat="1" applyFont="1" applyBorder="1" applyAlignment="1">
      <alignment horizontal="left" vertical="center"/>
    </xf>
    <xf numFmtId="197" fontId="4" fillId="0" borderId="7" xfId="155" quotePrefix="1" applyNumberFormat="1" applyFont="1" applyFill="1" applyBorder="1" applyAlignment="1">
      <alignment vertical="center" wrapText="1"/>
    </xf>
    <xf numFmtId="43" fontId="119" fillId="2" borderId="7" xfId="1" applyFont="1" applyFill="1" applyBorder="1" applyAlignment="1">
      <alignment vertical="center"/>
    </xf>
    <xf numFmtId="43" fontId="23" fillId="0" borderId="7" xfId="1" applyNumberFormat="1" applyFont="1" applyBorder="1" applyAlignment="1">
      <alignment horizontal="left" vertical="center"/>
    </xf>
    <xf numFmtId="43" fontId="13" fillId="2" borderId="7" xfId="1" applyFont="1" applyFill="1" applyBorder="1" applyAlignment="1">
      <alignment vertical="center"/>
    </xf>
    <xf numFmtId="166" fontId="13" fillId="2" borderId="7" xfId="2" applyNumberFormat="1" applyFont="1" applyFill="1" applyBorder="1" applyAlignment="1">
      <alignment vertical="center"/>
    </xf>
    <xf numFmtId="166" fontId="12" fillId="0" borderId="7" xfId="1" applyNumberFormat="1" applyFont="1" applyFill="1" applyBorder="1" applyAlignment="1">
      <alignment vertical="center"/>
    </xf>
    <xf numFmtId="166" fontId="0" fillId="0" borderId="0" xfId="0" applyNumberFormat="1"/>
    <xf numFmtId="166" fontId="5" fillId="2" borderId="7" xfId="2" applyNumberFormat="1" applyFont="1" applyFill="1" applyBorder="1" applyAlignment="1">
      <alignment vertical="center"/>
    </xf>
    <xf numFmtId="166" fontId="15" fillId="2" borderId="7" xfId="2" applyNumberFormat="1" applyFont="1" applyFill="1" applyBorder="1" applyAlignment="1">
      <alignment vertical="center"/>
    </xf>
    <xf numFmtId="166" fontId="13" fillId="2" borderId="7" xfId="2" applyNumberFormat="1" applyFont="1" applyFill="1" applyBorder="1" applyAlignment="1">
      <alignment vertical="center"/>
    </xf>
    <xf numFmtId="43" fontId="23" fillId="0" borderId="7" xfId="1" applyNumberFormat="1" applyFont="1" applyBorder="1" applyAlignment="1">
      <alignment horizontal="center" vertical="center"/>
    </xf>
    <xf numFmtId="166" fontId="15" fillId="0" borderId="7" xfId="2" applyNumberFormat="1" applyFont="1" applyFill="1" applyBorder="1" applyAlignment="1">
      <alignment vertical="center"/>
    </xf>
    <xf numFmtId="43" fontId="5" fillId="2" borderId="7" xfId="1" applyFont="1" applyFill="1" applyBorder="1" applyAlignment="1">
      <alignment vertical="center"/>
    </xf>
    <xf numFmtId="166" fontId="13" fillId="0" borderId="0" xfId="0" applyNumberFormat="1" applyFont="1" applyAlignment="1">
      <alignment vertical="center"/>
    </xf>
    <xf numFmtId="0" fontId="5" fillId="0" borderId="7" xfId="2" applyNumberFormat="1" applyFont="1" applyBorder="1" applyAlignment="1">
      <alignment vertical="center"/>
    </xf>
    <xf numFmtId="0" fontId="13" fillId="0" borderId="7" xfId="2" applyFont="1" applyBorder="1" applyAlignment="1">
      <alignment vertical="center"/>
    </xf>
    <xf numFmtId="198" fontId="5" fillId="2" borderId="7" xfId="2" applyNumberFormat="1" applyFont="1" applyFill="1" applyBorder="1" applyAlignment="1">
      <alignment vertical="center"/>
    </xf>
    <xf numFmtId="198" fontId="13" fillId="2" borderId="7" xfId="2" applyNumberFormat="1" applyFont="1" applyFill="1" applyBorder="1" applyAlignment="1">
      <alignment vertical="center"/>
    </xf>
    <xf numFmtId="198" fontId="15" fillId="2" borderId="7" xfId="2" applyNumberFormat="1" applyFont="1" applyFill="1" applyBorder="1" applyAlignment="1">
      <alignment vertical="center"/>
    </xf>
    <xf numFmtId="3" fontId="13" fillId="0" borderId="7" xfId="114" applyNumberFormat="1" applyFont="1" applyFill="1" applyBorder="1" applyAlignment="1">
      <alignment vertical="center"/>
    </xf>
    <xf numFmtId="167" fontId="95" fillId="0" borderId="0" xfId="0" applyNumberFormat="1" applyFont="1"/>
    <xf numFmtId="166" fontId="4" fillId="0" borderId="0" xfId="2" applyNumberFormat="1" applyFont="1" applyAlignment="1">
      <alignment vertical="center"/>
    </xf>
    <xf numFmtId="0" fontId="13" fillId="2" borderId="0" xfId="0" applyFont="1" applyFill="1" applyAlignment="1">
      <alignment horizontal="center" vertical="center"/>
    </xf>
    <xf numFmtId="0" fontId="13" fillId="0" borderId="0" xfId="2" applyFont="1" applyAlignment="1">
      <alignment vertical="center"/>
    </xf>
    <xf numFmtId="166" fontId="13" fillId="0" borderId="0" xfId="2" applyNumberFormat="1" applyFont="1" applyFill="1" applyAlignment="1">
      <alignment vertical="center"/>
    </xf>
    <xf numFmtId="0" fontId="5" fillId="0" borderId="0" xfId="2" applyNumberFormat="1" applyFont="1" applyAlignment="1">
      <alignment horizontal="center" vertical="center"/>
    </xf>
    <xf numFmtId="0" fontId="7" fillId="0" borderId="0" xfId="2" applyFont="1" applyAlignment="1">
      <alignment vertical="center"/>
    </xf>
    <xf numFmtId="166" fontId="7" fillId="0" borderId="0" xfId="2" applyNumberFormat="1" applyFont="1" applyFill="1" applyBorder="1" applyAlignment="1">
      <alignment vertical="center"/>
    </xf>
    <xf numFmtId="166" fontId="7" fillId="0" borderId="0" xfId="2" applyNumberFormat="1" applyFont="1" applyBorder="1" applyAlignment="1">
      <alignment vertical="center"/>
    </xf>
    <xf numFmtId="0" fontId="7" fillId="0" borderId="0" xfId="2" applyNumberFormat="1" applyFont="1" applyBorder="1" applyAlignment="1">
      <alignment horizontal="center" vertical="center"/>
    </xf>
    <xf numFmtId="0" fontId="5" fillId="0" borderId="0" xfId="2" applyFont="1" applyAlignment="1">
      <alignment horizontal="center" vertical="center"/>
    </xf>
    <xf numFmtId="167" fontId="5" fillId="0" borderId="7" xfId="1" applyNumberFormat="1" applyFont="1" applyBorder="1" applyAlignment="1">
      <alignment horizontal="center" vertical="center"/>
    </xf>
    <xf numFmtId="43" fontId="5" fillId="0" borderId="43" xfId="1" applyNumberFormat="1" applyFont="1" applyBorder="1" applyAlignment="1">
      <alignment horizontal="center" vertical="center"/>
    </xf>
    <xf numFmtId="0" fontId="96" fillId="0" borderId="0" xfId="0" applyFont="1"/>
    <xf numFmtId="0" fontId="13" fillId="0" borderId="7" xfId="2" applyFont="1" applyBorder="1" applyAlignment="1">
      <alignment horizontal="center" vertical="center"/>
    </xf>
    <xf numFmtId="166" fontId="13" fillId="0" borderId="7" xfId="2" applyNumberFormat="1" applyFont="1" applyFill="1" applyBorder="1" applyAlignment="1">
      <alignment horizontal="center" vertical="center"/>
    </xf>
    <xf numFmtId="166" fontId="13" fillId="0" borderId="7" xfId="2" applyNumberFormat="1" applyFont="1" applyBorder="1" applyAlignment="1">
      <alignment horizontal="center" vertical="center"/>
    </xf>
    <xf numFmtId="167" fontId="13" fillId="0" borderId="7" xfId="1" applyNumberFormat="1" applyFont="1" applyBorder="1" applyAlignment="1">
      <alignment horizontal="center" vertical="center"/>
    </xf>
    <xf numFmtId="43" fontId="13" fillId="0" borderId="43" xfId="1" applyNumberFormat="1" applyFont="1" applyBorder="1" applyAlignment="1">
      <alignment horizontal="center" vertical="center"/>
    </xf>
    <xf numFmtId="0" fontId="13" fillId="0" borderId="0" xfId="2" applyFont="1" applyAlignment="1">
      <alignment horizontal="center" vertical="center"/>
    </xf>
    <xf numFmtId="0" fontId="11" fillId="0" borderId="7" xfId="2" applyFont="1" applyBorder="1" applyAlignment="1">
      <alignment horizontal="center" vertical="center"/>
    </xf>
    <xf numFmtId="43" fontId="25" fillId="0" borderId="43" xfId="1" applyNumberFormat="1" applyFont="1" applyBorder="1" applyAlignment="1">
      <alignment horizontal="center" vertical="center"/>
    </xf>
    <xf numFmtId="0" fontId="11" fillId="0" borderId="0" xfId="2" applyFont="1" applyAlignment="1">
      <alignment horizontal="center" vertical="center"/>
    </xf>
    <xf numFmtId="0" fontId="19" fillId="0" borderId="7" xfId="2" applyFont="1" applyBorder="1" applyAlignment="1">
      <alignment horizontal="center" vertical="center"/>
    </xf>
    <xf numFmtId="0" fontId="19" fillId="0" borderId="0" xfId="2" applyFont="1" applyAlignment="1">
      <alignment horizontal="center" vertical="center"/>
    </xf>
    <xf numFmtId="0" fontId="15" fillId="0" borderId="7" xfId="2" applyFont="1" applyBorder="1" applyAlignment="1">
      <alignment horizontal="center" vertical="center"/>
    </xf>
    <xf numFmtId="43" fontId="158" fillId="0" borderId="43" xfId="1" applyNumberFormat="1" applyFont="1" applyBorder="1" applyAlignment="1">
      <alignment horizontal="center" vertical="center"/>
    </xf>
    <xf numFmtId="0" fontId="15" fillId="0" borderId="0" xfId="2" applyFont="1" applyAlignment="1">
      <alignment horizontal="center" vertical="center"/>
    </xf>
    <xf numFmtId="0" fontId="15" fillId="0" borderId="7" xfId="2" applyFont="1" applyFill="1" applyBorder="1" applyAlignment="1">
      <alignment horizontal="left" vertical="center" wrapText="1"/>
    </xf>
    <xf numFmtId="0" fontId="5" fillId="0" borderId="7" xfId="2" applyFont="1" applyBorder="1" applyAlignment="1">
      <alignment horizontal="center" vertical="center"/>
    </xf>
    <xf numFmtId="166" fontId="96" fillId="0" borderId="0" xfId="0" applyNumberFormat="1" applyFont="1"/>
    <xf numFmtId="0" fontId="7" fillId="0" borderId="7" xfId="2" applyFont="1" applyBorder="1" applyAlignment="1">
      <alignment horizontal="center" vertical="center"/>
    </xf>
    <xf numFmtId="0" fontId="7" fillId="0" borderId="0" xfId="2" applyFont="1" applyAlignment="1">
      <alignment horizontal="center" vertical="center"/>
    </xf>
    <xf numFmtId="0" fontId="11" fillId="0" borderId="0" xfId="2" applyFont="1" applyAlignment="1">
      <alignment vertical="center"/>
    </xf>
    <xf numFmtId="0" fontId="13" fillId="0" borderId="7" xfId="2" applyNumberFormat="1" applyFont="1" applyBorder="1" applyAlignment="1">
      <alignment vertical="center" wrapText="1"/>
    </xf>
    <xf numFmtId="0" fontId="13" fillId="0" borderId="7" xfId="2" quotePrefix="1" applyFont="1" applyBorder="1" applyAlignment="1">
      <alignment horizontal="center" vertical="center"/>
    </xf>
    <xf numFmtId="167" fontId="96" fillId="0" borderId="0" xfId="0" applyNumberFormat="1" applyFont="1"/>
    <xf numFmtId="167" fontId="5" fillId="0" borderId="0" xfId="2" applyNumberFormat="1" applyFont="1" applyAlignment="1">
      <alignment vertical="center"/>
    </xf>
    <xf numFmtId="0" fontId="15" fillId="0" borderId="0" xfId="2" applyFont="1" applyAlignment="1">
      <alignment vertical="center"/>
    </xf>
    <xf numFmtId="0" fontId="5" fillId="0" borderId="7" xfId="2" applyFont="1" applyBorder="1" applyAlignment="1">
      <alignment vertical="center"/>
    </xf>
    <xf numFmtId="0" fontId="11" fillId="0" borderId="10" xfId="2" applyFont="1" applyBorder="1" applyAlignment="1">
      <alignment vertical="center"/>
    </xf>
    <xf numFmtId="0" fontId="17" fillId="0" borderId="0" xfId="2" applyFont="1" applyAlignment="1">
      <alignment vertical="center"/>
    </xf>
    <xf numFmtId="0" fontId="96" fillId="0" borderId="0" xfId="0" applyFont="1" applyAlignment="1">
      <alignment vertical="center"/>
    </xf>
    <xf numFmtId="167" fontId="13" fillId="0" borderId="0" xfId="1" applyNumberFormat="1" applyFont="1" applyAlignment="1">
      <alignment vertical="center"/>
    </xf>
    <xf numFmtId="0" fontId="13" fillId="0" borderId="0" xfId="2" applyFont="1" applyAlignment="1">
      <alignment vertical="center" wrapText="1"/>
    </xf>
    <xf numFmtId="0" fontId="7" fillId="0" borderId="0" xfId="2" applyFont="1" applyAlignment="1">
      <alignment vertical="center" wrapText="1"/>
    </xf>
    <xf numFmtId="0" fontId="13" fillId="0" borderId="7" xfId="2" applyFont="1" applyBorder="1" applyAlignment="1">
      <alignment horizontal="center" vertical="center" wrapText="1"/>
    </xf>
    <xf numFmtId="0" fontId="11" fillId="0" borderId="7" xfId="2" applyFont="1" applyBorder="1" applyAlignment="1">
      <alignment horizontal="left" vertical="center" wrapText="1"/>
    </xf>
    <xf numFmtId="0" fontId="19" fillId="0" borderId="7" xfId="2" applyFont="1" applyBorder="1" applyAlignment="1">
      <alignment horizontal="left" vertical="center" wrapText="1"/>
    </xf>
    <xf numFmtId="0" fontId="41" fillId="0" borderId="7" xfId="2" applyFont="1" applyBorder="1" applyAlignment="1">
      <alignment horizontal="left" vertical="center" wrapText="1"/>
    </xf>
    <xf numFmtId="0" fontId="11" fillId="0" borderId="7" xfId="2" applyNumberFormat="1" applyFont="1" applyBorder="1" applyAlignment="1">
      <alignment vertical="center" wrapText="1"/>
    </xf>
    <xf numFmtId="0" fontId="5" fillId="0" borderId="7" xfId="2" applyNumberFormat="1" applyFont="1" applyBorder="1" applyAlignment="1">
      <alignment vertical="center" wrapText="1"/>
    </xf>
    <xf numFmtId="0" fontId="13" fillId="0" borderId="7" xfId="2" quotePrefix="1" applyNumberFormat="1" applyFont="1" applyBorder="1" applyAlignment="1">
      <alignment vertical="center" wrapText="1"/>
    </xf>
    <xf numFmtId="0" fontId="13" fillId="0" borderId="7" xfId="2" applyNumberFormat="1" applyFont="1" applyFill="1" applyBorder="1" applyAlignment="1">
      <alignment vertical="center" wrapText="1"/>
    </xf>
    <xf numFmtId="0" fontId="13" fillId="0" borderId="7" xfId="2" applyFont="1" applyBorder="1" applyAlignment="1">
      <alignment vertical="center" wrapText="1"/>
    </xf>
    <xf numFmtId="0" fontId="15" fillId="0" borderId="7" xfId="2" applyNumberFormat="1" applyFont="1" applyBorder="1" applyAlignment="1">
      <alignment vertical="center" wrapText="1"/>
    </xf>
    <xf numFmtId="0" fontId="41" fillId="0" borderId="7" xfId="2" applyNumberFormat="1" applyFont="1" applyBorder="1" applyAlignment="1">
      <alignment vertical="center" wrapText="1"/>
    </xf>
    <xf numFmtId="0" fontId="5" fillId="0" borderId="7" xfId="2" applyNumberFormat="1" applyFont="1" applyBorder="1" applyAlignment="1">
      <alignment horizontal="center" vertical="center" wrapText="1"/>
    </xf>
    <xf numFmtId="0" fontId="41" fillId="0" borderId="10" xfId="2" applyNumberFormat="1" applyFont="1" applyBorder="1" applyAlignment="1">
      <alignment vertical="center" wrapText="1"/>
    </xf>
    <xf numFmtId="0" fontId="96" fillId="0" borderId="0" xfId="0" applyFont="1" applyAlignment="1">
      <alignment vertical="center" wrapText="1"/>
    </xf>
    <xf numFmtId="0" fontId="13" fillId="0" borderId="0" xfId="0" applyFont="1" applyAlignment="1">
      <alignment vertical="center" wrapText="1"/>
    </xf>
    <xf numFmtId="0" fontId="5" fillId="0" borderId="0" xfId="0" applyFont="1" applyAlignment="1">
      <alignment vertical="center" wrapText="1"/>
    </xf>
    <xf numFmtId="3" fontId="13" fillId="0" borderId="7" xfId="1" applyNumberFormat="1" applyFont="1" applyFill="1" applyBorder="1" applyAlignment="1">
      <alignment vertical="center"/>
    </xf>
    <xf numFmtId="0" fontId="28" fillId="0" borderId="7" xfId="114" applyFont="1" applyBorder="1" applyAlignment="1">
      <alignment horizontal="center" vertical="center"/>
    </xf>
    <xf numFmtId="197" fontId="28" fillId="0" borderId="7" xfId="155" quotePrefix="1" applyNumberFormat="1" applyFont="1" applyFill="1" applyBorder="1" applyAlignment="1">
      <alignment vertical="center" wrapText="1"/>
    </xf>
    <xf numFmtId="3" fontId="28" fillId="0" borderId="7" xfId="2" applyNumberFormat="1" applyFont="1" applyFill="1" applyBorder="1" applyAlignment="1">
      <alignment vertical="center"/>
    </xf>
    <xf numFmtId="43" fontId="28" fillId="2" borderId="7" xfId="1" applyFont="1" applyFill="1" applyBorder="1" applyAlignment="1">
      <alignment vertical="center"/>
    </xf>
    <xf numFmtId="43" fontId="94" fillId="0" borderId="7" xfId="1" applyNumberFormat="1" applyFont="1" applyBorder="1" applyAlignment="1">
      <alignment horizontal="center" vertical="center"/>
    </xf>
    <xf numFmtId="43" fontId="94" fillId="0" borderId="7" xfId="1" applyNumberFormat="1" applyFont="1" applyFill="1" applyBorder="1" applyAlignment="1">
      <alignment horizontal="center" vertical="center"/>
    </xf>
    <xf numFmtId="0" fontId="159" fillId="0" borderId="0" xfId="0" applyFont="1"/>
    <xf numFmtId="0" fontId="160" fillId="0" borderId="0" xfId="2" applyFont="1" applyAlignment="1">
      <alignment vertical="center"/>
    </xf>
    <xf numFmtId="167" fontId="28" fillId="2" borderId="7" xfId="1" applyNumberFormat="1" applyFont="1" applyFill="1" applyBorder="1" applyAlignment="1">
      <alignment vertical="center"/>
    </xf>
    <xf numFmtId="3" fontId="159" fillId="0" borderId="0" xfId="0" applyNumberFormat="1" applyFont="1"/>
    <xf numFmtId="43" fontId="33" fillId="0" borderId="7" xfId="1" applyNumberFormat="1" applyFont="1" applyFill="1" applyBorder="1" applyAlignment="1">
      <alignment horizontal="center" vertical="center"/>
    </xf>
    <xf numFmtId="3" fontId="27" fillId="0" borderId="7" xfId="2" applyNumberFormat="1" applyFont="1" applyFill="1" applyBorder="1" applyAlignment="1">
      <alignment vertical="center"/>
    </xf>
    <xf numFmtId="0" fontId="27" fillId="0" borderId="7" xfId="106" applyFont="1" applyFill="1" applyBorder="1" applyAlignment="1">
      <alignment vertical="center" wrapText="1"/>
    </xf>
    <xf numFmtId="43" fontId="33" fillId="0" borderId="7" xfId="1" applyNumberFormat="1" applyFont="1" applyBorder="1" applyAlignment="1">
      <alignment horizontal="center" vertical="center"/>
    </xf>
    <xf numFmtId="166" fontId="27" fillId="41" borderId="7" xfId="2" applyNumberFormat="1" applyFont="1" applyFill="1" applyBorder="1" applyAlignment="1">
      <alignment vertical="center"/>
    </xf>
    <xf numFmtId="3" fontId="27" fillId="41" borderId="7" xfId="2" applyNumberFormat="1" applyFont="1" applyFill="1" applyBorder="1" applyAlignment="1">
      <alignment vertical="center"/>
    </xf>
    <xf numFmtId="0" fontId="41" fillId="0" borderId="7" xfId="114" applyFont="1" applyBorder="1" applyAlignment="1">
      <alignment horizontal="center" vertical="center"/>
    </xf>
    <xf numFmtId="197" fontId="27" fillId="0" borderId="7" xfId="155" quotePrefix="1" applyNumberFormat="1" applyFont="1" applyFill="1" applyBorder="1" applyAlignment="1">
      <alignment vertical="center" wrapText="1"/>
    </xf>
    <xf numFmtId="0" fontId="125" fillId="0" borderId="7" xfId="114" applyFont="1" applyBorder="1" applyAlignment="1">
      <alignment horizontal="center" vertical="center"/>
    </xf>
    <xf numFmtId="0" fontId="7" fillId="0" borderId="0" xfId="2" applyFont="1" applyBorder="1" applyAlignment="1">
      <alignment vertical="center"/>
    </xf>
    <xf numFmtId="43" fontId="5" fillId="0" borderId="7" xfId="1" applyNumberFormat="1" applyFont="1" applyBorder="1" applyAlignment="1">
      <alignment horizontal="center" vertical="center"/>
    </xf>
    <xf numFmtId="43" fontId="13" fillId="0" borderId="7" xfId="1" applyNumberFormat="1" applyFont="1" applyBorder="1" applyAlignment="1">
      <alignment horizontal="center" vertical="center"/>
    </xf>
    <xf numFmtId="0" fontId="11" fillId="0" borderId="7" xfId="2" applyFont="1" applyBorder="1" applyAlignment="1">
      <alignment horizontal="left" vertical="center"/>
    </xf>
    <xf numFmtId="43" fontId="25" fillId="0" borderId="7" xfId="1" applyNumberFormat="1" applyFont="1" applyBorder="1" applyAlignment="1">
      <alignment horizontal="center" vertical="center"/>
    </xf>
    <xf numFmtId="0" fontId="19" fillId="0" borderId="7" xfId="2" applyFont="1" applyBorder="1" applyAlignment="1">
      <alignment horizontal="left" vertical="center"/>
    </xf>
    <xf numFmtId="0" fontId="39" fillId="0" borderId="7" xfId="2" applyFont="1" applyBorder="1" applyAlignment="1">
      <alignment horizontal="left" vertical="center" wrapText="1"/>
    </xf>
    <xf numFmtId="0" fontId="15" fillId="0" borderId="7" xfId="2" applyFont="1" applyFill="1" applyBorder="1" applyAlignment="1">
      <alignment horizontal="left" vertical="center"/>
    </xf>
    <xf numFmtId="43" fontId="158" fillId="0" borderId="7" xfId="1" applyNumberFormat="1" applyFont="1" applyBorder="1" applyAlignment="1">
      <alignment horizontal="center" vertical="center"/>
    </xf>
    <xf numFmtId="43" fontId="122" fillId="0" borderId="7" xfId="1" applyNumberFormat="1" applyFont="1" applyBorder="1" applyAlignment="1">
      <alignment horizontal="left" vertical="center"/>
    </xf>
    <xf numFmtId="43" fontId="122" fillId="0" borderId="7" xfId="1" applyNumberFormat="1" applyFont="1" applyBorder="1" applyAlignment="1">
      <alignment horizontal="left" vertical="center" wrapText="1"/>
    </xf>
    <xf numFmtId="0" fontId="96" fillId="3" borderId="0" xfId="0" applyFont="1" applyFill="1"/>
    <xf numFmtId="0" fontId="5" fillId="0" borderId="7" xfId="2" applyFont="1" applyFill="1" applyBorder="1" applyAlignment="1">
      <alignment horizontal="left" vertical="center"/>
    </xf>
    <xf numFmtId="0" fontId="96" fillId="0" borderId="0" xfId="0" applyFont="1" applyFill="1"/>
    <xf numFmtId="0" fontId="5" fillId="0" borderId="0" xfId="2" applyFont="1" applyFill="1" applyAlignment="1">
      <alignment horizontal="center" vertical="center"/>
    </xf>
    <xf numFmtId="0" fontId="7" fillId="0" borderId="7" xfId="2" applyFont="1" applyBorder="1" applyAlignment="1">
      <alignment horizontal="left" vertical="center"/>
    </xf>
    <xf numFmtId="0" fontId="11" fillId="0" borderId="7" xfId="2" applyNumberFormat="1" applyFont="1" applyBorder="1" applyAlignment="1">
      <alignment vertical="center"/>
    </xf>
    <xf numFmtId="43" fontId="15" fillId="0" borderId="7" xfId="1" applyNumberFormat="1" applyFont="1" applyBorder="1" applyAlignment="1">
      <alignment horizontal="center" vertical="center"/>
    </xf>
    <xf numFmtId="43" fontId="158" fillId="0" borderId="7" xfId="1" applyNumberFormat="1" applyFont="1" applyBorder="1" applyAlignment="1">
      <alignment horizontal="left" vertical="center"/>
    </xf>
    <xf numFmtId="43" fontId="158" fillId="3" borderId="7" xfId="1" applyNumberFormat="1" applyFont="1" applyFill="1" applyBorder="1" applyAlignment="1">
      <alignment horizontal="center" vertical="center"/>
    </xf>
    <xf numFmtId="0" fontId="44" fillId="0" borderId="7" xfId="2" applyNumberFormat="1" applyFont="1" applyBorder="1" applyAlignment="1">
      <alignment vertical="center"/>
    </xf>
    <xf numFmtId="0" fontId="5" fillId="0" borderId="7" xfId="2" applyNumberFormat="1" applyFont="1" applyBorder="1" applyAlignment="1">
      <alignment horizontal="center" vertical="center"/>
    </xf>
    <xf numFmtId="0" fontId="11" fillId="0" borderId="7" xfId="2" applyFont="1" applyBorder="1" applyAlignment="1">
      <alignment vertical="center"/>
    </xf>
    <xf numFmtId="0" fontId="17" fillId="0" borderId="10" xfId="2" applyFont="1" applyBorder="1" applyAlignment="1">
      <alignment vertical="center"/>
    </xf>
    <xf numFmtId="0" fontId="17" fillId="0" borderId="10" xfId="2" applyNumberFormat="1" applyFont="1" applyBorder="1" applyAlignment="1">
      <alignment vertical="center"/>
    </xf>
    <xf numFmtId="43" fontId="17" fillId="0" borderId="10" xfId="1" applyNumberFormat="1" applyFont="1" applyBorder="1" applyAlignment="1">
      <alignment horizontal="center" vertical="center"/>
    </xf>
    <xf numFmtId="167" fontId="13" fillId="3" borderId="7" xfId="1" applyNumberFormat="1" applyFont="1" applyFill="1" applyBorder="1" applyAlignment="1">
      <alignment horizontal="right" vertical="center"/>
    </xf>
    <xf numFmtId="0" fontId="14" fillId="0" borderId="7" xfId="2" applyFont="1" applyFill="1" applyBorder="1" applyAlignment="1">
      <alignment horizontal="center" vertical="center"/>
    </xf>
    <xf numFmtId="166" fontId="0" fillId="0" borderId="0" xfId="0" applyNumberFormat="1" applyFill="1"/>
    <xf numFmtId="0" fontId="14" fillId="0" borderId="0" xfId="2" applyFont="1" applyFill="1" applyAlignment="1">
      <alignment horizontal="center" vertical="center"/>
    </xf>
    <xf numFmtId="43" fontId="158" fillId="0" borderId="7" xfId="1" applyNumberFormat="1" applyFont="1" applyFill="1" applyBorder="1" applyAlignment="1">
      <alignment horizontal="center" vertical="center"/>
    </xf>
    <xf numFmtId="0" fontId="5" fillId="0" borderId="7" xfId="2" applyFont="1" applyBorder="1" applyAlignment="1">
      <alignment horizontal="left" vertical="center"/>
    </xf>
    <xf numFmtId="43" fontId="28" fillId="0" borderId="7" xfId="1" applyNumberFormat="1" applyFont="1" applyBorder="1" applyAlignment="1">
      <alignment horizontal="center" vertical="center"/>
    </xf>
    <xf numFmtId="43" fontId="41" fillId="0" borderId="7" xfId="1" applyNumberFormat="1" applyFont="1" applyBorder="1" applyAlignment="1">
      <alignment horizontal="center" vertical="center"/>
    </xf>
    <xf numFmtId="43" fontId="28" fillId="41" borderId="7" xfId="1" applyNumberFormat="1" applyFont="1" applyFill="1" applyBorder="1" applyAlignment="1">
      <alignment horizontal="center" vertical="center"/>
    </xf>
    <xf numFmtId="167" fontId="161" fillId="0" borderId="0" xfId="0" applyNumberFormat="1" applyFont="1"/>
    <xf numFmtId="0" fontId="161" fillId="0" borderId="0" xfId="0" applyFont="1"/>
    <xf numFmtId="0" fontId="27" fillId="0" borderId="0" xfId="2" applyFont="1" applyAlignment="1">
      <alignment vertical="center"/>
    </xf>
    <xf numFmtId="43" fontId="28" fillId="0" borderId="7" xfId="1" applyNumberFormat="1" applyFont="1" applyBorder="1" applyAlignment="1">
      <alignment horizontal="left" vertical="center" wrapText="1"/>
    </xf>
    <xf numFmtId="43" fontId="28" fillId="0" borderId="7" xfId="1" applyNumberFormat="1" applyFont="1" applyBorder="1" applyAlignment="1">
      <alignment horizontal="left" vertical="center"/>
    </xf>
    <xf numFmtId="166" fontId="3" fillId="0" borderId="0" xfId="2" applyNumberFormat="1" applyFont="1" applyAlignment="1">
      <alignment horizontal="center" vertical="center"/>
    </xf>
    <xf numFmtId="166" fontId="8" fillId="0" borderId="7" xfId="1" applyNumberFormat="1" applyFont="1" applyBorder="1" applyAlignment="1">
      <alignment horizontal="center" vertical="center"/>
    </xf>
    <xf numFmtId="166" fontId="13" fillId="2" borderId="7" xfId="1" applyNumberFormat="1" applyFont="1" applyFill="1" applyBorder="1" applyAlignment="1">
      <alignment vertical="center"/>
    </xf>
    <xf numFmtId="166" fontId="4" fillId="0" borderId="10" xfId="1" applyNumberFormat="1" applyFont="1" applyBorder="1" applyAlignment="1">
      <alignment horizontal="center" vertical="center"/>
    </xf>
    <xf numFmtId="166" fontId="13" fillId="2" borderId="0" xfId="1" applyNumberFormat="1" applyFont="1" applyFill="1" applyAlignment="1">
      <alignment vertical="center"/>
    </xf>
    <xf numFmtId="166" fontId="13" fillId="2" borderId="0" xfId="1" applyNumberFormat="1" applyFont="1" applyFill="1" applyAlignment="1">
      <alignment horizontal="center" vertical="center"/>
    </xf>
    <xf numFmtId="166" fontId="5" fillId="2" borderId="0" xfId="1" applyNumberFormat="1" applyFont="1" applyFill="1" applyAlignment="1">
      <alignment vertical="center"/>
    </xf>
    <xf numFmtId="166" fontId="4" fillId="0" borderId="0" xfId="1" applyNumberFormat="1" applyFont="1" applyAlignment="1">
      <alignment vertical="center"/>
    </xf>
    <xf numFmtId="0" fontId="6" fillId="0" borderId="7" xfId="2" applyFont="1" applyFill="1" applyBorder="1" applyAlignment="1">
      <alignment horizontal="center" vertical="center"/>
    </xf>
    <xf numFmtId="166" fontId="13" fillId="0" borderId="7" xfId="1" applyNumberFormat="1" applyFont="1" applyFill="1" applyBorder="1" applyAlignment="1">
      <alignment vertical="center"/>
    </xf>
    <xf numFmtId="165" fontId="13" fillId="0" borderId="0" xfId="0" applyNumberFormat="1" applyFont="1" applyFill="1" applyAlignment="1">
      <alignment vertical="center"/>
    </xf>
    <xf numFmtId="0" fontId="6" fillId="0" borderId="0" xfId="2" applyFont="1" applyFill="1" applyAlignment="1">
      <alignment vertical="center"/>
    </xf>
    <xf numFmtId="0" fontId="13" fillId="0" borderId="7" xfId="2" applyNumberFormat="1" applyFont="1" applyFill="1" applyBorder="1" applyAlignment="1">
      <alignment vertical="center"/>
    </xf>
    <xf numFmtId="198" fontId="28" fillId="2" borderId="7" xfId="2" applyNumberFormat="1" applyFont="1" applyFill="1" applyBorder="1" applyAlignment="1">
      <alignment vertical="center"/>
    </xf>
    <xf numFmtId="166" fontId="28" fillId="2" borderId="7" xfId="1" applyNumberFormat="1" applyFont="1" applyFill="1" applyBorder="1" applyAlignment="1">
      <alignment vertical="center"/>
    </xf>
    <xf numFmtId="198" fontId="27" fillId="2" borderId="7" xfId="2" applyNumberFormat="1" applyFont="1" applyFill="1" applyBorder="1" applyAlignment="1">
      <alignment vertical="center"/>
    </xf>
    <xf numFmtId="198" fontId="27" fillId="41" borderId="7" xfId="2" applyNumberFormat="1" applyFont="1" applyFill="1" applyBorder="1" applyAlignment="1">
      <alignment vertical="center"/>
    </xf>
    <xf numFmtId="198" fontId="159" fillId="0" borderId="0" xfId="0" applyNumberFormat="1" applyFont="1"/>
    <xf numFmtId="0" fontId="4" fillId="3" borderId="7" xfId="2" applyNumberFormat="1" applyFont="1" applyFill="1" applyBorder="1" applyAlignment="1">
      <alignment vertical="center"/>
    </xf>
    <xf numFmtId="0" fontId="27" fillId="40" borderId="7" xfId="106" applyFont="1" applyFill="1" applyBorder="1" applyAlignment="1">
      <alignment vertical="center" wrapText="1"/>
    </xf>
    <xf numFmtId="0" fontId="4" fillId="0" borderId="7" xfId="2" applyNumberFormat="1" applyFont="1" applyFill="1" applyBorder="1" applyAlignment="1">
      <alignment vertical="center"/>
    </xf>
    <xf numFmtId="0" fontId="122" fillId="0" borderId="0" xfId="2" applyFont="1" applyAlignment="1">
      <alignment vertical="center"/>
    </xf>
    <xf numFmtId="0" fontId="119" fillId="0" borderId="0" xfId="2" applyNumberFormat="1" applyFont="1" applyAlignment="1">
      <alignment horizontal="center" vertical="center"/>
    </xf>
    <xf numFmtId="0" fontId="119" fillId="0" borderId="0" xfId="2" applyFont="1" applyAlignment="1">
      <alignment horizontal="center" vertical="center"/>
    </xf>
    <xf numFmtId="0" fontId="118" fillId="0" borderId="0" xfId="2" applyFont="1" applyAlignment="1">
      <alignment vertical="center"/>
    </xf>
    <xf numFmtId="166" fontId="118" fillId="0" borderId="0" xfId="2" applyNumberFormat="1" applyFont="1" applyFill="1" applyBorder="1" applyAlignment="1">
      <alignment vertical="center"/>
    </xf>
    <xf numFmtId="170" fontId="118" fillId="0" borderId="0" xfId="2" applyNumberFormat="1" applyFont="1" applyBorder="1" applyAlignment="1">
      <alignment vertical="center"/>
    </xf>
    <xf numFmtId="0" fontId="118" fillId="0" borderId="0" xfId="2" applyNumberFormat="1" applyFont="1" applyBorder="1" applyAlignment="1">
      <alignment horizontal="center" vertical="center"/>
    </xf>
    <xf numFmtId="167" fontId="119" fillId="0" borderId="7" xfId="1" applyNumberFormat="1" applyFont="1" applyBorder="1" applyAlignment="1">
      <alignment horizontal="center" vertical="center"/>
    </xf>
    <xf numFmtId="43" fontId="119" fillId="0" borderId="7" xfId="1" applyNumberFormat="1" applyFont="1" applyBorder="1" applyAlignment="1">
      <alignment horizontal="center" vertical="center"/>
    </xf>
    <xf numFmtId="0" fontId="122" fillId="0" borderId="7" xfId="2" applyFont="1" applyBorder="1" applyAlignment="1">
      <alignment horizontal="center" vertical="center"/>
    </xf>
    <xf numFmtId="43" fontId="122" fillId="0" borderId="7" xfId="1" applyNumberFormat="1" applyFont="1" applyBorder="1" applyAlignment="1">
      <alignment horizontal="center" vertical="center"/>
    </xf>
    <xf numFmtId="0" fontId="122" fillId="0" borderId="0" xfId="2" applyFont="1" applyAlignment="1">
      <alignment horizontal="center" vertical="center"/>
    </xf>
    <xf numFmtId="0" fontId="120" fillId="0" borderId="7" xfId="2" applyFont="1" applyBorder="1" applyAlignment="1">
      <alignment horizontal="left" vertical="center"/>
    </xf>
    <xf numFmtId="0" fontId="120" fillId="0" borderId="0" xfId="2" applyFont="1" applyAlignment="1">
      <alignment horizontal="center" vertical="center"/>
    </xf>
    <xf numFmtId="0" fontId="119" fillId="0" borderId="7" xfId="2" applyFont="1" applyBorder="1" applyAlignment="1">
      <alignment horizontal="left" vertical="center"/>
    </xf>
    <xf numFmtId="0" fontId="121" fillId="0" borderId="7" xfId="2" applyFont="1" applyBorder="1" applyAlignment="1">
      <alignment horizontal="left" vertical="center" wrapText="1"/>
    </xf>
    <xf numFmtId="0" fontId="118" fillId="0" borderId="7" xfId="2" applyFont="1" applyFill="1" applyBorder="1" applyAlignment="1">
      <alignment horizontal="left" vertical="center"/>
    </xf>
    <xf numFmtId="0" fontId="118" fillId="0" borderId="0" xfId="2" applyFont="1" applyAlignment="1">
      <alignment horizontal="center" vertical="center"/>
    </xf>
    <xf numFmtId="0" fontId="118" fillId="0" borderId="7" xfId="2" applyFont="1" applyBorder="1" applyAlignment="1">
      <alignment horizontal="left" vertical="center"/>
    </xf>
    <xf numFmtId="0" fontId="120" fillId="0" borderId="7" xfId="2" applyNumberFormat="1" applyFont="1" applyBorder="1" applyAlignment="1">
      <alignment vertical="center"/>
    </xf>
    <xf numFmtId="0" fontId="120" fillId="0" borderId="0" xfId="2" applyFont="1" applyAlignment="1">
      <alignment vertical="center"/>
    </xf>
    <xf numFmtId="0" fontId="119" fillId="0" borderId="7" xfId="2" applyNumberFormat="1" applyFont="1" applyBorder="1" applyAlignment="1">
      <alignment vertical="center"/>
    </xf>
    <xf numFmtId="0" fontId="122" fillId="0" borderId="7" xfId="2" applyNumberFormat="1" applyFont="1" applyBorder="1" applyAlignment="1">
      <alignment vertical="center" wrapText="1"/>
    </xf>
    <xf numFmtId="1" fontId="96" fillId="0" borderId="0" xfId="0" applyNumberFormat="1" applyFont="1"/>
    <xf numFmtId="166" fontId="96" fillId="3" borderId="0" xfId="0" applyNumberFormat="1" applyFont="1" applyFill="1"/>
    <xf numFmtId="0" fontId="122" fillId="0" borderId="7" xfId="2" applyFont="1" applyBorder="1" applyAlignment="1">
      <alignment vertical="center"/>
    </xf>
    <xf numFmtId="0" fontId="122" fillId="3" borderId="7" xfId="2" applyNumberFormat="1" applyFont="1" applyFill="1" applyBorder="1" applyAlignment="1">
      <alignment vertical="center"/>
    </xf>
    <xf numFmtId="43" fontId="122" fillId="0" borderId="7" xfId="1" applyNumberFormat="1" applyFont="1" applyBorder="1" applyAlignment="1">
      <alignment vertical="center"/>
    </xf>
    <xf numFmtId="0" fontId="119" fillId="0" borderId="7" xfId="2" applyFont="1" applyBorder="1" applyAlignment="1">
      <alignment vertical="center"/>
    </xf>
    <xf numFmtId="0" fontId="119" fillId="0" borderId="7" xfId="2" applyNumberFormat="1" applyFont="1" applyBorder="1" applyAlignment="1">
      <alignment horizontal="center" vertical="center"/>
    </xf>
    <xf numFmtId="0" fontId="120" fillId="0" borderId="7" xfId="2" applyFont="1" applyBorder="1" applyAlignment="1">
      <alignment vertical="center"/>
    </xf>
    <xf numFmtId="0" fontId="123" fillId="0" borderId="7" xfId="2" applyFont="1" applyBorder="1" applyAlignment="1">
      <alignment vertical="center"/>
    </xf>
    <xf numFmtId="0" fontId="123" fillId="0" borderId="7" xfId="2" applyNumberFormat="1" applyFont="1" applyBorder="1" applyAlignment="1">
      <alignment vertical="center"/>
    </xf>
    <xf numFmtId="43" fontId="123" fillId="0" borderId="7" xfId="1" applyNumberFormat="1" applyFont="1" applyBorder="1" applyAlignment="1">
      <alignment horizontal="center" vertical="center"/>
    </xf>
    <xf numFmtId="0" fontId="123" fillId="0" borderId="0" xfId="2" applyFont="1" applyAlignment="1">
      <alignment vertical="center"/>
    </xf>
    <xf numFmtId="0" fontId="122" fillId="0" borderId="10" xfId="2" applyFont="1" applyBorder="1" applyAlignment="1">
      <alignment vertical="center"/>
    </xf>
    <xf numFmtId="166" fontId="122" fillId="0" borderId="10" xfId="2" applyNumberFormat="1" applyFont="1" applyFill="1" applyBorder="1" applyAlignment="1">
      <alignment vertical="center"/>
    </xf>
    <xf numFmtId="166" fontId="122" fillId="0" borderId="10" xfId="2" applyNumberFormat="1" applyFont="1" applyBorder="1" applyAlignment="1">
      <alignment vertical="center"/>
    </xf>
    <xf numFmtId="167" fontId="122" fillId="0" borderId="10" xfId="1" applyNumberFormat="1" applyFont="1" applyBorder="1" applyAlignment="1">
      <alignment vertical="center"/>
    </xf>
    <xf numFmtId="165" fontId="96" fillId="0" borderId="0" xfId="0" applyNumberFormat="1" applyFont="1"/>
    <xf numFmtId="166" fontId="122" fillId="0" borderId="0" xfId="2" applyNumberFormat="1" applyFont="1" applyFill="1" applyAlignment="1">
      <alignment vertical="center"/>
    </xf>
    <xf numFmtId="167" fontId="122" fillId="0" borderId="0" xfId="2" applyNumberFormat="1" applyFont="1" applyAlignment="1">
      <alignment vertical="center"/>
    </xf>
    <xf numFmtId="167" fontId="122" fillId="0" borderId="0" xfId="1" applyNumberFormat="1" applyFont="1" applyAlignment="1">
      <alignment vertical="center"/>
    </xf>
    <xf numFmtId="0" fontId="118" fillId="0" borderId="7" xfId="2" applyNumberFormat="1" applyFont="1" applyBorder="1" applyAlignment="1">
      <alignment vertical="center" wrapText="1"/>
    </xf>
    <xf numFmtId="3" fontId="119" fillId="2" borderId="7" xfId="2" applyNumberFormat="1" applyFont="1" applyFill="1" applyBorder="1" applyAlignment="1">
      <alignment vertical="center"/>
    </xf>
    <xf numFmtId="43" fontId="41" fillId="2" borderId="7" xfId="1" applyFont="1" applyFill="1" applyBorder="1" applyAlignment="1">
      <alignment vertical="center"/>
    </xf>
    <xf numFmtId="166" fontId="159" fillId="0" borderId="0" xfId="0" applyNumberFormat="1" applyFont="1"/>
    <xf numFmtId="165" fontId="28" fillId="0" borderId="0" xfId="0" applyNumberFormat="1" applyFont="1" applyAlignment="1">
      <alignment vertical="center"/>
    </xf>
    <xf numFmtId="0" fontId="11" fillId="27" borderId="7" xfId="2" applyFont="1" applyFill="1" applyBorder="1" applyAlignment="1">
      <alignment horizontal="left" vertical="center"/>
    </xf>
    <xf numFmtId="43" fontId="25" fillId="0" borderId="7" xfId="1" applyNumberFormat="1" applyFont="1" applyFill="1" applyBorder="1" applyAlignment="1">
      <alignment horizontal="center" vertical="center"/>
    </xf>
    <xf numFmtId="0" fontId="41" fillId="0" borderId="7" xfId="2" applyFont="1" applyBorder="1" applyAlignment="1">
      <alignment horizontal="left" vertical="center"/>
    </xf>
    <xf numFmtId="170" fontId="96" fillId="0" borderId="0" xfId="0" applyNumberFormat="1" applyFont="1"/>
    <xf numFmtId="0" fontId="13" fillId="3" borderId="7" xfId="2" applyNumberFormat="1" applyFont="1" applyFill="1" applyBorder="1" applyAlignment="1">
      <alignment vertical="center"/>
    </xf>
    <xf numFmtId="0" fontId="41" fillId="0" borderId="7" xfId="2" applyNumberFormat="1" applyFont="1" applyBorder="1" applyAlignment="1">
      <alignment vertical="center"/>
    </xf>
    <xf numFmtId="166" fontId="159" fillId="0" borderId="7" xfId="0" applyNumberFormat="1" applyFont="1" applyBorder="1"/>
    <xf numFmtId="166" fontId="161" fillId="0" borderId="0" xfId="0" applyNumberFormat="1" applyFont="1"/>
    <xf numFmtId="3" fontId="0" fillId="0" borderId="7" xfId="0" applyNumberFormat="1" applyBorder="1"/>
    <xf numFmtId="165" fontId="0" fillId="0" borderId="0" xfId="0" applyNumberFormat="1"/>
    <xf numFmtId="3" fontId="13" fillId="2" borderId="7" xfId="1" applyNumberFormat="1" applyFont="1" applyFill="1" applyBorder="1" applyAlignment="1">
      <alignment vertical="center"/>
    </xf>
    <xf numFmtId="166" fontId="32" fillId="0" borderId="0" xfId="0" applyNumberFormat="1" applyFont="1"/>
    <xf numFmtId="0" fontId="137" fillId="0" borderId="0" xfId="101" applyFont="1" applyFill="1" applyAlignment="1">
      <alignment horizontal="center" vertical="center" wrapText="1"/>
    </xf>
    <xf numFmtId="3" fontId="137" fillId="0" borderId="0" xfId="101" applyNumberFormat="1" applyFont="1" applyFill="1" applyBorder="1" applyAlignment="1">
      <alignment horizontal="center" vertical="center" wrapText="1"/>
    </xf>
    <xf numFmtId="3" fontId="137" fillId="0" borderId="7" xfId="101" applyNumberFormat="1" applyFont="1" applyFill="1" applyBorder="1" applyAlignment="1">
      <alignment horizontal="center" vertical="center" wrapText="1"/>
    </xf>
    <xf numFmtId="3" fontId="137" fillId="0" borderId="34" xfId="101" applyNumberFormat="1" applyFont="1" applyFill="1" applyBorder="1" applyAlignment="1">
      <alignment horizontal="center" vertical="center" wrapText="1"/>
    </xf>
    <xf numFmtId="3" fontId="137" fillId="34" borderId="7" xfId="101" applyNumberFormat="1" applyFont="1" applyFill="1" applyBorder="1" applyAlignment="1">
      <alignment horizontal="center" vertical="center" wrapText="1"/>
    </xf>
    <xf numFmtId="0" fontId="137" fillId="0" borderId="7" xfId="101" applyFont="1" applyFill="1" applyBorder="1" applyAlignment="1">
      <alignment horizontal="center" vertical="center" wrapText="1"/>
    </xf>
    <xf numFmtId="0" fontId="137" fillId="0" borderId="0" xfId="101" applyFont="1" applyFill="1" applyAlignment="1">
      <alignment horizontal="center" vertical="center"/>
    </xf>
    <xf numFmtId="0" fontId="6" fillId="0" borderId="0" xfId="114" applyFont="1" applyBorder="1" applyAlignment="1">
      <alignment horizontal="center" wrapText="1"/>
    </xf>
    <xf numFmtId="3" fontId="5" fillId="0" borderId="0" xfId="101" applyNumberFormat="1" applyFont="1" applyFill="1" applyAlignment="1">
      <alignment horizontal="center" vertical="center" wrapText="1"/>
    </xf>
    <xf numFmtId="0" fontId="137" fillId="28" borderId="0" xfId="101" applyFont="1" applyFill="1" applyAlignment="1">
      <alignment vertical="center"/>
    </xf>
    <xf numFmtId="167" fontId="137" fillId="28" borderId="0" xfId="53" applyNumberFormat="1" applyFont="1" applyFill="1" applyAlignment="1">
      <alignment vertical="center"/>
    </xf>
    <xf numFmtId="167" fontId="137" fillId="28" borderId="0" xfId="53" applyNumberFormat="1" applyFont="1" applyFill="1" applyAlignment="1">
      <alignment vertical="center" wrapText="1"/>
    </xf>
    <xf numFmtId="0" fontId="140" fillId="28" borderId="0" xfId="101" applyFont="1" applyFill="1" applyAlignment="1">
      <alignment vertical="center"/>
    </xf>
    <xf numFmtId="167" fontId="140" fillId="28" borderId="0" xfId="53" applyNumberFormat="1" applyFont="1" applyFill="1" applyAlignment="1">
      <alignment vertical="center"/>
    </xf>
    <xf numFmtId="167" fontId="140" fillId="28" borderId="0" xfId="53" applyNumberFormat="1" applyFont="1" applyFill="1" applyAlignment="1">
      <alignment vertical="center" wrapText="1"/>
    </xf>
    <xf numFmtId="0" fontId="137" fillId="38" borderId="0" xfId="101" applyFont="1" applyFill="1" applyAlignment="1">
      <alignment horizontal="center" vertical="center"/>
    </xf>
    <xf numFmtId="0" fontId="137" fillId="28" borderId="6" xfId="101" applyFont="1" applyFill="1" applyBorder="1" applyAlignment="1">
      <alignment horizontal="center" vertical="center"/>
    </xf>
    <xf numFmtId="0" fontId="137" fillId="28" borderId="7" xfId="101" applyFont="1" applyFill="1" applyBorder="1" applyAlignment="1">
      <alignment horizontal="center" vertical="center"/>
    </xf>
    <xf numFmtId="167" fontId="137" fillId="28" borderId="7" xfId="53" applyNumberFormat="1" applyFont="1" applyFill="1" applyBorder="1" applyAlignment="1">
      <alignment horizontal="center" vertical="center" wrapText="1"/>
    </xf>
    <xf numFmtId="167" fontId="137" fillId="28" borderId="7" xfId="53" applyNumberFormat="1" applyFont="1" applyFill="1" applyBorder="1" applyAlignment="1">
      <alignment horizontal="center" vertical="center"/>
    </xf>
    <xf numFmtId="3" fontId="137" fillId="42" borderId="7" xfId="101" applyNumberFormat="1" applyFont="1" applyFill="1" applyBorder="1" applyAlignment="1">
      <alignment horizontal="center" vertical="center" wrapText="1"/>
    </xf>
    <xf numFmtId="3" fontId="137" fillId="38" borderId="7" xfId="101" applyNumberFormat="1" applyFont="1" applyFill="1" applyBorder="1" applyAlignment="1">
      <alignment horizontal="center" vertical="center" wrapText="1"/>
    </xf>
    <xf numFmtId="3" fontId="137" fillId="43" borderId="7" xfId="101" applyNumberFormat="1" applyFont="1" applyFill="1" applyBorder="1" applyAlignment="1">
      <alignment horizontal="center" vertical="center" wrapText="1"/>
    </xf>
    <xf numFmtId="3" fontId="137" fillId="3" borderId="7" xfId="101" applyNumberFormat="1" applyFont="1" applyFill="1" applyBorder="1" applyAlignment="1">
      <alignment horizontal="center" vertical="center" wrapText="1"/>
    </xf>
    <xf numFmtId="0" fontId="142" fillId="38" borderId="0" xfId="101" applyFont="1" applyFill="1" applyBorder="1" applyAlignment="1">
      <alignment horizontal="center" vertical="center"/>
    </xf>
    <xf numFmtId="0" fontId="142" fillId="28" borderId="7" xfId="101" applyFont="1" applyFill="1" applyBorder="1" applyAlignment="1">
      <alignment horizontal="center" vertical="center"/>
    </xf>
    <xf numFmtId="167" fontId="142" fillId="28" borderId="7" xfId="53" applyNumberFormat="1" applyFont="1" applyFill="1" applyBorder="1" applyAlignment="1">
      <alignment horizontal="center" vertical="center"/>
    </xf>
    <xf numFmtId="167" fontId="142" fillId="28" borderId="7" xfId="53" applyNumberFormat="1" applyFont="1" applyFill="1" applyBorder="1" applyAlignment="1">
      <alignment horizontal="center" vertical="center" wrapText="1"/>
    </xf>
    <xf numFmtId="0" fontId="142" fillId="0" borderId="7" xfId="101" applyFont="1" applyFill="1" applyBorder="1" applyAlignment="1">
      <alignment horizontal="center" vertical="center" wrapText="1"/>
    </xf>
    <xf numFmtId="0" fontId="142" fillId="0" borderId="7" xfId="101" applyFont="1" applyFill="1" applyBorder="1" applyAlignment="1">
      <alignment horizontal="center" vertical="center"/>
    </xf>
    <xf numFmtId="0" fontId="137" fillId="28" borderId="7" xfId="101" applyFont="1" applyFill="1" applyBorder="1" applyAlignment="1">
      <alignment vertical="center"/>
    </xf>
    <xf numFmtId="167" fontId="137" fillId="28" borderId="7" xfId="53" applyNumberFormat="1" applyFont="1" applyFill="1" applyBorder="1" applyAlignment="1">
      <alignment vertical="center"/>
    </xf>
    <xf numFmtId="167" fontId="137" fillId="28" borderId="7" xfId="53" applyNumberFormat="1" applyFont="1" applyFill="1" applyBorder="1" applyAlignment="1">
      <alignment vertical="center" wrapText="1"/>
    </xf>
    <xf numFmtId="3" fontId="137" fillId="0" borderId="7" xfId="101" applyNumberFormat="1" applyFont="1" applyFill="1" applyBorder="1" applyAlignment="1">
      <alignment vertical="center"/>
    </xf>
    <xf numFmtId="0" fontId="140" fillId="28" borderId="7" xfId="101" applyFont="1" applyFill="1" applyBorder="1" applyAlignment="1">
      <alignment vertical="center"/>
    </xf>
    <xf numFmtId="167" fontId="140" fillId="28" borderId="7" xfId="53" applyNumberFormat="1" applyFont="1" applyFill="1" applyBorder="1" applyAlignment="1">
      <alignment vertical="center"/>
    </xf>
    <xf numFmtId="167" fontId="140" fillId="28" borderId="7" xfId="53" applyNumberFormat="1" applyFont="1" applyFill="1" applyBorder="1" applyAlignment="1">
      <alignment vertical="center" wrapText="1"/>
    </xf>
    <xf numFmtId="0" fontId="141" fillId="38" borderId="0" xfId="101" applyFont="1" applyFill="1" applyAlignment="1">
      <alignment vertical="center"/>
    </xf>
    <xf numFmtId="0" fontId="141" fillId="28" borderId="7" xfId="101" applyFont="1" applyFill="1" applyBorder="1" applyAlignment="1">
      <alignment vertical="center"/>
    </xf>
    <xf numFmtId="167" fontId="141" fillId="28" borderId="7" xfId="53" applyNumberFormat="1" applyFont="1" applyFill="1" applyBorder="1" applyAlignment="1">
      <alignment vertical="center"/>
    </xf>
    <xf numFmtId="167" fontId="141" fillId="28" borderId="7" xfId="53" applyNumberFormat="1" applyFont="1" applyFill="1" applyBorder="1" applyAlignment="1">
      <alignment vertical="center" wrapText="1"/>
    </xf>
    <xf numFmtId="0" fontId="146" fillId="38" borderId="0" xfId="101" applyFont="1" applyFill="1" applyAlignment="1">
      <alignment vertical="center"/>
    </xf>
    <xf numFmtId="0" fontId="146" fillId="28" borderId="7" xfId="101" applyFont="1" applyFill="1" applyBorder="1" applyAlignment="1">
      <alignment vertical="center"/>
    </xf>
    <xf numFmtId="167" fontId="146" fillId="28" borderId="7" xfId="53" applyNumberFormat="1" applyFont="1" applyFill="1" applyBorder="1" applyAlignment="1">
      <alignment vertical="center"/>
    </xf>
    <xf numFmtId="167" fontId="146" fillId="28" borderId="7" xfId="53" applyNumberFormat="1" applyFont="1" applyFill="1" applyBorder="1" applyAlignment="1">
      <alignment vertical="center" wrapText="1"/>
    </xf>
    <xf numFmtId="3" fontId="5" fillId="0" borderId="7" xfId="101" applyNumberFormat="1" applyFont="1" applyFill="1" applyBorder="1" applyAlignment="1">
      <alignment vertical="center"/>
    </xf>
    <xf numFmtId="0" fontId="5" fillId="0" borderId="7" xfId="101" applyFont="1" applyFill="1" applyBorder="1" applyAlignment="1">
      <alignment vertical="center"/>
    </xf>
    <xf numFmtId="0" fontId="140" fillId="38" borderId="0" xfId="101" applyFont="1" applyFill="1" applyAlignment="1">
      <alignment vertical="center" wrapText="1"/>
    </xf>
    <xf numFmtId="0" fontId="140" fillId="28" borderId="7" xfId="101" applyFont="1" applyFill="1" applyBorder="1" applyAlignment="1">
      <alignment vertical="center" wrapText="1"/>
    </xf>
    <xf numFmtId="0" fontId="137" fillId="38" borderId="0" xfId="101" applyFont="1" applyFill="1" applyAlignment="1">
      <alignment vertical="center" wrapText="1"/>
    </xf>
    <xf numFmtId="3" fontId="137" fillId="38" borderId="7" xfId="101" applyNumberFormat="1" applyFont="1" applyFill="1" applyBorder="1" applyAlignment="1">
      <alignment vertical="center"/>
    </xf>
    <xf numFmtId="3" fontId="140" fillId="0" borderId="7" xfId="101" applyNumberFormat="1" applyFont="1" applyFill="1" applyBorder="1" applyAlignment="1">
      <alignment horizontal="left" vertical="center" wrapText="1"/>
    </xf>
    <xf numFmtId="3" fontId="109" fillId="0" borderId="7" xfId="53" applyNumberFormat="1" applyFont="1" applyFill="1" applyBorder="1" applyAlignment="1">
      <alignment vertical="center"/>
    </xf>
    <xf numFmtId="3" fontId="109" fillId="39" borderId="7" xfId="53" applyNumberFormat="1" applyFont="1" applyFill="1" applyBorder="1" applyAlignment="1">
      <alignment vertical="center"/>
    </xf>
    <xf numFmtId="3" fontId="109" fillId="3" borderId="7" xfId="53" applyNumberFormat="1" applyFont="1" applyFill="1" applyBorder="1" applyAlignment="1">
      <alignment vertical="center"/>
    </xf>
    <xf numFmtId="0" fontId="140" fillId="3" borderId="7" xfId="101" applyFont="1" applyFill="1" applyBorder="1" applyAlignment="1">
      <alignment horizontal="left" vertical="center"/>
    </xf>
    <xf numFmtId="0" fontId="141" fillId="0" borderId="7" xfId="101" applyFont="1" applyFill="1" applyBorder="1" applyAlignment="1">
      <alignment horizontal="left" vertical="center"/>
    </xf>
    <xf numFmtId="3" fontId="5" fillId="0" borderId="0" xfId="101" applyNumberFormat="1" applyFont="1" applyFill="1" applyAlignment="1">
      <alignment vertical="center"/>
    </xf>
    <xf numFmtId="0" fontId="137" fillId="0" borderId="7" xfId="101" applyFont="1" applyFill="1" applyBorder="1" applyAlignment="1">
      <alignment vertical="center"/>
    </xf>
    <xf numFmtId="0" fontId="140" fillId="0" borderId="7" xfId="101" quotePrefix="1" applyFont="1" applyFill="1" applyBorder="1" applyAlignment="1">
      <alignment horizontal="left" vertical="center"/>
    </xf>
    <xf numFmtId="0" fontId="140" fillId="38" borderId="0" xfId="101" applyFont="1" applyFill="1" applyBorder="1" applyAlignment="1">
      <alignment vertical="center"/>
    </xf>
    <xf numFmtId="167" fontId="140" fillId="0" borderId="7" xfId="53" applyNumberFormat="1" applyFont="1" applyFill="1" applyBorder="1" applyAlignment="1">
      <alignment vertical="center"/>
    </xf>
    <xf numFmtId="0" fontId="137" fillId="38" borderId="30" xfId="101" applyFont="1" applyFill="1" applyBorder="1" applyAlignment="1">
      <alignment vertical="center"/>
    </xf>
    <xf numFmtId="0" fontId="137" fillId="38" borderId="0" xfId="101" applyFont="1" applyFill="1" applyBorder="1" applyAlignment="1">
      <alignment vertical="center"/>
    </xf>
    <xf numFmtId="0" fontId="137" fillId="0" borderId="34" xfId="101" applyFont="1" applyFill="1" applyBorder="1" applyAlignment="1">
      <alignment vertical="center"/>
    </xf>
    <xf numFmtId="0" fontId="137" fillId="0" borderId="34" xfId="101" applyFont="1" applyFill="1" applyBorder="1" applyAlignment="1">
      <alignment horizontal="left" vertical="center" wrapText="1"/>
    </xf>
    <xf numFmtId="3" fontId="137" fillId="0" borderId="34" xfId="101" applyNumberFormat="1" applyFont="1" applyFill="1" applyBorder="1" applyAlignment="1">
      <alignment horizontal="right" vertical="center" wrapText="1"/>
    </xf>
    <xf numFmtId="3" fontId="137" fillId="42" borderId="34" xfId="101" applyNumberFormat="1" applyFont="1" applyFill="1" applyBorder="1" applyAlignment="1">
      <alignment horizontal="right" vertical="center" wrapText="1"/>
    </xf>
    <xf numFmtId="3" fontId="137" fillId="34" borderId="34" xfId="101" applyNumberFormat="1" applyFont="1" applyFill="1" applyBorder="1" applyAlignment="1">
      <alignment horizontal="right" vertical="center" wrapText="1"/>
    </xf>
    <xf numFmtId="3" fontId="137" fillId="38" borderId="34" xfId="101" applyNumberFormat="1" applyFont="1" applyFill="1" applyBorder="1" applyAlignment="1">
      <alignment horizontal="right" vertical="center" wrapText="1"/>
    </xf>
    <xf numFmtId="3" fontId="137" fillId="43" borderId="34" xfId="101" applyNumberFormat="1" applyFont="1" applyFill="1" applyBorder="1" applyAlignment="1">
      <alignment horizontal="right" vertical="center" wrapText="1"/>
    </xf>
    <xf numFmtId="3" fontId="137" fillId="3" borderId="34" xfId="101" applyNumberFormat="1" applyFont="1" applyFill="1" applyBorder="1" applyAlignment="1">
      <alignment horizontal="right" vertical="center" wrapText="1"/>
    </xf>
    <xf numFmtId="3" fontId="137" fillId="39" borderId="34" xfId="101" applyNumberFormat="1" applyFont="1" applyFill="1" applyBorder="1" applyAlignment="1">
      <alignment horizontal="right" vertical="center" wrapText="1"/>
    </xf>
    <xf numFmtId="0" fontId="137" fillId="28" borderId="0" xfId="101" applyFont="1" applyFill="1" applyBorder="1" applyAlignment="1">
      <alignment vertical="center"/>
    </xf>
    <xf numFmtId="167" fontId="137" fillId="28" borderId="0" xfId="53" applyNumberFormat="1" applyFont="1" applyFill="1" applyBorder="1" applyAlignment="1">
      <alignment vertical="center"/>
    </xf>
    <xf numFmtId="167" fontId="137" fillId="28" borderId="0" xfId="53" applyNumberFormat="1" applyFont="1" applyFill="1" applyBorder="1" applyAlignment="1">
      <alignment vertical="center" wrapText="1"/>
    </xf>
    <xf numFmtId="0" fontId="140" fillId="0" borderId="0" xfId="101" applyFont="1" applyFill="1" applyBorder="1" applyAlignment="1">
      <alignment horizontal="left" vertical="center"/>
    </xf>
    <xf numFmtId="3" fontId="140" fillId="0" borderId="0" xfId="101" applyNumberFormat="1" applyFont="1" applyFill="1" applyBorder="1" applyAlignment="1">
      <alignment horizontal="center" vertical="center" wrapText="1"/>
    </xf>
    <xf numFmtId="3" fontId="140" fillId="3" borderId="0" xfId="101" applyNumberFormat="1" applyFont="1" applyFill="1" applyBorder="1" applyAlignment="1">
      <alignment vertical="center" wrapText="1"/>
    </xf>
    <xf numFmtId="3" fontId="140" fillId="0" borderId="0" xfId="101" applyNumberFormat="1" applyFont="1" applyFill="1" applyBorder="1" applyAlignment="1">
      <alignment vertical="center" wrapText="1"/>
    </xf>
    <xf numFmtId="0" fontId="140" fillId="28" borderId="0" xfId="101" applyFont="1" applyFill="1" applyBorder="1" applyAlignment="1">
      <alignment vertical="center"/>
    </xf>
    <xf numFmtId="167" fontId="140" fillId="28" borderId="0" xfId="53" applyNumberFormat="1" applyFont="1" applyFill="1" applyBorder="1" applyAlignment="1">
      <alignment vertical="center"/>
    </xf>
    <xf numFmtId="167" fontId="140" fillId="28" borderId="0" xfId="53" applyNumberFormat="1" applyFont="1" applyFill="1" applyBorder="1" applyAlignment="1">
      <alignment vertical="center" wrapText="1"/>
    </xf>
    <xf numFmtId="3" fontId="137" fillId="0" borderId="0" xfId="101" applyNumberFormat="1" applyFont="1" applyFill="1" applyBorder="1" applyAlignment="1">
      <alignment horizontal="center" vertical="center"/>
    </xf>
    <xf numFmtId="3" fontId="5" fillId="0" borderId="0" xfId="101" applyNumberFormat="1" applyFont="1" applyFill="1" applyAlignment="1">
      <alignment vertical="center" wrapText="1"/>
    </xf>
    <xf numFmtId="3" fontId="5" fillId="34" borderId="0" xfId="101" applyNumberFormat="1" applyFont="1" applyFill="1" applyAlignment="1">
      <alignment vertical="center" wrapText="1"/>
    </xf>
    <xf numFmtId="0" fontId="5" fillId="0" borderId="0" xfId="101" applyFont="1" applyFill="1" applyAlignment="1">
      <alignment vertical="center" wrapText="1"/>
    </xf>
    <xf numFmtId="0" fontId="5" fillId="3" borderId="0" xfId="101" applyFont="1" applyFill="1" applyAlignment="1">
      <alignment vertical="center" wrapText="1"/>
    </xf>
    <xf numFmtId="0" fontId="5" fillId="39" borderId="0" xfId="101" applyFont="1" applyFill="1" applyAlignment="1">
      <alignment vertical="center"/>
    </xf>
    <xf numFmtId="0" fontId="5" fillId="38" borderId="0" xfId="101" applyFont="1" applyFill="1" applyAlignment="1">
      <alignment vertical="center"/>
    </xf>
    <xf numFmtId="0" fontId="5" fillId="28" borderId="0" xfId="101" applyFont="1" applyFill="1" applyAlignment="1">
      <alignment vertical="center"/>
    </xf>
    <xf numFmtId="167" fontId="5" fillId="28" borderId="0" xfId="53" applyNumberFormat="1" applyFont="1" applyFill="1" applyAlignment="1">
      <alignment vertical="center"/>
    </xf>
    <xf numFmtId="167" fontId="5" fillId="28" borderId="0" xfId="53" applyNumberFormat="1" applyFont="1" applyFill="1" applyAlignment="1">
      <alignment vertical="center" wrapText="1"/>
    </xf>
    <xf numFmtId="3" fontId="5" fillId="0" borderId="7" xfId="101" applyNumberFormat="1" applyFont="1" applyFill="1" applyBorder="1" applyAlignment="1">
      <alignment horizontal="center" vertical="center" wrapText="1"/>
    </xf>
    <xf numFmtId="3" fontId="7" fillId="45" borderId="7" xfId="106" quotePrefix="1" applyNumberFormat="1" applyFont="1" applyFill="1" applyBorder="1" applyAlignment="1">
      <alignment horizontal="right" vertical="center"/>
    </xf>
    <xf numFmtId="0" fontId="125" fillId="0" borderId="7" xfId="147" quotePrefix="1" applyNumberFormat="1" applyFont="1" applyFill="1" applyBorder="1" applyAlignment="1" applyProtection="1">
      <alignment horizontal="left" wrapText="1"/>
    </xf>
    <xf numFmtId="3" fontId="13" fillId="44" borderId="7" xfId="114" applyNumberFormat="1" applyFont="1" applyFill="1" applyBorder="1" applyAlignment="1">
      <alignment vertical="center"/>
    </xf>
    <xf numFmtId="167" fontId="13" fillId="44" borderId="7" xfId="62" applyNumberFormat="1" applyFont="1" applyFill="1" applyBorder="1" applyAlignment="1">
      <alignment horizontal="right" vertical="center" wrapText="1"/>
    </xf>
    <xf numFmtId="2" fontId="5" fillId="44" borderId="7" xfId="114" applyNumberFormat="1" applyFont="1" applyFill="1" applyBorder="1" applyAlignment="1">
      <alignment vertical="center"/>
    </xf>
    <xf numFmtId="3" fontId="13" fillId="3" borderId="7" xfId="114" applyNumberFormat="1" applyFont="1" applyFill="1" applyBorder="1" applyAlignment="1">
      <alignment vertical="center"/>
    </xf>
    <xf numFmtId="0" fontId="5" fillId="3" borderId="7" xfId="114" applyFont="1" applyFill="1" applyBorder="1" applyAlignment="1">
      <alignment horizontal="center" vertical="center"/>
    </xf>
    <xf numFmtId="0" fontId="133" fillId="3" borderId="7" xfId="106" quotePrefix="1" applyFont="1" applyFill="1" applyBorder="1" applyAlignment="1">
      <alignment vertical="center" wrapText="1"/>
    </xf>
    <xf numFmtId="167" fontId="13" fillId="3" borderId="7" xfId="62" applyNumberFormat="1" applyFont="1" applyFill="1" applyBorder="1" applyAlignment="1">
      <alignment horizontal="right" vertical="center" wrapText="1"/>
    </xf>
    <xf numFmtId="2" fontId="5" fillId="3" borderId="7" xfId="114" applyNumberFormat="1" applyFont="1" applyFill="1" applyBorder="1" applyAlignment="1">
      <alignment vertical="center"/>
    </xf>
    <xf numFmtId="3" fontId="5" fillId="35" borderId="34" xfId="114" applyNumberFormat="1" applyFont="1" applyFill="1" applyBorder="1"/>
    <xf numFmtId="0" fontId="5" fillId="0" borderId="0" xfId="114" applyFont="1" applyAlignment="1">
      <alignment horizontal="right"/>
    </xf>
    <xf numFmtId="0" fontId="5" fillId="0" borderId="0" xfId="114" applyFont="1"/>
    <xf numFmtId="3" fontId="5" fillId="0" borderId="0" xfId="114" applyNumberFormat="1" applyFont="1" applyAlignment="1">
      <alignment horizontal="right"/>
    </xf>
    <xf numFmtId="0" fontId="40" fillId="0" borderId="0" xfId="114" applyFont="1"/>
    <xf numFmtId="0" fontId="5" fillId="0" borderId="0" xfId="114" applyFont="1" applyFill="1" applyBorder="1" applyAlignment="1">
      <alignment horizontal="right"/>
    </xf>
    <xf numFmtId="3" fontId="137" fillId="0" borderId="0" xfId="101" applyNumberFormat="1" applyFont="1" applyFill="1" applyBorder="1" applyAlignment="1">
      <alignment horizontal="center" vertical="center" wrapText="1"/>
    </xf>
    <xf numFmtId="0" fontId="137" fillId="0" borderId="7" xfId="101" applyFont="1" applyFill="1" applyBorder="1" applyAlignment="1">
      <alignment horizontal="center" vertical="center" wrapText="1"/>
    </xf>
    <xf numFmtId="3" fontId="137" fillId="0" borderId="7" xfId="101" applyNumberFormat="1" applyFont="1" applyFill="1" applyBorder="1" applyAlignment="1">
      <alignment horizontal="center" vertical="center" wrapText="1"/>
    </xf>
    <xf numFmtId="0" fontId="18" fillId="0" borderId="0" xfId="2" applyNumberFormat="1" applyFont="1" applyAlignment="1">
      <alignment horizontal="center" vertical="center"/>
    </xf>
    <xf numFmtId="0" fontId="4" fillId="2" borderId="0" xfId="0" applyFont="1" applyFill="1" applyAlignment="1">
      <alignment horizontal="center" vertical="center"/>
    </xf>
    <xf numFmtId="0" fontId="36" fillId="0" borderId="7" xfId="2" applyFont="1" applyBorder="1" applyAlignment="1">
      <alignment horizontal="center" vertical="center"/>
    </xf>
    <xf numFmtId="3" fontId="5" fillId="0" borderId="7" xfId="1" applyNumberFormat="1" applyFont="1" applyFill="1" applyBorder="1" applyAlignment="1">
      <alignment vertical="center"/>
    </xf>
    <xf numFmtId="165" fontId="5" fillId="0" borderId="0" xfId="0" applyNumberFormat="1" applyFont="1" applyAlignment="1">
      <alignment vertical="center"/>
    </xf>
    <xf numFmtId="0" fontId="37" fillId="0" borderId="0" xfId="0" applyFont="1"/>
    <xf numFmtId="0" fontId="36" fillId="0" borderId="0" xfId="2" applyFont="1" applyAlignment="1">
      <alignment vertical="center"/>
    </xf>
    <xf numFmtId="0" fontId="5" fillId="0" borderId="36" xfId="114" applyFont="1" applyBorder="1" applyAlignment="1"/>
    <xf numFmtId="0" fontId="5" fillId="0" borderId="38" xfId="114" applyFont="1" applyBorder="1" applyAlignment="1"/>
    <xf numFmtId="3" fontId="5" fillId="0" borderId="34" xfId="114" applyNumberFormat="1" applyFont="1" applyBorder="1"/>
    <xf numFmtId="167" fontId="5" fillId="0" borderId="34" xfId="1" applyNumberFormat="1" applyFont="1" applyFill="1" applyBorder="1" applyAlignment="1">
      <alignment vertical="center"/>
    </xf>
    <xf numFmtId="0" fontId="5" fillId="33" borderId="6" xfId="8" applyFont="1" applyFill="1" applyBorder="1" applyAlignment="1">
      <alignment vertical="center"/>
    </xf>
    <xf numFmtId="3" fontId="5" fillId="33" borderId="6" xfId="8" applyNumberFormat="1" applyFont="1" applyFill="1" applyBorder="1" applyAlignment="1">
      <alignment horizontal="right" vertical="center"/>
    </xf>
    <xf numFmtId="9" fontId="5" fillId="33" borderId="6" xfId="9" applyFont="1" applyFill="1" applyBorder="1" applyAlignment="1">
      <alignment horizontal="right" vertical="center"/>
    </xf>
    <xf numFmtId="43" fontId="5" fillId="33" borderId="6" xfId="10" applyFont="1" applyFill="1" applyBorder="1" applyAlignment="1">
      <alignment vertical="center"/>
    </xf>
    <xf numFmtId="3" fontId="5" fillId="33" borderId="19" xfId="8" applyNumberFormat="1" applyFont="1" applyFill="1" applyBorder="1" applyAlignment="1">
      <alignment horizontal="right" vertical="center"/>
    </xf>
    <xf numFmtId="167" fontId="5" fillId="0" borderId="0" xfId="1" applyNumberFormat="1" applyFont="1" applyAlignment="1">
      <alignment horizontal="centerContinuous" wrapText="1"/>
    </xf>
    <xf numFmtId="167" fontId="5" fillId="0" borderId="0" xfId="1" applyNumberFormat="1" applyFont="1" applyAlignment="1">
      <alignment horizontal="center" wrapText="1"/>
    </xf>
    <xf numFmtId="167" fontId="7" fillId="0" borderId="0" xfId="1" applyNumberFormat="1" applyFont="1" applyAlignment="1">
      <alignment horizontal="left" wrapText="1"/>
    </xf>
    <xf numFmtId="167" fontId="13" fillId="4" borderId="7" xfId="1" applyNumberFormat="1" applyFont="1" applyFill="1" applyBorder="1" applyAlignment="1">
      <alignment vertical="center" wrapText="1"/>
    </xf>
    <xf numFmtId="167" fontId="13" fillId="0" borderId="7" xfId="1" quotePrefix="1" applyNumberFormat="1" applyFont="1" applyBorder="1" applyAlignment="1">
      <alignment vertical="center" wrapText="1"/>
    </xf>
    <xf numFmtId="167" fontId="13" fillId="0" borderId="7" xfId="1" quotePrefix="1" applyNumberFormat="1" applyFont="1" applyFill="1" applyBorder="1" applyAlignment="1">
      <alignment vertical="center" wrapText="1"/>
    </xf>
    <xf numFmtId="167" fontId="7" fillId="0" borderId="7" xfId="1" quotePrefix="1" applyNumberFormat="1" applyFont="1" applyBorder="1" applyAlignment="1">
      <alignment vertical="center" wrapText="1"/>
    </xf>
    <xf numFmtId="167" fontId="5" fillId="31" borderId="7" xfId="1" applyNumberFormat="1" applyFont="1" applyFill="1" applyBorder="1" applyAlignment="1">
      <alignment vertical="center" wrapText="1"/>
    </xf>
    <xf numFmtId="167" fontId="13" fillId="0" borderId="7" xfId="1" applyNumberFormat="1" applyFont="1" applyFill="1" applyBorder="1" applyAlignment="1">
      <alignment vertical="center" wrapText="1"/>
    </xf>
    <xf numFmtId="167" fontId="7" fillId="0" borderId="7" xfId="1" applyNumberFormat="1" applyFont="1" applyFill="1" applyBorder="1" applyAlignment="1">
      <alignment vertical="center" wrapText="1"/>
    </xf>
    <xf numFmtId="167" fontId="7" fillId="0" borderId="7" xfId="1" quotePrefix="1" applyNumberFormat="1" applyFont="1" applyFill="1" applyBorder="1" applyAlignment="1">
      <alignment vertical="center" wrapText="1"/>
    </xf>
    <xf numFmtId="167" fontId="7" fillId="0" borderId="7" xfId="1" applyNumberFormat="1" applyFont="1" applyFill="1" applyBorder="1" applyAlignment="1">
      <alignment horizontal="left" vertical="center" wrapText="1"/>
    </xf>
    <xf numFmtId="167" fontId="7" fillId="40" borderId="7" xfId="1" applyNumberFormat="1" applyFont="1" applyFill="1" applyBorder="1" applyAlignment="1">
      <alignment vertical="center" wrapText="1"/>
    </xf>
    <xf numFmtId="167" fontId="7" fillId="4" borderId="7" xfId="1" quotePrefix="1" applyNumberFormat="1" applyFont="1" applyFill="1" applyBorder="1" applyAlignment="1">
      <alignment vertical="center" wrapText="1"/>
    </xf>
    <xf numFmtId="167" fontId="132" fillId="33" borderId="7" xfId="1" applyNumberFormat="1" applyFont="1" applyFill="1" applyBorder="1" applyAlignment="1">
      <alignment vertical="center" wrapText="1"/>
    </xf>
    <xf numFmtId="167" fontId="5" fillId="0" borderId="7" xfId="1" applyNumberFormat="1" applyFont="1" applyBorder="1" applyAlignment="1">
      <alignment vertical="center" wrapText="1"/>
    </xf>
    <xf numFmtId="167" fontId="5" fillId="0" borderId="7" xfId="1" quotePrefix="1" applyNumberFormat="1" applyFont="1" applyFill="1" applyBorder="1" applyAlignment="1">
      <alignment vertical="center" wrapText="1"/>
    </xf>
    <xf numFmtId="167" fontId="5" fillId="0" borderId="7" xfId="1" applyNumberFormat="1" applyFont="1" applyFill="1" applyBorder="1" applyAlignment="1">
      <alignment vertical="center" wrapText="1"/>
    </xf>
    <xf numFmtId="167" fontId="133" fillId="3" borderId="7" xfId="1" quotePrefix="1" applyNumberFormat="1" applyFont="1" applyFill="1" applyBorder="1" applyAlignment="1">
      <alignment vertical="center" wrapText="1"/>
    </xf>
    <xf numFmtId="167" fontId="13" fillId="0" borderId="0" xfId="1" applyNumberFormat="1" applyFont="1" applyBorder="1" applyAlignment="1">
      <alignment wrapText="1"/>
    </xf>
    <xf numFmtId="167" fontId="4" fillId="0" borderId="0" xfId="1" applyNumberFormat="1" applyFont="1" applyAlignment="1">
      <alignment wrapText="1"/>
    </xf>
    <xf numFmtId="167" fontId="6" fillId="0" borderId="0" xfId="1" applyNumberFormat="1" applyFont="1" applyAlignment="1">
      <alignment wrapText="1"/>
    </xf>
    <xf numFmtId="167" fontId="13" fillId="0" borderId="0" xfId="1" applyNumberFormat="1" applyFont="1" applyAlignment="1">
      <alignment wrapText="1"/>
    </xf>
    <xf numFmtId="3" fontId="5" fillId="27" borderId="7" xfId="114" applyNumberFormat="1" applyFont="1" applyFill="1" applyBorder="1" applyAlignment="1">
      <alignment vertical="center"/>
    </xf>
    <xf numFmtId="3" fontId="13" fillId="27" borderId="7" xfId="114" applyNumberFormat="1" applyFont="1" applyFill="1" applyBorder="1" applyAlignment="1">
      <alignment vertical="center"/>
    </xf>
    <xf numFmtId="0" fontId="133" fillId="0" borderId="7" xfId="106" quotePrefix="1" applyFont="1" applyFill="1" applyBorder="1" applyAlignment="1">
      <alignment vertical="center" wrapText="1"/>
    </xf>
    <xf numFmtId="167" fontId="133" fillId="0" borderId="7" xfId="1" quotePrefix="1" applyNumberFormat="1" applyFont="1" applyFill="1" applyBorder="1" applyAlignment="1">
      <alignment vertical="center" wrapText="1"/>
    </xf>
    <xf numFmtId="3" fontId="5" fillId="27" borderId="8" xfId="114" applyNumberFormat="1" applyFont="1" applyFill="1" applyBorder="1" applyAlignment="1">
      <alignment vertical="center"/>
    </xf>
    <xf numFmtId="2" fontId="5" fillId="31" borderId="8" xfId="114" applyNumberFormat="1" applyFont="1" applyFill="1" applyBorder="1" applyAlignment="1">
      <alignment vertical="center"/>
    </xf>
    <xf numFmtId="0" fontId="5" fillId="27" borderId="34" xfId="114" applyFont="1" applyFill="1" applyBorder="1" applyAlignment="1">
      <alignment vertical="center" wrapText="1"/>
    </xf>
    <xf numFmtId="3" fontId="5" fillId="27" borderId="34" xfId="114" applyNumberFormat="1" applyFont="1" applyFill="1" applyBorder="1" applyAlignment="1">
      <alignment vertical="center"/>
    </xf>
    <xf numFmtId="0" fontId="5" fillId="31" borderId="17" xfId="114" applyFont="1" applyFill="1" applyBorder="1" applyAlignment="1">
      <alignment horizontal="center" vertical="center"/>
    </xf>
    <xf numFmtId="0" fontId="5" fillId="31" borderId="17" xfId="114" applyFont="1" applyFill="1" applyBorder="1" applyAlignment="1">
      <alignment vertical="center" wrapText="1"/>
    </xf>
    <xf numFmtId="167" fontId="5" fillId="31" borderId="17" xfId="1" applyNumberFormat="1" applyFont="1" applyFill="1" applyBorder="1" applyAlignment="1">
      <alignment vertical="center" wrapText="1"/>
    </xf>
    <xf numFmtId="3" fontId="5" fillId="31" borderId="17" xfId="114" applyNumberFormat="1" applyFont="1" applyFill="1" applyBorder="1" applyAlignment="1">
      <alignment vertical="center"/>
    </xf>
    <xf numFmtId="3" fontId="5" fillId="0" borderId="17" xfId="106" applyNumberFormat="1" applyFont="1" applyFill="1" applyBorder="1" applyAlignment="1">
      <alignment horizontal="right" vertical="center"/>
    </xf>
    <xf numFmtId="3" fontId="5" fillId="0" borderId="17" xfId="114" applyNumberFormat="1" applyFont="1" applyFill="1" applyBorder="1" applyAlignment="1">
      <alignment vertical="center"/>
    </xf>
    <xf numFmtId="3" fontId="5" fillId="27" borderId="17" xfId="114" applyNumberFormat="1" applyFont="1" applyFill="1" applyBorder="1" applyAlignment="1">
      <alignment vertical="center"/>
    </xf>
    <xf numFmtId="2" fontId="5" fillId="31" borderId="17" xfId="114" applyNumberFormat="1" applyFont="1" applyFill="1" applyBorder="1" applyAlignment="1">
      <alignment vertical="center"/>
    </xf>
    <xf numFmtId="2" fontId="5" fillId="32" borderId="8" xfId="114" applyNumberFormat="1" applyFont="1" applyFill="1" applyBorder="1" applyAlignment="1">
      <alignment vertical="center"/>
    </xf>
    <xf numFmtId="0" fontId="5" fillId="32" borderId="34" xfId="114" applyFont="1" applyFill="1" applyBorder="1" applyAlignment="1">
      <alignment horizontal="center" vertical="center"/>
    </xf>
    <xf numFmtId="0" fontId="132" fillId="32" borderId="34" xfId="114" applyFont="1" applyFill="1" applyBorder="1" applyAlignment="1">
      <alignment vertical="center" wrapText="1"/>
    </xf>
    <xf numFmtId="167" fontId="132" fillId="32" borderId="34" xfId="1" applyNumberFormat="1" applyFont="1" applyFill="1" applyBorder="1" applyAlignment="1">
      <alignment vertical="center" wrapText="1"/>
    </xf>
    <xf numFmtId="3" fontId="5" fillId="32" borderId="34" xfId="114" applyNumberFormat="1" applyFont="1" applyFill="1" applyBorder="1" applyAlignment="1">
      <alignment vertical="center"/>
    </xf>
    <xf numFmtId="2" fontId="5" fillId="32" borderId="34" xfId="114" applyNumberFormat="1" applyFont="1" applyFill="1" applyBorder="1" applyAlignment="1">
      <alignment vertical="center"/>
    </xf>
    <xf numFmtId="3" fontId="5" fillId="0" borderId="0" xfId="114" applyNumberFormat="1" applyFont="1" applyFill="1"/>
    <xf numFmtId="3" fontId="7" fillId="27" borderId="7" xfId="114" applyNumberFormat="1" applyFont="1" applyFill="1" applyBorder="1" applyAlignment="1">
      <alignment vertical="center"/>
    </xf>
    <xf numFmtId="2" fontId="7" fillId="31" borderId="7" xfId="114" applyNumberFormat="1" applyFont="1" applyFill="1" applyBorder="1" applyAlignment="1">
      <alignment vertical="center"/>
    </xf>
    <xf numFmtId="0" fontId="5" fillId="0" borderId="7" xfId="2" applyFont="1" applyBorder="1" applyAlignment="1">
      <alignment horizontal="center" vertical="center"/>
    </xf>
    <xf numFmtId="3" fontId="5" fillId="0" borderId="7" xfId="101" applyNumberFormat="1" applyFont="1" applyFill="1" applyBorder="1" applyAlignment="1">
      <alignment horizontal="right" vertical="center" wrapText="1"/>
    </xf>
    <xf numFmtId="3" fontId="5" fillId="0" borderId="7" xfId="101" applyNumberFormat="1" applyFont="1" applyFill="1" applyBorder="1" applyAlignment="1">
      <alignment vertical="center" wrapText="1"/>
    </xf>
    <xf numFmtId="38" fontId="140" fillId="0" borderId="7" xfId="53" applyNumberFormat="1" applyFont="1" applyFill="1" applyBorder="1" applyAlignment="1">
      <alignment vertical="center"/>
    </xf>
    <xf numFmtId="3" fontId="137" fillId="0" borderId="42" xfId="101" applyNumberFormat="1" applyFont="1" applyFill="1" applyBorder="1" applyAlignment="1">
      <alignment horizontal="right" vertical="center" wrapText="1"/>
    </xf>
    <xf numFmtId="43" fontId="96" fillId="0" borderId="0" xfId="1" applyFont="1"/>
    <xf numFmtId="167" fontId="5" fillId="0" borderId="0" xfId="114" applyNumberFormat="1" applyFont="1"/>
    <xf numFmtId="0" fontId="13" fillId="0" borderId="7" xfId="101" applyFont="1" applyFill="1" applyBorder="1" applyAlignment="1">
      <alignment horizontal="center" vertical="center" wrapText="1"/>
    </xf>
    <xf numFmtId="0" fontId="119" fillId="0" borderId="7" xfId="0" applyFont="1" applyBorder="1" applyAlignment="1">
      <alignment vertical="center"/>
    </xf>
    <xf numFmtId="3" fontId="119" fillId="0" borderId="7" xfId="0" applyNumberFormat="1" applyFont="1" applyBorder="1" applyAlignment="1">
      <alignment vertical="center"/>
    </xf>
    <xf numFmtId="0" fontId="39" fillId="0" borderId="7" xfId="2" applyFont="1" applyBorder="1" applyAlignment="1">
      <alignment horizontal="left" vertical="center"/>
    </xf>
    <xf numFmtId="0" fontId="118" fillId="0" borderId="7" xfId="0" applyFont="1" applyBorder="1" applyAlignment="1">
      <alignment vertical="center"/>
    </xf>
    <xf numFmtId="0" fontId="122" fillId="0" borderId="7" xfId="0" applyFont="1" applyBorder="1" applyAlignment="1">
      <alignment vertical="center"/>
    </xf>
    <xf numFmtId="3" fontId="122" fillId="0" borderId="7" xfId="0" applyNumberFormat="1" applyFont="1" applyBorder="1" applyAlignment="1">
      <alignment vertical="center"/>
    </xf>
    <xf numFmtId="43" fontId="118" fillId="0" borderId="7" xfId="1" applyFont="1" applyBorder="1" applyAlignment="1">
      <alignment vertical="center"/>
    </xf>
    <xf numFmtId="0" fontId="7" fillId="0" borderId="7" xfId="2" applyFont="1" applyFill="1" applyBorder="1" applyAlignment="1">
      <alignment horizontal="center" vertical="center"/>
    </xf>
    <xf numFmtId="165" fontId="13" fillId="0" borderId="7" xfId="0" applyNumberFormat="1" applyFont="1" applyFill="1" applyBorder="1" applyAlignment="1">
      <alignment vertical="center"/>
    </xf>
    <xf numFmtId="0" fontId="13" fillId="0" borderId="7" xfId="0" applyFont="1" applyFill="1" applyBorder="1" applyAlignment="1">
      <alignment vertical="center"/>
    </xf>
    <xf numFmtId="3" fontId="13" fillId="0" borderId="7" xfId="0" applyNumberFormat="1" applyFont="1" applyFill="1" applyBorder="1" applyAlignment="1">
      <alignment vertical="center"/>
    </xf>
    <xf numFmtId="0" fontId="7" fillId="0" borderId="7" xfId="2" applyNumberFormat="1" applyFont="1" applyFill="1" applyBorder="1" applyAlignment="1">
      <alignment vertical="center"/>
    </xf>
    <xf numFmtId="0" fontId="165" fillId="0" borderId="0" xfId="0" applyFont="1"/>
    <xf numFmtId="0" fontId="103" fillId="0" borderId="6" xfId="2" applyFont="1" applyFill="1" applyBorder="1" applyAlignment="1">
      <alignment horizontal="center" vertical="center" wrapText="1"/>
    </xf>
    <xf numFmtId="3" fontId="103" fillId="0" borderId="6" xfId="2" applyNumberFormat="1" applyFont="1" applyBorder="1" applyAlignment="1">
      <alignment horizontal="center" vertical="center" wrapText="1"/>
    </xf>
    <xf numFmtId="0" fontId="165" fillId="0" borderId="0" xfId="0" applyFont="1" applyAlignment="1">
      <alignment vertical="center" wrapText="1"/>
    </xf>
    <xf numFmtId="0" fontId="166" fillId="0" borderId="0" xfId="0" applyFont="1" applyAlignment="1">
      <alignment horizontal="center" vertical="center"/>
    </xf>
    <xf numFmtId="167" fontId="5" fillId="3" borderId="7" xfId="55" applyNumberFormat="1" applyFont="1" applyFill="1" applyBorder="1" applyAlignment="1">
      <alignment horizontal="right" vertical="center"/>
    </xf>
    <xf numFmtId="3" fontId="40" fillId="0" borderId="0" xfId="114" applyNumberFormat="1" applyFont="1"/>
    <xf numFmtId="3" fontId="137" fillId="0" borderId="7" xfId="101" applyNumberFormat="1" applyFont="1" applyFill="1" applyBorder="1" applyAlignment="1">
      <alignment horizontal="center" vertical="center" wrapText="1"/>
    </xf>
    <xf numFmtId="167" fontId="4" fillId="0" borderId="0" xfId="114" applyNumberFormat="1" applyFont="1"/>
    <xf numFmtId="167" fontId="5" fillId="0" borderId="7" xfId="1" applyNumberFormat="1" applyFont="1" applyFill="1" applyBorder="1" applyAlignment="1">
      <alignment vertical="center"/>
    </xf>
    <xf numFmtId="0" fontId="13" fillId="0" borderId="7" xfId="114" applyFont="1" applyFill="1" applyBorder="1" applyAlignment="1">
      <alignment horizontal="center" vertical="center"/>
    </xf>
    <xf numFmtId="0" fontId="13" fillId="0" borderId="7" xfId="2" quotePrefix="1" applyNumberFormat="1" applyFont="1" applyFill="1" applyBorder="1" applyAlignment="1">
      <alignment vertical="center" wrapText="1"/>
    </xf>
    <xf numFmtId="0" fontId="5" fillId="0" borderId="0" xfId="114" applyFont="1" applyAlignment="1">
      <alignment horizontal="center"/>
    </xf>
    <xf numFmtId="3" fontId="40" fillId="0" borderId="7" xfId="101" applyNumberFormat="1" applyFont="1" applyFill="1" applyBorder="1" applyAlignment="1">
      <alignment vertical="center" wrapText="1"/>
    </xf>
    <xf numFmtId="0" fontId="13" fillId="3" borderId="7" xfId="106" quotePrefix="1" applyFont="1" applyFill="1" applyBorder="1" applyAlignment="1">
      <alignment vertical="center" wrapText="1"/>
    </xf>
    <xf numFmtId="167" fontId="13" fillId="3" borderId="7" xfId="1" quotePrefix="1" applyNumberFormat="1" applyFont="1" applyFill="1" applyBorder="1" applyAlignment="1">
      <alignment vertical="center" wrapText="1"/>
    </xf>
    <xf numFmtId="3" fontId="13" fillId="3" borderId="7" xfId="106" applyNumberFormat="1" applyFont="1" applyFill="1" applyBorder="1" applyAlignment="1">
      <alignment horizontal="right" vertical="center" wrapText="1"/>
    </xf>
    <xf numFmtId="0" fontId="7" fillId="2" borderId="7" xfId="8" applyFont="1" applyFill="1" applyBorder="1" applyAlignment="1">
      <alignment vertical="center"/>
    </xf>
    <xf numFmtId="0" fontId="28" fillId="2" borderId="7" xfId="8" applyFont="1" applyFill="1" applyBorder="1" applyAlignment="1">
      <alignment vertical="center"/>
    </xf>
    <xf numFmtId="2" fontId="5" fillId="2" borderId="7" xfId="8" applyNumberFormat="1" applyFont="1" applyFill="1" applyBorder="1" applyAlignment="1">
      <alignment vertical="center"/>
    </xf>
    <xf numFmtId="43" fontId="5" fillId="31" borderId="7" xfId="1" applyNumberFormat="1" applyFont="1" applyFill="1" applyBorder="1" applyAlignment="1">
      <alignment vertical="center"/>
    </xf>
    <xf numFmtId="4" fontId="5" fillId="33" borderId="7" xfId="114" applyNumberFormat="1" applyFont="1" applyFill="1" applyBorder="1" applyAlignment="1">
      <alignment vertical="center"/>
    </xf>
    <xf numFmtId="3" fontId="28" fillId="0" borderId="7" xfId="114" applyNumberFormat="1" applyFont="1" applyFill="1" applyBorder="1" applyAlignment="1">
      <alignment vertical="center"/>
    </xf>
    <xf numFmtId="3" fontId="28" fillId="0" borderId="7" xfId="106" applyNumberFormat="1" applyFont="1" applyFill="1" applyBorder="1" applyAlignment="1">
      <alignment horizontal="right" vertical="center"/>
    </xf>
    <xf numFmtId="3" fontId="116" fillId="0" borderId="7" xfId="147" applyNumberFormat="1" applyFont="1" applyBorder="1" applyAlignment="1">
      <alignment horizontal="right" vertical="center"/>
    </xf>
    <xf numFmtId="3" fontId="111" fillId="0" borderId="7" xfId="147" applyNumberFormat="1" applyFont="1" applyFill="1" applyBorder="1" applyAlignment="1">
      <alignment vertical="center"/>
    </xf>
    <xf numFmtId="3" fontId="17" fillId="0" borderId="0" xfId="114" applyNumberFormat="1" applyFont="1" applyBorder="1"/>
    <xf numFmtId="3" fontId="137" fillId="0" borderId="0" xfId="101" applyNumberFormat="1" applyFont="1" applyFill="1" applyBorder="1" applyAlignment="1">
      <alignment horizontal="center" vertical="center" wrapText="1"/>
    </xf>
    <xf numFmtId="3" fontId="137" fillId="0" borderId="7" xfId="101" applyNumberFormat="1" applyFont="1" applyFill="1" applyBorder="1" applyAlignment="1">
      <alignment horizontal="center" vertical="center" wrapText="1"/>
    </xf>
    <xf numFmtId="0" fontId="5" fillId="2" borderId="0" xfId="8" applyFont="1" applyFill="1" applyAlignment="1">
      <alignment horizontal="center" vertical="center"/>
    </xf>
    <xf numFmtId="0" fontId="5" fillId="0" borderId="7" xfId="2" applyFont="1" applyBorder="1" applyAlignment="1">
      <alignment horizontal="center" vertical="center"/>
    </xf>
    <xf numFmtId="167" fontId="7" fillId="0" borderId="0" xfId="114" applyNumberFormat="1" applyFont="1" applyAlignment="1">
      <alignment horizontal="left" wrapText="1"/>
    </xf>
    <xf numFmtId="0" fontId="13" fillId="3" borderId="7" xfId="2" quotePrefix="1" applyNumberFormat="1" applyFont="1" applyFill="1" applyBorder="1" applyAlignment="1">
      <alignment vertical="center" wrapText="1"/>
    </xf>
    <xf numFmtId="3" fontId="137" fillId="3" borderId="8" xfId="101" applyNumberFormat="1" applyFont="1" applyFill="1" applyBorder="1" applyAlignment="1">
      <alignment horizontal="right" vertical="center" wrapText="1"/>
    </xf>
    <xf numFmtId="0" fontId="40" fillId="0" borderId="7" xfId="101" applyFont="1" applyFill="1" applyBorder="1" applyAlignment="1">
      <alignment horizontal="center" vertical="center" wrapText="1"/>
    </xf>
    <xf numFmtId="3" fontId="40" fillId="0" borderId="7" xfId="101" applyNumberFormat="1" applyFont="1" applyFill="1" applyBorder="1" applyAlignment="1">
      <alignment horizontal="center" vertical="center" wrapText="1"/>
    </xf>
    <xf numFmtId="3" fontId="40" fillId="34" borderId="7" xfId="101" applyNumberFormat="1" applyFont="1" applyFill="1" applyBorder="1" applyAlignment="1">
      <alignment horizontal="right" vertical="center" wrapText="1"/>
    </xf>
    <xf numFmtId="0" fontId="40" fillId="0" borderId="0" xfId="101" applyFont="1" applyFill="1" applyAlignment="1">
      <alignment vertical="center" wrapText="1"/>
    </xf>
    <xf numFmtId="0" fontId="40" fillId="0" borderId="7" xfId="101" applyFont="1" applyFill="1" applyBorder="1" applyAlignment="1">
      <alignment horizontal="left" vertical="center" wrapText="1"/>
    </xf>
    <xf numFmtId="3" fontId="40" fillId="39" borderId="7" xfId="101" applyNumberFormat="1" applyFont="1" applyFill="1" applyBorder="1" applyAlignment="1">
      <alignment vertical="center" wrapText="1"/>
    </xf>
    <xf numFmtId="3" fontId="40" fillId="38" borderId="7" xfId="101" applyNumberFormat="1" applyFont="1" applyFill="1" applyBorder="1" applyAlignment="1">
      <alignment vertical="center" wrapText="1"/>
    </xf>
    <xf numFmtId="3" fontId="40" fillId="0" borderId="7" xfId="101" applyNumberFormat="1" applyFont="1" applyFill="1" applyBorder="1" applyAlignment="1">
      <alignment horizontal="right" vertical="center" wrapText="1"/>
    </xf>
    <xf numFmtId="0" fontId="40" fillId="0" borderId="0" xfId="101" applyFont="1" applyFill="1" applyAlignment="1">
      <alignment vertical="center"/>
    </xf>
    <xf numFmtId="0" fontId="40" fillId="38" borderId="0" xfId="101" applyFont="1" applyFill="1" applyAlignment="1">
      <alignment vertical="center"/>
    </xf>
    <xf numFmtId="0" fontId="40" fillId="28" borderId="7" xfId="101" applyFont="1" applyFill="1" applyBorder="1" applyAlignment="1">
      <alignment vertical="center"/>
    </xf>
    <xf numFmtId="167" fontId="40" fillId="28" borderId="7" xfId="53" applyNumberFormat="1" applyFont="1" applyFill="1" applyBorder="1" applyAlignment="1">
      <alignment vertical="center"/>
    </xf>
    <xf numFmtId="167" fontId="40" fillId="28" borderId="7" xfId="53" applyNumberFormat="1" applyFont="1" applyFill="1" applyBorder="1" applyAlignment="1">
      <alignment vertical="center" wrapText="1"/>
    </xf>
    <xf numFmtId="3" fontId="40" fillId="0" borderId="8" xfId="101" applyNumberFormat="1" applyFont="1" applyFill="1" applyBorder="1" applyAlignment="1">
      <alignment horizontal="right" vertical="center" wrapText="1"/>
    </xf>
    <xf numFmtId="0" fontId="140" fillId="0" borderId="0" xfId="101" quotePrefix="1" applyFont="1" applyFill="1" applyBorder="1" applyAlignment="1">
      <alignment horizontal="left" vertical="center"/>
    </xf>
    <xf numFmtId="0" fontId="13" fillId="0" borderId="0" xfId="101" quotePrefix="1" applyFont="1" applyFill="1" applyBorder="1" applyAlignment="1">
      <alignment vertical="center"/>
    </xf>
    <xf numFmtId="167" fontId="7" fillId="3" borderId="7" xfId="62" applyNumberFormat="1" applyFont="1" applyFill="1" applyBorder="1" applyAlignment="1">
      <alignment horizontal="right" vertical="center" wrapText="1"/>
    </xf>
    <xf numFmtId="3" fontId="13" fillId="0" borderId="7" xfId="101" applyNumberFormat="1" applyFont="1" applyFill="1" applyBorder="1" applyAlignment="1">
      <alignment vertical="center" wrapText="1"/>
    </xf>
    <xf numFmtId="167" fontId="140" fillId="0" borderId="7" xfId="1" applyNumberFormat="1" applyFont="1" applyFill="1" applyBorder="1" applyAlignment="1">
      <alignment vertical="center"/>
    </xf>
    <xf numFmtId="0" fontId="11" fillId="33" borderId="7" xfId="147" applyFont="1" applyFill="1" applyBorder="1" applyAlignment="1">
      <alignment horizontal="center"/>
    </xf>
    <xf numFmtId="0" fontId="11" fillId="33" borderId="7" xfId="147" applyFont="1" applyFill="1" applyBorder="1" applyAlignment="1" applyProtection="1">
      <alignment horizontal="left" wrapText="1"/>
    </xf>
    <xf numFmtId="41" fontId="5" fillId="33" borderId="7" xfId="150" applyNumberFormat="1" applyFont="1" applyFill="1" applyBorder="1" applyAlignment="1" applyProtection="1">
      <alignment horizontal="right" wrapText="1"/>
    </xf>
    <xf numFmtId="0" fontId="111" fillId="0" borderId="17" xfId="147" applyFont="1" applyFill="1" applyBorder="1" applyAlignment="1">
      <alignment horizontal="center" vertical="center"/>
    </xf>
    <xf numFmtId="0" fontId="5" fillId="2" borderId="17" xfId="8" applyFont="1" applyFill="1" applyBorder="1" applyAlignment="1">
      <alignment horizontal="left" vertical="center" wrapText="1"/>
    </xf>
    <xf numFmtId="0" fontId="95" fillId="0" borderId="17" xfId="147" applyFont="1" applyFill="1" applyBorder="1" applyAlignment="1">
      <alignment vertical="center"/>
    </xf>
    <xf numFmtId="0" fontId="116" fillId="0" borderId="17" xfId="147" applyFont="1" applyBorder="1" applyAlignment="1">
      <alignment horizontal="center" vertical="center"/>
    </xf>
    <xf numFmtId="0" fontId="134" fillId="0" borderId="34" xfId="147" applyFont="1" applyFill="1" applyBorder="1" applyAlignment="1">
      <alignment horizontal="center" vertical="center"/>
    </xf>
    <xf numFmtId="0" fontId="134" fillId="0" borderId="34" xfId="147" applyFont="1" applyFill="1" applyBorder="1" applyAlignment="1">
      <alignment vertical="center" wrapText="1"/>
    </xf>
    <xf numFmtId="41" fontId="134" fillId="0" borderId="34" xfId="147" applyNumberFormat="1" applyFont="1" applyFill="1" applyBorder="1" applyAlignment="1">
      <alignment vertical="center"/>
    </xf>
    <xf numFmtId="0" fontId="5" fillId="0" borderId="0" xfId="147" applyFont="1" applyFill="1" applyAlignment="1">
      <alignment horizontal="left" vertical="center" wrapText="1"/>
    </xf>
    <xf numFmtId="0" fontId="18" fillId="0" borderId="0" xfId="2" applyNumberFormat="1" applyFont="1" applyAlignment="1">
      <alignment horizontal="left" vertical="center"/>
    </xf>
    <xf numFmtId="0" fontId="5" fillId="0" borderId="35" xfId="2" applyFont="1" applyBorder="1" applyAlignment="1">
      <alignment horizontal="center" vertical="center"/>
    </xf>
    <xf numFmtId="0" fontId="5" fillId="0" borderId="35" xfId="2" applyNumberFormat="1" applyFont="1" applyBorder="1" applyAlignment="1">
      <alignment horizontal="center" vertical="center"/>
    </xf>
    <xf numFmtId="0" fontId="5" fillId="0" borderId="35" xfId="2" applyFont="1" applyFill="1" applyBorder="1" applyAlignment="1">
      <alignment horizontal="center" vertical="center" wrapText="1"/>
    </xf>
    <xf numFmtId="3" fontId="5" fillId="0" borderId="35" xfId="2" applyNumberFormat="1" applyFont="1" applyBorder="1" applyAlignment="1">
      <alignment horizontal="center" vertical="center" wrapText="1"/>
    </xf>
    <xf numFmtId="0" fontId="11" fillId="0" borderId="8" xfId="2" applyFont="1" applyBorder="1" applyAlignment="1">
      <alignment horizontal="center" vertical="center"/>
    </xf>
    <xf numFmtId="0" fontId="11" fillId="0" borderId="8" xfId="2" applyFont="1" applyBorder="1" applyAlignment="1">
      <alignment horizontal="left" vertical="center"/>
    </xf>
    <xf numFmtId="166" fontId="5" fillId="2" borderId="8" xfId="2" applyNumberFormat="1" applyFont="1" applyFill="1" applyBorder="1" applyAlignment="1">
      <alignment vertical="center"/>
    </xf>
    <xf numFmtId="0" fontId="119" fillId="0" borderId="8" xfId="0" applyFont="1" applyBorder="1" applyAlignment="1">
      <alignment vertical="center"/>
    </xf>
    <xf numFmtId="3" fontId="119" fillId="0" borderId="8" xfId="0" applyNumberFormat="1" applyFont="1" applyBorder="1" applyAlignment="1">
      <alignment vertical="center"/>
    </xf>
    <xf numFmtId="0" fontId="7" fillId="0" borderId="7" xfId="0" applyFont="1" applyFill="1" applyBorder="1" applyAlignment="1">
      <alignment vertical="center"/>
    </xf>
    <xf numFmtId="3" fontId="7" fillId="0" borderId="7" xfId="0" applyNumberFormat="1" applyFont="1" applyFill="1" applyBorder="1" applyAlignment="1">
      <alignment vertical="center"/>
    </xf>
    <xf numFmtId="0" fontId="5" fillId="35" borderId="34" xfId="2" applyFont="1" applyFill="1" applyBorder="1" applyAlignment="1">
      <alignment vertical="center"/>
    </xf>
    <xf numFmtId="0" fontId="5" fillId="35" borderId="34" xfId="2" applyNumberFormat="1" applyFont="1" applyFill="1" applyBorder="1" applyAlignment="1">
      <alignment horizontal="center" vertical="center"/>
    </xf>
    <xf numFmtId="166" fontId="5" fillId="35" borderId="34" xfId="2" applyNumberFormat="1" applyFont="1" applyFill="1" applyBorder="1" applyAlignment="1">
      <alignment vertical="center"/>
    </xf>
    <xf numFmtId="0" fontId="119" fillId="35" borderId="34" xfId="0" applyFont="1" applyFill="1" applyBorder="1" applyAlignment="1">
      <alignment vertical="center"/>
    </xf>
    <xf numFmtId="3" fontId="119" fillId="35" borderId="34" xfId="0" applyNumberFormat="1" applyFont="1" applyFill="1" applyBorder="1" applyAlignment="1">
      <alignment vertical="center"/>
    </xf>
    <xf numFmtId="0" fontId="28" fillId="0" borderId="17" xfId="114" applyFont="1" applyBorder="1" applyAlignment="1">
      <alignment horizontal="center" vertical="center"/>
    </xf>
    <xf numFmtId="0" fontId="13" fillId="0" borderId="17" xfId="106" quotePrefix="1" applyFont="1" applyFill="1" applyBorder="1" applyAlignment="1">
      <alignment vertical="center" wrapText="1"/>
    </xf>
    <xf numFmtId="166" fontId="13" fillId="0" borderId="17" xfId="2" applyNumberFormat="1" applyFont="1" applyFill="1" applyBorder="1" applyAlignment="1">
      <alignment vertical="center"/>
    </xf>
    <xf numFmtId="0" fontId="122" fillId="0" borderId="17" xfId="0" applyFont="1" applyBorder="1" applyAlignment="1">
      <alignment vertical="center"/>
    </xf>
    <xf numFmtId="3" fontId="122" fillId="0" borderId="17" xfId="0" applyNumberFormat="1" applyFont="1" applyBorder="1" applyAlignment="1">
      <alignment vertical="center"/>
    </xf>
    <xf numFmtId="0" fontId="5" fillId="0" borderId="34" xfId="2" applyFont="1" applyBorder="1" applyAlignment="1">
      <alignment horizontal="center" vertical="center"/>
    </xf>
    <xf numFmtId="0" fontId="41" fillId="0" borderId="34" xfId="2" applyNumberFormat="1" applyFont="1" applyBorder="1" applyAlignment="1">
      <alignment vertical="center"/>
    </xf>
    <xf numFmtId="166" fontId="41" fillId="2" borderId="34" xfId="2" applyNumberFormat="1" applyFont="1" applyFill="1" applyBorder="1" applyAlignment="1">
      <alignment vertical="center"/>
    </xf>
    <xf numFmtId="0" fontId="41" fillId="0" borderId="34" xfId="0" applyFont="1" applyBorder="1" applyAlignment="1">
      <alignment vertical="center"/>
    </xf>
    <xf numFmtId="3" fontId="41" fillId="0" borderId="34" xfId="0" applyNumberFormat="1" applyFont="1" applyBorder="1" applyAlignment="1">
      <alignment vertical="center"/>
    </xf>
    <xf numFmtId="0" fontId="11" fillId="0" borderId="34" xfId="2" applyFont="1" applyBorder="1" applyAlignment="1">
      <alignment vertical="center"/>
    </xf>
    <xf numFmtId="3" fontId="40" fillId="0" borderId="5" xfId="101" applyNumberFormat="1" applyFont="1" applyFill="1" applyBorder="1" applyAlignment="1">
      <alignment horizontal="right" vertical="center" wrapText="1"/>
    </xf>
    <xf numFmtId="3" fontId="40" fillId="0" borderId="5" xfId="101" applyNumberFormat="1" applyFont="1" applyFill="1" applyBorder="1" applyAlignment="1">
      <alignment horizontal="center" vertical="center" wrapText="1"/>
    </xf>
    <xf numFmtId="3" fontId="40" fillId="39" borderId="5" xfId="101" applyNumberFormat="1" applyFont="1" applyFill="1" applyBorder="1" applyAlignment="1">
      <alignment horizontal="right" vertical="center" wrapText="1"/>
    </xf>
    <xf numFmtId="3" fontId="40" fillId="38" borderId="5" xfId="101" applyNumberFormat="1" applyFont="1" applyFill="1" applyBorder="1" applyAlignment="1">
      <alignment horizontal="right" vertical="center" wrapText="1"/>
    </xf>
    <xf numFmtId="0" fontId="40" fillId="28" borderId="10" xfId="101" applyFont="1" applyFill="1" applyBorder="1" applyAlignment="1">
      <alignment vertical="center"/>
    </xf>
    <xf numFmtId="167" fontId="40" fillId="28" borderId="10" xfId="53" applyNumberFormat="1" applyFont="1" applyFill="1" applyBorder="1" applyAlignment="1">
      <alignment vertical="center"/>
    </xf>
    <xf numFmtId="167" fontId="40" fillId="28" borderId="10" xfId="53" applyNumberFormat="1" applyFont="1" applyFill="1" applyBorder="1" applyAlignment="1">
      <alignment vertical="center" wrapText="1"/>
    </xf>
    <xf numFmtId="3" fontId="40" fillId="42" borderId="5" xfId="101" applyNumberFormat="1" applyFont="1" applyFill="1" applyBorder="1" applyAlignment="1">
      <alignment horizontal="right" vertical="center" wrapText="1"/>
    </xf>
    <xf numFmtId="3" fontId="40" fillId="34" borderId="5" xfId="101" applyNumberFormat="1" applyFont="1" applyFill="1" applyBorder="1" applyAlignment="1">
      <alignment horizontal="right" vertical="center" wrapText="1"/>
    </xf>
    <xf numFmtId="3" fontId="40" fillId="43" borderId="5" xfId="101" applyNumberFormat="1" applyFont="1" applyFill="1" applyBorder="1" applyAlignment="1">
      <alignment horizontal="right" vertical="center" wrapText="1"/>
    </xf>
    <xf numFmtId="3" fontId="40" fillId="3" borderId="5" xfId="101" applyNumberFormat="1" applyFont="1" applyFill="1" applyBorder="1" applyAlignment="1">
      <alignment horizontal="right" vertical="center" wrapText="1"/>
    </xf>
    <xf numFmtId="3" fontId="5" fillId="0" borderId="8" xfId="8" applyNumberFormat="1" applyFont="1" applyFill="1" applyBorder="1" applyAlignment="1">
      <alignment horizontal="right" vertical="center"/>
    </xf>
    <xf numFmtId="0" fontId="5" fillId="0" borderId="7" xfId="2" applyFont="1" applyBorder="1" applyAlignment="1">
      <alignment horizontal="center" vertical="center"/>
    </xf>
    <xf numFmtId="3" fontId="18" fillId="0" borderId="0" xfId="2" applyNumberFormat="1" applyFont="1" applyAlignment="1">
      <alignment horizontal="center" vertical="center"/>
    </xf>
    <xf numFmtId="0" fontId="137" fillId="0" borderId="0" xfId="101" applyFont="1" applyFill="1" applyAlignment="1">
      <alignment horizontal="center" vertical="center" wrapText="1"/>
    </xf>
    <xf numFmtId="3" fontId="13" fillId="3" borderId="7" xfId="147" applyNumberFormat="1" applyFont="1" applyFill="1" applyBorder="1" applyAlignment="1">
      <alignment vertical="center"/>
    </xf>
    <xf numFmtId="3" fontId="5" fillId="3" borderId="7" xfId="147" applyNumberFormat="1" applyFont="1" applyFill="1" applyBorder="1" applyAlignment="1">
      <alignment vertical="center"/>
    </xf>
    <xf numFmtId="167" fontId="41" fillId="3" borderId="14" xfId="6" applyNumberFormat="1" applyFont="1" applyFill="1" applyBorder="1" applyAlignment="1">
      <alignment vertical="center" wrapText="1"/>
    </xf>
    <xf numFmtId="0" fontId="13" fillId="45" borderId="14" xfId="6" applyFont="1" applyFill="1" applyBorder="1" applyAlignment="1">
      <alignment horizontal="center" vertical="center"/>
    </xf>
    <xf numFmtId="0" fontId="41" fillId="45" borderId="14" xfId="0" applyFont="1" applyFill="1" applyBorder="1" applyAlignment="1">
      <alignment horizontal="left" vertical="center" wrapText="1"/>
    </xf>
    <xf numFmtId="167" fontId="41" fillId="45" borderId="14" xfId="1" applyNumberFormat="1" applyFont="1" applyFill="1" applyBorder="1" applyAlignment="1">
      <alignment horizontal="center" vertical="center"/>
    </xf>
    <xf numFmtId="167" fontId="41" fillId="45" borderId="14" xfId="6" applyNumberFormat="1" applyFont="1" applyFill="1" applyBorder="1" applyAlignment="1">
      <alignment vertical="center" wrapText="1"/>
    </xf>
    <xf numFmtId="3" fontId="7" fillId="0" borderId="0" xfId="114" applyNumberFormat="1" applyFont="1" applyBorder="1" applyAlignment="1"/>
    <xf numFmtId="0" fontId="5" fillId="4" borderId="34" xfId="114" applyFont="1" applyFill="1" applyBorder="1" applyAlignment="1">
      <alignment horizontal="center" vertical="center" wrapText="1"/>
    </xf>
    <xf numFmtId="0" fontId="5" fillId="3" borderId="9" xfId="114" applyFont="1" applyFill="1" applyBorder="1" applyAlignment="1">
      <alignment horizontal="center" vertical="center"/>
    </xf>
    <xf numFmtId="0" fontId="5" fillId="3" borderId="9" xfId="114" applyFont="1" applyFill="1" applyBorder="1" applyAlignment="1">
      <alignment horizontal="center" vertical="center" wrapText="1"/>
    </xf>
    <xf numFmtId="0" fontId="5" fillId="3" borderId="9" xfId="1" applyNumberFormat="1" applyFont="1" applyFill="1" applyBorder="1" applyAlignment="1">
      <alignment horizontal="center" vertical="center" wrapText="1"/>
    </xf>
    <xf numFmtId="43" fontId="5" fillId="31" borderId="17" xfId="1" applyNumberFormat="1" applyFont="1" applyFill="1" applyBorder="1" applyAlignment="1">
      <alignment vertical="center"/>
    </xf>
    <xf numFmtId="0" fontId="5" fillId="33" borderId="8" xfId="114" applyFont="1" applyFill="1" applyBorder="1" applyAlignment="1">
      <alignment horizontal="center" vertical="center"/>
    </xf>
    <xf numFmtId="0" fontId="132" fillId="33" borderId="8" xfId="114" applyFont="1" applyFill="1" applyBorder="1" applyAlignment="1">
      <alignment vertical="center" wrapText="1"/>
    </xf>
    <xf numFmtId="0" fontId="7" fillId="0" borderId="17" xfId="114" applyFont="1" applyBorder="1" applyAlignment="1">
      <alignment horizontal="center" vertical="center"/>
    </xf>
    <xf numFmtId="0" fontId="13" fillId="0" borderId="17" xfId="114" quotePrefix="1" applyFont="1" applyBorder="1" applyAlignment="1">
      <alignment vertical="center" wrapText="1"/>
    </xf>
    <xf numFmtId="3" fontId="13" fillId="31" borderId="17" xfId="114" applyNumberFormat="1" applyFont="1" applyFill="1" applyBorder="1" applyAlignment="1">
      <alignment vertical="center"/>
    </xf>
    <xf numFmtId="167" fontId="13" fillId="0" borderId="17" xfId="55" applyNumberFormat="1" applyFont="1" applyFill="1" applyBorder="1" applyAlignment="1">
      <alignment horizontal="right" vertical="center" wrapText="1"/>
    </xf>
    <xf numFmtId="0" fontId="5" fillId="0" borderId="17" xfId="114" applyFont="1" applyBorder="1" applyAlignment="1">
      <alignment horizontal="center" vertical="center"/>
    </xf>
    <xf numFmtId="0" fontId="133" fillId="3" borderId="17" xfId="106" quotePrefix="1" applyFont="1" applyFill="1" applyBorder="1" applyAlignment="1">
      <alignment vertical="center" wrapText="1"/>
    </xf>
    <xf numFmtId="167" fontId="133" fillId="0" borderId="17" xfId="1" quotePrefix="1" applyNumberFormat="1" applyFont="1" applyFill="1" applyBorder="1" applyAlignment="1">
      <alignment vertical="center" wrapText="1"/>
    </xf>
    <xf numFmtId="3" fontId="13" fillId="0" borderId="17" xfId="106" applyNumberFormat="1" applyFont="1" applyFill="1" applyBorder="1" applyAlignment="1">
      <alignment horizontal="right" vertical="center" wrapText="1"/>
    </xf>
    <xf numFmtId="167" fontId="13" fillId="3" borderId="17" xfId="62" applyNumberFormat="1" applyFont="1" applyFill="1" applyBorder="1" applyAlignment="1">
      <alignment horizontal="right" vertical="center" wrapText="1"/>
    </xf>
    <xf numFmtId="3" fontId="13" fillId="27" borderId="17" xfId="114" applyNumberFormat="1" applyFont="1" applyFill="1" applyBorder="1" applyAlignment="1">
      <alignment vertical="center"/>
    </xf>
    <xf numFmtId="2" fontId="13" fillId="31" borderId="17" xfId="114" applyNumberFormat="1" applyFont="1" applyFill="1" applyBorder="1" applyAlignment="1">
      <alignment vertical="center"/>
    </xf>
    <xf numFmtId="0" fontId="5" fillId="35" borderId="34" xfId="114" applyFont="1" applyFill="1" applyBorder="1" applyAlignment="1">
      <alignment horizontal="center" vertical="center"/>
    </xf>
    <xf numFmtId="0" fontId="5" fillId="35" borderId="34" xfId="114" applyFont="1" applyFill="1" applyBorder="1" applyAlignment="1">
      <alignment vertical="center" wrapText="1"/>
    </xf>
    <xf numFmtId="167" fontId="5" fillId="35" borderId="34" xfId="1" applyNumberFormat="1" applyFont="1" applyFill="1" applyBorder="1" applyAlignment="1">
      <alignment vertical="center" wrapText="1"/>
    </xf>
    <xf numFmtId="3" fontId="11" fillId="0" borderId="34" xfId="114" applyNumberFormat="1" applyFont="1" applyFill="1" applyBorder="1" applyAlignment="1">
      <alignment vertical="center"/>
    </xf>
    <xf numFmtId="0" fontId="13" fillId="0" borderId="17" xfId="114" applyFont="1" applyBorder="1" applyAlignment="1">
      <alignment horizontal="center" vertical="center"/>
    </xf>
    <xf numFmtId="167" fontId="13" fillId="0" borderId="17" xfId="1" quotePrefix="1" applyNumberFormat="1" applyFont="1" applyFill="1" applyBorder="1" applyAlignment="1">
      <alignment vertical="center" wrapText="1"/>
    </xf>
    <xf numFmtId="3" fontId="17" fillId="0" borderId="17" xfId="114" applyNumberFormat="1" applyFont="1" applyBorder="1" applyAlignment="1">
      <alignment vertical="center"/>
    </xf>
    <xf numFmtId="0" fontId="5" fillId="0" borderId="8" xfId="114" applyFont="1" applyBorder="1" applyAlignment="1">
      <alignment horizontal="center" vertical="center"/>
    </xf>
    <xf numFmtId="0" fontId="13" fillId="0" borderId="8" xfId="106" quotePrefix="1" applyFont="1" applyFill="1" applyBorder="1" applyAlignment="1">
      <alignment vertical="center" wrapText="1"/>
    </xf>
    <xf numFmtId="167" fontId="13" fillId="0" borderId="8" xfId="1" quotePrefix="1" applyNumberFormat="1" applyFont="1" applyFill="1" applyBorder="1" applyAlignment="1">
      <alignment vertical="center" wrapText="1"/>
    </xf>
    <xf numFmtId="3" fontId="13" fillId="31" borderId="8" xfId="114" applyNumberFormat="1" applyFont="1" applyFill="1" applyBorder="1" applyAlignment="1">
      <alignment vertical="center"/>
    </xf>
    <xf numFmtId="3" fontId="13" fillId="0" borderId="8" xfId="106" applyNumberFormat="1" applyFont="1" applyFill="1" applyBorder="1" applyAlignment="1">
      <alignment horizontal="right" vertical="center" wrapText="1"/>
    </xf>
    <xf numFmtId="3" fontId="11" fillId="0" borderId="8" xfId="114" applyNumberFormat="1" applyFont="1" applyBorder="1" applyAlignment="1">
      <alignment vertical="center"/>
    </xf>
    <xf numFmtId="3" fontId="13" fillId="27" borderId="8" xfId="114" applyNumberFormat="1" applyFont="1" applyFill="1" applyBorder="1" applyAlignment="1">
      <alignment vertical="center"/>
    </xf>
    <xf numFmtId="0" fontId="5" fillId="34" borderId="34" xfId="114" applyFont="1" applyFill="1" applyBorder="1" applyAlignment="1">
      <alignment horizontal="center" vertical="center"/>
    </xf>
    <xf numFmtId="0" fontId="5" fillId="34" borderId="34" xfId="114" applyFont="1" applyFill="1" applyBorder="1" applyAlignment="1">
      <alignment vertical="center" wrapText="1"/>
    </xf>
    <xf numFmtId="167" fontId="5" fillId="34" borderId="34" xfId="1" applyNumberFormat="1" applyFont="1" applyFill="1" applyBorder="1" applyAlignment="1">
      <alignment vertical="center" wrapText="1"/>
    </xf>
    <xf numFmtId="3" fontId="5" fillId="34" borderId="34" xfId="114" applyNumberFormat="1" applyFont="1" applyFill="1" applyBorder="1" applyAlignment="1">
      <alignment vertical="center"/>
    </xf>
    <xf numFmtId="4" fontId="11" fillId="34" borderId="34" xfId="114" applyNumberFormat="1" applyFont="1" applyFill="1" applyBorder="1" applyAlignment="1">
      <alignment vertical="center"/>
    </xf>
    <xf numFmtId="0" fontId="13" fillId="46" borderId="7" xfId="114" applyFont="1" applyFill="1" applyBorder="1" applyAlignment="1">
      <alignment horizontal="center" vertical="center"/>
    </xf>
    <xf numFmtId="0" fontId="7" fillId="46" borderId="7" xfId="106" quotePrefix="1" applyFont="1" applyFill="1" applyBorder="1" applyAlignment="1">
      <alignment vertical="center" wrapText="1"/>
    </xf>
    <xf numFmtId="167" fontId="7" fillId="46" borderId="7" xfId="1" applyNumberFormat="1" applyFont="1" applyFill="1" applyBorder="1" applyAlignment="1">
      <alignment vertical="center" wrapText="1"/>
    </xf>
    <xf numFmtId="3" fontId="7" fillId="46" borderId="7" xfId="114" applyNumberFormat="1" applyFont="1" applyFill="1" applyBorder="1" applyAlignment="1">
      <alignment vertical="center"/>
    </xf>
    <xf numFmtId="3" fontId="7" fillId="46" borderId="7" xfId="106" applyNumberFormat="1" applyFont="1" applyFill="1" applyBorder="1" applyAlignment="1">
      <alignment horizontal="right" vertical="center"/>
    </xf>
    <xf numFmtId="3" fontId="13" fillId="0" borderId="0" xfId="114" applyNumberFormat="1" applyFont="1" applyAlignment="1">
      <alignment vertical="center"/>
    </xf>
    <xf numFmtId="3" fontId="169" fillId="0" borderId="7" xfId="101" applyNumberFormat="1" applyFont="1" applyFill="1" applyBorder="1" applyAlignment="1">
      <alignment vertical="center" wrapText="1"/>
    </xf>
    <xf numFmtId="0" fontId="137" fillId="0" borderId="0" xfId="101" applyFont="1" applyFill="1" applyAlignment="1">
      <alignment horizontal="left" vertical="center" wrapText="1"/>
    </xf>
    <xf numFmtId="3" fontId="137" fillId="0" borderId="0" xfId="101" applyNumberFormat="1" applyFont="1" applyFill="1" applyBorder="1" applyAlignment="1">
      <alignment horizontal="left" vertical="center" wrapText="1"/>
    </xf>
    <xf numFmtId="0" fontId="7" fillId="38" borderId="0" xfId="101" applyFont="1" applyFill="1" applyAlignment="1">
      <alignment vertical="center"/>
    </xf>
    <xf numFmtId="0" fontId="7" fillId="28" borderId="7" xfId="101" applyFont="1" applyFill="1" applyBorder="1" applyAlignment="1">
      <alignment vertical="center"/>
    </xf>
    <xf numFmtId="167" fontId="7" fillId="28" borderId="7" xfId="53" applyNumberFormat="1" applyFont="1" applyFill="1" applyBorder="1" applyAlignment="1">
      <alignment vertical="center"/>
    </xf>
    <xf numFmtId="167" fontId="7" fillId="28" borderId="7" xfId="53" applyNumberFormat="1" applyFont="1" applyFill="1" applyBorder="1" applyAlignment="1">
      <alignment vertical="center" wrapText="1"/>
    </xf>
    <xf numFmtId="3" fontId="7" fillId="0" borderId="7" xfId="101" applyNumberFormat="1" applyFont="1" applyFill="1" applyBorder="1" applyAlignment="1">
      <alignment vertical="center"/>
    </xf>
    <xf numFmtId="0" fontId="5" fillId="2" borderId="34" xfId="8" applyFont="1" applyFill="1" applyBorder="1" applyAlignment="1">
      <alignment horizontal="center" vertical="center"/>
    </xf>
    <xf numFmtId="0" fontId="5" fillId="2" borderId="35" xfId="8" applyFont="1" applyFill="1" applyBorder="1" applyAlignment="1">
      <alignment horizontal="center" vertical="center" wrapText="1"/>
    </xf>
    <xf numFmtId="0" fontId="13" fillId="2" borderId="8" xfId="8" applyFont="1" applyFill="1" applyBorder="1" applyAlignment="1">
      <alignment vertical="center"/>
    </xf>
    <xf numFmtId="0" fontId="5" fillId="0" borderId="34" xfId="8" applyFont="1" applyFill="1" applyBorder="1" applyAlignment="1">
      <alignment horizontal="center" vertical="center"/>
    </xf>
    <xf numFmtId="0" fontId="13" fillId="2" borderId="34" xfId="8" applyFont="1" applyFill="1" applyBorder="1" applyAlignment="1">
      <alignment horizontal="center" vertical="center"/>
    </xf>
    <xf numFmtId="167" fontId="5" fillId="33" borderId="6" xfId="10" applyNumberFormat="1" applyFont="1" applyFill="1" applyBorder="1" applyAlignment="1">
      <alignment vertical="center"/>
    </xf>
    <xf numFmtId="167" fontId="5" fillId="2" borderId="6" xfId="10" applyNumberFormat="1" applyFont="1" applyFill="1" applyBorder="1" applyAlignment="1">
      <alignment vertical="center"/>
    </xf>
    <xf numFmtId="43" fontId="5" fillId="2" borderId="45" xfId="10" applyFont="1" applyFill="1" applyBorder="1" applyAlignment="1">
      <alignment vertical="center"/>
    </xf>
    <xf numFmtId="3" fontId="5" fillId="0" borderId="6" xfId="8" applyNumberFormat="1" applyFont="1" applyFill="1" applyBorder="1" applyAlignment="1">
      <alignment horizontal="right" vertical="center"/>
    </xf>
    <xf numFmtId="0" fontId="13" fillId="2" borderId="44" xfId="8" applyFont="1" applyFill="1" applyBorder="1" applyAlignment="1">
      <alignment vertical="center"/>
    </xf>
    <xf numFmtId="3" fontId="13" fillId="2" borderId="44" xfId="8" applyNumberFormat="1" applyFont="1" applyFill="1" applyBorder="1" applyAlignment="1">
      <alignment vertical="center"/>
    </xf>
    <xf numFmtId="0" fontId="13" fillId="2" borderId="6" xfId="8" applyFont="1" applyFill="1" applyBorder="1" applyAlignment="1">
      <alignment vertical="center"/>
    </xf>
    <xf numFmtId="9" fontId="13" fillId="2" borderId="17" xfId="9" applyFont="1" applyFill="1" applyBorder="1" applyAlignment="1">
      <alignment horizontal="right" vertical="center"/>
    </xf>
    <xf numFmtId="3" fontId="5" fillId="0" borderId="9" xfId="8" applyNumberFormat="1" applyFont="1" applyFill="1" applyBorder="1" applyAlignment="1">
      <alignment horizontal="right" vertical="center"/>
    </xf>
    <xf numFmtId="167" fontId="5" fillId="2" borderId="9" xfId="10" applyNumberFormat="1" applyFont="1" applyFill="1" applyBorder="1" applyAlignment="1">
      <alignment vertical="center"/>
    </xf>
    <xf numFmtId="0" fontId="5" fillId="0" borderId="17" xfId="8" applyFont="1" applyFill="1" applyBorder="1" applyAlignment="1">
      <alignment vertical="center"/>
    </xf>
    <xf numFmtId="0" fontId="5" fillId="0" borderId="34" xfId="8" applyFont="1" applyFill="1" applyBorder="1" applyAlignment="1">
      <alignment vertical="center" wrapText="1"/>
    </xf>
    <xf numFmtId="3" fontId="5" fillId="0" borderId="34" xfId="8" applyNumberFormat="1" applyFont="1" applyFill="1" applyBorder="1" applyAlignment="1">
      <alignment vertical="center"/>
    </xf>
    <xf numFmtId="43" fontId="5" fillId="2" borderId="34" xfId="10" applyFont="1" applyFill="1" applyBorder="1" applyAlignment="1">
      <alignment vertical="center"/>
    </xf>
    <xf numFmtId="3" fontId="5" fillId="0" borderId="34" xfId="8" applyNumberFormat="1" applyFont="1" applyFill="1" applyBorder="1" applyAlignment="1">
      <alignment horizontal="right" vertical="center"/>
    </xf>
    <xf numFmtId="167" fontId="5" fillId="2" borderId="34" xfId="10" applyNumberFormat="1" applyFont="1" applyFill="1" applyBorder="1" applyAlignment="1">
      <alignment vertical="center"/>
    </xf>
    <xf numFmtId="3" fontId="41" fillId="2" borderId="34" xfId="8" applyNumberFormat="1" applyFont="1" applyFill="1" applyBorder="1" applyAlignment="1">
      <alignment vertical="center"/>
    </xf>
    <xf numFmtId="0" fontId="5" fillId="0" borderId="34" xfId="8" applyFont="1" applyFill="1" applyBorder="1" applyAlignment="1">
      <alignment vertical="center"/>
    </xf>
    <xf numFmtId="3" fontId="13" fillId="0" borderId="34" xfId="8" applyNumberFormat="1" applyFont="1" applyFill="1" applyBorder="1" applyAlignment="1">
      <alignment horizontal="right" vertical="center"/>
    </xf>
    <xf numFmtId="3" fontId="19" fillId="2" borderId="34" xfId="8" applyNumberFormat="1" applyFont="1" applyFill="1" applyBorder="1" applyAlignment="1">
      <alignment vertical="center"/>
    </xf>
    <xf numFmtId="0" fontId="41" fillId="0" borderId="34" xfId="8" applyFont="1" applyFill="1" applyBorder="1" applyAlignment="1">
      <alignment vertical="center" wrapText="1"/>
    </xf>
    <xf numFmtId="3" fontId="41" fillId="0" borderId="34" xfId="8" applyNumberFormat="1" applyFont="1" applyFill="1" applyBorder="1" applyAlignment="1">
      <alignment vertical="center"/>
    </xf>
    <xf numFmtId="167" fontId="41" fillId="2" borderId="34" xfId="10" applyNumberFormat="1" applyFont="1" applyFill="1" applyBorder="1" applyAlignment="1">
      <alignment vertical="center"/>
    </xf>
    <xf numFmtId="43" fontId="41" fillId="2" borderId="34" xfId="10" applyFont="1" applyFill="1" applyBorder="1" applyAlignment="1">
      <alignment vertical="center"/>
    </xf>
    <xf numFmtId="3" fontId="41" fillId="0" borderId="34" xfId="8" applyNumberFormat="1" applyFont="1" applyFill="1" applyBorder="1" applyAlignment="1">
      <alignment horizontal="right" vertical="center"/>
    </xf>
    <xf numFmtId="0" fontId="5" fillId="0" borderId="35" xfId="2" applyNumberFormat="1" applyFont="1" applyBorder="1" applyAlignment="1">
      <alignment vertical="center"/>
    </xf>
    <xf numFmtId="166" fontId="5" fillId="2" borderId="35" xfId="2" applyNumberFormat="1" applyFont="1" applyFill="1" applyBorder="1" applyAlignment="1">
      <alignment vertical="center"/>
    </xf>
    <xf numFmtId="0" fontId="119" fillId="0" borderId="35" xfId="0" applyFont="1" applyBorder="1" applyAlignment="1">
      <alignment vertical="center"/>
    </xf>
    <xf numFmtId="3" fontId="119" fillId="0" borderId="35" xfId="0" applyNumberFormat="1" applyFont="1" applyBorder="1" applyAlignment="1">
      <alignment vertical="center"/>
    </xf>
    <xf numFmtId="3" fontId="137" fillId="0" borderId="0" xfId="101" applyNumberFormat="1" applyFont="1" applyFill="1" applyBorder="1" applyAlignment="1">
      <alignment horizontal="center" vertical="center" wrapText="1"/>
    </xf>
    <xf numFmtId="3" fontId="41" fillId="0" borderId="7" xfId="106" applyNumberFormat="1" applyFont="1" applyFill="1" applyBorder="1" applyAlignment="1">
      <alignment horizontal="right" vertical="center"/>
    </xf>
    <xf numFmtId="3" fontId="28" fillId="45" borderId="7" xfId="106" applyNumberFormat="1" applyFont="1" applyFill="1" applyBorder="1" applyAlignment="1">
      <alignment horizontal="right" vertical="center"/>
    </xf>
    <xf numFmtId="3" fontId="137" fillId="0" borderId="7" xfId="101" applyNumberFormat="1" applyFont="1" applyFill="1" applyBorder="1" applyAlignment="1">
      <alignment horizontal="center" vertical="center" wrapText="1"/>
    </xf>
    <xf numFmtId="0" fontId="137" fillId="0" borderId="0" xfId="101" applyFont="1" applyFill="1" applyBorder="1" applyAlignment="1">
      <alignment horizontal="left" vertical="center"/>
    </xf>
    <xf numFmtId="0" fontId="13" fillId="0" borderId="48" xfId="6" applyFont="1" applyFill="1" applyBorder="1" applyAlignment="1">
      <alignment vertical="center"/>
    </xf>
    <xf numFmtId="3" fontId="122" fillId="3" borderId="7" xfId="0" applyNumberFormat="1" applyFont="1" applyFill="1" applyBorder="1" applyAlignment="1">
      <alignment vertical="center"/>
    </xf>
    <xf numFmtId="0" fontId="170" fillId="0" borderId="14" xfId="6" applyFont="1" applyFill="1" applyBorder="1" applyAlignment="1">
      <alignment horizontal="center" vertical="center"/>
    </xf>
    <xf numFmtId="0" fontId="170" fillId="0" borderId="14" xfId="0" applyFont="1" applyFill="1" applyBorder="1" applyAlignment="1">
      <alignment horizontal="left" vertical="center" wrapText="1"/>
    </xf>
    <xf numFmtId="0" fontId="171" fillId="0" borderId="14" xfId="6" applyFont="1" applyFill="1" applyBorder="1" applyAlignment="1">
      <alignment horizontal="center" vertical="center"/>
    </xf>
    <xf numFmtId="0" fontId="171" fillId="0" borderId="14" xfId="0" applyFont="1" applyFill="1" applyBorder="1" applyAlignment="1">
      <alignment horizontal="left" vertical="center" wrapText="1"/>
    </xf>
    <xf numFmtId="167" fontId="171" fillId="0" borderId="14" xfId="1" applyNumberFormat="1" applyFont="1" applyFill="1" applyBorder="1" applyAlignment="1">
      <alignment horizontal="center" vertical="center"/>
    </xf>
    <xf numFmtId="167" fontId="171" fillId="0" borderId="14" xfId="6" applyNumberFormat="1" applyFont="1" applyFill="1" applyBorder="1" applyAlignment="1">
      <alignment vertical="center" wrapText="1"/>
    </xf>
    <xf numFmtId="0" fontId="171" fillId="0" borderId="0" xfId="6" applyFont="1" applyFill="1" applyAlignment="1">
      <alignment vertical="center" wrapText="1"/>
    </xf>
    <xf numFmtId="0" fontId="171" fillId="0" borderId="0" xfId="6" applyFont="1" applyFill="1" applyAlignment="1">
      <alignment vertical="center"/>
    </xf>
    <xf numFmtId="167" fontId="170" fillId="0" borderId="14" xfId="1" applyNumberFormat="1" applyFont="1" applyFill="1" applyBorder="1" applyAlignment="1">
      <alignment horizontal="center" vertical="center"/>
    </xf>
    <xf numFmtId="167" fontId="170" fillId="0" borderId="14" xfId="6" applyNumberFormat="1" applyFont="1" applyFill="1" applyBorder="1" applyAlignment="1">
      <alignment vertical="center" wrapText="1"/>
    </xf>
    <xf numFmtId="0" fontId="170" fillId="0" borderId="0" xfId="6" applyFont="1" applyFill="1" applyAlignment="1">
      <alignment vertical="center" wrapText="1"/>
    </xf>
    <xf numFmtId="0" fontId="170" fillId="0" borderId="0" xfId="6" applyFont="1" applyFill="1" applyAlignment="1">
      <alignment vertical="center"/>
    </xf>
    <xf numFmtId="0" fontId="171" fillId="0" borderId="48" xfId="0" applyFont="1" applyFill="1" applyBorder="1" applyAlignment="1">
      <alignment horizontal="left" vertical="center" wrapText="1"/>
    </xf>
    <xf numFmtId="4" fontId="137" fillId="3" borderId="0" xfId="101" applyNumberFormat="1" applyFont="1" applyFill="1" applyBorder="1" applyAlignment="1">
      <alignment horizontal="right" vertical="center" wrapText="1"/>
    </xf>
    <xf numFmtId="199" fontId="137" fillId="0" borderId="0" xfId="101" applyNumberFormat="1" applyFont="1" applyFill="1" applyBorder="1" applyAlignment="1">
      <alignment horizontal="right" vertical="center" wrapText="1"/>
    </xf>
    <xf numFmtId="3" fontId="137" fillId="0" borderId="0" xfId="101" applyNumberFormat="1" applyFont="1" applyFill="1" applyAlignment="1">
      <alignment horizontal="right" vertical="center" wrapText="1"/>
    </xf>
    <xf numFmtId="3" fontId="140" fillId="0" borderId="0" xfId="101" applyNumberFormat="1" applyFont="1" applyFill="1" applyAlignment="1">
      <alignment horizontal="right" vertical="center" wrapText="1"/>
    </xf>
    <xf numFmtId="3" fontId="137" fillId="0" borderId="0" xfId="101" applyNumberFormat="1" applyFont="1" applyFill="1" applyBorder="1" applyAlignment="1">
      <alignment horizontal="right" vertical="center"/>
    </xf>
    <xf numFmtId="3" fontId="5" fillId="0" borderId="0" xfId="101" applyNumberFormat="1" applyFont="1" applyFill="1" applyAlignment="1">
      <alignment horizontal="right" vertical="center" wrapText="1"/>
    </xf>
    <xf numFmtId="0" fontId="140" fillId="0" borderId="0" xfId="101" applyFont="1" applyFill="1" applyAlignment="1">
      <alignment horizontal="right" vertical="center"/>
    </xf>
    <xf numFmtId="0" fontId="5" fillId="29" borderId="49" xfId="6" applyNumberFormat="1" applyFont="1" applyFill="1" applyBorder="1" applyAlignment="1">
      <alignment horizontal="center" vertical="center"/>
    </xf>
    <xf numFmtId="0" fontId="168" fillId="29" borderId="49" xfId="6" applyNumberFormat="1" applyFont="1" applyFill="1" applyBorder="1" applyAlignment="1">
      <alignment horizontal="center" vertical="center" wrapText="1"/>
    </xf>
    <xf numFmtId="0" fontId="5" fillId="29" borderId="49" xfId="6" applyNumberFormat="1" applyFont="1" applyFill="1" applyBorder="1" applyAlignment="1">
      <alignment horizontal="center" vertical="center" wrapText="1"/>
    </xf>
    <xf numFmtId="0" fontId="5" fillId="0" borderId="34" xfId="6" applyFont="1" applyFill="1" applyBorder="1" applyAlignment="1">
      <alignment horizontal="center" vertical="center"/>
    </xf>
    <xf numFmtId="0" fontId="5" fillId="0" borderId="34" xfId="6" applyFont="1" applyFill="1" applyBorder="1" applyAlignment="1">
      <alignment vertical="center" wrapText="1"/>
    </xf>
    <xf numFmtId="167" fontId="5" fillId="0" borderId="34" xfId="6" applyNumberFormat="1" applyFont="1" applyFill="1" applyBorder="1" applyAlignment="1">
      <alignment horizontal="right" vertical="center"/>
    </xf>
    <xf numFmtId="3" fontId="7" fillId="0" borderId="30" xfId="106" applyNumberFormat="1" applyFont="1" applyFill="1" applyBorder="1" applyAlignment="1">
      <alignment horizontal="right" vertical="center"/>
    </xf>
    <xf numFmtId="167" fontId="13" fillId="0" borderId="0" xfId="1" quotePrefix="1" applyNumberFormat="1" applyFont="1" applyFill="1" applyBorder="1" applyAlignment="1">
      <alignment vertical="center" wrapText="1"/>
    </xf>
    <xf numFmtId="167" fontId="13" fillId="0" borderId="0" xfId="1" applyNumberFormat="1" applyFont="1" applyFill="1" applyBorder="1" applyAlignment="1">
      <alignment vertical="center" wrapText="1"/>
    </xf>
    <xf numFmtId="167" fontId="7" fillId="0" borderId="0" xfId="1" applyNumberFormat="1" applyFont="1" applyFill="1" applyBorder="1" applyAlignment="1">
      <alignment vertical="center" wrapText="1"/>
    </xf>
    <xf numFmtId="167" fontId="133" fillId="0" borderId="0" xfId="1" quotePrefix="1" applyNumberFormat="1" applyFont="1" applyFill="1" applyBorder="1" applyAlignment="1">
      <alignment vertical="center" wrapText="1"/>
    </xf>
    <xf numFmtId="0" fontId="5" fillId="0" borderId="0" xfId="114" applyFont="1" applyFill="1" applyBorder="1" applyAlignment="1">
      <alignment horizontal="center" vertical="center"/>
    </xf>
    <xf numFmtId="3" fontId="5" fillId="0" borderId="0" xfId="114" applyNumberFormat="1" applyFont="1" applyFill="1" applyBorder="1" applyAlignment="1">
      <alignment vertical="center"/>
    </xf>
    <xf numFmtId="3" fontId="5" fillId="0" borderId="0" xfId="114" applyNumberFormat="1" applyFont="1" applyFill="1" applyBorder="1" applyAlignment="1">
      <alignment horizontal="right" vertical="center"/>
    </xf>
    <xf numFmtId="3" fontId="5" fillId="0" borderId="0" xfId="106" applyNumberFormat="1" applyFont="1" applyFill="1" applyBorder="1" applyAlignment="1">
      <alignment horizontal="right" vertical="center"/>
    </xf>
    <xf numFmtId="0" fontId="40" fillId="0" borderId="0" xfId="114" applyFont="1" applyFill="1" applyBorder="1" applyAlignment="1">
      <alignment horizontal="right"/>
    </xf>
    <xf numFmtId="3" fontId="5" fillId="0" borderId="0" xfId="114" applyNumberFormat="1" applyFont="1" applyFill="1" applyBorder="1" applyAlignment="1">
      <alignment horizontal="right"/>
    </xf>
    <xf numFmtId="3" fontId="40" fillId="0" borderId="0" xfId="106" applyNumberFormat="1" applyFont="1" applyFill="1" applyBorder="1" applyAlignment="1">
      <alignment horizontal="right" vertical="center"/>
    </xf>
    <xf numFmtId="167" fontId="19" fillId="0" borderId="0" xfId="62" applyNumberFormat="1" applyFont="1" applyFill="1" applyBorder="1" applyAlignment="1">
      <alignment horizontal="right" vertical="center"/>
    </xf>
    <xf numFmtId="167" fontId="5" fillId="0" borderId="0" xfId="62" applyNumberFormat="1" applyFont="1" applyFill="1" applyBorder="1" applyAlignment="1">
      <alignment horizontal="right"/>
    </xf>
    <xf numFmtId="3" fontId="40" fillId="0" borderId="0" xfId="106" quotePrefix="1" applyNumberFormat="1" applyFont="1" applyFill="1" applyBorder="1" applyAlignment="1">
      <alignment horizontal="right" vertical="center"/>
    </xf>
    <xf numFmtId="167" fontId="131" fillId="0" borderId="0" xfId="62" applyNumberFormat="1" applyFont="1" applyFill="1" applyBorder="1" applyAlignment="1">
      <alignment horizontal="right" vertical="center"/>
    </xf>
    <xf numFmtId="167" fontId="5" fillId="0" borderId="0" xfId="114" applyNumberFormat="1" applyFont="1" applyFill="1" applyBorder="1" applyAlignment="1">
      <alignment horizontal="right"/>
    </xf>
    <xf numFmtId="167" fontId="5" fillId="0" borderId="0" xfId="62" applyNumberFormat="1" applyFont="1" applyFill="1" applyBorder="1" applyAlignment="1">
      <alignment horizontal="right" vertical="center" wrapText="1"/>
    </xf>
    <xf numFmtId="167" fontId="163" fillId="0" borderId="0" xfId="62" applyNumberFormat="1" applyFont="1" applyFill="1" applyBorder="1" applyAlignment="1">
      <alignment horizontal="right" vertical="center" wrapText="1"/>
    </xf>
    <xf numFmtId="167" fontId="164" fillId="0" borderId="0" xfId="62" applyNumberFormat="1" applyFont="1" applyFill="1" applyBorder="1" applyAlignment="1">
      <alignment horizontal="right" vertical="center"/>
    </xf>
    <xf numFmtId="167" fontId="5" fillId="0" borderId="0" xfId="1" applyNumberFormat="1" applyFont="1" applyFill="1" applyBorder="1" applyAlignment="1">
      <alignment horizontal="right"/>
    </xf>
    <xf numFmtId="167" fontId="162" fillId="0" borderId="0" xfId="1" applyNumberFormat="1" applyFont="1" applyFill="1" applyBorder="1" applyAlignment="1">
      <alignment horizontal="right"/>
    </xf>
    <xf numFmtId="167" fontId="5" fillId="0" borderId="0" xfId="62" applyNumberFormat="1" applyFont="1" applyFill="1" applyBorder="1" applyAlignment="1">
      <alignment horizontal="right" vertical="center"/>
    </xf>
    <xf numFmtId="43" fontId="13" fillId="31" borderId="7" xfId="1" applyNumberFormat="1" applyFont="1" applyFill="1" applyBorder="1" applyAlignment="1">
      <alignment vertical="center"/>
    </xf>
    <xf numFmtId="43" fontId="13" fillId="46" borderId="7" xfId="1" applyNumberFormat="1" applyFont="1" applyFill="1" applyBorder="1" applyAlignment="1">
      <alignment vertical="center"/>
    </xf>
    <xf numFmtId="43" fontId="7" fillId="31" borderId="7" xfId="1" applyNumberFormat="1" applyFont="1" applyFill="1" applyBorder="1" applyAlignment="1">
      <alignment vertical="center"/>
    </xf>
    <xf numFmtId="4" fontId="13" fillId="27" borderId="7" xfId="114" applyNumberFormat="1" applyFont="1" applyFill="1" applyBorder="1" applyAlignment="1">
      <alignment vertical="center"/>
    </xf>
    <xf numFmtId="2" fontId="5" fillId="31" borderId="30" xfId="114" applyNumberFormat="1" applyFont="1" applyFill="1" applyBorder="1" applyAlignment="1">
      <alignment vertical="center"/>
    </xf>
    <xf numFmtId="4" fontId="7" fillId="27" borderId="7" xfId="114" applyNumberFormat="1" applyFont="1" applyFill="1" applyBorder="1" applyAlignment="1">
      <alignment vertical="center"/>
    </xf>
    <xf numFmtId="2" fontId="40" fillId="31" borderId="7" xfId="114" applyNumberFormat="1" applyFont="1" applyFill="1" applyBorder="1" applyAlignment="1">
      <alignment vertical="center"/>
    </xf>
    <xf numFmtId="2" fontId="40" fillId="31" borderId="30" xfId="114" applyNumberFormat="1" applyFont="1" applyFill="1" applyBorder="1" applyAlignment="1">
      <alignment vertical="center"/>
    </xf>
    <xf numFmtId="4" fontId="5" fillId="27" borderId="7" xfId="114" applyNumberFormat="1" applyFont="1" applyFill="1" applyBorder="1" applyAlignment="1">
      <alignment vertical="center"/>
    </xf>
    <xf numFmtId="2" fontId="28" fillId="31" borderId="7" xfId="114" applyNumberFormat="1" applyFont="1" applyFill="1" applyBorder="1" applyAlignment="1">
      <alignment vertical="center"/>
    </xf>
    <xf numFmtId="167" fontId="13" fillId="31" borderId="30" xfId="1" applyNumberFormat="1" applyFont="1" applyFill="1" applyBorder="1" applyAlignment="1">
      <alignment vertical="center"/>
    </xf>
    <xf numFmtId="2" fontId="13" fillId="31" borderId="30" xfId="114" applyNumberFormat="1" applyFont="1" applyFill="1" applyBorder="1" applyAlignment="1">
      <alignment vertical="center"/>
    </xf>
    <xf numFmtId="2" fontId="7" fillId="31" borderId="30" xfId="114" applyNumberFormat="1" applyFont="1" applyFill="1" applyBorder="1" applyAlignment="1">
      <alignment vertical="center"/>
    </xf>
    <xf numFmtId="2" fontId="13" fillId="46" borderId="7" xfId="114" applyNumberFormat="1" applyFont="1" applyFill="1" applyBorder="1" applyAlignment="1">
      <alignment vertical="center"/>
    </xf>
    <xf numFmtId="2" fontId="13" fillId="46" borderId="30" xfId="114" applyNumberFormat="1" applyFont="1" applyFill="1" applyBorder="1" applyAlignment="1">
      <alignment vertical="center"/>
    </xf>
    <xf numFmtId="2" fontId="13" fillId="31" borderId="7" xfId="114" applyNumberFormat="1" applyFont="1" applyFill="1" applyBorder="1" applyAlignment="1">
      <alignment horizontal="right" vertical="center"/>
    </xf>
    <xf numFmtId="2" fontId="13" fillId="3" borderId="7" xfId="114" applyNumberFormat="1" applyFont="1" applyFill="1" applyBorder="1" applyAlignment="1">
      <alignment vertical="center"/>
    </xf>
    <xf numFmtId="167" fontId="132" fillId="32" borderId="7" xfId="1" applyNumberFormat="1" applyFont="1" applyFill="1" applyBorder="1" applyAlignment="1">
      <alignment vertical="center" wrapText="1"/>
    </xf>
    <xf numFmtId="3" fontId="5" fillId="32" borderId="7" xfId="114" applyNumberFormat="1" applyFont="1" applyFill="1" applyBorder="1" applyAlignment="1">
      <alignment vertical="center"/>
    </xf>
    <xf numFmtId="4" fontId="5" fillId="33" borderId="30" xfId="114" applyNumberFormat="1" applyFont="1" applyFill="1" applyBorder="1" applyAlignment="1">
      <alignment vertical="center"/>
    </xf>
    <xf numFmtId="3" fontId="13" fillId="0" borderId="30" xfId="114" applyNumberFormat="1" applyFont="1" applyBorder="1" applyAlignment="1">
      <alignment vertical="center"/>
    </xf>
    <xf numFmtId="0" fontId="13" fillId="0" borderId="30" xfId="114" applyFont="1" applyBorder="1"/>
    <xf numFmtId="0" fontId="5" fillId="36" borderId="34" xfId="114" applyFont="1" applyFill="1" applyBorder="1" applyAlignment="1">
      <alignment horizontal="center" vertical="center"/>
    </xf>
    <xf numFmtId="0" fontId="5" fillId="36" borderId="34" xfId="114" applyFont="1" applyFill="1" applyBorder="1" applyAlignment="1">
      <alignment vertical="center" wrapText="1"/>
    </xf>
    <xf numFmtId="167" fontId="5" fillId="36" borderId="34" xfId="1" applyNumberFormat="1" applyFont="1" applyFill="1" applyBorder="1" applyAlignment="1">
      <alignment vertical="center" wrapText="1"/>
    </xf>
    <xf numFmtId="167" fontId="5" fillId="36" borderId="34" xfId="62" applyNumberFormat="1" applyFont="1" applyFill="1" applyBorder="1" applyAlignment="1">
      <alignment vertical="center"/>
    </xf>
    <xf numFmtId="167" fontId="5" fillId="36" borderId="34" xfId="62" applyNumberFormat="1" applyFont="1" applyFill="1" applyBorder="1" applyAlignment="1">
      <alignment horizontal="right" vertical="center"/>
    </xf>
    <xf numFmtId="0" fontId="5" fillId="36" borderId="34" xfId="114" applyFont="1" applyFill="1" applyBorder="1" applyAlignment="1">
      <alignment vertical="center"/>
    </xf>
    <xf numFmtId="4" fontId="5" fillId="27" borderId="17" xfId="114" applyNumberFormat="1" applyFont="1" applyFill="1" applyBorder="1" applyAlignment="1">
      <alignment vertical="center"/>
    </xf>
    <xf numFmtId="2" fontId="13" fillId="31" borderId="50" xfId="114" applyNumberFormat="1" applyFont="1" applyFill="1" applyBorder="1" applyAlignment="1">
      <alignment vertical="center"/>
    </xf>
    <xf numFmtId="4" fontId="13" fillId="27" borderId="8" xfId="114" applyNumberFormat="1" applyFont="1" applyFill="1" applyBorder="1" applyAlignment="1">
      <alignment vertical="center"/>
    </xf>
    <xf numFmtId="2" fontId="5" fillId="31" borderId="51" xfId="114" applyNumberFormat="1" applyFont="1" applyFill="1" applyBorder="1" applyAlignment="1">
      <alignment vertical="center"/>
    </xf>
    <xf numFmtId="2" fontId="5" fillId="31" borderId="50" xfId="114" applyNumberFormat="1" applyFont="1" applyFill="1" applyBorder="1" applyAlignment="1">
      <alignment vertical="center"/>
    </xf>
    <xf numFmtId="0" fontId="5" fillId="32" borderId="5" xfId="114" applyFont="1" applyFill="1" applyBorder="1" applyAlignment="1">
      <alignment horizontal="center" vertical="center"/>
    </xf>
    <xf numFmtId="0" fontId="132" fillId="32" borderId="5" xfId="114" applyFont="1" applyFill="1" applyBorder="1" applyAlignment="1">
      <alignment vertical="center" wrapText="1"/>
    </xf>
    <xf numFmtId="167" fontId="132" fillId="32" borderId="8" xfId="1" applyNumberFormat="1" applyFont="1" applyFill="1" applyBorder="1" applyAlignment="1">
      <alignment vertical="center" wrapText="1"/>
    </xf>
    <xf numFmtId="3" fontId="5" fillId="32" borderId="8" xfId="114" applyNumberFormat="1" applyFont="1" applyFill="1" applyBorder="1" applyAlignment="1">
      <alignment vertical="center"/>
    </xf>
    <xf numFmtId="3" fontId="11" fillId="32" borderId="8" xfId="114" applyNumberFormat="1" applyFont="1" applyFill="1" applyBorder="1" applyAlignment="1">
      <alignment vertical="center"/>
    </xf>
    <xf numFmtId="4" fontId="5" fillId="27" borderId="8" xfId="114" applyNumberFormat="1" applyFont="1" applyFill="1" applyBorder="1" applyAlignment="1">
      <alignment vertical="center"/>
    </xf>
    <xf numFmtId="0" fontId="13" fillId="4" borderId="17" xfId="114" quotePrefix="1" applyFont="1" applyFill="1" applyBorder="1" applyAlignment="1">
      <alignment horizontal="center" vertical="center"/>
    </xf>
    <xf numFmtId="0" fontId="13" fillId="4" borderId="17" xfId="114" applyFont="1" applyFill="1" applyBorder="1" applyAlignment="1">
      <alignment vertical="center" wrapText="1"/>
    </xf>
    <xf numFmtId="167" fontId="13" fillId="4" borderId="17" xfId="1" applyNumberFormat="1" applyFont="1" applyFill="1" applyBorder="1" applyAlignment="1">
      <alignment vertical="center" wrapText="1"/>
    </xf>
    <xf numFmtId="167" fontId="13" fillId="4" borderId="17" xfId="62" applyNumberFormat="1" applyFont="1" applyFill="1" applyBorder="1" applyAlignment="1">
      <alignment vertical="center" wrapText="1"/>
    </xf>
    <xf numFmtId="3" fontId="13" fillId="0" borderId="17" xfId="106" applyNumberFormat="1" applyFont="1" applyFill="1" applyBorder="1" applyAlignment="1">
      <alignment horizontal="right" vertical="center"/>
    </xf>
    <xf numFmtId="4" fontId="13" fillId="27" borderId="17" xfId="114" applyNumberFormat="1" applyFont="1" applyFill="1" applyBorder="1" applyAlignment="1">
      <alignment vertical="center"/>
    </xf>
    <xf numFmtId="43" fontId="13" fillId="31" borderId="17" xfId="1" applyNumberFormat="1" applyFont="1" applyFill="1" applyBorder="1" applyAlignment="1">
      <alignment vertical="center"/>
    </xf>
    <xf numFmtId="0" fontId="13" fillId="0" borderId="8" xfId="114" applyFont="1" applyBorder="1" applyAlignment="1">
      <alignment horizontal="center" vertical="center"/>
    </xf>
    <xf numFmtId="0" fontId="13" fillId="0" borderId="8" xfId="114" quotePrefix="1" applyFont="1" applyBorder="1" applyAlignment="1">
      <alignment vertical="center" wrapText="1"/>
    </xf>
    <xf numFmtId="167" fontId="13" fillId="0" borderId="8" xfId="1" quotePrefix="1" applyNumberFormat="1" applyFont="1" applyBorder="1" applyAlignment="1">
      <alignment vertical="center" wrapText="1"/>
    </xf>
    <xf numFmtId="2" fontId="28" fillId="31" borderId="8" xfId="114" applyNumberFormat="1" applyFont="1" applyFill="1" applyBorder="1" applyAlignment="1">
      <alignment vertical="center"/>
    </xf>
    <xf numFmtId="167" fontId="13" fillId="31" borderId="51" xfId="1" applyNumberFormat="1" applyFont="1" applyFill="1" applyBorder="1" applyAlignment="1">
      <alignment vertical="center"/>
    </xf>
    <xf numFmtId="43" fontId="13" fillId="31" borderId="8" xfId="1" applyNumberFormat="1" applyFont="1" applyFill="1" applyBorder="1" applyAlignment="1">
      <alignment vertical="center"/>
    </xf>
    <xf numFmtId="0" fontId="13" fillId="4" borderId="8" xfId="114" applyFont="1" applyFill="1" applyBorder="1" applyAlignment="1">
      <alignment horizontal="center" vertical="center"/>
    </xf>
    <xf numFmtId="0" fontId="13" fillId="4" borderId="8" xfId="114" applyFont="1" applyFill="1" applyBorder="1" applyAlignment="1">
      <alignment vertical="center" wrapText="1"/>
    </xf>
    <xf numFmtId="167" fontId="7" fillId="0" borderId="8" xfId="1" quotePrefix="1" applyNumberFormat="1" applyFont="1" applyBorder="1" applyAlignment="1">
      <alignment vertical="center" wrapText="1"/>
    </xf>
    <xf numFmtId="3" fontId="13" fillId="4" borderId="8" xfId="114" applyNumberFormat="1" applyFont="1" applyFill="1" applyBorder="1" applyAlignment="1">
      <alignment vertical="center"/>
    </xf>
    <xf numFmtId="3" fontId="13" fillId="0" borderId="8" xfId="106" applyNumberFormat="1" applyFont="1" applyFill="1" applyBorder="1" applyAlignment="1">
      <alignment horizontal="right" vertical="center"/>
    </xf>
    <xf numFmtId="2" fontId="13" fillId="4" borderId="51" xfId="114" applyNumberFormat="1" applyFont="1" applyFill="1" applyBorder="1" applyAlignment="1">
      <alignment vertical="center" wrapText="1"/>
    </xf>
    <xf numFmtId="0" fontId="5" fillId="31" borderId="6" xfId="114" applyFont="1" applyFill="1" applyBorder="1" applyAlignment="1">
      <alignment horizontal="center" vertical="center"/>
    </xf>
    <xf numFmtId="0" fontId="5" fillId="31" borderId="6" xfId="114" applyFont="1" applyFill="1" applyBorder="1" applyAlignment="1">
      <alignment vertical="center" wrapText="1"/>
    </xf>
    <xf numFmtId="3" fontId="5" fillId="0" borderId="6" xfId="114" applyNumberFormat="1" applyFont="1" applyFill="1" applyBorder="1" applyAlignment="1">
      <alignment horizontal="right" vertical="center"/>
    </xf>
    <xf numFmtId="3" fontId="5" fillId="31" borderId="6" xfId="114" applyNumberFormat="1" applyFont="1" applyFill="1" applyBorder="1" applyAlignment="1">
      <alignment vertical="center"/>
    </xf>
    <xf numFmtId="3" fontId="5" fillId="27" borderId="6" xfId="114" applyNumberFormat="1" applyFont="1" applyFill="1" applyBorder="1" applyAlignment="1">
      <alignment vertical="center"/>
    </xf>
    <xf numFmtId="4" fontId="5" fillId="27" borderId="6" xfId="114" applyNumberFormat="1" applyFont="1" applyFill="1" applyBorder="1" applyAlignment="1">
      <alignment vertical="center"/>
    </xf>
    <xf numFmtId="2" fontId="5" fillId="31" borderId="6" xfId="114" applyNumberFormat="1" applyFont="1" applyFill="1" applyBorder="1" applyAlignment="1">
      <alignment vertical="center"/>
    </xf>
    <xf numFmtId="43" fontId="5" fillId="31" borderId="6" xfId="1" applyNumberFormat="1" applyFont="1" applyFill="1" applyBorder="1" applyAlignment="1">
      <alignment vertical="center"/>
    </xf>
    <xf numFmtId="167" fontId="5" fillId="31" borderId="7" xfId="1" applyNumberFormat="1" applyFont="1" applyFill="1" applyBorder="1" applyAlignment="1">
      <alignment vertical="center"/>
    </xf>
    <xf numFmtId="2" fontId="13" fillId="2" borderId="7" xfId="8" applyNumberFormat="1" applyFont="1" applyFill="1" applyBorder="1" applyAlignment="1">
      <alignment vertical="center"/>
    </xf>
    <xf numFmtId="0" fontId="5" fillId="0" borderId="0" xfId="114" applyFont="1" applyAlignment="1">
      <alignment horizontal="center"/>
    </xf>
    <xf numFmtId="0" fontId="172" fillId="0" borderId="0" xfId="167" applyFont="1"/>
    <xf numFmtId="0" fontId="66" fillId="0" borderId="0" xfId="167"/>
    <xf numFmtId="0" fontId="173" fillId="0" borderId="0" xfId="167" applyFont="1" applyAlignment="1">
      <alignment horizontal="right" vertical="center"/>
    </xf>
    <xf numFmtId="0" fontId="162" fillId="0" borderId="34" xfId="167" applyFont="1" applyBorder="1" applyAlignment="1">
      <alignment horizontal="center" vertical="center" wrapText="1"/>
    </xf>
    <xf numFmtId="0" fontId="26" fillId="0" borderId="34" xfId="167" applyFont="1" applyBorder="1" applyAlignment="1">
      <alignment horizontal="center" vertical="center" wrapText="1"/>
    </xf>
    <xf numFmtId="0" fontId="26" fillId="0" borderId="52" xfId="167" applyFont="1" applyBorder="1" applyAlignment="1">
      <alignment horizontal="center" vertical="center" wrapText="1"/>
    </xf>
    <xf numFmtId="0" fontId="26" fillId="0" borderId="53" xfId="167" applyFont="1" applyBorder="1" applyAlignment="1">
      <alignment horizontal="center" vertical="center" wrapText="1"/>
    </xf>
    <xf numFmtId="0" fontId="162" fillId="0" borderId="54" xfId="167" applyFont="1" applyBorder="1" applyAlignment="1">
      <alignment horizontal="center" vertical="center" wrapText="1"/>
    </xf>
    <xf numFmtId="0" fontId="162" fillId="0" borderId="54" xfId="167" applyFont="1" applyBorder="1" applyAlignment="1">
      <alignment vertical="center" wrapText="1"/>
    </xf>
    <xf numFmtId="0" fontId="26" fillId="0" borderId="54" xfId="167" applyFont="1" applyBorder="1" applyAlignment="1">
      <alignment horizontal="center" vertical="center" wrapText="1"/>
    </xf>
    <xf numFmtId="0" fontId="26" fillId="0" borderId="54" xfId="167" applyFont="1" applyBorder="1" applyAlignment="1">
      <alignment vertical="center" wrapText="1"/>
    </xf>
    <xf numFmtId="0" fontId="162" fillId="37" borderId="54" xfId="167" applyFont="1" applyFill="1" applyBorder="1" applyAlignment="1">
      <alignment horizontal="center" vertical="center" wrapText="1"/>
    </xf>
    <xf numFmtId="0" fontId="162" fillId="37" borderId="54" xfId="167" applyFont="1" applyFill="1" applyBorder="1" applyAlignment="1">
      <alignment vertical="center" wrapText="1"/>
    </xf>
    <xf numFmtId="0" fontId="26" fillId="0" borderId="55" xfId="167" applyFont="1" applyBorder="1" applyAlignment="1">
      <alignment horizontal="center" vertical="center" wrapText="1"/>
    </xf>
    <xf numFmtId="0" fontId="26" fillId="0" borderId="55" xfId="167" applyFont="1" applyBorder="1" applyAlignment="1">
      <alignment vertical="center" wrapText="1"/>
    </xf>
    <xf numFmtId="0" fontId="173" fillId="0" borderId="0" xfId="167" applyFont="1" applyAlignment="1">
      <alignment vertical="center"/>
    </xf>
    <xf numFmtId="0" fontId="162" fillId="37" borderId="56" xfId="167" applyFont="1" applyFill="1" applyBorder="1" applyAlignment="1">
      <alignment horizontal="center" vertical="center" wrapText="1"/>
    </xf>
    <xf numFmtId="0" fontId="162" fillId="37" borderId="56" xfId="167" applyFont="1" applyFill="1" applyBorder="1" applyAlignment="1">
      <alignment vertical="center" wrapText="1"/>
    </xf>
    <xf numFmtId="0" fontId="26" fillId="37" borderId="56" xfId="167" applyFont="1" applyFill="1" applyBorder="1" applyAlignment="1">
      <alignment horizontal="center" vertical="center" wrapText="1"/>
    </xf>
    <xf numFmtId="0" fontId="162" fillId="0" borderId="7" xfId="167" applyFont="1" applyBorder="1" applyAlignment="1">
      <alignment horizontal="center" vertical="center" wrapText="1"/>
    </xf>
    <xf numFmtId="0" fontId="162" fillId="0" borderId="7" xfId="167" applyFont="1" applyBorder="1" applyAlignment="1">
      <alignment vertical="center" wrapText="1"/>
    </xf>
    <xf numFmtId="0" fontId="26" fillId="0" borderId="7" xfId="167" applyFont="1" applyBorder="1" applyAlignment="1">
      <alignment horizontal="center" vertical="center" wrapText="1"/>
    </xf>
    <xf numFmtId="0" fontId="26" fillId="0" borderId="7" xfId="167" applyFont="1" applyBorder="1" applyAlignment="1">
      <alignment vertical="center" wrapText="1"/>
    </xf>
    <xf numFmtId="0" fontId="174" fillId="0" borderId="7" xfId="167" applyFont="1" applyBorder="1" applyAlignment="1">
      <alignment vertical="center" wrapText="1"/>
    </xf>
    <xf numFmtId="0" fontId="175" fillId="0" borderId="0" xfId="167" applyFont="1"/>
    <xf numFmtId="0" fontId="176" fillId="0" borderId="34" xfId="167" applyFont="1" applyBorder="1" applyAlignment="1">
      <alignment horizontal="center" vertical="center" wrapText="1"/>
    </xf>
    <xf numFmtId="0" fontId="176" fillId="0" borderId="6" xfId="167" applyFont="1" applyBorder="1" applyAlignment="1">
      <alignment vertical="center" wrapText="1"/>
    </xf>
    <xf numFmtId="0" fontId="176" fillId="0" borderId="7" xfId="167" applyFont="1" applyBorder="1" applyAlignment="1">
      <alignment vertical="center" wrapText="1"/>
    </xf>
    <xf numFmtId="0" fontId="176" fillId="0" borderId="5" xfId="167" applyFont="1" applyBorder="1" applyAlignment="1">
      <alignment horizontal="center" vertical="center" wrapText="1"/>
    </xf>
    <xf numFmtId="0" fontId="176" fillId="0" borderId="5" xfId="167" applyFont="1" applyBorder="1" applyAlignment="1">
      <alignment vertical="center" wrapText="1"/>
    </xf>
    <xf numFmtId="0" fontId="176" fillId="0" borderId="34" xfId="167" applyFont="1" applyBorder="1" applyAlignment="1">
      <alignment vertical="center" wrapText="1"/>
    </xf>
    <xf numFmtId="0" fontId="172" fillId="0" borderId="34" xfId="167" applyFont="1" applyBorder="1" applyAlignment="1">
      <alignment vertical="center" wrapText="1"/>
    </xf>
    <xf numFmtId="4" fontId="5" fillId="0" borderId="0" xfId="114" applyNumberFormat="1" applyFont="1" applyFill="1" applyAlignment="1">
      <alignment horizontal="center"/>
    </xf>
    <xf numFmtId="0" fontId="3" fillId="0" borderId="0" xfId="168" applyFont="1" applyAlignment="1">
      <alignment horizontal="center"/>
    </xf>
    <xf numFmtId="0" fontId="3" fillId="0" borderId="0" xfId="168" applyFont="1" applyAlignment="1">
      <alignment horizontal="center" vertical="center"/>
    </xf>
    <xf numFmtId="0" fontId="5" fillId="0" borderId="34" xfId="114" applyFont="1" applyBorder="1"/>
    <xf numFmtId="3" fontId="5" fillId="0" borderId="34" xfId="114" applyNumberFormat="1" applyFont="1" applyBorder="1" applyAlignment="1">
      <alignment horizontal="center"/>
    </xf>
    <xf numFmtId="3" fontId="13" fillId="0" borderId="34" xfId="114" applyNumberFormat="1" applyFont="1" applyBorder="1"/>
    <xf numFmtId="0" fontId="7" fillId="0" borderId="0" xfId="114" applyFont="1" applyAlignment="1">
      <alignment horizontal="left" wrapText="1"/>
    </xf>
    <xf numFmtId="3" fontId="7" fillId="0" borderId="0" xfId="114" applyNumberFormat="1" applyFont="1" applyBorder="1" applyAlignment="1">
      <alignment horizontal="right"/>
    </xf>
    <xf numFmtId="0" fontId="13" fillId="0" borderId="0" xfId="114" applyFont="1" applyBorder="1" applyAlignment="1">
      <alignment horizontal="center"/>
    </xf>
    <xf numFmtId="4" fontId="7" fillId="0" borderId="0" xfId="114" applyNumberFormat="1" applyFont="1" applyFill="1" applyBorder="1" applyAlignment="1">
      <alignment horizontal="right"/>
    </xf>
    <xf numFmtId="0" fontId="13" fillId="0" borderId="0" xfId="114" applyFont="1" applyAlignment="1">
      <alignment horizontal="right"/>
    </xf>
    <xf numFmtId="0" fontId="5" fillId="0" borderId="34" xfId="114" applyFont="1" applyFill="1" applyBorder="1" applyAlignment="1">
      <alignment horizontal="center" vertical="center"/>
    </xf>
    <xf numFmtId="0" fontId="5" fillId="0" borderId="34" xfId="114" applyFont="1" applyFill="1" applyBorder="1" applyAlignment="1">
      <alignment horizontal="center" vertical="center" wrapText="1"/>
    </xf>
    <xf numFmtId="10" fontId="5" fillId="0" borderId="34" xfId="114" applyNumberFormat="1" applyFont="1" applyFill="1" applyBorder="1" applyAlignment="1">
      <alignment horizontal="center" vertical="center" wrapText="1"/>
    </xf>
    <xf numFmtId="10" fontId="5" fillId="0" borderId="9" xfId="114" applyNumberFormat="1" applyFont="1" applyFill="1" applyBorder="1" applyAlignment="1">
      <alignment horizontal="center" vertical="center" wrapText="1"/>
    </xf>
    <xf numFmtId="4" fontId="5" fillId="0" borderId="45" xfId="114" applyNumberFormat="1" applyFont="1" applyFill="1" applyBorder="1" applyAlignment="1">
      <alignment horizontal="center" vertical="center" wrapText="1"/>
    </xf>
    <xf numFmtId="0" fontId="5" fillId="27" borderId="34" xfId="114" applyFont="1" applyFill="1" applyBorder="1" applyAlignment="1">
      <alignment horizontal="center" vertical="center" wrapText="1"/>
    </xf>
    <xf numFmtId="0" fontId="5" fillId="0" borderId="34" xfId="114" applyNumberFormat="1" applyFont="1" applyFill="1" applyBorder="1" applyAlignment="1">
      <alignment horizontal="center" vertical="center"/>
    </xf>
    <xf numFmtId="0" fontId="5" fillId="0" borderId="9" xfId="114" applyNumberFormat="1" applyFont="1" applyFill="1" applyBorder="1" applyAlignment="1">
      <alignment horizontal="center" vertical="center"/>
    </xf>
    <xf numFmtId="4" fontId="5" fillId="0" borderId="15" xfId="114" applyNumberFormat="1" applyFont="1" applyFill="1" applyBorder="1" applyAlignment="1">
      <alignment horizontal="center" vertical="center"/>
    </xf>
    <xf numFmtId="0" fontId="5" fillId="0" borderId="8" xfId="114" applyFont="1" applyFill="1" applyBorder="1" applyAlignment="1">
      <alignment horizontal="center" vertical="center"/>
    </xf>
    <xf numFmtId="0" fontId="5" fillId="0" borderId="8" xfId="114" applyFont="1" applyFill="1" applyBorder="1" applyAlignment="1">
      <alignment vertical="center" wrapText="1"/>
    </xf>
    <xf numFmtId="3" fontId="5" fillId="0" borderId="8" xfId="114" applyNumberFormat="1" applyFont="1" applyFill="1" applyBorder="1" applyAlignment="1">
      <alignment vertical="center"/>
    </xf>
    <xf numFmtId="10" fontId="5" fillId="0" borderId="8" xfId="114" applyNumberFormat="1" applyFont="1" applyFill="1" applyBorder="1" applyAlignment="1">
      <alignment vertical="center"/>
    </xf>
    <xf numFmtId="10" fontId="5" fillId="0" borderId="7" xfId="114" applyNumberFormat="1" applyFont="1" applyFill="1" applyBorder="1" applyAlignment="1">
      <alignment vertical="center"/>
    </xf>
    <xf numFmtId="10" fontId="5" fillId="0" borderId="9" xfId="114" applyNumberFormat="1" applyFont="1" applyFill="1" applyBorder="1" applyAlignment="1">
      <alignment vertical="center"/>
    </xf>
    <xf numFmtId="3" fontId="5" fillId="0" borderId="20" xfId="114" applyNumberFormat="1" applyFont="1" applyFill="1" applyBorder="1" applyAlignment="1">
      <alignment vertical="center"/>
    </xf>
    <xf numFmtId="167" fontId="5" fillId="27" borderId="34" xfId="62" applyNumberFormat="1" applyFont="1" applyFill="1" applyBorder="1" applyAlignment="1">
      <alignment vertical="center"/>
    </xf>
    <xf numFmtId="0" fontId="5" fillId="0" borderId="7" xfId="114" applyFont="1" applyFill="1" applyBorder="1" applyAlignment="1">
      <alignment vertical="center" wrapText="1"/>
    </xf>
    <xf numFmtId="3" fontId="5" fillId="0" borderId="7" xfId="114" applyNumberFormat="1" applyFont="1" applyFill="1" applyBorder="1" applyAlignment="1">
      <alignment vertical="center"/>
    </xf>
    <xf numFmtId="3" fontId="5" fillId="0" borderId="15" xfId="114" applyNumberFormat="1" applyFont="1" applyFill="1" applyBorder="1" applyAlignment="1">
      <alignment vertical="center"/>
    </xf>
    <xf numFmtId="3" fontId="5" fillId="27" borderId="34" xfId="114" applyNumberFormat="1" applyFont="1" applyFill="1" applyBorder="1" applyAlignment="1">
      <alignment horizontal="right" vertical="center"/>
    </xf>
    <xf numFmtId="0" fontId="13" fillId="0" borderId="7" xfId="114" applyFont="1" applyFill="1" applyBorder="1" applyAlignment="1">
      <alignment vertical="center" wrapText="1"/>
    </xf>
    <xf numFmtId="10" fontId="13" fillId="0" borderId="7" xfId="114" applyNumberFormat="1" applyFont="1" applyFill="1" applyBorder="1" applyAlignment="1">
      <alignment vertical="center"/>
    </xf>
    <xf numFmtId="10" fontId="13" fillId="0" borderId="9" xfId="114" applyNumberFormat="1" applyFont="1" applyFill="1" applyBorder="1" applyAlignment="1">
      <alignment vertical="center"/>
    </xf>
    <xf numFmtId="4" fontId="13" fillId="0" borderId="15" xfId="106" applyNumberFormat="1" applyFont="1" applyFill="1" applyBorder="1" applyAlignment="1">
      <alignment horizontal="right" vertical="center"/>
    </xf>
    <xf numFmtId="3" fontId="13" fillId="27" borderId="34" xfId="106" applyNumberFormat="1" applyFont="1" applyFill="1" applyBorder="1" applyAlignment="1">
      <alignment horizontal="right" vertical="center"/>
    </xf>
    <xf numFmtId="0" fontId="13" fillId="0" borderId="7" xfId="114" quotePrefix="1" applyFont="1" applyFill="1" applyBorder="1" applyAlignment="1">
      <alignment horizontal="center" vertical="center"/>
    </xf>
    <xf numFmtId="0" fontId="13" fillId="0" borderId="7" xfId="114" quotePrefix="1" applyFont="1" applyFill="1" applyBorder="1" applyAlignment="1">
      <alignment vertical="center" wrapText="1"/>
    </xf>
    <xf numFmtId="3" fontId="7" fillId="0" borderId="7" xfId="114" applyNumberFormat="1" applyFont="1" applyFill="1" applyBorder="1" applyAlignment="1">
      <alignment vertical="center"/>
    </xf>
    <xf numFmtId="4" fontId="5" fillId="0" borderId="15" xfId="114" applyNumberFormat="1" applyFont="1" applyFill="1" applyBorder="1" applyAlignment="1">
      <alignment vertical="center"/>
    </xf>
    <xf numFmtId="0" fontId="7" fillId="27" borderId="34" xfId="114" applyFont="1" applyFill="1" applyBorder="1" applyAlignment="1">
      <alignment horizontal="right"/>
    </xf>
    <xf numFmtId="0" fontId="13" fillId="3" borderId="7" xfId="114" quotePrefix="1" applyFont="1" applyFill="1" applyBorder="1" applyAlignment="1">
      <alignment horizontal="center" vertical="center"/>
    </xf>
    <xf numFmtId="0" fontId="13" fillId="3" borderId="7" xfId="114" applyFont="1" applyFill="1" applyBorder="1" applyAlignment="1">
      <alignment vertical="center" wrapText="1"/>
    </xf>
    <xf numFmtId="4" fontId="13" fillId="0" borderId="15" xfId="114" applyNumberFormat="1" applyFont="1" applyFill="1" applyBorder="1" applyAlignment="1">
      <alignment vertical="center" wrapText="1"/>
    </xf>
    <xf numFmtId="3" fontId="7" fillId="3" borderId="0" xfId="114" applyNumberFormat="1" applyFont="1" applyFill="1"/>
    <xf numFmtId="3" fontId="40" fillId="3" borderId="0" xfId="114" applyNumberFormat="1" applyFont="1" applyFill="1"/>
    <xf numFmtId="3" fontId="13" fillId="3" borderId="34" xfId="114" applyNumberFormat="1" applyFont="1" applyFill="1" applyBorder="1" applyAlignment="1">
      <alignment horizontal="right"/>
    </xf>
    <xf numFmtId="0" fontId="7" fillId="3" borderId="0" xfId="114" applyFont="1" applyFill="1"/>
    <xf numFmtId="0" fontId="7" fillId="0" borderId="7" xfId="114" quotePrefix="1" applyFont="1" applyFill="1" applyBorder="1" applyAlignment="1">
      <alignment horizontal="center" vertical="center"/>
    </xf>
    <xf numFmtId="0" fontId="7" fillId="0" borderId="7" xfId="114" quotePrefix="1" applyFont="1" applyFill="1" applyBorder="1" applyAlignment="1">
      <alignment vertical="center" wrapText="1"/>
    </xf>
    <xf numFmtId="3" fontId="7" fillId="27" borderId="34" xfId="106" applyNumberFormat="1" applyFont="1" applyFill="1" applyBorder="1" applyAlignment="1">
      <alignment horizontal="right" vertical="center"/>
    </xf>
    <xf numFmtId="167" fontId="13" fillId="0" borderId="7" xfId="62" applyNumberFormat="1" applyFont="1" applyFill="1" applyBorder="1" applyAlignment="1">
      <alignment vertical="center" wrapText="1"/>
    </xf>
    <xf numFmtId="4" fontId="13" fillId="0" borderId="15" xfId="62" applyNumberFormat="1" applyFont="1" applyFill="1" applyBorder="1" applyAlignment="1">
      <alignment vertical="center" wrapText="1"/>
    </xf>
    <xf numFmtId="0" fontId="13" fillId="0" borderId="7" xfId="114" applyFont="1" applyFill="1" applyBorder="1" applyAlignment="1">
      <alignment horizontal="left" vertical="center" wrapText="1"/>
    </xf>
    <xf numFmtId="4" fontId="13" fillId="0" borderId="0" xfId="114" applyNumberFormat="1" applyFont="1" applyFill="1"/>
    <xf numFmtId="0" fontId="13" fillId="27" borderId="34" xfId="114" applyFont="1" applyFill="1" applyBorder="1" applyAlignment="1">
      <alignment horizontal="right"/>
    </xf>
    <xf numFmtId="4" fontId="13" fillId="0" borderId="15" xfId="114" applyNumberFormat="1" applyFont="1" applyFill="1" applyBorder="1" applyAlignment="1">
      <alignment vertical="center"/>
    </xf>
    <xf numFmtId="3" fontId="13" fillId="3" borderId="0" xfId="114" applyNumberFormat="1" applyFont="1" applyFill="1"/>
    <xf numFmtId="167" fontId="13" fillId="27" borderId="34" xfId="62" applyNumberFormat="1" applyFont="1" applyFill="1" applyBorder="1" applyAlignment="1">
      <alignment horizontal="right"/>
    </xf>
    <xf numFmtId="167" fontId="12" fillId="27" borderId="34" xfId="62" applyNumberFormat="1" applyFont="1" applyFill="1" applyBorder="1" applyAlignment="1">
      <alignment horizontal="right" vertical="center"/>
    </xf>
    <xf numFmtId="10" fontId="28" fillId="0" borderId="7" xfId="114" applyNumberFormat="1" applyFont="1" applyFill="1" applyBorder="1" applyAlignment="1">
      <alignment vertical="center"/>
    </xf>
    <xf numFmtId="10" fontId="28" fillId="0" borderId="9" xfId="114" applyNumberFormat="1" applyFont="1" applyFill="1" applyBorder="1" applyAlignment="1">
      <alignment vertical="center"/>
    </xf>
    <xf numFmtId="4" fontId="13" fillId="0" borderId="15" xfId="114" applyNumberFormat="1" applyFont="1" applyFill="1" applyBorder="1" applyAlignment="1">
      <alignment horizontal="right" vertical="center"/>
    </xf>
    <xf numFmtId="3" fontId="13" fillId="27" borderId="34" xfId="114" applyNumberFormat="1" applyFont="1" applyFill="1" applyBorder="1" applyAlignment="1">
      <alignment horizontal="right" vertical="center"/>
    </xf>
    <xf numFmtId="197" fontId="13" fillId="0" borderId="7" xfId="155" applyNumberFormat="1" applyFont="1" applyFill="1" applyBorder="1" applyAlignment="1">
      <alignment vertical="center" wrapText="1"/>
    </xf>
    <xf numFmtId="167" fontId="19" fillId="27" borderId="34" xfId="62" applyNumberFormat="1" applyFont="1" applyFill="1" applyBorder="1" applyAlignment="1">
      <alignment horizontal="right" vertical="center"/>
    </xf>
    <xf numFmtId="167" fontId="131" fillId="27" borderId="34" xfId="62" applyNumberFormat="1" applyFont="1" applyFill="1" applyBorder="1" applyAlignment="1">
      <alignment horizontal="right" vertical="center"/>
    </xf>
    <xf numFmtId="10" fontId="40" fillId="0" borderId="7" xfId="114" applyNumberFormat="1" applyFont="1" applyFill="1" applyBorder="1" applyAlignment="1">
      <alignment vertical="center"/>
    </xf>
    <xf numFmtId="10" fontId="40" fillId="0" borderId="9" xfId="114" applyNumberFormat="1" applyFont="1" applyFill="1" applyBorder="1" applyAlignment="1">
      <alignment vertical="center"/>
    </xf>
    <xf numFmtId="3" fontId="11" fillId="0" borderId="18" xfId="114" applyNumberFormat="1" applyFont="1" applyBorder="1"/>
    <xf numFmtId="167" fontId="5" fillId="27" borderId="34" xfId="62" applyNumberFormat="1" applyFont="1" applyFill="1" applyBorder="1" applyAlignment="1">
      <alignment horizontal="right" vertical="center"/>
    </xf>
    <xf numFmtId="3" fontId="11" fillId="0" borderId="7" xfId="114" applyNumberFormat="1" applyFont="1" applyFill="1" applyBorder="1" applyAlignment="1">
      <alignment vertical="center"/>
    </xf>
    <xf numFmtId="0" fontId="13" fillId="0" borderId="10" xfId="114" applyFont="1" applyFill="1" applyBorder="1" applyAlignment="1">
      <alignment horizontal="center" vertical="center"/>
    </xf>
    <xf numFmtId="0" fontId="5" fillId="0" borderId="10" xfId="114" applyFont="1" applyFill="1" applyBorder="1" applyAlignment="1">
      <alignment vertical="center" wrapText="1"/>
    </xf>
    <xf numFmtId="167" fontId="5" fillId="0" borderId="10" xfId="62" applyNumberFormat="1" applyFont="1" applyFill="1" applyBorder="1" applyAlignment="1">
      <alignment vertical="center"/>
    </xf>
    <xf numFmtId="10" fontId="13" fillId="0" borderId="10" xfId="114" applyNumberFormat="1" applyFont="1" applyFill="1" applyBorder="1" applyAlignment="1">
      <alignment vertical="center"/>
    </xf>
    <xf numFmtId="10" fontId="40" fillId="0" borderId="10" xfId="114" applyNumberFormat="1" applyFont="1" applyFill="1" applyBorder="1" applyAlignment="1">
      <alignment vertical="center"/>
    </xf>
    <xf numFmtId="4" fontId="5" fillId="0" borderId="12" xfId="114" applyNumberFormat="1" applyFont="1" applyFill="1" applyBorder="1" applyAlignment="1">
      <alignment vertical="center"/>
    </xf>
    <xf numFmtId="10" fontId="13" fillId="0" borderId="0" xfId="114" applyNumberFormat="1" applyFont="1" applyBorder="1"/>
    <xf numFmtId="4" fontId="13" fillId="0" borderId="0" xfId="114" applyNumberFormat="1" applyFont="1" applyFill="1" applyBorder="1"/>
    <xf numFmtId="0" fontId="13" fillId="0" borderId="0" xfId="114" applyFont="1" applyFill="1" applyBorder="1" applyAlignment="1">
      <alignment horizontal="right"/>
    </xf>
    <xf numFmtId="10" fontId="4" fillId="0" borderId="0" xfId="114" applyNumberFormat="1" applyFont="1"/>
    <xf numFmtId="4" fontId="4" fillId="0" borderId="0" xfId="114" applyNumberFormat="1" applyFont="1" applyFill="1"/>
    <xf numFmtId="10" fontId="13" fillId="0" borderId="0" xfId="114" applyNumberFormat="1" applyFont="1"/>
    <xf numFmtId="3" fontId="13" fillId="0" borderId="0" xfId="114" applyNumberFormat="1" applyFont="1" applyFill="1"/>
    <xf numFmtId="0" fontId="1" fillId="0" borderId="0" xfId="97"/>
    <xf numFmtId="0" fontId="3" fillId="0" borderId="0" xfId="168" applyFont="1" applyAlignment="1"/>
    <xf numFmtId="0" fontId="13" fillId="0" borderId="0" xfId="168" applyFont="1"/>
    <xf numFmtId="0" fontId="3" fillId="0" borderId="0" xfId="168" applyFont="1" applyAlignment="1">
      <alignment vertical="center"/>
    </xf>
    <xf numFmtId="43" fontId="13" fillId="0" borderId="0" xfId="171" applyFont="1"/>
    <xf numFmtId="0" fontId="13" fillId="0" borderId="0" xfId="168" applyFont="1" applyAlignment="1">
      <alignment horizontal="center" vertical="center"/>
    </xf>
    <xf numFmtId="0" fontId="13" fillId="0" borderId="0" xfId="168" applyFont="1" applyBorder="1" applyAlignment="1">
      <alignment horizontal="right"/>
    </xf>
    <xf numFmtId="0" fontId="13" fillId="0" borderId="0" xfId="168" applyFont="1" applyBorder="1" applyAlignment="1"/>
    <xf numFmtId="167" fontId="13" fillId="0" borderId="0" xfId="168" applyNumberFormat="1" applyFont="1" applyBorder="1" applyAlignment="1"/>
    <xf numFmtId="0" fontId="13" fillId="0" borderId="0" xfId="168" applyFont="1" applyBorder="1"/>
    <xf numFmtId="0" fontId="5" fillId="0" borderId="0" xfId="168" applyFont="1" applyBorder="1" applyAlignment="1">
      <alignment vertical="center"/>
    </xf>
    <xf numFmtId="0" fontId="96" fillId="0" borderId="0" xfId="97" applyFont="1"/>
    <xf numFmtId="0" fontId="5" fillId="0" borderId="7" xfId="168" applyFont="1" applyBorder="1" applyAlignment="1">
      <alignment horizontal="center" vertical="center"/>
    </xf>
    <xf numFmtId="167" fontId="13" fillId="0" borderId="0" xfId="171" applyNumberFormat="1" applyFont="1" applyBorder="1"/>
    <xf numFmtId="0" fontId="13" fillId="0" borderId="7" xfId="168" applyFont="1" applyBorder="1" applyAlignment="1">
      <alignment horizontal="center" vertical="center"/>
    </xf>
    <xf numFmtId="0" fontId="13" fillId="0" borderId="0" xfId="168" applyFont="1" applyBorder="1" applyAlignment="1">
      <alignment horizontal="center" vertical="center"/>
    </xf>
    <xf numFmtId="167" fontId="5" fillId="0" borderId="7" xfId="171" applyNumberFormat="1" applyFont="1" applyBorder="1" applyAlignment="1">
      <alignment vertical="center"/>
    </xf>
    <xf numFmtId="43" fontId="5" fillId="0" borderId="7" xfId="171" applyFont="1" applyBorder="1" applyAlignment="1">
      <alignment horizontal="right" vertical="center"/>
    </xf>
    <xf numFmtId="3" fontId="5" fillId="0" borderId="0" xfId="168" applyNumberFormat="1" applyFont="1" applyAlignment="1">
      <alignment horizontal="right"/>
    </xf>
    <xf numFmtId="3" fontId="13" fillId="0" borderId="0" xfId="168" applyNumberFormat="1" applyFont="1" applyBorder="1"/>
    <xf numFmtId="167" fontId="5" fillId="0" borderId="0" xfId="171" applyNumberFormat="1" applyFont="1" applyBorder="1" applyAlignment="1"/>
    <xf numFmtId="3" fontId="5" fillId="0" borderId="0" xfId="168" applyNumberFormat="1" applyFont="1" applyBorder="1" applyAlignment="1">
      <alignment horizontal="right" vertical="center"/>
    </xf>
    <xf numFmtId="0" fontId="5" fillId="0" borderId="0" xfId="168" applyFont="1" applyBorder="1"/>
    <xf numFmtId="3" fontId="5" fillId="0" borderId="0" xfId="168" applyNumberFormat="1" applyFont="1"/>
    <xf numFmtId="0" fontId="5" fillId="0" borderId="0" xfId="168" applyFont="1"/>
    <xf numFmtId="0" fontId="18" fillId="0" borderId="7" xfId="168" applyFont="1" applyBorder="1" applyAlignment="1">
      <alignment horizontal="center" vertical="center"/>
    </xf>
    <xf numFmtId="0" fontId="5" fillId="0" borderId="7" xfId="168" applyFont="1" applyBorder="1" applyAlignment="1">
      <alignment vertical="center"/>
    </xf>
    <xf numFmtId="3" fontId="18" fillId="0" borderId="7" xfId="168" applyNumberFormat="1" applyFont="1" applyBorder="1" applyAlignment="1">
      <alignment vertical="center"/>
    </xf>
    <xf numFmtId="3" fontId="18" fillId="0" borderId="0" xfId="168" applyNumberFormat="1" applyFont="1" applyFill="1"/>
    <xf numFmtId="3" fontId="18" fillId="0" borderId="0" xfId="168" applyNumberFormat="1" applyFont="1" applyBorder="1"/>
    <xf numFmtId="167" fontId="18" fillId="0" borderId="0" xfId="171" applyNumberFormat="1" applyFont="1" applyBorder="1"/>
    <xf numFmtId="0" fontId="18" fillId="0" borderId="0" xfId="168" applyFont="1" applyBorder="1"/>
    <xf numFmtId="0" fontId="18" fillId="0" borderId="0" xfId="168" applyFont="1"/>
    <xf numFmtId="196" fontId="4" fillId="0" borderId="7" xfId="97" applyNumberFormat="1" applyFont="1" applyFill="1" applyBorder="1" applyAlignment="1" applyProtection="1">
      <alignment horizontal="center" vertical="center"/>
      <protection locked="0"/>
    </xf>
    <xf numFmtId="0" fontId="4" fillId="0" borderId="7" xfId="97" applyNumberFormat="1" applyFont="1" applyFill="1" applyBorder="1" applyAlignment="1" applyProtection="1">
      <alignment horizontal="left" vertical="center"/>
      <protection locked="0"/>
    </xf>
    <xf numFmtId="3" fontId="4" fillId="0" borderId="7" xfId="97" applyNumberFormat="1" applyFont="1" applyFill="1" applyBorder="1" applyAlignment="1">
      <alignment horizontal="right" vertical="center"/>
    </xf>
    <xf numFmtId="167" fontId="13" fillId="0" borderId="7" xfId="171" applyNumberFormat="1" applyFont="1" applyBorder="1" applyAlignment="1">
      <alignment vertical="center"/>
    </xf>
    <xf numFmtId="43" fontId="13" fillId="0" borderId="7" xfId="171" applyFont="1" applyBorder="1" applyAlignment="1">
      <alignment horizontal="right" vertical="center"/>
    </xf>
    <xf numFmtId="167" fontId="13" fillId="0" borderId="0" xfId="171" applyNumberFormat="1" applyFont="1" applyFill="1"/>
    <xf numFmtId="10" fontId="13" fillId="0" borderId="0" xfId="172" applyNumberFormat="1" applyFont="1" applyBorder="1"/>
    <xf numFmtId="3" fontId="13" fillId="0" borderId="0" xfId="168" applyNumberFormat="1" applyFont="1" applyFill="1"/>
    <xf numFmtId="3" fontId="4" fillId="0" borderId="7" xfId="97" applyNumberFormat="1" applyFont="1" applyFill="1" applyBorder="1" applyAlignment="1">
      <alignment vertical="center"/>
    </xf>
    <xf numFmtId="0" fontId="13" fillId="0" borderId="0" xfId="168" applyFont="1" applyFill="1"/>
    <xf numFmtId="167" fontId="13" fillId="0" borderId="7" xfId="171" applyNumberFormat="1" applyFont="1" applyFill="1" applyBorder="1" applyAlignment="1">
      <alignment vertical="center"/>
    </xf>
    <xf numFmtId="3" fontId="158" fillId="0" borderId="0" xfId="168" applyNumberFormat="1" applyFont="1" applyFill="1"/>
    <xf numFmtId="0" fontId="158" fillId="0" borderId="0" xfId="168" applyFont="1" applyBorder="1"/>
    <xf numFmtId="167" fontId="158" fillId="0" borderId="0" xfId="171" applyNumberFormat="1" applyFont="1" applyBorder="1"/>
    <xf numFmtId="0" fontId="158" fillId="0" borderId="0" xfId="168" applyFont="1"/>
    <xf numFmtId="0" fontId="26" fillId="0" borderId="0" xfId="168" applyBorder="1"/>
    <xf numFmtId="0" fontId="26" fillId="0" borderId="0" xfId="168"/>
    <xf numFmtId="0" fontId="13" fillId="0" borderId="7" xfId="168" applyFont="1" applyBorder="1" applyAlignment="1">
      <alignment vertical="center" wrapText="1"/>
    </xf>
    <xf numFmtId="3" fontId="13" fillId="0" borderId="7" xfId="168" applyNumberFormat="1" applyFont="1" applyBorder="1" applyAlignment="1">
      <alignment vertical="center"/>
    </xf>
    <xf numFmtId="167" fontId="5" fillId="0" borderId="0" xfId="171" applyNumberFormat="1" applyFont="1"/>
    <xf numFmtId="167" fontId="5" fillId="0" borderId="0" xfId="171" applyNumberFormat="1" applyFont="1" applyBorder="1"/>
    <xf numFmtId="3" fontId="5" fillId="0" borderId="7" xfId="168" applyNumberFormat="1" applyFont="1" applyBorder="1" applyAlignment="1">
      <alignment vertical="center"/>
    </xf>
    <xf numFmtId="0" fontId="80" fillId="0" borderId="0" xfId="168" applyFont="1" applyBorder="1"/>
    <xf numFmtId="0" fontId="80" fillId="0" borderId="0" xfId="168" applyFont="1"/>
    <xf numFmtId="3" fontId="13" fillId="0" borderId="0" xfId="168" applyNumberFormat="1" applyFont="1"/>
    <xf numFmtId="167" fontId="13" fillId="0" borderId="0" xfId="168" applyNumberFormat="1" applyFont="1" applyBorder="1"/>
    <xf numFmtId="167" fontId="13" fillId="0" borderId="7" xfId="171" applyNumberFormat="1" applyFont="1" applyFill="1" applyBorder="1"/>
    <xf numFmtId="43" fontId="5" fillId="0" borderId="0" xfId="171" applyFont="1" applyBorder="1"/>
    <xf numFmtId="0" fontId="4" fillId="0" borderId="7" xfId="168" applyFont="1" applyBorder="1" applyAlignment="1">
      <alignment vertical="center" wrapText="1"/>
    </xf>
    <xf numFmtId="3" fontId="5" fillId="0" borderId="0" xfId="168" applyNumberFormat="1" applyFont="1" applyBorder="1"/>
    <xf numFmtId="0" fontId="180" fillId="0" borderId="0" xfId="97" applyFont="1"/>
    <xf numFmtId="0" fontId="18" fillId="0" borderId="7" xfId="168" applyFont="1" applyBorder="1" applyAlignment="1">
      <alignment vertical="center"/>
    </xf>
    <xf numFmtId="167" fontId="13" fillId="0" borderId="0" xfId="168" applyNumberFormat="1" applyFont="1"/>
    <xf numFmtId="167" fontId="5" fillId="0" borderId="0" xfId="168" applyNumberFormat="1" applyFont="1"/>
    <xf numFmtId="0" fontId="13" fillId="0" borderId="7" xfId="168" quotePrefix="1" applyFont="1" applyBorder="1" applyAlignment="1">
      <alignment vertical="center"/>
    </xf>
    <xf numFmtId="167" fontId="13" fillId="0" borderId="15" xfId="171" applyNumberFormat="1" applyFont="1" applyBorder="1"/>
    <xf numFmtId="3" fontId="13" fillId="0" borderId="0" xfId="168" applyNumberFormat="1" applyFont="1" applyBorder="1" applyAlignment="1">
      <alignment horizontal="right" vertical="center"/>
    </xf>
    <xf numFmtId="0" fontId="178" fillId="0" borderId="0" xfId="97" applyFont="1"/>
    <xf numFmtId="167" fontId="13" fillId="3" borderId="15" xfId="171" applyNumberFormat="1" applyFont="1" applyFill="1" applyBorder="1"/>
    <xf numFmtId="0" fontId="13" fillId="0" borderId="0" xfId="168" applyFont="1" applyBorder="1" applyAlignment="1">
      <alignment horizontal="center"/>
    </xf>
    <xf numFmtId="167" fontId="13" fillId="0" borderId="0" xfId="171" applyNumberFormat="1" applyFont="1" applyBorder="1" applyAlignment="1">
      <alignment horizontal="center"/>
    </xf>
    <xf numFmtId="0" fontId="13" fillId="0" borderId="0" xfId="168" applyFont="1" applyAlignment="1">
      <alignment horizontal="center"/>
    </xf>
    <xf numFmtId="0" fontId="5" fillId="0" borderId="10" xfId="168" applyFont="1" applyBorder="1" applyAlignment="1">
      <alignment horizontal="center" vertical="center"/>
    </xf>
    <xf numFmtId="0" fontId="5" fillId="0" borderId="10" xfId="168" applyFont="1" applyBorder="1" applyAlignment="1">
      <alignment vertical="center"/>
    </xf>
    <xf numFmtId="3" fontId="5" fillId="0" borderId="10" xfId="168" applyNumberFormat="1" applyFont="1" applyBorder="1" applyAlignment="1">
      <alignment vertical="center"/>
    </xf>
    <xf numFmtId="167" fontId="5" fillId="0" borderId="10" xfId="171" applyNumberFormat="1" applyFont="1" applyBorder="1" applyAlignment="1">
      <alignment vertical="center"/>
    </xf>
    <xf numFmtId="43" fontId="5" fillId="0" borderId="10" xfId="171" applyFont="1" applyBorder="1" applyAlignment="1">
      <alignment horizontal="right" vertical="center"/>
    </xf>
    <xf numFmtId="43" fontId="5" fillId="0" borderId="0" xfId="168" applyNumberFormat="1" applyFont="1" applyAlignment="1">
      <alignment horizontal="center"/>
    </xf>
    <xf numFmtId="3" fontId="5" fillId="0" borderId="0" xfId="168" applyNumberFormat="1" applyFont="1" applyBorder="1" applyAlignment="1">
      <alignment horizontal="center"/>
    </xf>
    <xf numFmtId="167" fontId="5" fillId="0" borderId="0" xfId="168" applyNumberFormat="1" applyFont="1" applyBorder="1" applyAlignment="1">
      <alignment horizontal="center"/>
    </xf>
    <xf numFmtId="0" fontId="5" fillId="0" borderId="0" xfId="168" applyFont="1" applyBorder="1" applyAlignment="1">
      <alignment horizontal="center"/>
    </xf>
    <xf numFmtId="0" fontId="5" fillId="0" borderId="0" xfId="168" applyFont="1" applyAlignment="1">
      <alignment horizontal="center"/>
    </xf>
    <xf numFmtId="0" fontId="37" fillId="0" borderId="0" xfId="97" applyFont="1"/>
    <xf numFmtId="0" fontId="5" fillId="0" borderId="8" xfId="168" applyFont="1" applyBorder="1" applyAlignment="1">
      <alignment horizontal="center"/>
    </xf>
    <xf numFmtId="0" fontId="5" fillId="0" borderId="8" xfId="168" applyFont="1" applyFill="1" applyBorder="1" applyAlignment="1">
      <alignment horizontal="left"/>
    </xf>
    <xf numFmtId="3" fontId="5" fillId="0" borderId="8" xfId="168" applyNumberFormat="1" applyFont="1" applyFill="1" applyBorder="1" applyAlignment="1">
      <alignment horizontal="center"/>
    </xf>
    <xf numFmtId="43" fontId="13" fillId="0" borderId="0" xfId="171" applyFont="1" applyBorder="1" applyAlignment="1"/>
    <xf numFmtId="43" fontId="5" fillId="0" borderId="0" xfId="171" applyFont="1"/>
    <xf numFmtId="0" fontId="13" fillId="0" borderId="7" xfId="168" applyFont="1" applyBorder="1" applyAlignment="1">
      <alignment horizontal="center"/>
    </xf>
    <xf numFmtId="0" fontId="13" fillId="0" borderId="7" xfId="168" applyFont="1" applyFill="1" applyBorder="1" applyAlignment="1">
      <alignment horizontal="left"/>
    </xf>
    <xf numFmtId="3" fontId="13" fillId="0" borderId="7" xfId="168" applyNumberFormat="1" applyFont="1" applyFill="1" applyBorder="1" applyAlignment="1"/>
    <xf numFmtId="167" fontId="13" fillId="0" borderId="7" xfId="171" applyNumberFormat="1" applyFont="1" applyFill="1" applyBorder="1" applyAlignment="1"/>
    <xf numFmtId="167" fontId="13" fillId="0" borderId="0" xfId="171" applyNumberFormat="1" applyFont="1" applyBorder="1" applyAlignment="1"/>
    <xf numFmtId="0" fontId="5" fillId="0" borderId="7" xfId="168" applyFont="1" applyBorder="1" applyAlignment="1">
      <alignment horizontal="center"/>
    </xf>
    <xf numFmtId="0" fontId="13" fillId="0" borderId="8" xfId="168" applyFont="1" applyFill="1" applyBorder="1" applyAlignment="1">
      <alignment horizontal="left"/>
    </xf>
    <xf numFmtId="3" fontId="13" fillId="0" borderId="8" xfId="168" applyNumberFormat="1" applyFont="1" applyFill="1" applyBorder="1" applyAlignment="1"/>
    <xf numFmtId="41" fontId="13" fillId="0" borderId="7" xfId="97" applyNumberFormat="1" applyFont="1" applyFill="1" applyBorder="1" applyAlignment="1">
      <alignment horizontal="right" vertical="center" wrapText="1"/>
    </xf>
    <xf numFmtId="0" fontId="5" fillId="0" borderId="7" xfId="168" applyFont="1" applyBorder="1" applyAlignment="1"/>
    <xf numFmtId="0" fontId="5" fillId="0" borderId="7" xfId="168" applyFont="1" applyFill="1" applyBorder="1" applyAlignment="1">
      <alignment horizontal="center"/>
    </xf>
    <xf numFmtId="3" fontId="5" fillId="0" borderId="7" xfId="168" applyNumberFormat="1" applyFont="1" applyFill="1" applyBorder="1" applyAlignment="1">
      <alignment horizontal="center"/>
    </xf>
    <xf numFmtId="43" fontId="5" fillId="0" borderId="0" xfId="168" applyNumberFormat="1" applyFont="1" applyAlignment="1"/>
    <xf numFmtId="3" fontId="181" fillId="0" borderId="0" xfId="97" applyNumberFormat="1" applyFont="1"/>
    <xf numFmtId="0" fontId="5" fillId="0" borderId="0" xfId="168" applyFont="1" applyBorder="1" applyAlignment="1"/>
    <xf numFmtId="167" fontId="5" fillId="0" borderId="0" xfId="168" applyNumberFormat="1" applyFont="1" applyBorder="1" applyAlignment="1"/>
    <xf numFmtId="0" fontId="5" fillId="0" borderId="0" xfId="168" applyFont="1" applyAlignment="1"/>
    <xf numFmtId="0" fontId="5" fillId="0" borderId="7" xfId="168" applyFont="1" applyFill="1" applyBorder="1" applyAlignment="1"/>
    <xf numFmtId="3" fontId="5" fillId="0" borderId="7" xfId="168" applyNumberFormat="1" applyFont="1" applyFill="1" applyBorder="1" applyAlignment="1"/>
    <xf numFmtId="3" fontId="13" fillId="0" borderId="0" xfId="168" applyNumberFormat="1" applyFont="1" applyBorder="1" applyAlignment="1"/>
    <xf numFmtId="43" fontId="5" fillId="0" borderId="0" xfId="168" applyNumberFormat="1" applyFont="1"/>
    <xf numFmtId="0" fontId="13" fillId="0" borderId="7" xfId="168" applyFont="1" applyFill="1" applyBorder="1" applyAlignment="1"/>
    <xf numFmtId="177" fontId="13" fillId="0" borderId="0" xfId="171" applyNumberFormat="1" applyFont="1"/>
    <xf numFmtId="178" fontId="13" fillId="0" borderId="0" xfId="171" applyNumberFormat="1" applyFont="1"/>
    <xf numFmtId="43" fontId="13" fillId="0" borderId="7" xfId="171" applyFont="1" applyFill="1" applyBorder="1" applyAlignment="1"/>
    <xf numFmtId="167" fontId="13" fillId="0" borderId="0" xfId="168" applyNumberFormat="1" applyFont="1" applyAlignment="1">
      <alignment horizontal="center"/>
    </xf>
    <xf numFmtId="0" fontId="13" fillId="0" borderId="10" xfId="168" applyFont="1" applyBorder="1" applyAlignment="1">
      <alignment horizontal="center"/>
    </xf>
    <xf numFmtId="0" fontId="5" fillId="0" borderId="10" xfId="168" applyFont="1" applyFill="1" applyBorder="1" applyAlignment="1"/>
    <xf numFmtId="3" fontId="5" fillId="0" borderId="10" xfId="168" applyNumberFormat="1" applyFont="1" applyFill="1" applyBorder="1" applyAlignment="1"/>
    <xf numFmtId="167" fontId="13" fillId="0" borderId="0" xfId="171" applyNumberFormat="1" applyFont="1"/>
    <xf numFmtId="43" fontId="1" fillId="0" borderId="0" xfId="171" applyFont="1"/>
    <xf numFmtId="43" fontId="176" fillId="47" borderId="57" xfId="169" applyFont="1" applyFill="1" applyBorder="1" applyAlignment="1">
      <alignment horizontal="right" vertical="top" wrapText="1"/>
    </xf>
    <xf numFmtId="167" fontId="1" fillId="0" borderId="0" xfId="169" applyNumberFormat="1" applyFont="1"/>
    <xf numFmtId="43" fontId="1" fillId="0" borderId="0" xfId="97" applyNumberFormat="1"/>
    <xf numFmtId="167" fontId="26" fillId="0" borderId="7" xfId="1" applyNumberFormat="1" applyFont="1" applyBorder="1" applyAlignment="1">
      <alignment horizontal="center" vertical="center" wrapText="1"/>
    </xf>
    <xf numFmtId="167" fontId="162" fillId="0" borderId="7" xfId="1" applyNumberFormat="1" applyFont="1" applyBorder="1" applyAlignment="1">
      <alignment horizontal="center" vertical="center" wrapText="1"/>
    </xf>
    <xf numFmtId="167" fontId="26" fillId="0" borderId="7" xfId="1" applyNumberFormat="1" applyFont="1" applyBorder="1" applyAlignment="1">
      <alignment vertical="center" wrapText="1"/>
    </xf>
    <xf numFmtId="0" fontId="162" fillId="0" borderId="0" xfId="106" applyFont="1" applyFill="1" applyAlignment="1">
      <alignment horizontal="center" vertical="center"/>
    </xf>
    <xf numFmtId="0" fontId="26" fillId="0" borderId="0" xfId="106" applyFont="1" applyFill="1" applyAlignment="1">
      <alignment vertical="center"/>
    </xf>
    <xf numFmtId="0" fontId="47" fillId="0" borderId="0" xfId="106" applyFont="1" applyFill="1" applyAlignment="1">
      <alignment vertical="center" wrapText="1"/>
    </xf>
    <xf numFmtId="0" fontId="162" fillId="0" borderId="0" xfId="106" applyFont="1" applyFill="1" applyAlignment="1">
      <alignment horizontal="centerContinuous" vertical="center"/>
    </xf>
    <xf numFmtId="0" fontId="162" fillId="0" borderId="0" xfId="106" applyFont="1" applyFill="1" applyAlignment="1">
      <alignment horizontal="right"/>
    </xf>
    <xf numFmtId="0" fontId="26" fillId="0" borderId="0" xfId="106" applyFont="1" applyFill="1" applyAlignment="1">
      <alignment vertical="center" wrapText="1"/>
    </xf>
    <xf numFmtId="0" fontId="80" fillId="0" borderId="0" xfId="106" applyFont="1" applyFill="1" applyAlignment="1">
      <alignment vertical="center"/>
    </xf>
    <xf numFmtId="0" fontId="162" fillId="0" borderId="0" xfId="106" applyFont="1" applyFill="1" applyAlignment="1">
      <alignment horizontal="center"/>
    </xf>
    <xf numFmtId="167" fontId="162" fillId="0" borderId="0" xfId="63" applyNumberFormat="1" applyFont="1" applyFill="1" applyAlignment="1">
      <alignment vertical="center"/>
    </xf>
    <xf numFmtId="0" fontId="26" fillId="0" borderId="0" xfId="106" applyFont="1" applyFill="1"/>
    <xf numFmtId="0" fontId="26" fillId="0" borderId="0" xfId="106" applyFont="1" applyFill="1" applyAlignment="1">
      <alignment wrapText="1"/>
    </xf>
    <xf numFmtId="0" fontId="174" fillId="0" borderId="0" xfId="106" applyFont="1" applyFill="1" applyAlignment="1">
      <alignment horizontal="centerContinuous"/>
    </xf>
    <xf numFmtId="43" fontId="174" fillId="0" borderId="0" xfId="106" applyNumberFormat="1" applyFont="1" applyFill="1" applyBorder="1" applyAlignment="1">
      <alignment vertical="center"/>
    </xf>
    <xf numFmtId="0" fontId="26" fillId="0" borderId="0" xfId="106" applyFont="1" applyFill="1" applyBorder="1" applyAlignment="1">
      <alignment vertical="center"/>
    </xf>
    <xf numFmtId="43" fontId="26" fillId="0" borderId="0" xfId="63" applyFont="1" applyFill="1"/>
    <xf numFmtId="0" fontId="174" fillId="0" borderId="0" xfId="106" applyFont="1" applyFill="1" applyBorder="1" applyAlignment="1"/>
    <xf numFmtId="0" fontId="174" fillId="0" borderId="0" xfId="106" applyFont="1" applyFill="1" applyBorder="1" applyAlignment="1">
      <alignment horizontal="right"/>
    </xf>
    <xf numFmtId="0" fontId="162" fillId="0" borderId="19" xfId="106" applyNumberFormat="1" applyFont="1" applyFill="1" applyBorder="1" applyAlignment="1">
      <alignment vertical="center" wrapText="1"/>
    </xf>
    <xf numFmtId="0" fontId="162" fillId="0" borderId="0" xfId="106" applyFont="1" applyFill="1" applyAlignment="1">
      <alignment vertical="center" wrapText="1"/>
    </xf>
    <xf numFmtId="167" fontId="162" fillId="0" borderId="0" xfId="106" applyNumberFormat="1" applyFont="1" applyFill="1" applyAlignment="1">
      <alignment vertical="center" wrapText="1"/>
    </xf>
    <xf numFmtId="0" fontId="162" fillId="0" borderId="17" xfId="106" applyFont="1" applyFill="1" applyBorder="1" applyAlignment="1">
      <alignment vertical="center" wrapText="1"/>
    </xf>
    <xf numFmtId="0" fontId="162" fillId="0" borderId="9" xfId="106" applyFont="1" applyFill="1" applyBorder="1" applyAlignment="1">
      <alignment vertical="center" wrapText="1"/>
    </xf>
    <xf numFmtId="0" fontId="162" fillId="0" borderId="0" xfId="106" applyFont="1" applyFill="1" applyAlignment="1">
      <alignment horizontal="center" vertical="center" wrapText="1"/>
    </xf>
    <xf numFmtId="167" fontId="162" fillId="0" borderId="0" xfId="106" applyNumberFormat="1" applyFont="1" applyFill="1" applyAlignment="1">
      <alignment horizontal="center" vertical="center" wrapText="1"/>
    </xf>
    <xf numFmtId="0" fontId="162" fillId="0" borderId="34" xfId="106" applyFont="1" applyFill="1" applyBorder="1" applyAlignment="1">
      <alignment horizontal="center" vertical="center"/>
    </xf>
    <xf numFmtId="0" fontId="162" fillId="0" borderId="34" xfId="106" applyFont="1" applyFill="1" applyBorder="1" applyAlignment="1">
      <alignment horizontal="center" vertical="center" wrapText="1"/>
    </xf>
    <xf numFmtId="0" fontId="162" fillId="0" borderId="34" xfId="106" quotePrefix="1" applyFont="1" applyFill="1" applyBorder="1" applyAlignment="1">
      <alignment horizontal="center" vertical="center"/>
    </xf>
    <xf numFmtId="167" fontId="162" fillId="0" borderId="34" xfId="106" applyNumberFormat="1" applyFont="1" applyFill="1" applyBorder="1" applyAlignment="1">
      <alignment horizontal="center" vertical="center"/>
    </xf>
    <xf numFmtId="0" fontId="162" fillId="29" borderId="34" xfId="106" applyNumberFormat="1" applyFont="1" applyFill="1" applyBorder="1" applyAlignment="1">
      <alignment horizontal="center" vertical="center"/>
    </xf>
    <xf numFmtId="0" fontId="162" fillId="29" borderId="34" xfId="106" applyFont="1" applyFill="1" applyBorder="1" applyAlignment="1">
      <alignment horizontal="right" vertical="center"/>
    </xf>
    <xf numFmtId="0" fontId="162" fillId="29" borderId="34" xfId="106" applyFont="1" applyFill="1" applyBorder="1" applyAlignment="1">
      <alignment horizontal="left" vertical="center" wrapText="1"/>
    </xf>
    <xf numFmtId="167" fontId="162" fillId="29" borderId="34" xfId="106" applyNumberFormat="1" applyFont="1" applyFill="1" applyBorder="1" applyAlignment="1">
      <alignment horizontal="right" vertical="center"/>
    </xf>
    <xf numFmtId="43" fontId="162" fillId="29" borderId="34" xfId="63" applyFont="1" applyFill="1" applyBorder="1" applyAlignment="1">
      <alignment horizontal="right" vertical="center"/>
    </xf>
    <xf numFmtId="43" fontId="162" fillId="29" borderId="34" xfId="106" applyNumberFormat="1" applyFont="1" applyFill="1" applyBorder="1" applyAlignment="1">
      <alignment horizontal="right" vertical="center"/>
    </xf>
    <xf numFmtId="0" fontId="162" fillId="0" borderId="34" xfId="106" applyFont="1" applyFill="1" applyBorder="1" applyAlignment="1">
      <alignment horizontal="center"/>
    </xf>
    <xf numFmtId="167" fontId="162" fillId="0" borderId="34" xfId="106" applyNumberFormat="1" applyFont="1" applyFill="1" applyBorder="1" applyAlignment="1">
      <alignment horizontal="center"/>
    </xf>
    <xf numFmtId="167" fontId="162" fillId="0" borderId="34" xfId="63" applyNumberFormat="1" applyFont="1" applyFill="1" applyBorder="1" applyAlignment="1">
      <alignment horizontal="center"/>
    </xf>
    <xf numFmtId="2" fontId="162" fillId="0" borderId="34" xfId="106" applyNumberFormat="1" applyFont="1" applyFill="1" applyBorder="1" applyAlignment="1">
      <alignment horizontal="center" vertical="center"/>
    </xf>
    <xf numFmtId="0" fontId="162" fillId="29" borderId="8" xfId="106" applyNumberFormat="1" applyFont="1" applyFill="1" applyBorder="1" applyAlignment="1">
      <alignment horizontal="center" vertical="center"/>
    </xf>
    <xf numFmtId="0" fontId="162" fillId="29" borderId="8" xfId="106" applyFont="1" applyFill="1" applyBorder="1" applyAlignment="1">
      <alignment horizontal="right" vertical="center"/>
    </xf>
    <xf numFmtId="0" fontId="162" fillId="29" borderId="8" xfId="106" applyFont="1" applyFill="1" applyBorder="1" applyAlignment="1">
      <alignment horizontal="left" vertical="center" wrapText="1"/>
    </xf>
    <xf numFmtId="167" fontId="162" fillId="29" borderId="8" xfId="106" applyNumberFormat="1" applyFont="1" applyFill="1" applyBorder="1" applyAlignment="1">
      <alignment horizontal="right" vertical="center"/>
    </xf>
    <xf numFmtId="43" fontId="162" fillId="29" borderId="8" xfId="63" applyFont="1" applyFill="1" applyBorder="1" applyAlignment="1">
      <alignment horizontal="right" vertical="center"/>
    </xf>
    <xf numFmtId="0" fontId="162" fillId="0" borderId="51" xfId="106" applyFont="1" applyFill="1" applyBorder="1" applyAlignment="1">
      <alignment horizontal="center"/>
    </xf>
    <xf numFmtId="167" fontId="162" fillId="0" borderId="51" xfId="106" applyNumberFormat="1" applyFont="1" applyFill="1" applyBorder="1" applyAlignment="1">
      <alignment horizontal="center"/>
    </xf>
    <xf numFmtId="167" fontId="162" fillId="0" borderId="51" xfId="63" applyNumberFormat="1" applyFont="1" applyFill="1" applyBorder="1" applyAlignment="1">
      <alignment horizontal="center"/>
    </xf>
    <xf numFmtId="2" fontId="162" fillId="0" borderId="8" xfId="106" applyNumberFormat="1" applyFont="1" applyFill="1" applyBorder="1" applyAlignment="1">
      <alignment horizontal="center" vertical="center"/>
    </xf>
    <xf numFmtId="0" fontId="162" fillId="0" borderId="8" xfId="106" applyFont="1" applyFill="1" applyBorder="1" applyAlignment="1">
      <alignment horizontal="center" vertical="center"/>
    </xf>
    <xf numFmtId="0" fontId="162" fillId="29" borderId="7" xfId="106" applyNumberFormat="1" applyFont="1" applyFill="1" applyBorder="1" applyAlignment="1">
      <alignment horizontal="center" vertical="center"/>
    </xf>
    <xf numFmtId="0" fontId="162" fillId="29" borderId="7" xfId="106" applyFont="1" applyFill="1" applyBorder="1" applyAlignment="1">
      <alignment horizontal="right" vertical="center"/>
    </xf>
    <xf numFmtId="0" fontId="162" fillId="35" borderId="7" xfId="106" applyFont="1" applyFill="1" applyBorder="1" applyAlignment="1">
      <alignment horizontal="left" vertical="center" wrapText="1"/>
    </xf>
    <xf numFmtId="167" fontId="162" fillId="35" borderId="7" xfId="106" applyNumberFormat="1" applyFont="1" applyFill="1" applyBorder="1" applyAlignment="1">
      <alignment horizontal="right" vertical="center"/>
    </xf>
    <xf numFmtId="43" fontId="162" fillId="35" borderId="7" xfId="63" applyFont="1" applyFill="1" applyBorder="1" applyAlignment="1">
      <alignment horizontal="right" vertical="center"/>
    </xf>
    <xf numFmtId="0" fontId="162" fillId="0" borderId="30" xfId="106" applyFont="1" applyFill="1" applyBorder="1" applyAlignment="1">
      <alignment horizontal="center"/>
    </xf>
    <xf numFmtId="167" fontId="162" fillId="0" borderId="30" xfId="106" applyNumberFormat="1" applyFont="1" applyFill="1" applyBorder="1" applyAlignment="1">
      <alignment horizontal="center"/>
    </xf>
    <xf numFmtId="167" fontId="162" fillId="0" borderId="30" xfId="63" applyNumberFormat="1" applyFont="1" applyFill="1" applyBorder="1" applyAlignment="1">
      <alignment horizontal="center"/>
    </xf>
    <xf numFmtId="2" fontId="162" fillId="0" borderId="7" xfId="106" applyNumberFormat="1" applyFont="1" applyFill="1" applyBorder="1" applyAlignment="1">
      <alignment horizontal="center" vertical="center"/>
    </xf>
    <xf numFmtId="0" fontId="162" fillId="0" borderId="7" xfId="106" applyFont="1" applyFill="1" applyBorder="1" applyAlignment="1">
      <alignment horizontal="center" vertical="center"/>
    </xf>
    <xf numFmtId="0" fontId="162" fillId="0" borderId="7" xfId="106" applyFont="1" applyFill="1" applyBorder="1" applyAlignment="1">
      <alignment horizontal="right" vertical="center"/>
    </xf>
    <xf numFmtId="0" fontId="162" fillId="0" borderId="7" xfId="106" applyFont="1" applyFill="1" applyBorder="1" applyAlignment="1">
      <alignment horizontal="left" vertical="center" wrapText="1"/>
    </xf>
    <xf numFmtId="167" fontId="162" fillId="0" borderId="7" xfId="63" applyNumberFormat="1" applyFont="1" applyFill="1" applyBorder="1" applyAlignment="1">
      <alignment horizontal="right" vertical="center"/>
    </xf>
    <xf numFmtId="167" fontId="162" fillId="0" borderId="7" xfId="106" applyNumberFormat="1" applyFont="1" applyFill="1" applyBorder="1" applyAlignment="1">
      <alignment horizontal="right" vertical="center"/>
    </xf>
    <xf numFmtId="43" fontId="162" fillId="0" borderId="7" xfId="63" applyFont="1" applyFill="1" applyBorder="1" applyAlignment="1">
      <alignment horizontal="right" vertical="center"/>
    </xf>
    <xf numFmtId="167" fontId="162" fillId="29" borderId="7" xfId="106" applyNumberFormat="1" applyFont="1" applyFill="1" applyBorder="1" applyAlignment="1">
      <alignment horizontal="right" vertical="center"/>
    </xf>
    <xf numFmtId="167" fontId="162" fillId="29" borderId="6" xfId="106" applyNumberFormat="1" applyFont="1" applyFill="1" applyBorder="1" applyAlignment="1">
      <alignment horizontal="right" vertical="center"/>
    </xf>
    <xf numFmtId="43" fontId="162" fillId="29" borderId="6" xfId="106" applyNumberFormat="1" applyFont="1" applyFill="1" applyBorder="1" applyAlignment="1">
      <alignment horizontal="right" vertical="center"/>
    </xf>
    <xf numFmtId="167" fontId="162" fillId="0" borderId="7" xfId="106" applyNumberFormat="1" applyFont="1" applyFill="1" applyBorder="1" applyAlignment="1">
      <alignment horizontal="center" vertical="center"/>
    </xf>
    <xf numFmtId="43" fontId="162" fillId="29" borderId="7" xfId="106" applyNumberFormat="1" applyFont="1" applyFill="1" applyBorder="1" applyAlignment="1">
      <alignment horizontal="right" vertical="center"/>
    </xf>
    <xf numFmtId="43" fontId="162" fillId="0" borderId="7" xfId="106" applyNumberFormat="1" applyFont="1" applyFill="1" applyBorder="1" applyAlignment="1">
      <alignment horizontal="right" vertical="center"/>
    </xf>
    <xf numFmtId="0" fontId="26" fillId="0" borderId="7" xfId="106" applyFont="1" applyFill="1" applyBorder="1" applyAlignment="1">
      <alignment horizontal="center" vertical="center"/>
    </xf>
    <xf numFmtId="0" fontId="26" fillId="0" borderId="7" xfId="106" applyFont="1" applyFill="1" applyBorder="1" applyAlignment="1">
      <alignment horizontal="right" vertical="center"/>
    </xf>
    <xf numFmtId="0" fontId="26" fillId="0" borderId="7" xfId="106" applyFont="1" applyFill="1" applyBorder="1" applyAlignment="1">
      <alignment horizontal="left" vertical="center" wrapText="1"/>
    </xf>
    <xf numFmtId="167" fontId="26" fillId="0" borderId="7" xfId="63" applyNumberFormat="1" applyFont="1" applyFill="1" applyBorder="1" applyAlignment="1">
      <alignment horizontal="right" vertical="center"/>
    </xf>
    <xf numFmtId="43" fontId="26" fillId="0" borderId="7" xfId="63" applyFont="1" applyFill="1" applyBorder="1" applyAlignment="1">
      <alignment horizontal="right" vertical="center"/>
    </xf>
    <xf numFmtId="167" fontId="26" fillId="29" borderId="7" xfId="106" applyNumberFormat="1" applyFont="1" applyFill="1" applyBorder="1" applyAlignment="1">
      <alignment horizontal="right" vertical="center"/>
    </xf>
    <xf numFmtId="43" fontId="26" fillId="29" borderId="7" xfId="106" applyNumberFormat="1" applyFont="1" applyFill="1" applyBorder="1" applyAlignment="1">
      <alignment horizontal="right" vertical="center"/>
    </xf>
    <xf numFmtId="167" fontId="26" fillId="0" borderId="30" xfId="63" applyNumberFormat="1" applyFont="1" applyFill="1" applyBorder="1" applyAlignment="1">
      <alignment horizontal="center"/>
    </xf>
    <xf numFmtId="0" fontId="26" fillId="0" borderId="30" xfId="106" applyFont="1" applyFill="1" applyBorder="1" applyAlignment="1">
      <alignment horizontal="center"/>
    </xf>
    <xf numFmtId="0" fontId="26" fillId="0" borderId="0" xfId="106" applyFont="1" applyFill="1" applyAlignment="1">
      <alignment horizontal="center"/>
    </xf>
    <xf numFmtId="2" fontId="26" fillId="0" borderId="8" xfId="106" applyNumberFormat="1" applyFont="1" applyFill="1" applyBorder="1" applyAlignment="1">
      <alignment horizontal="center" vertical="center"/>
    </xf>
    <xf numFmtId="167" fontId="26" fillId="0" borderId="7" xfId="106" applyNumberFormat="1" applyFont="1" applyFill="1" applyBorder="1" applyAlignment="1">
      <alignment horizontal="center" vertical="center"/>
    </xf>
    <xf numFmtId="0" fontId="26" fillId="31" borderId="7" xfId="106" applyFont="1" applyFill="1" applyBorder="1" applyAlignment="1">
      <alignment horizontal="center" vertical="center"/>
    </xf>
    <xf numFmtId="0" fontId="26" fillId="31" borderId="7" xfId="106" applyFont="1" applyFill="1" applyBorder="1" applyAlignment="1">
      <alignment horizontal="right" vertical="center"/>
    </xf>
    <xf numFmtId="0" fontId="26" fillId="31" borderId="7" xfId="106" applyFont="1" applyFill="1" applyBorder="1" applyAlignment="1">
      <alignment horizontal="left" vertical="center" wrapText="1"/>
    </xf>
    <xf numFmtId="167" fontId="26" fillId="31" borderId="7" xfId="63" applyNumberFormat="1" applyFont="1" applyFill="1" applyBorder="1" applyAlignment="1">
      <alignment horizontal="right" vertical="center"/>
    </xf>
    <xf numFmtId="167" fontId="26" fillId="31" borderId="7" xfId="106" applyNumberFormat="1" applyFont="1" applyFill="1" applyBorder="1" applyAlignment="1">
      <alignment horizontal="right" vertical="center"/>
    </xf>
    <xf numFmtId="43" fontId="26" fillId="31" borderId="7" xfId="63" applyFont="1" applyFill="1" applyBorder="1" applyAlignment="1">
      <alignment horizontal="right" vertical="center"/>
    </xf>
    <xf numFmtId="3" fontId="182" fillId="0" borderId="7" xfId="106" applyNumberFormat="1" applyFont="1" applyFill="1" applyBorder="1" applyAlignment="1">
      <alignment horizontal="right" vertical="center" wrapText="1"/>
    </xf>
    <xf numFmtId="167" fontId="183" fillId="0" borderId="30" xfId="106" applyNumberFormat="1" applyFont="1" applyFill="1" applyBorder="1" applyAlignment="1">
      <alignment vertical="center" wrapText="1"/>
    </xf>
    <xf numFmtId="0" fontId="183" fillId="0" borderId="30" xfId="106" applyFont="1" applyFill="1" applyBorder="1" applyAlignment="1">
      <alignment vertical="center" wrapText="1"/>
    </xf>
    <xf numFmtId="0" fontId="183" fillId="0" borderId="0" xfId="106" applyFont="1" applyFill="1" applyAlignment="1">
      <alignment vertical="center" wrapText="1"/>
    </xf>
    <xf numFmtId="3" fontId="162" fillId="0" borderId="7" xfId="106" applyNumberFormat="1" applyFont="1" applyFill="1" applyBorder="1" applyAlignment="1">
      <alignment horizontal="right" vertical="center" wrapText="1"/>
    </xf>
    <xf numFmtId="167" fontId="184" fillId="0" borderId="30" xfId="106" applyNumberFormat="1" applyFont="1" applyFill="1" applyBorder="1" applyAlignment="1">
      <alignment vertical="center" wrapText="1"/>
    </xf>
    <xf numFmtId="0" fontId="184" fillId="0" borderId="30" xfId="106" applyFont="1" applyFill="1" applyBorder="1" applyAlignment="1">
      <alignment vertical="center" wrapText="1"/>
    </xf>
    <xf numFmtId="43" fontId="184" fillId="0" borderId="30" xfId="63" applyFont="1" applyFill="1" applyBorder="1" applyAlignment="1">
      <alignment vertical="center" wrapText="1"/>
    </xf>
    <xf numFmtId="0" fontId="174" fillId="0" borderId="0" xfId="106" applyFont="1" applyFill="1" applyAlignment="1">
      <alignment vertical="center" wrapText="1"/>
    </xf>
    <xf numFmtId="0" fontId="162" fillId="0" borderId="17" xfId="106" applyFont="1" applyFill="1" applyBorder="1" applyAlignment="1">
      <alignment horizontal="center" vertical="center"/>
    </xf>
    <xf numFmtId="0" fontId="162" fillId="0" borderId="17" xfId="106" applyFont="1" applyFill="1" applyBorder="1" applyAlignment="1">
      <alignment horizontal="right" vertical="center"/>
    </xf>
    <xf numFmtId="0" fontId="162" fillId="0" borderId="17" xfId="106" applyFont="1" applyFill="1" applyBorder="1" applyAlignment="1">
      <alignment horizontal="left" vertical="center" wrapText="1"/>
    </xf>
    <xf numFmtId="3" fontId="26" fillId="0" borderId="17" xfId="106" applyNumberFormat="1" applyFont="1" applyFill="1" applyBorder="1" applyAlignment="1">
      <alignment horizontal="right" vertical="center" wrapText="1"/>
    </xf>
    <xf numFmtId="167" fontId="162" fillId="0" borderId="17" xfId="106" applyNumberFormat="1" applyFont="1" applyFill="1" applyBorder="1" applyAlignment="1">
      <alignment horizontal="right" vertical="center"/>
    </xf>
    <xf numFmtId="43" fontId="162" fillId="0" borderId="17" xfId="63" applyFont="1" applyFill="1" applyBorder="1" applyAlignment="1">
      <alignment horizontal="right" vertical="center"/>
    </xf>
    <xf numFmtId="167" fontId="162" fillId="29" borderId="17" xfId="106" applyNumberFormat="1" applyFont="1" applyFill="1" applyBorder="1" applyAlignment="1">
      <alignment horizontal="right" vertical="center"/>
    </xf>
    <xf numFmtId="43" fontId="162" fillId="29" borderId="17" xfId="106" applyNumberFormat="1" applyFont="1" applyFill="1" applyBorder="1" applyAlignment="1">
      <alignment horizontal="right" vertical="center"/>
    </xf>
    <xf numFmtId="0" fontId="26" fillId="0" borderId="50" xfId="106" applyFont="1" applyFill="1" applyBorder="1" applyAlignment="1">
      <alignment vertical="center" wrapText="1"/>
    </xf>
    <xf numFmtId="167" fontId="26" fillId="0" borderId="50" xfId="106" applyNumberFormat="1" applyFont="1" applyFill="1" applyBorder="1" applyAlignment="1">
      <alignment vertical="center" wrapText="1"/>
    </xf>
    <xf numFmtId="2" fontId="162" fillId="0" borderId="9" xfId="106" applyNumberFormat="1" applyFont="1" applyFill="1" applyBorder="1" applyAlignment="1">
      <alignment horizontal="center" vertical="center"/>
    </xf>
    <xf numFmtId="167" fontId="162" fillId="0" borderId="17" xfId="106" applyNumberFormat="1" applyFont="1" applyFill="1" applyBorder="1" applyAlignment="1">
      <alignment horizontal="center" vertical="center"/>
    </xf>
    <xf numFmtId="0" fontId="162" fillId="32" borderId="34" xfId="106" applyFont="1" applyFill="1" applyBorder="1" applyAlignment="1">
      <alignment horizontal="center" vertical="center" wrapText="1"/>
    </xf>
    <xf numFmtId="0" fontId="162" fillId="32" borderId="34" xfId="106" applyFont="1" applyFill="1" applyBorder="1" applyAlignment="1">
      <alignment horizontal="right" vertical="center" wrapText="1"/>
    </xf>
    <xf numFmtId="0" fontId="162" fillId="32" borderId="34" xfId="106" applyFont="1" applyFill="1" applyBorder="1" applyAlignment="1">
      <alignment horizontal="left" vertical="center" wrapText="1"/>
    </xf>
    <xf numFmtId="3" fontId="162" fillId="32" borderId="34" xfId="106" applyNumberFormat="1" applyFont="1" applyFill="1" applyBorder="1" applyAlignment="1">
      <alignment horizontal="right" vertical="center" wrapText="1"/>
    </xf>
    <xf numFmtId="167" fontId="162" fillId="32" borderId="34" xfId="106" applyNumberFormat="1" applyFont="1" applyFill="1" applyBorder="1" applyAlignment="1">
      <alignment horizontal="right" vertical="center"/>
    </xf>
    <xf numFmtId="4" fontId="162" fillId="32" borderId="34" xfId="106" applyNumberFormat="1" applyFont="1" applyFill="1" applyBorder="1" applyAlignment="1">
      <alignment horizontal="right" vertical="center" wrapText="1"/>
    </xf>
    <xf numFmtId="167" fontId="162" fillId="0" borderId="34" xfId="63" applyNumberFormat="1" applyFont="1" applyFill="1" applyBorder="1" applyAlignment="1">
      <alignment horizontal="center" vertical="center" wrapText="1"/>
    </xf>
    <xf numFmtId="3" fontId="162" fillId="0" borderId="0" xfId="106" applyNumberFormat="1" applyFont="1" applyFill="1" applyAlignment="1">
      <alignment horizontal="center" vertical="center" wrapText="1"/>
    </xf>
    <xf numFmtId="0" fontId="162" fillId="32" borderId="8" xfId="106" applyFont="1" applyFill="1" applyBorder="1" applyAlignment="1">
      <alignment horizontal="center" vertical="center" wrapText="1"/>
    </xf>
    <xf numFmtId="0" fontId="162" fillId="32" borderId="8" xfId="106" applyFont="1" applyFill="1" applyBorder="1" applyAlignment="1">
      <alignment horizontal="right" vertical="center" wrapText="1"/>
    </xf>
    <xf numFmtId="0" fontId="162" fillId="32" borderId="8" xfId="106" applyFont="1" applyFill="1" applyBorder="1" applyAlignment="1">
      <alignment horizontal="left" vertical="center" wrapText="1"/>
    </xf>
    <xf numFmtId="3" fontId="162" fillId="32" borderId="8" xfId="106" applyNumberFormat="1" applyFont="1" applyFill="1" applyBorder="1" applyAlignment="1">
      <alignment horizontal="right" vertical="center" wrapText="1"/>
    </xf>
    <xf numFmtId="167" fontId="162" fillId="32" borderId="8" xfId="106" applyNumberFormat="1" applyFont="1" applyFill="1" applyBorder="1" applyAlignment="1">
      <alignment horizontal="right" vertical="center"/>
    </xf>
    <xf numFmtId="4" fontId="162" fillId="32" borderId="8" xfId="106" applyNumberFormat="1" applyFont="1" applyFill="1" applyBorder="1" applyAlignment="1">
      <alignment horizontal="right" vertical="center" wrapText="1"/>
    </xf>
    <xf numFmtId="43" fontId="162" fillId="29" borderId="8" xfId="106" applyNumberFormat="1" applyFont="1" applyFill="1" applyBorder="1" applyAlignment="1">
      <alignment horizontal="right" vertical="center"/>
    </xf>
    <xf numFmtId="167" fontId="162" fillId="0" borderId="51" xfId="63" applyNumberFormat="1" applyFont="1" applyFill="1" applyBorder="1" applyAlignment="1">
      <alignment horizontal="center" vertical="center" wrapText="1"/>
    </xf>
    <xf numFmtId="0" fontId="162" fillId="0" borderId="51" xfId="106" applyFont="1" applyFill="1" applyBorder="1" applyAlignment="1">
      <alignment horizontal="center" vertical="center" wrapText="1"/>
    </xf>
    <xf numFmtId="167" fontId="162" fillId="0" borderId="8" xfId="106" applyNumberFormat="1" applyFont="1" applyFill="1" applyBorder="1" applyAlignment="1">
      <alignment horizontal="center" vertical="center"/>
    </xf>
    <xf numFmtId="0" fontId="162" fillId="32" borderId="7" xfId="106" applyFont="1" applyFill="1" applyBorder="1" applyAlignment="1">
      <alignment horizontal="center" vertical="center" wrapText="1"/>
    </xf>
    <xf numFmtId="0" fontId="162" fillId="32" borderId="7" xfId="106" applyFont="1" applyFill="1" applyBorder="1" applyAlignment="1">
      <alignment horizontal="right" vertical="center" wrapText="1"/>
    </xf>
    <xf numFmtId="3" fontId="162" fillId="35" borderId="7" xfId="106" applyNumberFormat="1" applyFont="1" applyFill="1" applyBorder="1" applyAlignment="1">
      <alignment horizontal="right" vertical="center" wrapText="1"/>
    </xf>
    <xf numFmtId="4" fontId="162" fillId="35" borderId="7" xfId="106" applyNumberFormat="1" applyFont="1" applyFill="1" applyBorder="1" applyAlignment="1">
      <alignment horizontal="right" vertical="center" wrapText="1"/>
    </xf>
    <xf numFmtId="167" fontId="162" fillId="0" borderId="30" xfId="63" applyNumberFormat="1" applyFont="1" applyFill="1" applyBorder="1" applyAlignment="1">
      <alignment horizontal="center" vertical="center" wrapText="1"/>
    </xf>
    <xf numFmtId="0" fontId="162" fillId="0" borderId="30" xfId="106" applyFont="1" applyFill="1" applyBorder="1" applyAlignment="1">
      <alignment horizontal="center" vertical="center" wrapText="1"/>
    </xf>
    <xf numFmtId="4" fontId="162" fillId="0" borderId="7" xfId="106" applyNumberFormat="1" applyFont="1" applyFill="1" applyBorder="1" applyAlignment="1">
      <alignment horizontal="right" vertical="center" wrapText="1"/>
    </xf>
    <xf numFmtId="167" fontId="162" fillId="0" borderId="30" xfId="106" applyNumberFormat="1" applyFont="1" applyFill="1" applyBorder="1" applyAlignment="1">
      <alignment vertical="center" wrapText="1"/>
    </xf>
    <xf numFmtId="0" fontId="162" fillId="0" borderId="30" xfId="106" applyFont="1" applyFill="1" applyBorder="1" applyAlignment="1">
      <alignment vertical="center" wrapText="1"/>
    </xf>
    <xf numFmtId="3" fontId="162" fillId="0" borderId="30" xfId="106" applyNumberFormat="1" applyFont="1" applyFill="1" applyBorder="1" applyAlignment="1">
      <alignment vertical="center" wrapText="1"/>
    </xf>
    <xf numFmtId="3" fontId="176" fillId="0" borderId="7" xfId="106" applyNumberFormat="1" applyFont="1" applyFill="1" applyBorder="1" applyAlignment="1">
      <alignment horizontal="right" vertical="center" wrapText="1"/>
    </xf>
    <xf numFmtId="3" fontId="26" fillId="0" borderId="7" xfId="106" applyNumberFormat="1" applyFont="1" applyFill="1" applyBorder="1" applyAlignment="1">
      <alignment horizontal="right" vertical="center" wrapText="1"/>
    </xf>
    <xf numFmtId="167" fontId="26" fillId="0" borderId="7" xfId="106" applyNumberFormat="1" applyFont="1" applyFill="1" applyBorder="1" applyAlignment="1">
      <alignment horizontal="right" vertical="center"/>
    </xf>
    <xf numFmtId="2" fontId="26" fillId="0" borderId="30" xfId="106" applyNumberFormat="1" applyFont="1" applyFill="1" applyBorder="1" applyAlignment="1">
      <alignment vertical="center" wrapText="1"/>
    </xf>
    <xf numFmtId="0" fontId="26" fillId="0" borderId="30" xfId="106" applyFont="1" applyFill="1" applyBorder="1" applyAlignment="1">
      <alignment vertical="center" wrapText="1"/>
    </xf>
    <xf numFmtId="3" fontId="26" fillId="0" borderId="30" xfId="106" applyNumberFormat="1" applyFont="1" applyFill="1" applyBorder="1" applyAlignment="1">
      <alignment vertical="center" wrapText="1"/>
    </xf>
    <xf numFmtId="0" fontId="26" fillId="3" borderId="7" xfId="106" applyFont="1" applyFill="1" applyBorder="1" applyAlignment="1">
      <alignment horizontal="center" vertical="center"/>
    </xf>
    <xf numFmtId="0" fontId="26" fillId="3" borderId="7" xfId="106" applyFont="1" applyFill="1" applyBorder="1" applyAlignment="1">
      <alignment horizontal="right" vertical="center"/>
    </xf>
    <xf numFmtId="0" fontId="26" fillId="3" borderId="7" xfId="106" applyFont="1" applyFill="1" applyBorder="1" applyAlignment="1">
      <alignment horizontal="left" vertical="center" wrapText="1"/>
    </xf>
    <xf numFmtId="3" fontId="176" fillId="3" borderId="7" xfId="106" applyNumberFormat="1" applyFont="1" applyFill="1" applyBorder="1" applyAlignment="1">
      <alignment horizontal="right" vertical="center" wrapText="1"/>
    </xf>
    <xf numFmtId="3" fontId="26" fillId="3" borderId="7" xfId="106" applyNumberFormat="1" applyFont="1" applyFill="1" applyBorder="1" applyAlignment="1">
      <alignment horizontal="right" vertical="center" wrapText="1"/>
    </xf>
    <xf numFmtId="167" fontId="26" fillId="3" borderId="7" xfId="106" applyNumberFormat="1" applyFont="1" applyFill="1" applyBorder="1" applyAlignment="1">
      <alignment horizontal="right" vertical="center"/>
    </xf>
    <xf numFmtId="43" fontId="26" fillId="3" borderId="7" xfId="63" applyFont="1" applyFill="1" applyBorder="1" applyAlignment="1">
      <alignment horizontal="right" vertical="center"/>
    </xf>
    <xf numFmtId="3" fontId="66" fillId="3" borderId="7" xfId="106" applyNumberFormat="1" applyFont="1" applyFill="1" applyBorder="1" applyAlignment="1">
      <alignment horizontal="right" vertical="center"/>
    </xf>
    <xf numFmtId="0" fontId="26" fillId="0" borderId="7" xfId="106" applyFont="1" applyFill="1" applyBorder="1" applyAlignment="1">
      <alignment vertical="center" wrapText="1"/>
    </xf>
    <xf numFmtId="3" fontId="66" fillId="0" borderId="7" xfId="106" applyNumberFormat="1" applyFont="1" applyFill="1" applyBorder="1" applyAlignment="1">
      <alignment horizontal="right" vertical="center"/>
    </xf>
    <xf numFmtId="167" fontId="26" fillId="0" borderId="30" xfId="106" applyNumberFormat="1" applyFont="1" applyFill="1" applyBorder="1" applyAlignment="1">
      <alignment vertical="center" wrapText="1"/>
    </xf>
    <xf numFmtId="0" fontId="162" fillId="31" borderId="7" xfId="106" applyFont="1" applyFill="1" applyBorder="1" applyAlignment="1">
      <alignment horizontal="center" vertical="center"/>
    </xf>
    <xf numFmtId="0" fontId="162" fillId="31" borderId="7" xfId="106" applyFont="1" applyFill="1" applyBorder="1" applyAlignment="1">
      <alignment horizontal="right" vertical="center"/>
    </xf>
    <xf numFmtId="0" fontId="162" fillId="31" borderId="7" xfId="106" applyFont="1" applyFill="1" applyBorder="1" applyAlignment="1">
      <alignment horizontal="left" vertical="center" wrapText="1"/>
    </xf>
    <xf numFmtId="3" fontId="162" fillId="31" borderId="7" xfId="106" applyNumberFormat="1" applyFont="1" applyFill="1" applyBorder="1" applyAlignment="1">
      <alignment horizontal="right" vertical="center" wrapText="1"/>
    </xf>
    <xf numFmtId="167" fontId="162" fillId="31" borderId="7" xfId="106" applyNumberFormat="1" applyFont="1" applyFill="1" applyBorder="1" applyAlignment="1">
      <alignment horizontal="right" vertical="center"/>
    </xf>
    <xf numFmtId="43" fontId="162" fillId="31" borderId="7" xfId="63" applyFont="1" applyFill="1" applyBorder="1" applyAlignment="1">
      <alignment horizontal="right" vertical="center"/>
    </xf>
    <xf numFmtId="2" fontId="162" fillId="0" borderId="30" xfId="106" applyNumberFormat="1" applyFont="1" applyFill="1" applyBorder="1" applyAlignment="1">
      <alignment vertical="center" wrapText="1"/>
    </xf>
    <xf numFmtId="167" fontId="162" fillId="0" borderId="30" xfId="63" applyNumberFormat="1" applyFont="1" applyFill="1" applyBorder="1" applyAlignment="1">
      <alignment vertical="center" wrapText="1"/>
    </xf>
    <xf numFmtId="4" fontId="162" fillId="31" borderId="7" xfId="106" applyNumberFormat="1" applyFont="1" applyFill="1" applyBorder="1" applyAlignment="1">
      <alignment horizontal="right" vertical="center" wrapText="1"/>
    </xf>
    <xf numFmtId="167" fontId="26" fillId="0" borderId="30" xfId="63" applyNumberFormat="1" applyFont="1" applyFill="1" applyBorder="1" applyAlignment="1">
      <alignment vertical="center" wrapText="1"/>
    </xf>
    <xf numFmtId="0" fontId="26" fillId="0" borderId="30" xfId="106" applyFont="1" applyFill="1" applyBorder="1" applyAlignment="1">
      <alignment horizontal="left" vertical="center" wrapText="1"/>
    </xf>
    <xf numFmtId="3" fontId="26" fillId="0" borderId="30" xfId="106" applyNumberFormat="1" applyFont="1" applyFill="1" applyBorder="1" applyAlignment="1">
      <alignment horizontal="left" vertical="center" wrapText="1"/>
    </xf>
    <xf numFmtId="0" fontId="26" fillId="0" borderId="0" xfId="106" applyFont="1" applyFill="1" applyAlignment="1">
      <alignment horizontal="left" vertical="center" wrapText="1"/>
    </xf>
    <xf numFmtId="0" fontId="176" fillId="0" borderId="7" xfId="11" applyFont="1" applyBorder="1" applyAlignment="1">
      <alignment vertical="center" wrapText="1"/>
    </xf>
    <xf numFmtId="3" fontId="162" fillId="0" borderId="17" xfId="106" applyNumberFormat="1" applyFont="1" applyFill="1" applyBorder="1" applyAlignment="1">
      <alignment horizontal="right" vertical="center" wrapText="1"/>
    </xf>
    <xf numFmtId="167" fontId="26" fillId="0" borderId="17" xfId="106" applyNumberFormat="1" applyFont="1" applyFill="1" applyBorder="1" applyAlignment="1">
      <alignment horizontal="right" vertical="center"/>
    </xf>
    <xf numFmtId="0" fontId="162" fillId="0" borderId="50" xfId="106" applyFont="1" applyFill="1" applyBorder="1" applyAlignment="1">
      <alignment vertical="center" wrapText="1"/>
    </xf>
    <xf numFmtId="167" fontId="162" fillId="0" borderId="50" xfId="63" applyNumberFormat="1" applyFont="1" applyFill="1" applyBorder="1" applyAlignment="1">
      <alignment vertical="center" wrapText="1"/>
    </xf>
    <xf numFmtId="167" fontId="162" fillId="0" borderId="50" xfId="106" applyNumberFormat="1" applyFont="1" applyFill="1" applyBorder="1" applyAlignment="1">
      <alignment vertical="center" wrapText="1"/>
    </xf>
    <xf numFmtId="167" fontId="162" fillId="0" borderId="50" xfId="106" applyNumberFormat="1" applyFont="1" applyFill="1" applyBorder="1" applyAlignment="1">
      <alignment horizontal="center"/>
    </xf>
    <xf numFmtId="0" fontId="162" fillId="48" borderId="34" xfId="106" applyFont="1" applyFill="1" applyBorder="1" applyAlignment="1">
      <alignment horizontal="center" vertical="center"/>
    </xf>
    <xf numFmtId="0" fontId="162" fillId="48" borderId="34" xfId="106" applyFont="1" applyFill="1" applyBorder="1" applyAlignment="1">
      <alignment horizontal="right" vertical="center"/>
    </xf>
    <xf numFmtId="0" fontId="162" fillId="48" borderId="34" xfId="106" applyFont="1" applyFill="1" applyBorder="1" applyAlignment="1">
      <alignment horizontal="left" vertical="center" wrapText="1"/>
    </xf>
    <xf numFmtId="167" fontId="162" fillId="48" borderId="34" xfId="63" applyNumberFormat="1" applyFont="1" applyFill="1" applyBorder="1" applyAlignment="1">
      <alignment horizontal="right" vertical="center"/>
    </xf>
    <xf numFmtId="167" fontId="162" fillId="48" borderId="34" xfId="106" applyNumberFormat="1" applyFont="1" applyFill="1" applyBorder="1" applyAlignment="1">
      <alignment horizontal="right" vertical="center"/>
    </xf>
    <xf numFmtId="2" fontId="162" fillId="46" borderId="34" xfId="106" applyNumberFormat="1" applyFont="1" applyFill="1" applyBorder="1" applyAlignment="1">
      <alignment horizontal="center" vertical="center"/>
    </xf>
    <xf numFmtId="167" fontId="162" fillId="46" borderId="34" xfId="106" applyNumberFormat="1" applyFont="1" applyFill="1" applyBorder="1" applyAlignment="1">
      <alignment horizontal="center" vertical="center"/>
    </xf>
    <xf numFmtId="0" fontId="162" fillId="0" borderId="8" xfId="106" applyFont="1" applyFill="1" applyBorder="1" applyAlignment="1">
      <alignment horizontal="right" vertical="center"/>
    </xf>
    <xf numFmtId="0" fontId="162" fillId="0" borderId="8" xfId="106" applyFont="1" applyFill="1" applyBorder="1" applyAlignment="1">
      <alignment horizontal="left" vertical="center" wrapText="1"/>
    </xf>
    <xf numFmtId="3" fontId="162" fillId="0" borderId="8" xfId="106" applyNumberFormat="1" applyFont="1" applyFill="1" applyBorder="1" applyAlignment="1">
      <alignment horizontal="right" vertical="center" wrapText="1"/>
    </xf>
    <xf numFmtId="167" fontId="162" fillId="0" borderId="8" xfId="106" applyNumberFormat="1" applyFont="1" applyFill="1" applyBorder="1" applyAlignment="1">
      <alignment horizontal="right" vertical="center"/>
    </xf>
    <xf numFmtId="43" fontId="162" fillId="0" borderId="8" xfId="63" applyFont="1" applyFill="1" applyBorder="1" applyAlignment="1">
      <alignment horizontal="right" vertical="center"/>
    </xf>
    <xf numFmtId="4" fontId="162" fillId="0" borderId="8" xfId="106" applyNumberFormat="1" applyFont="1" applyFill="1" applyBorder="1" applyAlignment="1">
      <alignment horizontal="right" vertical="center" wrapText="1"/>
    </xf>
    <xf numFmtId="0" fontId="185" fillId="0" borderId="8" xfId="106" applyFont="1" applyFill="1" applyBorder="1" applyAlignment="1">
      <alignment vertical="center" wrapText="1"/>
    </xf>
    <xf numFmtId="167" fontId="185" fillId="0" borderId="8" xfId="106" applyNumberFormat="1" applyFont="1" applyFill="1" applyBorder="1" applyAlignment="1">
      <alignment vertical="center" wrapText="1"/>
    </xf>
    <xf numFmtId="43" fontId="185" fillId="0" borderId="8" xfId="106" applyNumberFormat="1" applyFont="1" applyFill="1" applyBorder="1" applyAlignment="1">
      <alignment vertical="center" wrapText="1"/>
    </xf>
    <xf numFmtId="0" fontId="185" fillId="0" borderId="0" xfId="106" applyFont="1" applyFill="1" applyAlignment="1">
      <alignment vertical="center" wrapText="1"/>
    </xf>
    <xf numFmtId="0" fontId="185" fillId="0" borderId="30" xfId="106" applyFont="1" applyFill="1" applyBorder="1" applyAlignment="1">
      <alignment vertical="center" wrapText="1"/>
    </xf>
    <xf numFmtId="43" fontId="185" fillId="0" borderId="0" xfId="106" applyNumberFormat="1" applyFont="1" applyFill="1" applyAlignment="1">
      <alignment vertical="center" wrapText="1"/>
    </xf>
    <xf numFmtId="2" fontId="185" fillId="0" borderId="0" xfId="106" applyNumberFormat="1" applyFont="1" applyFill="1" applyAlignment="1">
      <alignment vertical="center" wrapText="1"/>
    </xf>
    <xf numFmtId="3" fontId="185" fillId="0" borderId="30" xfId="106" applyNumberFormat="1" applyFont="1" applyFill="1" applyBorder="1" applyAlignment="1">
      <alignment vertical="center" wrapText="1"/>
    </xf>
    <xf numFmtId="0" fontId="186" fillId="0" borderId="30" xfId="106" applyFont="1" applyFill="1" applyBorder="1" applyAlignment="1">
      <alignment vertical="center" wrapText="1"/>
    </xf>
    <xf numFmtId="3" fontId="186" fillId="0" borderId="0" xfId="106" applyNumberFormat="1" applyFont="1" applyFill="1" applyAlignment="1">
      <alignment vertical="center" wrapText="1"/>
    </xf>
    <xf numFmtId="0" fontId="186" fillId="0" borderId="0" xfId="106" applyFont="1" applyFill="1" applyAlignment="1">
      <alignment vertical="center" wrapText="1"/>
    </xf>
    <xf numFmtId="37" fontId="26" fillId="0" borderId="7" xfId="63" applyNumberFormat="1" applyFont="1" applyFill="1" applyBorder="1" applyAlignment="1">
      <alignment horizontal="right" vertical="center"/>
    </xf>
    <xf numFmtId="3" fontId="162" fillId="0" borderId="7" xfId="106" applyNumberFormat="1" applyFont="1" applyFill="1" applyBorder="1" applyAlignment="1">
      <alignment vertical="center" wrapText="1"/>
    </xf>
    <xf numFmtId="0" fontId="162" fillId="0" borderId="10" xfId="106" applyFont="1" applyFill="1" applyBorder="1" applyAlignment="1">
      <alignment horizontal="center" vertical="center"/>
    </xf>
    <xf numFmtId="0" fontId="162" fillId="0" borderId="10" xfId="106" applyFont="1" applyFill="1" applyBorder="1" applyAlignment="1">
      <alignment horizontal="right" vertical="center"/>
    </xf>
    <xf numFmtId="0" fontId="162" fillId="0" borderId="10" xfId="106" applyFont="1" applyFill="1" applyBorder="1" applyAlignment="1">
      <alignment horizontal="left" vertical="center" wrapText="1"/>
    </xf>
    <xf numFmtId="3" fontId="162" fillId="0" borderId="10" xfId="106" applyNumberFormat="1" applyFont="1" applyFill="1" applyBorder="1" applyAlignment="1">
      <alignment horizontal="right" vertical="center" wrapText="1"/>
    </xf>
    <xf numFmtId="167" fontId="162" fillId="29" borderId="10" xfId="106" applyNumberFormat="1" applyFont="1" applyFill="1" applyBorder="1" applyAlignment="1">
      <alignment horizontal="right" vertical="center"/>
    </xf>
    <xf numFmtId="167" fontId="162" fillId="29" borderId="5" xfId="106" applyNumberFormat="1" applyFont="1" applyFill="1" applyBorder="1" applyAlignment="1">
      <alignment horizontal="right" vertical="center"/>
    </xf>
    <xf numFmtId="43" fontId="162" fillId="29" borderId="5" xfId="106" applyNumberFormat="1" applyFont="1" applyFill="1" applyBorder="1" applyAlignment="1">
      <alignment horizontal="right" vertical="center"/>
    </xf>
    <xf numFmtId="0" fontId="185" fillId="0" borderId="50" xfId="106" applyFont="1" applyFill="1" applyBorder="1" applyAlignment="1">
      <alignment vertical="center" wrapText="1"/>
    </xf>
    <xf numFmtId="167" fontId="162" fillId="0" borderId="10" xfId="106" applyNumberFormat="1" applyFont="1" applyFill="1" applyBorder="1" applyAlignment="1">
      <alignment horizontal="center" vertical="center"/>
    </xf>
    <xf numFmtId="0" fontId="162" fillId="0" borderId="0" xfId="106" applyFont="1" applyFill="1" applyBorder="1" applyAlignment="1">
      <alignment horizontal="center" vertical="center" wrapText="1"/>
    </xf>
    <xf numFmtId="0" fontId="26" fillId="0" borderId="0" xfId="106" applyFont="1" applyFill="1" applyBorder="1" applyAlignment="1">
      <alignment vertical="center" wrapText="1"/>
    </xf>
    <xf numFmtId="3" fontId="26" fillId="0" borderId="0" xfId="106" applyNumberFormat="1" applyFont="1" applyFill="1" applyAlignment="1">
      <alignment vertical="center"/>
    </xf>
    <xf numFmtId="3" fontId="26" fillId="0" borderId="0" xfId="106" applyNumberFormat="1" applyFont="1" applyFill="1"/>
    <xf numFmtId="0" fontId="174" fillId="0" borderId="0" xfId="106" applyFont="1" applyFill="1" applyAlignment="1">
      <alignment horizontal="center"/>
    </xf>
    <xf numFmtId="0" fontId="162" fillId="2" borderId="0" xfId="106" applyFont="1" applyFill="1" applyAlignment="1">
      <alignment horizontal="center"/>
    </xf>
    <xf numFmtId="0" fontId="162" fillId="2" borderId="0" xfId="106" applyFont="1" applyFill="1" applyAlignment="1">
      <alignment horizontal="left" vertical="center" wrapText="1"/>
    </xf>
    <xf numFmtId="0" fontId="187" fillId="0" borderId="0" xfId="106" applyFont="1" applyFill="1"/>
    <xf numFmtId="0" fontId="162" fillId="0" borderId="0" xfId="106" applyFont="1" applyAlignment="1">
      <alignment horizontal="right"/>
    </xf>
    <xf numFmtId="0" fontId="26" fillId="2" borderId="0" xfId="106" applyFont="1" applyFill="1"/>
    <xf numFmtId="0" fontId="26" fillId="2" borderId="0" xfId="106" applyFont="1" applyFill="1" applyAlignment="1">
      <alignment horizontal="right"/>
    </xf>
    <xf numFmtId="0" fontId="26" fillId="2" borderId="0" xfId="106" applyFont="1" applyFill="1" applyAlignment="1">
      <alignment horizontal="left" vertical="center" wrapText="1"/>
    </xf>
    <xf numFmtId="0" fontId="162" fillId="0" borderId="0" xfId="106" applyFont="1" applyAlignment="1">
      <alignment horizontal="center"/>
    </xf>
    <xf numFmtId="0" fontId="162" fillId="0" borderId="0" xfId="106" applyFont="1" applyAlignment="1">
      <alignment horizontal="center" wrapText="1"/>
    </xf>
    <xf numFmtId="0" fontId="26" fillId="2" borderId="0" xfId="106" applyFont="1" applyFill="1" applyAlignment="1">
      <alignment wrapText="1"/>
    </xf>
    <xf numFmtId="0" fontId="174" fillId="0" borderId="0" xfId="106" applyNumberFormat="1" applyFont="1" applyFill="1" applyAlignment="1">
      <alignment horizontal="right"/>
    </xf>
    <xf numFmtId="0" fontId="174" fillId="0" borderId="0" xfId="106" applyFont="1" applyBorder="1" applyAlignment="1">
      <alignment horizontal="right"/>
    </xf>
    <xf numFmtId="0" fontId="162" fillId="2" borderId="0" xfId="106" applyFont="1" applyFill="1"/>
    <xf numFmtId="0" fontId="162" fillId="2" borderId="59" xfId="106" applyFont="1" applyFill="1" applyBorder="1" applyAlignment="1">
      <alignment horizontal="center" vertical="center"/>
    </xf>
    <xf numFmtId="0" fontId="162" fillId="2" borderId="34" xfId="106" applyFont="1" applyFill="1" applyBorder="1" applyAlignment="1">
      <alignment horizontal="center" vertical="center" wrapText="1"/>
    </xf>
    <xf numFmtId="0" fontId="162" fillId="2" borderId="38" xfId="106" applyFont="1" applyFill="1" applyBorder="1" applyAlignment="1">
      <alignment horizontal="center" vertical="center"/>
    </xf>
    <xf numFmtId="0" fontId="162" fillId="2" borderId="37" xfId="106" applyFont="1" applyFill="1" applyBorder="1" applyAlignment="1">
      <alignment horizontal="center" vertical="center"/>
    </xf>
    <xf numFmtId="0" fontId="162" fillId="0" borderId="60" xfId="106" applyFont="1" applyFill="1" applyBorder="1" applyAlignment="1">
      <alignment horizontal="center" vertical="center"/>
    </xf>
    <xf numFmtId="0" fontId="162" fillId="2" borderId="0" xfId="106" applyFont="1" applyFill="1" applyAlignment="1">
      <alignment horizontal="center" vertical="center"/>
    </xf>
    <xf numFmtId="0" fontId="162" fillId="2" borderId="34" xfId="106" applyFont="1" applyFill="1" applyBorder="1" applyAlignment="1">
      <alignment horizontal="center" vertical="center"/>
    </xf>
    <xf numFmtId="0" fontId="162" fillId="2" borderId="34" xfId="106" applyFont="1" applyFill="1" applyBorder="1" applyAlignment="1">
      <alignment horizontal="right" vertical="center"/>
    </xf>
    <xf numFmtId="0" fontId="162" fillId="2" borderId="6" xfId="106" applyFont="1" applyFill="1" applyBorder="1" applyAlignment="1">
      <alignment horizontal="center" vertical="center"/>
    </xf>
    <xf numFmtId="0" fontId="162" fillId="49" borderId="6" xfId="106" applyFont="1" applyFill="1" applyBorder="1" applyAlignment="1">
      <alignment horizontal="left" vertical="top" wrapText="1"/>
    </xf>
    <xf numFmtId="3" fontId="162" fillId="0" borderId="6" xfId="106" applyNumberFormat="1" applyFont="1" applyFill="1" applyBorder="1" applyAlignment="1">
      <alignment horizontal="right" vertical="center"/>
    </xf>
    <xf numFmtId="4" fontId="162" fillId="0" borderId="6" xfId="106" applyNumberFormat="1" applyFont="1" applyFill="1" applyBorder="1" applyAlignment="1">
      <alignment horizontal="right" vertical="center"/>
    </xf>
    <xf numFmtId="3" fontId="162" fillId="2" borderId="0" xfId="106" applyNumberFormat="1" applyFont="1" applyFill="1" applyAlignment="1">
      <alignment horizontal="center" vertical="center"/>
    </xf>
    <xf numFmtId="4" fontId="162" fillId="2" borderId="8" xfId="106" applyNumberFormat="1" applyFont="1" applyFill="1" applyBorder="1" applyAlignment="1">
      <alignment horizontal="center" vertical="center"/>
    </xf>
    <xf numFmtId="3" fontId="162" fillId="2" borderId="8" xfId="106" applyNumberFormat="1" applyFont="1" applyFill="1" applyBorder="1" applyAlignment="1">
      <alignment horizontal="right" vertical="center"/>
    </xf>
    <xf numFmtId="0" fontId="162" fillId="2" borderId="7" xfId="106" applyFont="1" applyFill="1" applyBorder="1" applyAlignment="1">
      <alignment horizontal="center" vertical="center"/>
    </xf>
    <xf numFmtId="0" fontId="162" fillId="50" borderId="7" xfId="106" applyFont="1" applyFill="1" applyBorder="1" applyAlignment="1">
      <alignment horizontal="left" vertical="top" wrapText="1"/>
    </xf>
    <xf numFmtId="3" fontId="162" fillId="0" borderId="7" xfId="106" applyNumberFormat="1" applyFont="1" applyFill="1" applyBorder="1" applyAlignment="1">
      <alignment horizontal="right" vertical="center"/>
    </xf>
    <xf numFmtId="4" fontId="162" fillId="0" borderId="7" xfId="106" applyNumberFormat="1" applyFont="1" applyFill="1" applyBorder="1" applyAlignment="1">
      <alignment horizontal="right" vertical="center"/>
    </xf>
    <xf numFmtId="4" fontId="162" fillId="2" borderId="7" xfId="106" applyNumberFormat="1" applyFont="1" applyFill="1" applyBorder="1" applyAlignment="1">
      <alignment horizontal="center" vertical="center"/>
    </xf>
    <xf numFmtId="3" fontId="162" fillId="2" borderId="7" xfId="106" applyNumberFormat="1" applyFont="1" applyFill="1" applyBorder="1" applyAlignment="1">
      <alignment horizontal="right" vertical="center"/>
    </xf>
    <xf numFmtId="0" fontId="162" fillId="2" borderId="7" xfId="106" applyNumberFormat="1" applyFont="1" applyFill="1" applyBorder="1" applyAlignment="1">
      <alignment horizontal="left" vertical="center" wrapText="1"/>
    </xf>
    <xf numFmtId="3" fontId="175" fillId="0" borderId="7" xfId="106" applyNumberFormat="1" applyFont="1" applyFill="1" applyBorder="1" applyAlignment="1">
      <alignment horizontal="right" vertical="center"/>
    </xf>
    <xf numFmtId="0" fontId="162" fillId="2" borderId="0" xfId="106" applyFont="1" applyFill="1" applyAlignment="1">
      <alignment horizontal="left" vertical="center"/>
    </xf>
    <xf numFmtId="0" fontId="188" fillId="3" borderId="7" xfId="106" applyFont="1" applyFill="1" applyBorder="1" applyAlignment="1">
      <alignment horizontal="left" vertical="top" wrapText="1"/>
    </xf>
    <xf numFmtId="0" fontId="162" fillId="28" borderId="7" xfId="106" applyFont="1" applyFill="1" applyBorder="1" applyAlignment="1">
      <alignment horizontal="left" vertical="top" wrapText="1"/>
    </xf>
    <xf numFmtId="0" fontId="184" fillId="2" borderId="7" xfId="106" applyFont="1" applyFill="1" applyBorder="1" applyAlignment="1">
      <alignment horizontal="center" vertical="center"/>
    </xf>
    <xf numFmtId="0" fontId="174" fillId="2" borderId="7" xfId="106" applyNumberFormat="1" applyFont="1" applyFill="1" applyBorder="1" applyAlignment="1">
      <alignment horizontal="left" vertical="center" wrapText="1"/>
    </xf>
    <xf numFmtId="43" fontId="174" fillId="2" borderId="7" xfId="63" applyFont="1" applyFill="1" applyBorder="1" applyAlignment="1">
      <alignment vertical="center"/>
    </xf>
    <xf numFmtId="0" fontId="174" fillId="2" borderId="0" xfId="106" applyFont="1" applyFill="1" applyAlignment="1">
      <alignment vertical="center"/>
    </xf>
    <xf numFmtId="0" fontId="162" fillId="2" borderId="7" xfId="106" applyNumberFormat="1" applyFont="1" applyFill="1" applyBorder="1" applyAlignment="1">
      <alignment vertical="center" wrapText="1"/>
    </xf>
    <xf numFmtId="3" fontId="162" fillId="2" borderId="7" xfId="106" applyNumberFormat="1" applyFont="1" applyFill="1" applyBorder="1" applyAlignment="1">
      <alignment vertical="center"/>
    </xf>
    <xf numFmtId="0" fontId="162" fillId="2" borderId="0" xfId="106" applyFont="1" applyFill="1" applyAlignment="1">
      <alignment vertical="center"/>
    </xf>
    <xf numFmtId="43" fontId="174" fillId="0" borderId="7" xfId="63" applyFont="1" applyFill="1" applyBorder="1" applyAlignment="1">
      <alignment vertical="center"/>
    </xf>
    <xf numFmtId="3" fontId="174" fillId="2" borderId="0" xfId="106" applyNumberFormat="1" applyFont="1" applyFill="1" applyAlignment="1">
      <alignment vertical="center"/>
    </xf>
    <xf numFmtId="3" fontId="174" fillId="0" borderId="7" xfId="106" applyNumberFormat="1" applyFont="1" applyFill="1" applyBorder="1" applyAlignment="1">
      <alignment vertical="center"/>
    </xf>
    <xf numFmtId="3" fontId="174" fillId="2" borderId="7" xfId="106" applyNumberFormat="1" applyFont="1" applyFill="1" applyBorder="1" applyAlignment="1">
      <alignment vertical="center"/>
    </xf>
    <xf numFmtId="0" fontId="26" fillId="2" borderId="7" xfId="106" applyNumberFormat="1" applyFont="1" applyFill="1" applyBorder="1" applyAlignment="1">
      <alignment vertical="center" wrapText="1"/>
    </xf>
    <xf numFmtId="3" fontId="26" fillId="0" borderId="7" xfId="106" applyNumberFormat="1" applyFont="1" applyFill="1" applyBorder="1" applyAlignment="1">
      <alignment vertical="center"/>
    </xf>
    <xf numFmtId="3" fontId="26" fillId="2" borderId="7" xfId="106" applyNumberFormat="1" applyFont="1" applyFill="1" applyBorder="1" applyAlignment="1">
      <alignment vertical="center"/>
    </xf>
    <xf numFmtId="4" fontId="26" fillId="0" borderId="7" xfId="106" applyNumberFormat="1" applyFont="1" applyFill="1" applyBorder="1" applyAlignment="1">
      <alignment horizontal="right" vertical="center"/>
    </xf>
    <xf numFmtId="0" fontId="26" fillId="2" borderId="0" xfId="106" applyFont="1" applyFill="1" applyAlignment="1">
      <alignment vertical="center"/>
    </xf>
    <xf numFmtId="4" fontId="26" fillId="2" borderId="7" xfId="106" applyNumberFormat="1" applyFont="1" applyFill="1" applyBorder="1" applyAlignment="1">
      <alignment horizontal="center" vertical="center"/>
    </xf>
    <xf numFmtId="3" fontId="26" fillId="2" borderId="7" xfId="106" applyNumberFormat="1" applyFont="1" applyFill="1" applyBorder="1" applyAlignment="1">
      <alignment horizontal="right" vertical="center"/>
    </xf>
    <xf numFmtId="3" fontId="26" fillId="0" borderId="7" xfId="106" applyNumberFormat="1" applyFont="1" applyBorder="1" applyAlignment="1">
      <alignment vertical="center"/>
    </xf>
    <xf numFmtId="0" fontId="26" fillId="0" borderId="7" xfId="106" applyNumberFormat="1" applyFont="1" applyBorder="1" applyAlignment="1">
      <alignment vertical="center" wrapText="1"/>
    </xf>
    <xf numFmtId="0" fontId="65" fillId="0" borderId="7" xfId="106" applyFont="1" applyBorder="1" applyAlignment="1">
      <alignment horizontal="left" vertical="top" wrapText="1"/>
    </xf>
    <xf numFmtId="3" fontId="162" fillId="0" borderId="7" xfId="106" applyNumberFormat="1" applyFont="1" applyFill="1" applyBorder="1" applyAlignment="1">
      <alignment vertical="center"/>
    </xf>
    <xf numFmtId="0" fontId="162" fillId="0" borderId="7" xfId="106" applyNumberFormat="1" applyFont="1" applyFill="1" applyBorder="1" applyAlignment="1">
      <alignment vertical="center" wrapText="1"/>
    </xf>
    <xf numFmtId="0" fontId="175" fillId="0" borderId="7" xfId="106" applyFont="1" applyBorder="1" applyAlignment="1">
      <alignment horizontal="center"/>
    </xf>
    <xf numFmtId="0" fontId="175" fillId="0" borderId="7" xfId="106" applyFont="1" applyBorder="1" applyAlignment="1">
      <alignment vertical="center" wrapText="1"/>
    </xf>
    <xf numFmtId="167" fontId="162" fillId="0" borderId="7" xfId="63" applyNumberFormat="1" applyFont="1" applyFill="1" applyBorder="1"/>
    <xf numFmtId="0" fontId="66" fillId="0" borderId="7" xfId="106" applyFont="1" applyBorder="1" applyAlignment="1">
      <alignment horizontal="center"/>
    </xf>
    <xf numFmtId="0" fontId="66" fillId="0" borderId="7" xfId="106" applyFont="1" applyBorder="1" applyAlignment="1">
      <alignment vertical="center" wrapText="1"/>
    </xf>
    <xf numFmtId="3" fontId="26" fillId="0" borderId="7" xfId="106" applyNumberFormat="1" applyFont="1" applyFill="1" applyBorder="1"/>
    <xf numFmtId="167" fontId="26" fillId="2" borderId="7" xfId="63" applyNumberFormat="1" applyFont="1" applyFill="1" applyBorder="1"/>
    <xf numFmtId="0" fontId="175" fillId="0" borderId="17" xfId="106" applyFont="1" applyBorder="1" applyAlignment="1">
      <alignment horizontal="center"/>
    </xf>
    <xf numFmtId="0" fontId="172" fillId="27" borderId="7" xfId="11" quotePrefix="1" applyFont="1" applyFill="1" applyBorder="1" applyAlignment="1">
      <alignment vertical="center" wrapText="1"/>
    </xf>
    <xf numFmtId="3" fontId="26" fillId="0" borderId="17" xfId="106" applyNumberFormat="1" applyFont="1" applyFill="1" applyBorder="1"/>
    <xf numFmtId="3" fontId="162" fillId="0" borderId="17" xfId="106" applyNumberFormat="1" applyFont="1" applyFill="1" applyBorder="1"/>
    <xf numFmtId="167" fontId="26" fillId="2" borderId="17" xfId="63" applyNumberFormat="1" applyFont="1" applyFill="1" applyBorder="1"/>
    <xf numFmtId="0" fontId="175" fillId="0" borderId="10" xfId="106" applyFont="1" applyBorder="1" applyAlignment="1">
      <alignment horizontal="center"/>
    </xf>
    <xf numFmtId="0" fontId="175" fillId="0" borderId="10" xfId="106" applyFont="1" applyBorder="1" applyAlignment="1">
      <alignment wrapText="1"/>
    </xf>
    <xf numFmtId="3" fontId="162" fillId="0" borderId="10" xfId="106" applyNumberFormat="1" applyFont="1" applyFill="1" applyBorder="1"/>
    <xf numFmtId="167" fontId="162" fillId="0" borderId="10" xfId="106" applyNumberFormat="1" applyFont="1" applyFill="1" applyBorder="1"/>
    <xf numFmtId="4" fontId="162" fillId="2" borderId="10" xfId="106" applyNumberFormat="1" applyFont="1" applyFill="1" applyBorder="1" applyAlignment="1">
      <alignment horizontal="center" vertical="center"/>
    </xf>
    <xf numFmtId="3" fontId="162" fillId="2" borderId="10" xfId="106" applyNumberFormat="1" applyFont="1" applyFill="1" applyBorder="1" applyAlignment="1">
      <alignment horizontal="right" vertical="center"/>
    </xf>
    <xf numFmtId="167" fontId="26" fillId="0" borderId="0" xfId="63" applyNumberFormat="1" applyFont="1" applyFill="1"/>
    <xf numFmtId="0" fontId="26" fillId="0" borderId="0" xfId="106" applyNumberFormat="1" applyFont="1" applyFill="1" applyAlignment="1">
      <alignment horizontal="left" wrapText="1"/>
    </xf>
    <xf numFmtId="167" fontId="187" fillId="0" borderId="0" xfId="63" applyNumberFormat="1" applyFont="1" applyFill="1"/>
    <xf numFmtId="0" fontId="26" fillId="0" borderId="0" xfId="106" applyNumberFormat="1" applyFont="1" applyFill="1" applyAlignment="1">
      <alignment horizontal="right" wrapText="1"/>
    </xf>
    <xf numFmtId="3" fontId="187" fillId="0" borderId="0" xfId="106" applyNumberFormat="1" applyFont="1" applyFill="1"/>
    <xf numFmtId="0" fontId="119" fillId="0" borderId="0" xfId="106" applyFont="1" applyFill="1" applyAlignment="1">
      <alignment horizontal="center"/>
    </xf>
    <xf numFmtId="0" fontId="119" fillId="0" borderId="0" xfId="106" applyFont="1" applyFill="1" applyAlignment="1">
      <alignment horizontal="left" vertical="center"/>
    </xf>
    <xf numFmtId="0" fontId="122" fillId="0" borderId="0" xfId="106" applyFont="1" applyFill="1"/>
    <xf numFmtId="0" fontId="189" fillId="0" borderId="0" xfId="106" applyFont="1" applyFill="1" applyAlignment="1">
      <alignment horizontal="right"/>
    </xf>
    <xf numFmtId="0" fontId="122" fillId="0" borderId="0" xfId="106" applyFont="1" applyFill="1" applyAlignment="1">
      <alignment horizontal="left" vertical="center"/>
    </xf>
    <xf numFmtId="0" fontId="122" fillId="0" borderId="0" xfId="106" applyFont="1" applyFill="1" applyAlignment="1">
      <alignment horizontal="centerContinuous" wrapText="1"/>
    </xf>
    <xf numFmtId="0" fontId="118" fillId="0" borderId="0" xfId="106" applyNumberFormat="1" applyFont="1" applyFill="1" applyBorder="1" applyAlignment="1">
      <alignment vertical="center"/>
    </xf>
    <xf numFmtId="3" fontId="122" fillId="0" borderId="0" xfId="106" applyNumberFormat="1" applyFont="1" applyFill="1"/>
    <xf numFmtId="0" fontId="190" fillId="0" borderId="0" xfId="106" applyFont="1" applyFill="1" applyBorder="1" applyAlignment="1">
      <alignment horizontal="right"/>
    </xf>
    <xf numFmtId="0" fontId="119" fillId="0" borderId="0" xfId="106" applyFont="1" applyFill="1"/>
    <xf numFmtId="167" fontId="119" fillId="0" borderId="0" xfId="63" applyNumberFormat="1" applyFont="1" applyFill="1"/>
    <xf numFmtId="167" fontId="189" fillId="0" borderId="0" xfId="63" applyNumberFormat="1" applyFont="1" applyFill="1" applyBorder="1" applyAlignment="1">
      <alignment horizontal="right"/>
    </xf>
    <xf numFmtId="167" fontId="191" fillId="0" borderId="0" xfId="63" applyNumberFormat="1" applyFont="1" applyFill="1" applyBorder="1" applyAlignment="1">
      <alignment horizontal="right"/>
    </xf>
    <xf numFmtId="43" fontId="119" fillId="0" borderId="0" xfId="63" applyNumberFormat="1" applyFont="1" applyFill="1"/>
    <xf numFmtId="0" fontId="189" fillId="0" borderId="0" xfId="106" applyNumberFormat="1" applyFont="1" applyFill="1" applyBorder="1" applyAlignment="1">
      <alignment horizontal="center" vertical="center" wrapText="1"/>
    </xf>
    <xf numFmtId="0" fontId="192" fillId="0" borderId="0" xfId="106" applyFont="1" applyFill="1"/>
    <xf numFmtId="167" fontId="189" fillId="0" borderId="0" xfId="63" applyNumberFormat="1" applyFont="1" applyFill="1" applyBorder="1" applyAlignment="1">
      <alignment horizontal="center" vertical="center" wrapText="1"/>
    </xf>
    <xf numFmtId="0" fontId="189" fillId="0" borderId="18" xfId="106" applyNumberFormat="1" applyFont="1" applyFill="1" applyBorder="1" applyAlignment="1">
      <alignment vertical="center" wrapText="1"/>
    </xf>
    <xf numFmtId="0" fontId="189" fillId="0" borderId="0" xfId="106" applyNumberFormat="1" applyFont="1" applyFill="1" applyBorder="1" applyAlignment="1">
      <alignment vertical="center" wrapText="1"/>
    </xf>
    <xf numFmtId="0" fontId="192" fillId="0" borderId="0" xfId="106" applyFont="1" applyFill="1" applyAlignment="1">
      <alignment horizontal="center"/>
    </xf>
    <xf numFmtId="167" fontId="192" fillId="0" borderId="0" xfId="106" applyNumberFormat="1" applyFont="1" applyFill="1" applyAlignment="1">
      <alignment horizontal="center"/>
    </xf>
    <xf numFmtId="0" fontId="119" fillId="0" borderId="34" xfId="106" applyFont="1" applyFill="1" applyBorder="1" applyAlignment="1">
      <alignment horizontal="center" vertical="center"/>
    </xf>
    <xf numFmtId="0" fontId="194" fillId="0" borderId="34" xfId="106" applyFont="1" applyFill="1" applyBorder="1" applyAlignment="1">
      <alignment horizontal="center" vertical="center"/>
    </xf>
    <xf numFmtId="0" fontId="194" fillId="0" borderId="34" xfId="106" quotePrefix="1" applyFont="1" applyFill="1" applyBorder="1" applyAlignment="1">
      <alignment horizontal="center" vertical="center"/>
    </xf>
    <xf numFmtId="3" fontId="194" fillId="0" borderId="0" xfId="106" quotePrefix="1" applyNumberFormat="1" applyFont="1" applyFill="1" applyBorder="1" applyAlignment="1">
      <alignment horizontal="center" vertical="center"/>
    </xf>
    <xf numFmtId="3" fontId="194" fillId="0" borderId="0" xfId="106" quotePrefix="1" applyNumberFormat="1" applyFont="1" applyFill="1" applyBorder="1" applyAlignment="1">
      <alignment horizontal="right" vertical="center"/>
    </xf>
    <xf numFmtId="3" fontId="194" fillId="0" borderId="0" xfId="106" applyNumberFormat="1" applyFont="1" applyFill="1" applyAlignment="1">
      <alignment horizontal="center" vertical="center"/>
    </xf>
    <xf numFmtId="167" fontId="194" fillId="0" borderId="0" xfId="63" applyNumberFormat="1" applyFont="1" applyFill="1" applyAlignment="1">
      <alignment horizontal="center" vertical="center"/>
    </xf>
    <xf numFmtId="0" fontId="194" fillId="0" borderId="0" xfId="106" applyFont="1" applyFill="1" applyAlignment="1">
      <alignment horizontal="center" vertical="center"/>
    </xf>
    <xf numFmtId="0" fontId="119" fillId="0" borderId="6" xfId="106" applyFont="1" applyFill="1" applyBorder="1" applyAlignment="1">
      <alignment horizontal="center" vertical="center" wrapText="1"/>
    </xf>
    <xf numFmtId="0" fontId="166" fillId="0" borderId="6" xfId="106" applyNumberFormat="1" applyFont="1" applyFill="1" applyBorder="1" applyAlignment="1">
      <alignment horizontal="left" vertical="center" wrapText="1"/>
    </xf>
    <xf numFmtId="3" fontId="122" fillId="0" borderId="6" xfId="106" applyNumberFormat="1" applyFont="1" applyFill="1" applyBorder="1" applyAlignment="1">
      <alignment vertical="center" wrapText="1"/>
    </xf>
    <xf numFmtId="3" fontId="122" fillId="0" borderId="0" xfId="106" applyNumberFormat="1" applyFont="1" applyFill="1" applyBorder="1" applyAlignment="1">
      <alignment vertical="center" wrapText="1"/>
    </xf>
    <xf numFmtId="0" fontId="122" fillId="0" borderId="0" xfId="106" applyFont="1" applyFill="1" applyAlignment="1">
      <alignment vertical="center" wrapText="1"/>
    </xf>
    <xf numFmtId="167" fontId="122" fillId="0" borderId="0" xfId="106" applyNumberFormat="1" applyFont="1" applyFill="1" applyAlignment="1">
      <alignment vertical="center" wrapText="1"/>
    </xf>
    <xf numFmtId="0" fontId="189" fillId="0" borderId="7" xfId="106" applyFont="1" applyFill="1" applyBorder="1" applyAlignment="1">
      <alignment horizontal="center"/>
    </xf>
    <xf numFmtId="0" fontId="195" fillId="0" borderId="7" xfId="106" applyFont="1" applyFill="1" applyBorder="1"/>
    <xf numFmtId="3" fontId="119" fillId="0" borderId="7" xfId="106" applyNumberFormat="1" applyFont="1" applyFill="1" applyBorder="1" applyAlignment="1">
      <alignment vertical="center" wrapText="1"/>
    </xf>
    <xf numFmtId="3" fontId="119" fillId="0" borderId="0" xfId="106" applyNumberFormat="1" applyFont="1" applyFill="1" applyBorder="1" applyAlignment="1">
      <alignment vertical="center" wrapText="1"/>
    </xf>
    <xf numFmtId="3" fontId="119" fillId="48" borderId="0" xfId="106" applyNumberFormat="1" applyFont="1" applyFill="1" applyBorder="1" applyAlignment="1">
      <alignment vertical="center" wrapText="1"/>
    </xf>
    <xf numFmtId="3" fontId="122" fillId="48" borderId="0" xfId="106" applyNumberFormat="1" applyFont="1" applyFill="1" applyBorder="1" applyAlignment="1">
      <alignment vertical="center" wrapText="1"/>
    </xf>
    <xf numFmtId="3" fontId="120" fillId="0" borderId="0" xfId="106" applyNumberFormat="1" applyFont="1" applyFill="1" applyAlignment="1">
      <alignment vertical="center" wrapText="1"/>
    </xf>
    <xf numFmtId="0" fontId="120" fillId="0" borderId="0" xfId="106" applyFont="1" applyFill="1" applyAlignment="1">
      <alignment vertical="center" wrapText="1"/>
    </xf>
    <xf numFmtId="0" fontId="181" fillId="0" borderId="7" xfId="106" applyFont="1" applyFill="1" applyBorder="1" applyAlignment="1">
      <alignment horizontal="center"/>
    </xf>
    <xf numFmtId="0" fontId="181" fillId="0" borderId="7" xfId="106" applyFont="1" applyFill="1" applyBorder="1"/>
    <xf numFmtId="3" fontId="122" fillId="0" borderId="7" xfId="106" applyNumberFormat="1" applyFont="1" applyFill="1" applyBorder="1" applyAlignment="1">
      <alignment vertical="center" wrapText="1"/>
    </xf>
    <xf numFmtId="3" fontId="122" fillId="0" borderId="0" xfId="106" applyNumberFormat="1" applyFont="1" applyFill="1" applyAlignment="1">
      <alignment vertical="center" wrapText="1"/>
    </xf>
    <xf numFmtId="3" fontId="118" fillId="0" borderId="0" xfId="106" applyNumberFormat="1" applyFont="1" applyFill="1" applyAlignment="1">
      <alignment vertical="center" wrapText="1"/>
    </xf>
    <xf numFmtId="167" fontId="118" fillId="0" borderId="0" xfId="63" applyNumberFormat="1" applyFont="1" applyFill="1" applyAlignment="1">
      <alignment vertical="center" wrapText="1"/>
    </xf>
    <xf numFmtId="0" fontId="118" fillId="0" borderId="0" xfId="106" applyFont="1" applyFill="1" applyAlignment="1">
      <alignment vertical="center" wrapText="1"/>
    </xf>
    <xf numFmtId="0" fontId="181" fillId="0" borderId="7" xfId="106" quotePrefix="1" applyFont="1" applyFill="1" applyBorder="1" applyAlignment="1">
      <alignment horizontal="center"/>
    </xf>
    <xf numFmtId="3" fontId="121" fillId="3" borderId="0" xfId="106" applyNumberFormat="1" applyFont="1" applyFill="1" applyBorder="1" applyAlignment="1">
      <alignment vertical="center" wrapText="1"/>
    </xf>
    <xf numFmtId="3" fontId="119" fillId="0" borderId="0" xfId="106" applyNumberFormat="1" applyFont="1" applyFill="1" applyAlignment="1">
      <alignment vertical="center" wrapText="1"/>
    </xf>
    <xf numFmtId="3" fontId="118" fillId="0" borderId="7" xfId="106" applyNumberFormat="1" applyFont="1" applyFill="1" applyBorder="1" applyAlignment="1">
      <alignment vertical="center" wrapText="1"/>
    </xf>
    <xf numFmtId="3" fontId="118" fillId="0" borderId="0" xfId="106" applyNumberFormat="1" applyFont="1" applyFill="1" applyBorder="1" applyAlignment="1">
      <alignment vertical="center" wrapText="1"/>
    </xf>
    <xf numFmtId="167" fontId="118" fillId="0" borderId="0" xfId="106" applyNumberFormat="1" applyFont="1" applyFill="1" applyAlignment="1">
      <alignment vertical="center" wrapText="1"/>
    </xf>
    <xf numFmtId="0" fontId="181" fillId="31" borderId="7" xfId="106" applyFont="1" applyFill="1" applyBorder="1" applyAlignment="1">
      <alignment horizontal="center"/>
    </xf>
    <xf numFmtId="0" fontId="181" fillId="31" borderId="7" xfId="106" applyFont="1" applyFill="1" applyBorder="1"/>
    <xf numFmtId="3" fontId="118" fillId="31" borderId="7" xfId="106" applyNumberFormat="1" applyFont="1" applyFill="1" applyBorder="1" applyAlignment="1">
      <alignment vertical="center" wrapText="1"/>
    </xf>
    <xf numFmtId="3" fontId="122" fillId="31" borderId="7" xfId="106" applyNumberFormat="1" applyFont="1" applyFill="1" applyBorder="1" applyAlignment="1">
      <alignment vertical="center" wrapText="1"/>
    </xf>
    <xf numFmtId="3" fontId="121" fillId="0" borderId="0" xfId="106" applyNumberFormat="1" applyFont="1" applyFill="1" applyBorder="1" applyAlignment="1">
      <alignment vertical="center" wrapText="1"/>
    </xf>
    <xf numFmtId="3" fontId="120" fillId="0" borderId="7" xfId="106" applyNumberFormat="1" applyFont="1" applyFill="1" applyBorder="1" applyAlignment="1">
      <alignment vertical="center" wrapText="1"/>
    </xf>
    <xf numFmtId="3" fontId="120" fillId="0" borderId="0" xfId="106" applyNumberFormat="1" applyFont="1" applyFill="1" applyBorder="1" applyAlignment="1">
      <alignment vertical="center" wrapText="1"/>
    </xf>
    <xf numFmtId="3" fontId="119" fillId="27" borderId="0" xfId="106" applyNumberFormat="1" applyFont="1" applyFill="1" applyBorder="1" applyAlignment="1">
      <alignment vertical="center" wrapText="1"/>
    </xf>
    <xf numFmtId="0" fontId="181" fillId="35" borderId="7" xfId="106" applyFont="1" applyFill="1" applyBorder="1" applyAlignment="1">
      <alignment horizontal="center"/>
    </xf>
    <xf numFmtId="0" fontId="181" fillId="35" borderId="7" xfId="106" applyFont="1" applyFill="1" applyBorder="1"/>
    <xf numFmtId="3" fontId="122" fillId="35" borderId="7" xfId="106" applyNumberFormat="1" applyFont="1" applyFill="1" applyBorder="1" applyAlignment="1">
      <alignment vertical="center" wrapText="1"/>
    </xf>
    <xf numFmtId="0" fontId="181" fillId="3" borderId="7" xfId="106" quotePrefix="1" applyFont="1" applyFill="1" applyBorder="1" applyAlignment="1">
      <alignment horizontal="center"/>
    </xf>
    <xf numFmtId="0" fontId="181" fillId="3" borderId="7" xfId="106" applyFont="1" applyFill="1" applyBorder="1"/>
    <xf numFmtId="3" fontId="122" fillId="3" borderId="7" xfId="106" applyNumberFormat="1" applyFont="1" applyFill="1" applyBorder="1" applyAlignment="1">
      <alignment vertical="center" wrapText="1"/>
    </xf>
    <xf numFmtId="167" fontId="122" fillId="0" borderId="0" xfId="63" applyNumberFormat="1" applyFont="1" applyFill="1" applyAlignment="1">
      <alignment vertical="center" wrapText="1"/>
    </xf>
    <xf numFmtId="0" fontId="189" fillId="45" borderId="7" xfId="106" applyFont="1" applyFill="1" applyBorder="1" applyAlignment="1">
      <alignment horizontal="center"/>
    </xf>
    <xf numFmtId="0" fontId="189" fillId="45" borderId="7" xfId="106" applyFont="1" applyFill="1" applyBorder="1"/>
    <xf numFmtId="3" fontId="122" fillId="45" borderId="7" xfId="106" applyNumberFormat="1" applyFont="1" applyFill="1" applyBorder="1" applyAlignment="1">
      <alignment vertical="center" wrapText="1"/>
    </xf>
    <xf numFmtId="3" fontId="119" fillId="45" borderId="7" xfId="106" applyNumberFormat="1" applyFont="1" applyFill="1" applyBorder="1" applyAlignment="1">
      <alignment vertical="center" wrapText="1"/>
    </xf>
    <xf numFmtId="167" fontId="119" fillId="0" borderId="0" xfId="63" applyNumberFormat="1" applyFont="1" applyFill="1" applyAlignment="1">
      <alignment vertical="center" wrapText="1"/>
    </xf>
    <xf numFmtId="0" fontId="119" fillId="0" borderId="0" xfId="106" applyFont="1" applyFill="1" applyAlignment="1">
      <alignment vertical="center" wrapText="1"/>
    </xf>
    <xf numFmtId="0" fontId="189" fillId="0" borderId="7" xfId="106" applyFont="1" applyFill="1" applyBorder="1"/>
    <xf numFmtId="3" fontId="196" fillId="0" borderId="7" xfId="106" applyNumberFormat="1" applyFont="1" applyFill="1" applyBorder="1" applyAlignment="1">
      <alignment vertical="center" wrapText="1"/>
    </xf>
    <xf numFmtId="3" fontId="196" fillId="0" borderId="0" xfId="106" applyNumberFormat="1" applyFont="1" applyFill="1" applyBorder="1" applyAlignment="1">
      <alignment vertical="center" wrapText="1"/>
    </xf>
    <xf numFmtId="0" fontId="196" fillId="0" borderId="0" xfId="106" applyFont="1" applyFill="1" applyAlignment="1">
      <alignment vertical="center" wrapText="1"/>
    </xf>
    <xf numFmtId="43" fontId="196" fillId="0" borderId="0" xfId="63" applyFont="1" applyFill="1" applyAlignment="1">
      <alignment vertical="center" wrapText="1"/>
    </xf>
    <xf numFmtId="0" fontId="197" fillId="0" borderId="0" xfId="106" applyFont="1" applyFill="1" applyAlignment="1">
      <alignment vertical="center" wrapText="1"/>
    </xf>
    <xf numFmtId="3" fontId="197" fillId="0" borderId="7" xfId="106" applyNumberFormat="1" applyFont="1" applyFill="1" applyBorder="1" applyAlignment="1">
      <alignment vertical="center" wrapText="1"/>
    </xf>
    <xf numFmtId="3" fontId="197" fillId="0" borderId="0" xfId="106" applyNumberFormat="1" applyFont="1" applyFill="1" applyBorder="1" applyAlignment="1">
      <alignment vertical="center" wrapText="1"/>
    </xf>
    <xf numFmtId="0" fontId="119" fillId="0" borderId="10" xfId="106" applyFont="1" applyFill="1" applyBorder="1" applyAlignment="1">
      <alignment horizontal="center" vertical="center" wrapText="1"/>
    </xf>
    <xf numFmtId="0" fontId="122" fillId="0" borderId="10" xfId="106" applyFont="1" applyFill="1" applyBorder="1" applyAlignment="1">
      <alignment vertical="center" wrapText="1"/>
    </xf>
    <xf numFmtId="3" fontId="122" fillId="0" borderId="10" xfId="106" applyNumberFormat="1" applyFont="1" applyFill="1" applyBorder="1" applyAlignment="1">
      <alignment vertical="center" wrapText="1"/>
    </xf>
    <xf numFmtId="0" fontId="198" fillId="0" borderId="0" xfId="106" applyFont="1" applyFill="1"/>
    <xf numFmtId="0" fontId="122" fillId="0" borderId="0" xfId="106" applyFont="1" applyFill="1" applyBorder="1" applyAlignment="1">
      <alignment vertical="center" wrapText="1"/>
    </xf>
    <xf numFmtId="0" fontId="119" fillId="0" borderId="0" xfId="106" applyFont="1" applyFill="1" applyBorder="1" applyAlignment="1">
      <alignment horizontal="center" vertical="center" wrapText="1"/>
    </xf>
    <xf numFmtId="0" fontId="118" fillId="0" borderId="0" xfId="106" applyFont="1" applyFill="1"/>
    <xf numFmtId="0" fontId="118" fillId="0" borderId="0" xfId="106" applyFont="1" applyFill="1" applyBorder="1" applyAlignment="1">
      <alignment vertical="center" wrapText="1"/>
    </xf>
    <xf numFmtId="0" fontId="199" fillId="0" borderId="0" xfId="106" applyFont="1" applyFill="1" applyAlignment="1">
      <alignment horizontal="center"/>
    </xf>
    <xf numFmtId="0" fontId="162" fillId="0" borderId="0" xfId="155" applyFont="1" applyFill="1"/>
    <xf numFmtId="0" fontId="26" fillId="0" borderId="0" xfId="155" applyFont="1" applyFill="1" applyAlignment="1">
      <alignment wrapText="1"/>
    </xf>
    <xf numFmtId="0" fontId="26" fillId="0" borderId="0" xfId="155" applyFont="1" applyFill="1"/>
    <xf numFmtId="0" fontId="162" fillId="0" borderId="0" xfId="106" applyFont="1" applyFill="1" applyAlignment="1">
      <alignment vertical="center"/>
    </xf>
    <xf numFmtId="0" fontId="26" fillId="0" borderId="0" xfId="155" applyFont="1" applyFill="1" applyAlignment="1">
      <alignment vertical="center" wrapText="1"/>
    </xf>
    <xf numFmtId="0" fontId="26" fillId="0" borderId="0" xfId="155" applyFont="1" applyFill="1" applyAlignment="1">
      <alignment vertical="center"/>
    </xf>
    <xf numFmtId="0" fontId="162" fillId="0" borderId="0" xfId="106" applyFont="1" applyFill="1" applyAlignment="1">
      <alignment horizontal="centerContinuous"/>
    </xf>
    <xf numFmtId="0" fontId="162" fillId="0" borderId="0" xfId="106" applyNumberFormat="1" applyFont="1" applyFill="1" applyAlignment="1">
      <alignment horizontal="centerContinuous" vertical="center" wrapText="1"/>
    </xf>
    <xf numFmtId="0" fontId="162" fillId="0" borderId="0" xfId="106" applyNumberFormat="1" applyFont="1" applyFill="1" applyAlignment="1">
      <alignment horizontal="centerContinuous" vertical="center"/>
    </xf>
    <xf numFmtId="0" fontId="26" fillId="0" borderId="0" xfId="155" applyFont="1" applyFill="1" applyAlignment="1">
      <alignment horizontal="centerContinuous"/>
    </xf>
    <xf numFmtId="0" fontId="26" fillId="0" borderId="0" xfId="155" applyFont="1" applyFill="1" applyAlignment="1">
      <alignment horizontal="right" wrapText="1"/>
    </xf>
    <xf numFmtId="0" fontId="174" fillId="0" borderId="0" xfId="155" applyNumberFormat="1" applyFont="1" applyFill="1" applyBorder="1" applyAlignment="1">
      <alignment horizontal="center" vertical="center"/>
    </xf>
    <xf numFmtId="167" fontId="162" fillId="0" borderId="0" xfId="63" applyNumberFormat="1" applyFont="1" applyFill="1" applyBorder="1" applyAlignment="1">
      <alignment horizontal="center" vertical="center"/>
    </xf>
    <xf numFmtId="167" fontId="162" fillId="0" borderId="0" xfId="63" applyNumberFormat="1" applyFont="1" applyFill="1"/>
    <xf numFmtId="167" fontId="162" fillId="0" borderId="0" xfId="63" applyNumberFormat="1" applyFont="1" applyFill="1" applyBorder="1" applyAlignment="1">
      <alignment horizontal="right"/>
    </xf>
    <xf numFmtId="43" fontId="162" fillId="0" borderId="0" xfId="63" applyNumberFormat="1" applyFont="1" applyFill="1" applyBorder="1" applyAlignment="1">
      <alignment horizontal="center" vertical="center"/>
    </xf>
    <xf numFmtId="0" fontId="26" fillId="3" borderId="0" xfId="155" applyFont="1" applyFill="1" applyAlignment="1">
      <alignment horizontal="right" wrapText="1"/>
    </xf>
    <xf numFmtId="167" fontId="162" fillId="3" borderId="0" xfId="63" applyNumberFormat="1" applyFont="1" applyFill="1" applyBorder="1" applyAlignment="1">
      <alignment horizontal="center" vertical="center"/>
    </xf>
    <xf numFmtId="167" fontId="162" fillId="3" borderId="0" xfId="63" applyNumberFormat="1" applyFont="1" applyFill="1"/>
    <xf numFmtId="167" fontId="162" fillId="3" borderId="0" xfId="63" applyNumberFormat="1" applyFont="1" applyFill="1" applyBorder="1" applyAlignment="1">
      <alignment horizontal="right"/>
    </xf>
    <xf numFmtId="167" fontId="26" fillId="0" borderId="0" xfId="63" applyNumberFormat="1" applyFont="1" applyFill="1" applyBorder="1" applyAlignment="1">
      <alignment horizontal="right" vertical="center"/>
    </xf>
    <xf numFmtId="167" fontId="162" fillId="0" borderId="0" xfId="63" applyNumberFormat="1" applyFont="1" applyFill="1" applyAlignment="1">
      <alignment horizontal="left" vertical="center" wrapText="1"/>
    </xf>
    <xf numFmtId="0" fontId="26" fillId="0" borderId="34" xfId="155" applyFont="1" applyFill="1" applyBorder="1" applyAlignment="1">
      <alignment horizontal="center" vertical="center"/>
    </xf>
    <xf numFmtId="0" fontId="26" fillId="0" borderId="34" xfId="155" applyFont="1" applyFill="1" applyBorder="1" applyAlignment="1">
      <alignment horizontal="center" vertical="center" wrapText="1"/>
    </xf>
    <xf numFmtId="167" fontId="26" fillId="0" borderId="0" xfId="155" applyNumberFormat="1" applyFont="1" applyFill="1"/>
    <xf numFmtId="0" fontId="26" fillId="0" borderId="34" xfId="155" applyFont="1" applyFill="1" applyBorder="1" applyAlignment="1">
      <alignment horizontal="center"/>
    </xf>
    <xf numFmtId="0" fontId="162" fillId="0" borderId="6" xfId="155" applyFont="1" applyFill="1" applyBorder="1" applyAlignment="1">
      <alignment horizontal="left" vertical="center" wrapText="1"/>
    </xf>
    <xf numFmtId="0" fontId="162" fillId="0" borderId="6" xfId="155" applyNumberFormat="1" applyFont="1" applyFill="1" applyBorder="1" applyAlignment="1">
      <alignment horizontal="left" vertical="center" wrapText="1"/>
    </xf>
    <xf numFmtId="197" fontId="162" fillId="0" borderId="6" xfId="155" applyNumberFormat="1" applyFont="1" applyFill="1" applyBorder="1" applyAlignment="1">
      <alignment horizontal="right" vertical="center" wrapText="1"/>
    </xf>
    <xf numFmtId="200" fontId="162" fillId="0" borderId="6" xfId="155" applyNumberFormat="1" applyFont="1" applyFill="1" applyBorder="1" applyAlignment="1">
      <alignment horizontal="right" vertical="center" wrapText="1"/>
    </xf>
    <xf numFmtId="167" fontId="162" fillId="0" borderId="51" xfId="63" applyNumberFormat="1" applyFont="1" applyFill="1" applyBorder="1" applyAlignment="1">
      <alignment horizontal="left" vertical="center" wrapText="1"/>
    </xf>
    <xf numFmtId="0" fontId="162" fillId="0" borderId="0" xfId="155" applyFont="1" applyFill="1" applyAlignment="1">
      <alignment horizontal="left" vertical="center" wrapText="1"/>
    </xf>
    <xf numFmtId="197" fontId="162" fillId="0" borderId="0" xfId="155" applyNumberFormat="1" applyFont="1" applyFill="1" applyAlignment="1">
      <alignment horizontal="left" vertical="center" wrapText="1"/>
    </xf>
    <xf numFmtId="0" fontId="162" fillId="0" borderId="7" xfId="155" applyFont="1" applyFill="1" applyBorder="1" applyAlignment="1">
      <alignment horizontal="center" vertical="center" wrapText="1"/>
    </xf>
    <xf numFmtId="0" fontId="162" fillId="0" borderId="7" xfId="155" applyNumberFormat="1" applyFont="1" applyFill="1" applyBorder="1" applyAlignment="1">
      <alignment horizontal="left" vertical="center" wrapText="1"/>
    </xf>
    <xf numFmtId="197" fontId="162" fillId="0" borderId="7" xfId="155" applyNumberFormat="1" applyFont="1" applyFill="1" applyBorder="1" applyAlignment="1">
      <alignment vertical="center" wrapText="1"/>
    </xf>
    <xf numFmtId="200" fontId="162" fillId="0" borderId="7" xfId="155" applyNumberFormat="1" applyFont="1" applyFill="1" applyBorder="1" applyAlignment="1">
      <alignment horizontal="right" vertical="center" wrapText="1"/>
    </xf>
    <xf numFmtId="0" fontId="162" fillId="0" borderId="30" xfId="155" applyFont="1" applyFill="1" applyBorder="1" applyAlignment="1">
      <alignment vertical="center" wrapText="1"/>
    </xf>
    <xf numFmtId="0" fontId="162" fillId="0" borderId="0" xfId="155" applyFont="1" applyFill="1" applyAlignment="1">
      <alignment vertical="center" wrapText="1"/>
    </xf>
    <xf numFmtId="0" fontId="162" fillId="0" borderId="7" xfId="106" applyFont="1" applyFill="1" applyBorder="1" applyAlignment="1">
      <alignment horizontal="center" vertical="center" wrapText="1"/>
    </xf>
    <xf numFmtId="0" fontId="162" fillId="0" borderId="7" xfId="106" applyFont="1" applyFill="1" applyBorder="1" applyAlignment="1">
      <alignment vertical="center" wrapText="1"/>
    </xf>
    <xf numFmtId="0" fontId="26" fillId="0" borderId="30" xfId="155" applyFont="1" applyFill="1" applyBorder="1" applyAlignment="1">
      <alignment vertical="center" wrapText="1"/>
    </xf>
    <xf numFmtId="197" fontId="26" fillId="0" borderId="0" xfId="155" applyNumberFormat="1" applyFont="1" applyFill="1" applyAlignment="1">
      <alignment vertical="center" wrapText="1"/>
    </xf>
    <xf numFmtId="0" fontId="26" fillId="0" borderId="7" xfId="155" applyFont="1" applyFill="1" applyBorder="1" applyAlignment="1">
      <alignment horizontal="center" vertical="center" wrapText="1"/>
    </xf>
    <xf numFmtId="0" fontId="26" fillId="0" borderId="7" xfId="106" quotePrefix="1" applyFont="1" applyFill="1" applyBorder="1" applyAlignment="1">
      <alignment vertical="center" wrapText="1"/>
    </xf>
    <xf numFmtId="197" fontId="26" fillId="0" borderId="7" xfId="155" applyNumberFormat="1" applyFont="1" applyFill="1" applyBorder="1" applyAlignment="1">
      <alignment vertical="center" wrapText="1"/>
    </xf>
    <xf numFmtId="200" fontId="26" fillId="0" borderId="7" xfId="155" applyNumberFormat="1" applyFont="1" applyFill="1" applyBorder="1" applyAlignment="1">
      <alignment horizontal="right" vertical="center" wrapText="1"/>
    </xf>
    <xf numFmtId="0" fontId="162" fillId="35" borderId="7" xfId="155" applyFont="1" applyFill="1" applyBorder="1" applyAlignment="1">
      <alignment horizontal="center" vertical="center" wrapText="1"/>
    </xf>
    <xf numFmtId="0" fontId="162" fillId="35" borderId="7" xfId="155" applyNumberFormat="1" applyFont="1" applyFill="1" applyBorder="1" applyAlignment="1">
      <alignment horizontal="left" vertical="center" wrapText="1"/>
    </xf>
    <xf numFmtId="197" fontId="162" fillId="35" borderId="7" xfId="155" applyNumberFormat="1" applyFont="1" applyFill="1" applyBorder="1" applyAlignment="1">
      <alignment vertical="center" wrapText="1"/>
    </xf>
    <xf numFmtId="200" fontId="162" fillId="27" borderId="7" xfId="155" applyNumberFormat="1" applyFont="1" applyFill="1" applyBorder="1" applyAlignment="1">
      <alignment horizontal="right" vertical="center" wrapText="1"/>
    </xf>
    <xf numFmtId="197" fontId="162" fillId="0" borderId="30" xfId="155" applyNumberFormat="1" applyFont="1" applyFill="1" applyBorder="1" applyAlignment="1">
      <alignment vertical="center" wrapText="1"/>
    </xf>
    <xf numFmtId="197" fontId="162" fillId="0" borderId="0" xfId="155" applyNumberFormat="1" applyFont="1" applyFill="1" applyAlignment="1">
      <alignment vertical="center" wrapText="1"/>
    </xf>
    <xf numFmtId="197" fontId="162" fillId="0" borderId="7" xfId="155" quotePrefix="1" applyNumberFormat="1" applyFont="1" applyFill="1" applyBorder="1" applyAlignment="1">
      <alignment vertical="center" wrapText="1"/>
    </xf>
    <xf numFmtId="0" fontId="26" fillId="0" borderId="7" xfId="106" applyFont="1" applyFill="1" applyBorder="1" applyAlignment="1">
      <alignment horizontal="center" vertical="center" wrapText="1"/>
    </xf>
    <xf numFmtId="197" fontId="26" fillId="0" borderId="7" xfId="106" applyNumberFormat="1" applyFont="1" applyFill="1" applyBorder="1" applyAlignment="1">
      <alignment vertical="center" wrapText="1"/>
    </xf>
    <xf numFmtId="197" fontId="26" fillId="0" borderId="7" xfId="155" quotePrefix="1" applyNumberFormat="1" applyFont="1" applyFill="1" applyBorder="1" applyAlignment="1">
      <alignment vertical="center" wrapText="1"/>
    </xf>
    <xf numFmtId="197" fontId="26" fillId="0" borderId="30" xfId="155" applyNumberFormat="1" applyFont="1" applyFill="1" applyBorder="1" applyAlignment="1">
      <alignment vertical="center" wrapText="1"/>
    </xf>
    <xf numFmtId="0" fontId="26" fillId="0" borderId="7" xfId="106" quotePrefix="1" applyFont="1" applyFill="1" applyBorder="1" applyAlignment="1">
      <alignment horizontal="center" vertical="center" wrapText="1"/>
    </xf>
    <xf numFmtId="0" fontId="174" fillId="0" borderId="7" xfId="106" applyNumberFormat="1" applyFont="1" applyFill="1" applyBorder="1" applyAlignment="1">
      <alignment vertical="center" wrapText="1"/>
    </xf>
    <xf numFmtId="3" fontId="26" fillId="0" borderId="30" xfId="155" applyNumberFormat="1" applyFont="1" applyFill="1" applyBorder="1" applyAlignment="1">
      <alignment vertical="center" wrapText="1"/>
    </xf>
    <xf numFmtId="0" fontId="26" fillId="0" borderId="7" xfId="155" applyFont="1" applyFill="1" applyBorder="1" applyAlignment="1">
      <alignment vertical="center" wrapText="1"/>
    </xf>
    <xf numFmtId="197" fontId="174" fillId="0" borderId="7" xfId="106" applyNumberFormat="1" applyFont="1" applyFill="1" applyBorder="1" applyAlignment="1">
      <alignment vertical="center" wrapText="1"/>
    </xf>
    <xf numFmtId="0" fontId="162" fillId="0" borderId="7" xfId="106" quotePrefix="1" applyFont="1" applyFill="1" applyBorder="1" applyAlignment="1">
      <alignment horizontal="center" vertical="center" wrapText="1"/>
    </xf>
    <xf numFmtId="0" fontId="162" fillId="0" borderId="10" xfId="155" applyFont="1" applyFill="1" applyBorder="1" applyAlignment="1">
      <alignment horizontal="center" vertical="center" wrapText="1"/>
    </xf>
    <xf numFmtId="0" fontId="162" fillId="0" borderId="10" xfId="155" applyFont="1" applyFill="1" applyBorder="1" applyAlignment="1">
      <alignment vertical="center" wrapText="1"/>
    </xf>
    <xf numFmtId="3" fontId="162" fillId="0" borderId="10" xfId="63" applyNumberFormat="1" applyFont="1" applyBorder="1" applyAlignment="1">
      <alignment horizontal="right" vertical="center" wrapText="1"/>
    </xf>
    <xf numFmtId="3" fontId="162" fillId="0" borderId="10" xfId="155" applyNumberFormat="1" applyFont="1" applyFill="1" applyBorder="1" applyAlignment="1">
      <alignment vertical="center" wrapText="1"/>
    </xf>
    <xf numFmtId="200" fontId="162" fillId="0" borderId="10" xfId="155" applyNumberFormat="1" applyFont="1" applyFill="1" applyBorder="1" applyAlignment="1">
      <alignment horizontal="right" vertical="center" wrapText="1"/>
    </xf>
    <xf numFmtId="0" fontId="162" fillId="0" borderId="61" xfId="155" applyFont="1" applyFill="1" applyBorder="1" applyAlignment="1">
      <alignment vertical="center" wrapText="1"/>
    </xf>
    <xf numFmtId="197" fontId="162" fillId="0" borderId="10" xfId="155" applyNumberFormat="1" applyFont="1" applyFill="1" applyBorder="1" applyAlignment="1">
      <alignment vertical="center" wrapText="1"/>
    </xf>
    <xf numFmtId="0" fontId="174" fillId="0" borderId="0" xfId="106" applyFont="1" applyFill="1" applyBorder="1" applyAlignment="1">
      <alignment horizontal="left" wrapText="1"/>
    </xf>
    <xf numFmtId="0" fontId="174" fillId="0" borderId="0" xfId="106" applyFont="1" applyFill="1" applyBorder="1" applyAlignment="1">
      <alignment wrapText="1"/>
    </xf>
    <xf numFmtId="0" fontId="174" fillId="0" borderId="0" xfId="106" applyFont="1" applyFill="1" applyBorder="1" applyAlignment="1">
      <alignment vertical="center" wrapText="1"/>
    </xf>
    <xf numFmtId="197" fontId="26" fillId="0" borderId="0" xfId="155" applyNumberFormat="1" applyFont="1" applyFill="1"/>
    <xf numFmtId="0" fontId="103" fillId="0" borderId="0" xfId="106" applyFont="1" applyFill="1"/>
    <xf numFmtId="0" fontId="103" fillId="0" borderId="0" xfId="106" applyFont="1" applyFill="1" applyBorder="1"/>
    <xf numFmtId="0" fontId="166" fillId="0" borderId="0" xfId="106" applyFont="1" applyFill="1"/>
    <xf numFmtId="0" fontId="103" fillId="0" borderId="0" xfId="106" applyFont="1" applyFill="1" applyAlignment="1">
      <alignment horizontal="right"/>
    </xf>
    <xf numFmtId="0" fontId="5" fillId="0" borderId="0" xfId="106" applyFont="1" applyFill="1"/>
    <xf numFmtId="0" fontId="13" fillId="0" borderId="0" xfId="106" applyFont="1" applyFill="1" applyBorder="1"/>
    <xf numFmtId="0" fontId="5" fillId="0" borderId="0" xfId="106" applyFont="1" applyFill="1" applyAlignment="1">
      <alignment horizontal="right"/>
    </xf>
    <xf numFmtId="0" fontId="119" fillId="0" borderId="0" xfId="106" applyNumberFormat="1" applyFont="1" applyFill="1" applyBorder="1" applyAlignment="1">
      <alignment horizontal="centerContinuous" vertical="center"/>
    </xf>
    <xf numFmtId="0" fontId="13" fillId="0" borderId="0" xfId="106" applyFont="1" applyFill="1" applyAlignment="1">
      <alignment horizontal="centerContinuous"/>
    </xf>
    <xf numFmtId="0" fontId="119" fillId="0" borderId="0" xfId="106" applyFont="1" applyFill="1" applyBorder="1" applyAlignment="1">
      <alignment horizontal="centerContinuous" vertical="center"/>
    </xf>
    <xf numFmtId="0" fontId="122" fillId="0" borderId="0" xfId="106" applyFont="1" applyFill="1" applyAlignment="1">
      <alignment horizontal="centerContinuous"/>
    </xf>
    <xf numFmtId="0" fontId="13" fillId="0" borderId="0" xfId="106" applyFont="1" applyFill="1" applyBorder="1" applyAlignment="1"/>
    <xf numFmtId="0" fontId="7" fillId="0" borderId="0" xfId="106" applyFont="1" applyFill="1" applyBorder="1" applyAlignment="1"/>
    <xf numFmtId="0" fontId="7" fillId="0" borderId="0" xfId="106" applyFont="1" applyFill="1" applyBorder="1" applyAlignment="1">
      <alignment horizontal="right"/>
    </xf>
    <xf numFmtId="0" fontId="119" fillId="0" borderId="34" xfId="106" applyFont="1" applyFill="1" applyBorder="1" applyAlignment="1">
      <alignment horizontal="centerContinuous" vertical="center" wrapText="1"/>
    </xf>
    <xf numFmtId="0" fontId="119" fillId="0" borderId="34" xfId="106" applyFont="1" applyFill="1" applyBorder="1" applyAlignment="1">
      <alignment horizontal="center" vertical="center" wrapText="1"/>
    </xf>
    <xf numFmtId="49" fontId="5" fillId="0" borderId="6" xfId="109" applyNumberFormat="1" applyFont="1" applyFill="1" applyBorder="1" applyAlignment="1">
      <alignment horizontal="center" vertical="center" wrapText="1"/>
    </xf>
    <xf numFmtId="49" fontId="5" fillId="0" borderId="6" xfId="109" applyNumberFormat="1" applyFont="1" applyFill="1" applyBorder="1" applyAlignment="1">
      <alignment horizontal="justify" vertical="center" wrapText="1"/>
    </xf>
    <xf numFmtId="3" fontId="119" fillId="0" borderId="6" xfId="106" applyNumberFormat="1" applyFont="1" applyFill="1" applyBorder="1" applyAlignment="1">
      <alignment horizontal="right" vertical="center" wrapText="1"/>
    </xf>
    <xf numFmtId="0" fontId="119" fillId="0" borderId="0" xfId="106" applyFont="1" applyFill="1" applyAlignment="1">
      <alignment vertical="center"/>
    </xf>
    <xf numFmtId="3" fontId="119" fillId="0" borderId="0" xfId="106" applyNumberFormat="1" applyFont="1" applyFill="1" applyAlignment="1">
      <alignment vertical="center"/>
    </xf>
    <xf numFmtId="49" fontId="40" fillId="0" borderId="7" xfId="109" applyNumberFormat="1" applyFont="1" applyFill="1" applyBorder="1" applyAlignment="1">
      <alignment horizontal="center" vertical="center" wrapText="1"/>
    </xf>
    <xf numFmtId="49" fontId="7" fillId="0" borderId="7" xfId="109" applyNumberFormat="1" applyFont="1" applyFill="1" applyBorder="1" applyAlignment="1">
      <alignment horizontal="justify" vertical="center" wrapText="1"/>
    </xf>
    <xf numFmtId="3" fontId="122" fillId="0" borderId="7" xfId="106" applyNumberFormat="1" applyFont="1" applyFill="1" applyBorder="1" applyAlignment="1">
      <alignment horizontal="right" vertical="center" wrapText="1"/>
    </xf>
    <xf numFmtId="3" fontId="122" fillId="0" borderId="7" xfId="106" applyNumberFormat="1" applyFont="1" applyFill="1" applyBorder="1" applyAlignment="1">
      <alignment horizontal="right" vertical="center"/>
    </xf>
    <xf numFmtId="0" fontId="122" fillId="0" borderId="0" xfId="106" applyFont="1" applyFill="1" applyAlignment="1">
      <alignment vertical="center"/>
    </xf>
    <xf numFmtId="49" fontId="5" fillId="0" borderId="7" xfId="109" applyNumberFormat="1" applyFont="1" applyFill="1" applyBorder="1" applyAlignment="1">
      <alignment horizontal="center" vertical="center" wrapText="1"/>
    </xf>
    <xf numFmtId="49" fontId="7" fillId="0" borderId="7" xfId="109" quotePrefix="1" applyNumberFormat="1" applyFont="1" applyFill="1" applyBorder="1" applyAlignment="1">
      <alignment horizontal="justify" vertical="center" wrapText="1"/>
    </xf>
    <xf numFmtId="3" fontId="118" fillId="0" borderId="7" xfId="106" applyNumberFormat="1" applyFont="1" applyFill="1" applyBorder="1" applyAlignment="1">
      <alignment horizontal="right" vertical="center" wrapText="1"/>
    </xf>
    <xf numFmtId="0" fontId="118" fillId="0" borderId="0" xfId="106" applyFont="1" applyFill="1" applyAlignment="1">
      <alignment vertical="center"/>
    </xf>
    <xf numFmtId="49" fontId="5" fillId="0" borderId="7" xfId="109" applyNumberFormat="1" applyFont="1" applyFill="1" applyBorder="1" applyAlignment="1">
      <alignment horizontal="justify" vertical="center" wrapText="1"/>
    </xf>
    <xf numFmtId="3" fontId="119" fillId="0" borderId="7" xfId="106" applyNumberFormat="1" applyFont="1" applyFill="1" applyBorder="1" applyAlignment="1">
      <alignment horizontal="right" vertical="center" wrapText="1"/>
    </xf>
    <xf numFmtId="3" fontId="118" fillId="0" borderId="7" xfId="106" applyNumberFormat="1" applyFont="1" applyFill="1" applyBorder="1" applyAlignment="1">
      <alignment horizontal="right" vertical="center"/>
    </xf>
    <xf numFmtId="49" fontId="164" fillId="0" borderId="7" xfId="109" applyNumberFormat="1" applyFont="1" applyFill="1" applyBorder="1" applyAlignment="1">
      <alignment horizontal="center" vertical="center" wrapText="1"/>
    </xf>
    <xf numFmtId="49" fontId="164" fillId="0" borderId="7" xfId="109" applyNumberFormat="1" applyFont="1" applyFill="1" applyBorder="1" applyAlignment="1">
      <alignment horizontal="justify" vertical="center" wrapText="1"/>
    </xf>
    <xf numFmtId="3" fontId="164" fillId="0" borderId="7" xfId="106" applyNumberFormat="1" applyFont="1" applyFill="1" applyBorder="1" applyAlignment="1">
      <alignment horizontal="right" vertical="center" wrapText="1"/>
    </xf>
    <xf numFmtId="0" fontId="200" fillId="0" borderId="0" xfId="106" applyFont="1" applyFill="1" applyAlignment="1">
      <alignment vertical="center"/>
    </xf>
    <xf numFmtId="49" fontId="7" fillId="0" borderId="7" xfId="109" applyNumberFormat="1" applyFont="1" applyFill="1" applyBorder="1" applyAlignment="1">
      <alignment horizontal="center" vertical="center" wrapText="1"/>
    </xf>
    <xf numFmtId="49" fontId="5" fillId="0" borderId="7" xfId="109" quotePrefix="1" applyNumberFormat="1" applyFont="1" applyFill="1" applyBorder="1" applyAlignment="1">
      <alignment horizontal="justify" vertical="center" wrapText="1"/>
    </xf>
    <xf numFmtId="3" fontId="118" fillId="0" borderId="0" xfId="106" applyNumberFormat="1" applyFont="1" applyFill="1" applyAlignment="1">
      <alignment vertical="center"/>
    </xf>
    <xf numFmtId="49" fontId="13" fillId="0" borderId="7" xfId="109" quotePrefix="1" applyNumberFormat="1" applyFont="1" applyFill="1" applyBorder="1" applyAlignment="1">
      <alignment horizontal="justify" vertical="center" wrapText="1"/>
    </xf>
    <xf numFmtId="3" fontId="122" fillId="0" borderId="6" xfId="106" applyNumberFormat="1" applyFont="1" applyFill="1" applyBorder="1" applyAlignment="1">
      <alignment horizontal="right" vertical="center" wrapText="1"/>
    </xf>
    <xf numFmtId="49" fontId="40" fillId="0" borderId="7" xfId="109" quotePrefix="1" applyNumberFormat="1" applyFont="1" applyFill="1" applyBorder="1" applyAlignment="1">
      <alignment horizontal="justify" vertical="center" wrapText="1"/>
    </xf>
    <xf numFmtId="3" fontId="121" fillId="0" borderId="7" xfId="106" applyNumberFormat="1" applyFont="1" applyFill="1" applyBorder="1" applyAlignment="1">
      <alignment horizontal="right" vertical="center" wrapText="1"/>
    </xf>
    <xf numFmtId="3" fontId="121" fillId="0" borderId="7" xfId="106" applyNumberFormat="1" applyFont="1" applyFill="1" applyBorder="1" applyAlignment="1">
      <alignment horizontal="right" vertical="center"/>
    </xf>
    <xf numFmtId="3" fontId="122" fillId="0" borderId="0" xfId="106" applyNumberFormat="1" applyFont="1" applyFill="1" applyAlignment="1">
      <alignment vertical="center"/>
    </xf>
    <xf numFmtId="3" fontId="119" fillId="0" borderId="7" xfId="106" applyNumberFormat="1" applyFont="1" applyFill="1" applyBorder="1" applyAlignment="1">
      <alignment horizontal="right" vertical="center"/>
    </xf>
    <xf numFmtId="49" fontId="41" fillId="0" borderId="7" xfId="109" applyNumberFormat="1" applyFont="1" applyFill="1" applyBorder="1" applyAlignment="1">
      <alignment horizontal="center" vertical="center" wrapText="1"/>
    </xf>
    <xf numFmtId="49" fontId="27" fillId="0" borderId="7" xfId="109" quotePrefix="1" applyNumberFormat="1" applyFont="1" applyFill="1" applyBorder="1" applyAlignment="1">
      <alignment horizontal="justify" vertical="center" wrapText="1"/>
    </xf>
    <xf numFmtId="3" fontId="27" fillId="0" borderId="7" xfId="106" applyNumberFormat="1" applyFont="1" applyFill="1" applyBorder="1" applyAlignment="1">
      <alignment horizontal="right" vertical="center" wrapText="1"/>
    </xf>
    <xf numFmtId="3" fontId="27" fillId="0" borderId="7" xfId="106" applyNumberFormat="1" applyFont="1" applyFill="1" applyBorder="1" applyAlignment="1">
      <alignment horizontal="right" vertical="center"/>
    </xf>
    <xf numFmtId="0" fontId="27" fillId="0" borderId="0" xfId="106" applyFont="1" applyFill="1" applyAlignment="1">
      <alignment vertical="center"/>
    </xf>
    <xf numFmtId="3" fontId="164" fillId="0" borderId="7" xfId="106" applyNumberFormat="1" applyFont="1" applyFill="1" applyBorder="1"/>
    <xf numFmtId="0" fontId="201" fillId="0" borderId="0" xfId="106" applyFont="1" applyFill="1"/>
    <xf numFmtId="3" fontId="122" fillId="0" borderId="7" xfId="106" applyNumberFormat="1" applyFont="1" applyFill="1" applyBorder="1"/>
    <xf numFmtId="3" fontId="119" fillId="0" borderId="7" xfId="106" applyNumberFormat="1" applyFont="1" applyFill="1" applyBorder="1"/>
    <xf numFmtId="49" fontId="13" fillId="0" borderId="7" xfId="109" applyNumberFormat="1" applyFont="1" applyFill="1" applyBorder="1" applyAlignment="1">
      <alignment horizontal="center" vertical="center" wrapText="1"/>
    </xf>
    <xf numFmtId="49" fontId="13" fillId="0" borderId="7" xfId="109" applyNumberFormat="1" applyFont="1" applyFill="1" applyBorder="1" applyAlignment="1">
      <alignment horizontal="justify" vertical="center" wrapText="1"/>
    </xf>
    <xf numFmtId="3" fontId="13" fillId="0" borderId="7" xfId="106" applyNumberFormat="1" applyFont="1" applyFill="1" applyBorder="1"/>
    <xf numFmtId="0" fontId="13" fillId="0" borderId="0" xfId="106" applyFont="1" applyFill="1"/>
    <xf numFmtId="3" fontId="5" fillId="0" borderId="7" xfId="106" applyNumberFormat="1" applyFont="1" applyFill="1" applyBorder="1"/>
    <xf numFmtId="3" fontId="118" fillId="0" borderId="7" xfId="106" applyNumberFormat="1" applyFont="1" applyFill="1" applyBorder="1"/>
    <xf numFmtId="49" fontId="40" fillId="0" borderId="10" xfId="109" applyNumberFormat="1" applyFont="1" applyFill="1" applyBorder="1" applyAlignment="1">
      <alignment horizontal="center" vertical="center" wrapText="1"/>
    </xf>
    <xf numFmtId="49" fontId="40" fillId="0" borderId="10" xfId="109" applyNumberFormat="1" applyFont="1" applyFill="1" applyBorder="1" applyAlignment="1">
      <alignment horizontal="justify" vertical="center" wrapText="1"/>
    </xf>
    <xf numFmtId="3" fontId="122" fillId="0" borderId="10" xfId="106" applyNumberFormat="1" applyFont="1" applyFill="1" applyBorder="1"/>
    <xf numFmtId="0" fontId="7" fillId="0" borderId="0" xfId="106" applyFont="1" applyFill="1"/>
    <xf numFmtId="0" fontId="122" fillId="0" borderId="0" xfId="106" applyFont="1" applyFill="1" applyBorder="1"/>
    <xf numFmtId="167" fontId="162" fillId="0" borderId="7" xfId="1" applyNumberFormat="1" applyFont="1" applyBorder="1" applyAlignment="1">
      <alignment vertical="center" wrapText="1"/>
    </xf>
    <xf numFmtId="167" fontId="66" fillId="0" borderId="0" xfId="167" applyNumberFormat="1"/>
    <xf numFmtId="0" fontId="162" fillId="0" borderId="7" xfId="174" applyFont="1" applyFill="1" applyBorder="1" applyAlignment="1">
      <alignment vertical="center" wrapText="1"/>
    </xf>
    <xf numFmtId="0" fontId="26" fillId="0" borderId="7" xfId="174" quotePrefix="1" applyFont="1" applyFill="1" applyBorder="1" applyAlignment="1">
      <alignment vertical="center" wrapText="1"/>
    </xf>
    <xf numFmtId="0" fontId="162" fillId="28" borderId="7" xfId="174" applyFont="1" applyFill="1" applyBorder="1" applyAlignment="1">
      <alignment horizontal="center" vertical="center" wrapText="1"/>
    </xf>
    <xf numFmtId="0" fontId="162" fillId="28" borderId="7" xfId="174" applyFont="1" applyFill="1" applyBorder="1" applyAlignment="1">
      <alignment vertical="center" wrapText="1"/>
    </xf>
    <xf numFmtId="0" fontId="162" fillId="0" borderId="7" xfId="174" applyFont="1" applyFill="1" applyBorder="1" applyAlignment="1">
      <alignment horizontal="center" vertical="center"/>
    </xf>
    <xf numFmtId="0" fontId="26" fillId="0" borderId="7" xfId="174" applyFont="1" applyFill="1" applyBorder="1" applyAlignment="1">
      <alignment horizontal="center" vertical="center"/>
    </xf>
    <xf numFmtId="0" fontId="174" fillId="0" borderId="7" xfId="174" applyFont="1" applyFill="1" applyBorder="1" applyAlignment="1">
      <alignment horizontal="center" vertical="center"/>
    </xf>
    <xf numFmtId="0" fontId="26" fillId="0" borderId="7" xfId="174" quotePrefix="1" applyFont="1" applyFill="1" applyBorder="1" applyAlignment="1">
      <alignment vertical="center"/>
    </xf>
    <xf numFmtId="0" fontId="174" fillId="0" borderId="7" xfId="106" applyFont="1" applyFill="1" applyBorder="1" applyAlignment="1">
      <alignment vertical="center" wrapText="1"/>
    </xf>
    <xf numFmtId="0" fontId="26" fillId="0" borderId="7" xfId="106" quotePrefix="1" applyFont="1" applyFill="1" applyBorder="1" applyAlignment="1">
      <alignment vertical="center" wrapText="1"/>
    </xf>
    <xf numFmtId="0" fontId="162" fillId="0" borderId="7" xfId="106" quotePrefix="1" applyFont="1" applyFill="1" applyBorder="1" applyAlignment="1">
      <alignment vertical="center" wrapText="1"/>
    </xf>
    <xf numFmtId="167" fontId="66" fillId="0" borderId="7" xfId="1" applyNumberFormat="1" applyFont="1" applyBorder="1"/>
    <xf numFmtId="0" fontId="162" fillId="0" borderId="34" xfId="167" applyFont="1" applyBorder="1" applyAlignment="1">
      <alignment horizontal="center" vertical="center" wrapText="1"/>
    </xf>
    <xf numFmtId="0" fontId="66" fillId="0" borderId="0" xfId="167" applyFont="1"/>
    <xf numFmtId="3" fontId="119" fillId="3" borderId="7" xfId="106" applyNumberFormat="1" applyFont="1" applyFill="1" applyBorder="1" applyAlignment="1">
      <alignment horizontal="right" vertical="center" wrapText="1"/>
    </xf>
    <xf numFmtId="3" fontId="162" fillId="0" borderId="7" xfId="167" applyNumberFormat="1" applyFont="1" applyBorder="1" applyAlignment="1">
      <alignment vertical="center" wrapText="1"/>
    </xf>
    <xf numFmtId="3" fontId="26" fillId="0" borderId="7" xfId="167" applyNumberFormat="1" applyFont="1" applyBorder="1" applyAlignment="1">
      <alignment vertical="center" wrapText="1"/>
    </xf>
    <xf numFmtId="0" fontId="66" fillId="0" borderId="7" xfId="167" applyBorder="1"/>
    <xf numFmtId="0" fontId="162" fillId="4" borderId="7" xfId="174" applyFont="1" applyFill="1" applyBorder="1" applyAlignment="1">
      <alignment horizontal="center" vertical="center"/>
    </xf>
    <xf numFmtId="0" fontId="162" fillId="4" borderId="7" xfId="174" applyFont="1" applyFill="1" applyBorder="1" applyAlignment="1">
      <alignment vertical="center" wrapText="1"/>
    </xf>
    <xf numFmtId="167" fontId="162" fillId="4" borderId="7" xfId="1" applyNumberFormat="1" applyFont="1" applyFill="1" applyBorder="1" applyAlignment="1">
      <alignment vertical="center" wrapText="1"/>
    </xf>
    <xf numFmtId="0" fontId="162" fillId="35" borderId="34" xfId="167" applyFont="1" applyFill="1" applyBorder="1" applyAlignment="1">
      <alignment horizontal="center" vertical="center" wrapText="1"/>
    </xf>
    <xf numFmtId="0" fontId="162" fillId="35" borderId="34" xfId="167" applyFont="1" applyFill="1" applyBorder="1" applyAlignment="1">
      <alignment vertical="center" wrapText="1"/>
    </xf>
    <xf numFmtId="3" fontId="162" fillId="35" borderId="34" xfId="167" applyNumberFormat="1" applyFont="1" applyFill="1" applyBorder="1" applyAlignment="1">
      <alignment vertical="center" wrapText="1"/>
    </xf>
    <xf numFmtId="0" fontId="162" fillId="0" borderId="35" xfId="167" applyFont="1" applyBorder="1" applyAlignment="1">
      <alignment horizontal="center" vertical="center" wrapText="1"/>
    </xf>
    <xf numFmtId="167" fontId="174" fillId="0" borderId="7" xfId="1" applyNumberFormat="1" applyFont="1" applyBorder="1" applyAlignment="1">
      <alignment horizontal="center" vertical="center" wrapText="1"/>
    </xf>
    <xf numFmtId="167" fontId="66" fillId="0" borderId="0" xfId="1" applyNumberFormat="1" applyFont="1"/>
    <xf numFmtId="196" fontId="26" fillId="0" borderId="7" xfId="147" applyNumberFormat="1" applyFont="1" applyFill="1" applyBorder="1" applyAlignment="1" applyProtection="1">
      <alignment horizontal="center"/>
    </xf>
    <xf numFmtId="0" fontId="26" fillId="0" borderId="7" xfId="147" applyNumberFormat="1" applyFont="1" applyFill="1" applyBorder="1" applyAlignment="1" applyProtection="1">
      <alignment horizontal="left" wrapText="1"/>
    </xf>
    <xf numFmtId="0" fontId="26" fillId="0" borderId="7" xfId="152" applyNumberFormat="1" applyFont="1" applyFill="1" applyBorder="1" applyAlignment="1" applyProtection="1">
      <alignment horizontal="left" wrapText="1"/>
    </xf>
    <xf numFmtId="0" fontId="174" fillId="0" borderId="7" xfId="147" applyNumberFormat="1" applyFont="1" applyFill="1" applyBorder="1" applyAlignment="1" applyProtection="1">
      <alignment horizontal="left" wrapText="1"/>
    </xf>
    <xf numFmtId="196" fontId="186" fillId="0" borderId="7" xfId="147" applyNumberFormat="1" applyFont="1" applyFill="1" applyBorder="1" applyAlignment="1" applyProtection="1">
      <alignment horizontal="center"/>
    </xf>
    <xf numFmtId="49" fontId="203" fillId="2" borderId="7" xfId="8" applyNumberFormat="1" applyFont="1" applyFill="1" applyBorder="1" applyAlignment="1">
      <alignment horizontal="left" vertical="center" wrapText="1"/>
    </xf>
    <xf numFmtId="49" fontId="174" fillId="2" borderId="7" xfId="8" applyNumberFormat="1" applyFont="1" applyFill="1" applyBorder="1" applyAlignment="1">
      <alignment horizontal="left" vertical="center" wrapText="1"/>
    </xf>
    <xf numFmtId="0" fontId="203" fillId="0" borderId="7" xfId="147" applyNumberFormat="1" applyFont="1" applyFill="1" applyBorder="1" applyAlignment="1" applyProtection="1">
      <alignment horizontal="left" wrapText="1"/>
    </xf>
    <xf numFmtId="0" fontId="203" fillId="0" borderId="7" xfId="147" quotePrefix="1" applyNumberFormat="1" applyFont="1" applyFill="1" applyBorder="1" applyAlignment="1" applyProtection="1">
      <alignment horizontal="left" wrapText="1"/>
    </xf>
    <xf numFmtId="0" fontId="162" fillId="0" borderId="8" xfId="167" applyFont="1" applyBorder="1" applyAlignment="1">
      <alignment vertical="center" wrapText="1"/>
    </xf>
    <xf numFmtId="0" fontId="162" fillId="0" borderId="8" xfId="167" applyFont="1" applyBorder="1" applyAlignment="1">
      <alignment horizontal="center" vertical="center" wrapText="1"/>
    </xf>
    <xf numFmtId="2" fontId="26" fillId="0" borderId="7" xfId="167" applyNumberFormat="1" applyFont="1" applyBorder="1" applyAlignment="1">
      <alignment horizontal="right" vertical="center" wrapText="1"/>
    </xf>
    <xf numFmtId="167" fontId="186" fillId="0" borderId="7" xfId="1" applyNumberFormat="1" applyFont="1" applyBorder="1"/>
    <xf numFmtId="167" fontId="202" fillId="0" borderId="7" xfId="1" applyNumberFormat="1" applyFont="1" applyBorder="1"/>
    <xf numFmtId="3" fontId="26" fillId="0" borderId="54" xfId="167" applyNumberFormat="1" applyFont="1" applyBorder="1" applyAlignment="1">
      <alignment horizontal="right" vertical="center" wrapText="1"/>
    </xf>
    <xf numFmtId="0" fontId="26" fillId="0" borderId="54" xfId="167" applyFont="1" applyBorder="1" applyAlignment="1">
      <alignment horizontal="right" vertical="center" wrapText="1"/>
    </xf>
    <xf numFmtId="0" fontId="26" fillId="37" borderId="54" xfId="167" applyFont="1" applyFill="1" applyBorder="1" applyAlignment="1">
      <alignment horizontal="right" vertical="center" wrapText="1"/>
    </xf>
    <xf numFmtId="0" fontId="26" fillId="0" borderId="55" xfId="167" applyFont="1" applyBorder="1" applyAlignment="1">
      <alignment horizontal="right" vertical="center" wrapText="1"/>
    </xf>
    <xf numFmtId="0" fontId="26" fillId="0" borderId="54" xfId="167" quotePrefix="1" applyFont="1" applyBorder="1" applyAlignment="1">
      <alignment vertical="center" wrapText="1"/>
    </xf>
    <xf numFmtId="3" fontId="162" fillId="0" borderId="54" xfId="167" applyNumberFormat="1" applyFont="1" applyBorder="1" applyAlignment="1">
      <alignment horizontal="right" vertical="center" wrapText="1"/>
    </xf>
    <xf numFmtId="0" fontId="162" fillId="0" borderId="54" xfId="167" applyFont="1" applyBorder="1" applyAlignment="1">
      <alignment horizontal="right" vertical="center" wrapText="1"/>
    </xf>
    <xf numFmtId="167" fontId="26" fillId="0" borderId="54" xfId="1" applyNumberFormat="1" applyFont="1" applyBorder="1" applyAlignment="1">
      <alignment horizontal="right" vertical="center" wrapText="1"/>
    </xf>
    <xf numFmtId="0" fontId="176" fillId="37" borderId="56" xfId="167" applyFont="1" applyFill="1" applyBorder="1" applyAlignment="1">
      <alignment horizontal="center" vertical="center" wrapText="1"/>
    </xf>
    <xf numFmtId="2" fontId="172" fillId="0" borderId="54" xfId="167" applyNumberFormat="1" applyFont="1" applyBorder="1" applyAlignment="1">
      <alignment horizontal="right" vertical="center" wrapText="1"/>
    </xf>
    <xf numFmtId="0" fontId="176" fillId="0" borderId="54" xfId="167" applyFont="1" applyBorder="1" applyAlignment="1">
      <alignment horizontal="right" vertical="center" wrapText="1"/>
    </xf>
    <xf numFmtId="0" fontId="176" fillId="37" borderId="54" xfId="167" applyFont="1" applyFill="1" applyBorder="1" applyAlignment="1">
      <alignment horizontal="right" vertical="center" wrapText="1"/>
    </xf>
    <xf numFmtId="2" fontId="176" fillId="0" borderId="54" xfId="167" applyNumberFormat="1" applyFont="1" applyBorder="1" applyAlignment="1">
      <alignment horizontal="right" vertical="center" wrapText="1"/>
    </xf>
    <xf numFmtId="167" fontId="176" fillId="0" borderId="54" xfId="167" applyNumberFormat="1" applyFont="1" applyBorder="1" applyAlignment="1">
      <alignment horizontal="right" vertical="center" wrapText="1"/>
    </xf>
    <xf numFmtId="43" fontId="176" fillId="0" borderId="54" xfId="167" applyNumberFormat="1" applyFont="1" applyBorder="1" applyAlignment="1">
      <alignment horizontal="right" vertical="center" wrapText="1"/>
    </xf>
    <xf numFmtId="0" fontId="175" fillId="0" borderId="0" xfId="167" applyFont="1" applyAlignment="1"/>
    <xf numFmtId="3" fontId="66" fillId="0" borderId="0" xfId="167" applyNumberFormat="1" applyFont="1"/>
    <xf numFmtId="167" fontId="66" fillId="0" borderId="0" xfId="167" applyNumberFormat="1" applyFont="1"/>
    <xf numFmtId="0" fontId="26" fillId="29" borderId="34" xfId="167" applyFont="1" applyFill="1" applyBorder="1" applyAlignment="1">
      <alignment horizontal="center" vertical="center" wrapText="1"/>
    </xf>
    <xf numFmtId="0" fontId="162" fillId="29" borderId="34" xfId="167" applyFont="1" applyFill="1" applyBorder="1" applyAlignment="1">
      <alignment vertical="center" wrapText="1"/>
    </xf>
    <xf numFmtId="167" fontId="162" fillId="29" borderId="34" xfId="167" applyNumberFormat="1" applyFont="1" applyFill="1" applyBorder="1" applyAlignment="1">
      <alignment horizontal="center" vertical="center" wrapText="1"/>
    </xf>
    <xf numFmtId="2" fontId="162" fillId="29" borderId="34" xfId="167" applyNumberFormat="1" applyFont="1" applyFill="1" applyBorder="1" applyAlignment="1">
      <alignment horizontal="right" vertical="center" wrapText="1"/>
    </xf>
    <xf numFmtId="0" fontId="66" fillId="0" borderId="0" xfId="167" applyFont="1" applyFill="1"/>
    <xf numFmtId="0" fontId="172" fillId="0" borderId="0" xfId="167" applyFont="1" applyFill="1" applyAlignment="1">
      <alignment horizontal="center" vertical="center"/>
    </xf>
    <xf numFmtId="0" fontId="173" fillId="0" borderId="0" xfId="167" applyFont="1" applyFill="1" applyAlignment="1">
      <alignment horizontal="center" vertical="center"/>
    </xf>
    <xf numFmtId="0" fontId="173" fillId="0" borderId="0" xfId="167" applyFont="1" applyFill="1" applyAlignment="1">
      <alignment horizontal="right" vertical="center"/>
    </xf>
    <xf numFmtId="0" fontId="162" fillId="0" borderId="0" xfId="167" applyFont="1" applyFill="1" applyBorder="1" applyAlignment="1">
      <alignment horizontal="center" vertical="center" wrapText="1"/>
    </xf>
    <xf numFmtId="0" fontId="26" fillId="0" borderId="0" xfId="167" applyFont="1" applyFill="1" applyBorder="1" applyAlignment="1">
      <alignment horizontal="center" vertical="center" wrapText="1"/>
    </xf>
    <xf numFmtId="0" fontId="176" fillId="0" borderId="0" xfId="167" applyFont="1" applyFill="1" applyBorder="1" applyAlignment="1">
      <alignment horizontal="center" vertical="center" wrapText="1"/>
    </xf>
    <xf numFmtId="2" fontId="172" fillId="0" borderId="0" xfId="167" applyNumberFormat="1" applyFont="1" applyFill="1" applyBorder="1" applyAlignment="1">
      <alignment horizontal="right" vertical="center" wrapText="1"/>
    </xf>
    <xf numFmtId="2" fontId="176" fillId="0" borderId="0" xfId="167" applyNumberFormat="1" applyFont="1" applyFill="1" applyBorder="1" applyAlignment="1">
      <alignment horizontal="right" vertical="center" wrapText="1"/>
    </xf>
    <xf numFmtId="0" fontId="176" fillId="0" borderId="0" xfId="167" applyFont="1" applyFill="1" applyBorder="1" applyAlignment="1">
      <alignment horizontal="right" vertical="center" wrapText="1"/>
    </xf>
    <xf numFmtId="43" fontId="176" fillId="0" borderId="0" xfId="167" applyNumberFormat="1" applyFont="1" applyFill="1" applyBorder="1" applyAlignment="1">
      <alignment horizontal="right" vertical="center" wrapText="1"/>
    </xf>
    <xf numFmtId="167" fontId="176" fillId="0" borderId="0" xfId="167" applyNumberFormat="1" applyFont="1" applyFill="1" applyBorder="1" applyAlignment="1">
      <alignment horizontal="right" vertical="center" wrapText="1"/>
    </xf>
    <xf numFmtId="0" fontId="26" fillId="0" borderId="0" xfId="167" applyFont="1" applyFill="1" applyBorder="1" applyAlignment="1">
      <alignment horizontal="right" vertical="center" wrapText="1"/>
    </xf>
    <xf numFmtId="0" fontId="66" fillId="33" borderId="0" xfId="167" applyFont="1" applyFill="1"/>
    <xf numFmtId="0" fontId="175" fillId="33" borderId="0" xfId="167" applyFont="1" applyFill="1" applyAlignment="1">
      <alignment horizontal="center"/>
    </xf>
    <xf numFmtId="0" fontId="175" fillId="33" borderId="0" xfId="167" applyFont="1" applyFill="1"/>
    <xf numFmtId="3" fontId="175" fillId="33" borderId="0" xfId="167" applyNumberFormat="1" applyFont="1" applyFill="1"/>
    <xf numFmtId="3" fontId="66" fillId="33" borderId="0" xfId="167" applyNumberFormat="1" applyFont="1" applyFill="1"/>
    <xf numFmtId="167" fontId="66" fillId="33" borderId="0" xfId="1" applyNumberFormat="1" applyFont="1" applyFill="1"/>
    <xf numFmtId="167" fontId="66" fillId="33" borderId="0" xfId="167" applyNumberFormat="1" applyFont="1" applyFill="1"/>
    <xf numFmtId="167" fontId="26" fillId="0" borderId="55" xfId="1" applyNumberFormat="1" applyFont="1" applyBorder="1" applyAlignment="1">
      <alignment horizontal="right" vertical="center" wrapText="1"/>
    </xf>
    <xf numFmtId="3" fontId="66" fillId="0" borderId="0" xfId="167" applyNumberFormat="1"/>
    <xf numFmtId="2" fontId="162" fillId="0" borderId="54" xfId="167" applyNumberFormat="1" applyFont="1" applyFill="1" applyBorder="1" applyAlignment="1">
      <alignment vertical="center" wrapText="1"/>
    </xf>
    <xf numFmtId="2" fontId="26" fillId="0" borderId="54" xfId="167" applyNumberFormat="1" applyFont="1" applyFill="1" applyBorder="1" applyAlignment="1">
      <alignment vertical="center" wrapText="1"/>
    </xf>
    <xf numFmtId="167" fontId="176" fillId="0" borderId="7" xfId="1" applyNumberFormat="1" applyFont="1" applyBorder="1" applyAlignment="1">
      <alignment vertical="center" wrapText="1"/>
    </xf>
    <xf numFmtId="3" fontId="176" fillId="0" borderId="7" xfId="167" applyNumberFormat="1" applyFont="1" applyBorder="1" applyAlignment="1">
      <alignment vertical="center" wrapText="1"/>
    </xf>
    <xf numFmtId="166" fontId="18" fillId="0" borderId="0" xfId="2" applyNumberFormat="1" applyFont="1" applyAlignment="1">
      <alignment horizontal="center" vertical="center"/>
    </xf>
    <xf numFmtId="0" fontId="4" fillId="0" borderId="8" xfId="0" applyFont="1" applyBorder="1" applyAlignment="1"/>
    <xf numFmtId="167" fontId="176" fillId="0" borderId="8" xfId="1" applyNumberFormat="1" applyFont="1" applyBorder="1" applyAlignment="1">
      <alignment vertical="center" wrapText="1"/>
    </xf>
    <xf numFmtId="3" fontId="176" fillId="0" borderId="8" xfId="167" applyNumberFormat="1" applyFont="1" applyBorder="1" applyAlignment="1">
      <alignment vertical="center" wrapText="1"/>
    </xf>
    <xf numFmtId="0" fontId="176" fillId="0" borderId="8" xfId="167" applyFont="1" applyBorder="1" applyAlignment="1">
      <alignment vertical="center" wrapText="1"/>
    </xf>
    <xf numFmtId="167" fontId="172" fillId="0" borderId="34" xfId="167" applyNumberFormat="1" applyFont="1" applyBorder="1" applyAlignment="1">
      <alignment vertical="center" wrapText="1"/>
    </xf>
    <xf numFmtId="167" fontId="172" fillId="48" borderId="34" xfId="167" applyNumberFormat="1" applyFont="1" applyFill="1" applyBorder="1" applyAlignment="1">
      <alignment vertical="center" wrapText="1"/>
    </xf>
    <xf numFmtId="167" fontId="4" fillId="48" borderId="8" xfId="0" applyNumberFormat="1" applyFont="1" applyFill="1" applyBorder="1" applyAlignment="1"/>
    <xf numFmtId="167" fontId="4" fillId="48" borderId="7" xfId="0" applyNumberFormat="1" applyFont="1" applyFill="1" applyBorder="1" applyAlignment="1"/>
    <xf numFmtId="167" fontId="172" fillId="27" borderId="34" xfId="167" applyNumberFormat="1" applyFont="1" applyFill="1" applyBorder="1" applyAlignment="1">
      <alignment vertical="center" wrapText="1"/>
    </xf>
    <xf numFmtId="3" fontId="176" fillId="27" borderId="8" xfId="167" applyNumberFormat="1" applyFont="1" applyFill="1" applyBorder="1" applyAlignment="1">
      <alignment vertical="center" wrapText="1"/>
    </xf>
    <xf numFmtId="3" fontId="176" fillId="27" borderId="7" xfId="167" applyNumberFormat="1" applyFont="1" applyFill="1" applyBorder="1" applyAlignment="1">
      <alignment vertical="center" wrapText="1"/>
    </xf>
    <xf numFmtId="0" fontId="108" fillId="0" borderId="7" xfId="5" applyFont="1" applyBorder="1" applyAlignment="1">
      <alignment wrapText="1"/>
    </xf>
    <xf numFmtId="0" fontId="108" fillId="0" borderId="10" xfId="5" applyFont="1" applyBorder="1" applyAlignment="1">
      <alignment wrapText="1"/>
    </xf>
    <xf numFmtId="0" fontId="4" fillId="0" borderId="10" xfId="0" applyFont="1" applyBorder="1" applyAlignment="1">
      <alignment horizontal="center"/>
    </xf>
    <xf numFmtId="0" fontId="4" fillId="0" borderId="10" xfId="0" applyFont="1" applyBorder="1" applyAlignment="1"/>
    <xf numFmtId="167" fontId="172" fillId="0" borderId="34" xfId="1" applyNumberFormat="1" applyFont="1" applyBorder="1" applyAlignment="1">
      <alignment vertical="center" wrapText="1"/>
    </xf>
    <xf numFmtId="167" fontId="176" fillId="0" borderId="34" xfId="1" applyNumberFormat="1" applyFont="1" applyBorder="1" applyAlignment="1">
      <alignment vertical="center" wrapText="1"/>
    </xf>
    <xf numFmtId="0" fontId="173" fillId="0" borderId="7" xfId="11" applyFont="1" applyBorder="1" applyAlignment="1">
      <alignment vertical="center" wrapText="1"/>
    </xf>
    <xf numFmtId="0" fontId="173" fillId="0" borderId="7" xfId="11" quotePrefix="1" applyFont="1" applyBorder="1" applyAlignment="1">
      <alignment vertical="center" wrapText="1"/>
    </xf>
    <xf numFmtId="0" fontId="203" fillId="0" borderId="7" xfId="11" applyFont="1" applyBorder="1" applyAlignment="1">
      <alignment vertical="center" wrapText="1"/>
    </xf>
    <xf numFmtId="0" fontId="172" fillId="0" borderId="34" xfId="167" applyFont="1" applyBorder="1" applyAlignment="1">
      <alignment horizontal="center" vertical="center" wrapText="1"/>
    </xf>
    <xf numFmtId="167" fontId="176" fillId="0" borderId="34" xfId="167" applyNumberFormat="1" applyFont="1" applyBorder="1" applyAlignment="1">
      <alignment vertical="center" wrapText="1"/>
    </xf>
    <xf numFmtId="0" fontId="13" fillId="0" borderId="8" xfId="106" quotePrefix="1" applyFont="1" applyFill="1" applyBorder="1" applyAlignment="1">
      <alignment horizontal="center" vertical="center" wrapText="1"/>
    </xf>
    <xf numFmtId="0" fontId="13" fillId="0" borderId="8" xfId="106" applyFont="1" applyFill="1" applyBorder="1" applyAlignment="1">
      <alignment horizontal="center" vertical="center" wrapText="1"/>
    </xf>
    <xf numFmtId="0" fontId="176" fillId="0" borderId="34" xfId="167" applyFont="1" applyBorder="1" applyAlignment="1">
      <alignment horizontal="center" vertical="center" wrapText="1"/>
    </xf>
    <xf numFmtId="0" fontId="162" fillId="0" borderId="7" xfId="187" applyFont="1" applyBorder="1" applyAlignment="1">
      <alignment horizontal="center"/>
    </xf>
    <xf numFmtId="0" fontId="162" fillId="0" borderId="7" xfId="187" applyFont="1" applyBorder="1" applyAlignment="1">
      <alignment horizontal="left"/>
    </xf>
    <xf numFmtId="0" fontId="26" fillId="0" borderId="7" xfId="187" quotePrefix="1" applyFont="1" applyBorder="1" applyAlignment="1">
      <alignment horizontal="right"/>
    </xf>
    <xf numFmtId="0" fontId="26" fillId="0" borderId="7" xfId="187" applyFont="1" applyBorder="1" applyAlignment="1"/>
    <xf numFmtId="0" fontId="26" fillId="0" borderId="7" xfId="5" applyFont="1" applyBorder="1" applyAlignment="1">
      <alignment wrapText="1"/>
    </xf>
    <xf numFmtId="0" fontId="26" fillId="0" borderId="10" xfId="187" quotePrefix="1" applyFont="1" applyBorder="1" applyAlignment="1">
      <alignment horizontal="right"/>
    </xf>
    <xf numFmtId="0" fontId="26" fillId="0" borderId="10" xfId="5" applyFont="1" applyBorder="1" applyAlignment="1">
      <alignment wrapText="1"/>
    </xf>
    <xf numFmtId="3" fontId="9" fillId="0" borderId="7" xfId="187" applyNumberFormat="1" applyFont="1" applyBorder="1" applyAlignment="1">
      <alignment horizontal="right"/>
    </xf>
    <xf numFmtId="3" fontId="172" fillId="0" borderId="34" xfId="1" applyNumberFormat="1" applyFont="1" applyBorder="1" applyAlignment="1">
      <alignment horizontal="right" vertical="center" wrapText="1"/>
    </xf>
    <xf numFmtId="3" fontId="172" fillId="0" borderId="34" xfId="1" applyNumberFormat="1" applyFont="1" applyBorder="1" applyAlignment="1">
      <alignment vertical="center" wrapText="1"/>
    </xf>
    <xf numFmtId="3" fontId="176" fillId="0" borderId="34" xfId="1" applyNumberFormat="1" applyFont="1" applyBorder="1" applyAlignment="1">
      <alignment horizontal="right" vertical="center" wrapText="1"/>
    </xf>
    <xf numFmtId="3" fontId="176" fillId="0" borderId="34" xfId="167" applyNumberFormat="1" applyFont="1" applyBorder="1" applyAlignment="1">
      <alignment horizontal="center" vertical="center" wrapText="1"/>
    </xf>
    <xf numFmtId="3" fontId="176" fillId="0" borderId="34" xfId="167" applyNumberFormat="1" applyFont="1" applyBorder="1" applyAlignment="1">
      <alignment horizontal="right" vertical="center" wrapText="1"/>
    </xf>
    <xf numFmtId="3" fontId="172" fillId="0" borderId="34" xfId="167" applyNumberFormat="1" applyFont="1" applyBorder="1" applyAlignment="1">
      <alignment horizontal="center" vertical="center" wrapText="1"/>
    </xf>
    <xf numFmtId="3" fontId="175" fillId="0" borderId="34" xfId="167" applyNumberFormat="1" applyFont="1" applyBorder="1"/>
    <xf numFmtId="3" fontId="66" fillId="0" borderId="34" xfId="1" applyNumberFormat="1" applyFont="1" applyBorder="1"/>
    <xf numFmtId="3" fontId="66" fillId="0" borderId="34" xfId="167" applyNumberFormat="1" applyFont="1" applyBorder="1"/>
    <xf numFmtId="0" fontId="66" fillId="0" borderId="34" xfId="167" applyBorder="1"/>
    <xf numFmtId="167" fontId="66" fillId="0" borderId="34" xfId="1" applyNumberFormat="1" applyFont="1" applyBorder="1" applyAlignment="1">
      <alignment vertical="center" wrapText="1"/>
    </xf>
    <xf numFmtId="167" fontId="66" fillId="0" borderId="34" xfId="1" applyNumberFormat="1" applyFont="1" applyBorder="1" applyAlignment="1">
      <alignment vertical="center"/>
    </xf>
    <xf numFmtId="167" fontId="175" fillId="0" borderId="34" xfId="1" applyNumberFormat="1" applyFont="1" applyBorder="1" applyAlignment="1">
      <alignment vertical="center"/>
    </xf>
    <xf numFmtId="0" fontId="66" fillId="0" borderId="0" xfId="167" applyAlignment="1">
      <alignment vertical="center"/>
    </xf>
    <xf numFmtId="0" fontId="66" fillId="0" borderId="34" xfId="1" applyNumberFormat="1" applyFont="1" applyBorder="1" applyAlignment="1">
      <alignment horizontal="center" vertical="center"/>
    </xf>
    <xf numFmtId="0" fontId="66" fillId="0" borderId="0" xfId="167" applyNumberFormat="1" applyAlignment="1">
      <alignment horizontal="center" vertical="center"/>
    </xf>
    <xf numFmtId="167" fontId="202" fillId="0" borderId="34" xfId="1" applyNumberFormat="1" applyFont="1" applyBorder="1" applyAlignment="1">
      <alignment horizontal="center" vertical="center" wrapText="1"/>
    </xf>
    <xf numFmtId="0" fontId="66" fillId="0" borderId="0" xfId="167" applyFont="1" applyAlignment="1">
      <alignment horizontal="center" vertical="center" wrapText="1"/>
    </xf>
    <xf numFmtId="0" fontId="66" fillId="0" borderId="34" xfId="1" applyNumberFormat="1" applyFont="1" applyBorder="1" applyAlignment="1">
      <alignment horizontal="center" vertical="center" wrapText="1"/>
    </xf>
    <xf numFmtId="0" fontId="3" fillId="0" borderId="0" xfId="166" applyFont="1" applyAlignment="1">
      <alignment horizontal="left" vertical="center" wrapText="1"/>
    </xf>
    <xf numFmtId="0" fontId="13" fillId="0" borderId="0" xfId="166" applyFont="1" applyAlignment="1">
      <alignment horizontal="centerContinuous" vertical="center"/>
    </xf>
    <xf numFmtId="0" fontId="5" fillId="0" borderId="0" xfId="166" applyFont="1" applyAlignment="1">
      <alignment horizontal="centerContinuous" vertical="center"/>
    </xf>
    <xf numFmtId="0" fontId="3" fillId="0" borderId="0" xfId="166" applyFont="1" applyAlignment="1">
      <alignment horizontal="centerContinuous" vertical="center" wrapText="1"/>
    </xf>
    <xf numFmtId="0" fontId="154" fillId="0" borderId="0" xfId="166" applyFont="1" applyAlignment="1">
      <alignment horizontal="centerContinuous" vertical="center"/>
    </xf>
    <xf numFmtId="0" fontId="3" fillId="0" borderId="0" xfId="166" quotePrefix="1" applyFont="1" applyAlignment="1">
      <alignment horizontal="centerContinuous" vertical="center" wrapText="1"/>
    </xf>
    <xf numFmtId="41" fontId="13" fillId="0" borderId="0" xfId="166" applyNumberFormat="1" applyFont="1" applyAlignment="1">
      <alignment horizontal="centerContinuous" vertical="center"/>
    </xf>
    <xf numFmtId="0" fontId="13" fillId="0" borderId="0" xfId="166" applyNumberFormat="1" applyFont="1" applyAlignment="1">
      <alignment horizontal="centerContinuous" vertical="center"/>
    </xf>
    <xf numFmtId="167" fontId="13" fillId="0" borderId="0" xfId="176" applyNumberFormat="1" applyFont="1" applyAlignment="1">
      <alignment horizontal="centerContinuous" vertical="center"/>
    </xf>
    <xf numFmtId="0" fontId="7" fillId="0" borderId="0" xfId="166" applyFont="1" applyAlignment="1">
      <alignment horizontal="left" vertical="center"/>
    </xf>
    <xf numFmtId="0" fontId="100" fillId="0" borderId="0" xfId="166" applyFont="1" applyAlignment="1">
      <alignment horizontal="left" vertical="center" wrapText="1"/>
    </xf>
    <xf numFmtId="167" fontId="97" fillId="0" borderId="0" xfId="176" applyNumberFormat="1" applyFont="1" applyAlignment="1">
      <alignment vertical="center"/>
    </xf>
    <xf numFmtId="167" fontId="100" fillId="0" borderId="0" xfId="176" applyNumberFormat="1" applyFont="1" applyBorder="1" applyAlignment="1">
      <alignment horizontal="center" vertical="center"/>
    </xf>
    <xf numFmtId="0" fontId="66" fillId="0" borderId="0" xfId="167" applyFont="1" applyAlignment="1">
      <alignment vertical="center"/>
    </xf>
    <xf numFmtId="0" fontId="66" fillId="0" borderId="0" xfId="167" applyAlignment="1">
      <alignment vertical="center" wrapText="1"/>
    </xf>
    <xf numFmtId="0" fontId="175" fillId="0" borderId="0" xfId="167" applyFont="1" applyAlignment="1">
      <alignment vertical="center"/>
    </xf>
    <xf numFmtId="167" fontId="100" fillId="0" borderId="1" xfId="176" applyNumberFormat="1" applyFont="1" applyBorder="1" applyAlignment="1">
      <alignment vertical="center"/>
    </xf>
    <xf numFmtId="167" fontId="175" fillId="0" borderId="34" xfId="1" applyNumberFormat="1" applyFont="1" applyBorder="1" applyAlignment="1">
      <alignment vertical="center" wrapText="1"/>
    </xf>
    <xf numFmtId="0" fontId="172" fillId="0" borderId="0" xfId="167" applyFont="1" applyAlignment="1">
      <alignment vertical="center"/>
    </xf>
    <xf numFmtId="0" fontId="172" fillId="0" borderId="0" xfId="167" applyFont="1" applyAlignment="1">
      <alignment horizontal="center"/>
    </xf>
    <xf numFmtId="0" fontId="173" fillId="0" borderId="0" xfId="167" applyFont="1" applyAlignment="1">
      <alignment horizontal="center" vertical="center"/>
    </xf>
    <xf numFmtId="0" fontId="172" fillId="0" borderId="0" xfId="167" applyFont="1" applyAlignment="1">
      <alignment horizontal="center" vertical="center"/>
    </xf>
    <xf numFmtId="0" fontId="162" fillId="0" borderId="34" xfId="167" applyFont="1" applyBorder="1" applyAlignment="1">
      <alignment horizontal="center" vertical="center" wrapText="1"/>
    </xf>
    <xf numFmtId="0" fontId="162" fillId="0" borderId="35" xfId="167" applyFont="1" applyBorder="1" applyAlignment="1">
      <alignment horizontal="center" vertical="center" wrapText="1"/>
    </xf>
    <xf numFmtId="0" fontId="97" fillId="0" borderId="0" xfId="95" applyFont="1"/>
    <xf numFmtId="0" fontId="3" fillId="0" borderId="0" xfId="95" applyFont="1"/>
    <xf numFmtId="0" fontId="97" fillId="0" borderId="0" xfId="95" applyFont="1" applyAlignment="1">
      <alignment vertical="center" wrapText="1"/>
    </xf>
    <xf numFmtId="0" fontId="3" fillId="0" borderId="8" xfId="95" applyFont="1" applyBorder="1" applyAlignment="1">
      <alignment horizontal="center" vertical="center" wrapText="1"/>
    </xf>
    <xf numFmtId="3" fontId="3" fillId="0" borderId="15" xfId="95" applyNumberFormat="1" applyFont="1" applyBorder="1" applyAlignment="1">
      <alignment horizontal="right" wrapText="1"/>
    </xf>
    <xf numFmtId="3" fontId="3" fillId="0" borderId="7" xfId="95" applyNumberFormat="1" applyFont="1" applyBorder="1" applyAlignment="1">
      <alignment horizontal="right"/>
    </xf>
    <xf numFmtId="3" fontId="3" fillId="0" borderId="7" xfId="95" applyNumberFormat="1" applyFont="1" applyBorder="1" applyAlignment="1">
      <alignment horizontal="right" wrapText="1"/>
    </xf>
    <xf numFmtId="3" fontId="3" fillId="0" borderId="7" xfId="95" applyNumberFormat="1" applyFont="1" applyFill="1" applyBorder="1" applyAlignment="1">
      <alignment horizontal="right"/>
    </xf>
    <xf numFmtId="0" fontId="3" fillId="0" borderId="7" xfId="95" applyFont="1" applyBorder="1" applyAlignment="1">
      <alignment horizontal="center"/>
    </xf>
    <xf numFmtId="3" fontId="97" fillId="0" borderId="7" xfId="95" applyNumberFormat="1" applyFont="1" applyBorder="1" applyAlignment="1">
      <alignment horizontal="right"/>
    </xf>
    <xf numFmtId="3" fontId="97" fillId="0" borderId="7" xfId="95" applyNumberFormat="1" applyFont="1" applyBorder="1" applyAlignment="1">
      <alignment horizontal="right" wrapText="1"/>
    </xf>
    <xf numFmtId="4" fontId="97" fillId="0" borderId="0" xfId="95" applyNumberFormat="1" applyFont="1"/>
    <xf numFmtId="0" fontId="97" fillId="0" borderId="7" xfId="95" quotePrefix="1" applyFont="1" applyBorder="1" applyAlignment="1">
      <alignment horizontal="right"/>
    </xf>
    <xf numFmtId="0" fontId="97" fillId="0" borderId="7" xfId="95" applyFont="1" applyBorder="1" applyAlignment="1"/>
    <xf numFmtId="3" fontId="97" fillId="0" borderId="15" xfId="95" applyNumberFormat="1" applyFont="1" applyBorder="1" applyAlignment="1">
      <alignment horizontal="right" wrapText="1"/>
    </xf>
    <xf numFmtId="3" fontId="97" fillId="0" borderId="7" xfId="95" applyNumberFormat="1" applyFont="1" applyFill="1" applyBorder="1" applyAlignment="1">
      <alignment horizontal="right"/>
    </xf>
    <xf numFmtId="3" fontId="97" fillId="0" borderId="7" xfId="95" applyNumberFormat="1" applyFont="1" applyFill="1" applyBorder="1" applyAlignment="1">
      <alignment horizontal="right" wrapText="1"/>
    </xf>
    <xf numFmtId="0" fontId="97" fillId="0" borderId="10" xfId="95" quotePrefix="1" applyFont="1" applyBorder="1" applyAlignment="1">
      <alignment horizontal="right"/>
    </xf>
    <xf numFmtId="3" fontId="97" fillId="0" borderId="10" xfId="95" applyNumberFormat="1" applyFont="1" applyBorder="1" applyAlignment="1">
      <alignment horizontal="right" wrapText="1"/>
    </xf>
    <xf numFmtId="3" fontId="97" fillId="0" borderId="10" xfId="95" applyNumberFormat="1" applyFont="1" applyBorder="1" applyAlignment="1">
      <alignment horizontal="right"/>
    </xf>
    <xf numFmtId="3" fontId="97" fillId="0" borderId="10" xfId="95" applyNumberFormat="1" applyFont="1" applyFill="1" applyBorder="1" applyAlignment="1">
      <alignment horizontal="right"/>
    </xf>
    <xf numFmtId="0" fontId="162" fillId="0" borderId="34" xfId="167" applyFont="1" applyBorder="1" applyAlignment="1">
      <alignment horizontal="center" vertical="center" wrapText="1"/>
    </xf>
    <xf numFmtId="0" fontId="172" fillId="0" borderId="34" xfId="167" applyFont="1" applyBorder="1" applyAlignment="1">
      <alignment horizontal="center" vertical="center" wrapText="1"/>
    </xf>
    <xf numFmtId="0" fontId="176" fillId="0" borderId="34" xfId="167" applyFont="1" applyBorder="1" applyAlignment="1">
      <alignment horizontal="center" vertical="center" wrapText="1"/>
    </xf>
    <xf numFmtId="0" fontId="66" fillId="0" borderId="34" xfId="167" applyBorder="1" applyAlignment="1">
      <alignment horizontal="center"/>
    </xf>
    <xf numFmtId="3" fontId="162" fillId="0" borderId="8" xfId="167" applyNumberFormat="1" applyFont="1" applyBorder="1" applyAlignment="1">
      <alignment horizontal="right" vertical="center" wrapText="1"/>
    </xf>
    <xf numFmtId="0" fontId="26" fillId="0" borderId="7" xfId="167" applyFont="1" applyBorder="1" applyAlignment="1">
      <alignment horizontal="justify" vertical="center" wrapText="1"/>
    </xf>
    <xf numFmtId="3" fontId="26" fillId="0" borderId="7" xfId="167" applyNumberFormat="1" applyFont="1" applyBorder="1" applyAlignment="1">
      <alignment horizontal="right" vertical="center" wrapText="1"/>
    </xf>
    <xf numFmtId="0" fontId="26" fillId="0" borderId="10" xfId="167" applyFont="1" applyBorder="1" applyAlignment="1">
      <alignment horizontal="center" vertical="center" wrapText="1"/>
    </xf>
    <xf numFmtId="0" fontId="26" fillId="0" borderId="10" xfId="167" applyFont="1" applyBorder="1" applyAlignment="1">
      <alignment vertical="center" wrapText="1"/>
    </xf>
    <xf numFmtId="3" fontId="26" fillId="0" borderId="10" xfId="167" applyNumberFormat="1" applyFont="1" applyBorder="1" applyAlignment="1">
      <alignment horizontal="right" vertical="center" wrapText="1"/>
    </xf>
    <xf numFmtId="0" fontId="66" fillId="0" borderId="10" xfId="167" applyBorder="1"/>
    <xf numFmtId="0" fontId="66" fillId="0" borderId="0" xfId="167" applyFont="1" applyFill="1" applyAlignment="1">
      <alignment horizontal="center" vertical="center" wrapText="1"/>
    </xf>
    <xf numFmtId="0" fontId="66" fillId="0" borderId="0" xfId="167" applyFont="1" applyFill="1" applyAlignment="1">
      <alignment vertical="center" wrapText="1"/>
    </xf>
    <xf numFmtId="0" fontId="66" fillId="0" borderId="0" xfId="167" applyFont="1" applyFill="1" applyAlignment="1">
      <alignment horizontal="justify" vertical="center" wrapText="1"/>
    </xf>
    <xf numFmtId="0" fontId="162" fillId="0" borderId="34" xfId="167" applyFont="1" applyFill="1" applyBorder="1" applyAlignment="1">
      <alignment horizontal="center" vertical="center" wrapText="1"/>
    </xf>
    <xf numFmtId="0" fontId="66" fillId="0" borderId="34" xfId="167" applyFont="1" applyFill="1" applyBorder="1" applyAlignment="1">
      <alignment vertical="center" wrapText="1"/>
    </xf>
    <xf numFmtId="0" fontId="162" fillId="0" borderId="6" xfId="167" applyFont="1" applyFill="1" applyBorder="1" applyAlignment="1">
      <alignment horizontal="center" vertical="center" wrapText="1"/>
    </xf>
    <xf numFmtId="3" fontId="162" fillId="0" borderId="6" xfId="167" applyNumberFormat="1" applyFont="1" applyFill="1" applyBorder="1" applyAlignment="1">
      <alignment horizontal="right" vertical="center" wrapText="1"/>
    </xf>
    <xf numFmtId="0" fontId="185" fillId="0" borderId="7" xfId="167" applyFont="1" applyFill="1" applyBorder="1" applyAlignment="1">
      <alignment horizontal="center" vertical="center" wrapText="1"/>
    </xf>
    <xf numFmtId="0" fontId="185" fillId="0" borderId="7" xfId="167" applyFont="1" applyFill="1" applyBorder="1" applyAlignment="1">
      <alignment horizontal="justify" vertical="center" wrapText="1"/>
    </xf>
    <xf numFmtId="3" fontId="185" fillId="0" borderId="7" xfId="167" applyNumberFormat="1" applyFont="1" applyFill="1" applyBorder="1" applyAlignment="1">
      <alignment horizontal="right" vertical="center" wrapText="1"/>
    </xf>
    <xf numFmtId="0" fontId="186" fillId="0" borderId="0" xfId="167" applyFont="1" applyFill="1" applyAlignment="1">
      <alignment vertical="center" wrapText="1"/>
    </xf>
    <xf numFmtId="0" fontId="205" fillId="0" borderId="7" xfId="167" applyFont="1" applyFill="1" applyBorder="1" applyAlignment="1">
      <alignment horizontal="center" vertical="center" wrapText="1"/>
    </xf>
    <xf numFmtId="0" fontId="205" fillId="0" borderId="7" xfId="167" applyFont="1" applyFill="1" applyBorder="1" applyAlignment="1">
      <alignment horizontal="justify" vertical="center" wrapText="1"/>
    </xf>
    <xf numFmtId="3" fontId="205" fillId="0" borderId="7" xfId="167" applyNumberFormat="1" applyFont="1" applyFill="1" applyBorder="1" applyAlignment="1">
      <alignment horizontal="right" vertical="center" wrapText="1"/>
    </xf>
    <xf numFmtId="0" fontId="205" fillId="0" borderId="0" xfId="167" applyFont="1" applyFill="1" applyAlignment="1">
      <alignment vertical="center" wrapText="1"/>
    </xf>
    <xf numFmtId="0" fontId="162" fillId="0" borderId="7" xfId="167" applyFont="1" applyFill="1" applyBorder="1" applyAlignment="1">
      <alignment horizontal="center" vertical="center" wrapText="1"/>
    </xf>
    <xf numFmtId="0" fontId="162" fillId="0" borderId="7" xfId="167" applyFont="1" applyFill="1" applyBorder="1" applyAlignment="1">
      <alignment horizontal="justify" vertical="center" wrapText="1"/>
    </xf>
    <xf numFmtId="3" fontId="162" fillId="0" borderId="7" xfId="167" applyNumberFormat="1" applyFont="1" applyFill="1" applyBorder="1" applyAlignment="1">
      <alignment horizontal="right" vertical="center" wrapText="1"/>
    </xf>
    <xf numFmtId="0" fontId="175" fillId="0" borderId="7" xfId="167" applyFont="1" applyFill="1" applyBorder="1" applyAlignment="1">
      <alignment vertical="center" wrapText="1"/>
    </xf>
    <xf numFmtId="0" fontId="175" fillId="0" borderId="0" xfId="167" applyFont="1" applyFill="1" applyAlignment="1">
      <alignment vertical="center" wrapText="1"/>
    </xf>
    <xf numFmtId="0" fontId="174" fillId="0" borderId="7" xfId="167" applyFont="1" applyFill="1" applyBorder="1" applyAlignment="1">
      <alignment horizontal="center" vertical="center" wrapText="1"/>
    </xf>
    <xf numFmtId="0" fontId="174" fillId="0" borderId="7" xfId="167" applyFont="1" applyFill="1" applyBorder="1" applyAlignment="1">
      <alignment horizontal="justify" vertical="center" wrapText="1"/>
    </xf>
    <xf numFmtId="3" fontId="174" fillId="0" borderId="7" xfId="167" applyNumberFormat="1" applyFont="1" applyFill="1" applyBorder="1" applyAlignment="1">
      <alignment horizontal="right" vertical="center" wrapText="1"/>
    </xf>
    <xf numFmtId="0" fontId="202" fillId="0" borderId="7" xfId="167" applyFont="1" applyFill="1" applyBorder="1" applyAlignment="1">
      <alignment vertical="center" wrapText="1"/>
    </xf>
    <xf numFmtId="0" fontId="202" fillId="0" borderId="0" xfId="167" applyFont="1" applyFill="1" applyAlignment="1">
      <alignment vertical="center" wrapText="1"/>
    </xf>
    <xf numFmtId="0" fontId="206" fillId="0" borderId="7" xfId="167" applyFont="1" applyFill="1" applyBorder="1" applyAlignment="1">
      <alignment horizontal="center" vertical="center" wrapText="1"/>
    </xf>
    <xf numFmtId="3" fontId="206" fillId="0" borderId="7" xfId="167" applyNumberFormat="1" applyFont="1" applyFill="1" applyBorder="1" applyAlignment="1">
      <alignment horizontal="right" vertical="center" wrapText="1"/>
    </xf>
    <xf numFmtId="0" fontId="206" fillId="0" borderId="0" xfId="167" applyFont="1" applyFill="1" applyAlignment="1">
      <alignment vertical="center" wrapText="1"/>
    </xf>
    <xf numFmtId="0" fontId="26" fillId="0" borderId="7" xfId="167" applyFont="1" applyFill="1" applyBorder="1" applyAlignment="1">
      <alignment horizontal="center" vertical="center" wrapText="1"/>
    </xf>
    <xf numFmtId="0" fontId="26" fillId="0" borderId="7" xfId="167" applyFont="1" applyFill="1" applyBorder="1" applyAlignment="1">
      <alignment horizontal="justify" vertical="center" wrapText="1"/>
    </xf>
    <xf numFmtId="3" fontId="26" fillId="0" borderId="7" xfId="167" applyNumberFormat="1" applyFont="1" applyFill="1" applyBorder="1" applyAlignment="1">
      <alignment horizontal="right" vertical="center" wrapText="1"/>
    </xf>
    <xf numFmtId="0" fontId="66" fillId="0" borderId="7" xfId="167" applyFont="1" applyFill="1" applyBorder="1" applyAlignment="1">
      <alignment vertical="center" wrapText="1"/>
    </xf>
    <xf numFmtId="3" fontId="66" fillId="0" borderId="7" xfId="167" applyNumberFormat="1" applyFill="1" applyBorder="1" applyAlignment="1">
      <alignment vertical="center" wrapText="1"/>
    </xf>
    <xf numFmtId="0" fontId="26" fillId="0" borderId="7" xfId="167" applyFont="1" applyFill="1" applyBorder="1" applyAlignment="1">
      <alignment vertical="center" wrapText="1"/>
    </xf>
    <xf numFmtId="0" fontId="26" fillId="0" borderId="0" xfId="167" applyFont="1" applyFill="1" applyAlignment="1">
      <alignment vertical="center" wrapText="1"/>
    </xf>
    <xf numFmtId="3" fontId="66" fillId="0" borderId="7" xfId="167" applyNumberFormat="1" applyFont="1" applyFill="1" applyBorder="1" applyAlignment="1">
      <alignment vertical="center" wrapText="1"/>
    </xf>
    <xf numFmtId="0" fontId="175" fillId="0" borderId="7" xfId="167" applyFont="1" applyFill="1" applyBorder="1" applyAlignment="1">
      <alignment horizontal="center" vertical="center" wrapText="1"/>
    </xf>
    <xf numFmtId="0" fontId="175" fillId="0" borderId="7" xfId="167" applyFont="1" applyFill="1" applyBorder="1" applyAlignment="1">
      <alignment horizontal="justify" vertical="center" wrapText="1"/>
    </xf>
    <xf numFmtId="3" fontId="175" fillId="0" borderId="7" xfId="167" applyNumberFormat="1" applyFont="1" applyFill="1" applyBorder="1" applyAlignment="1">
      <alignment vertical="center" wrapText="1"/>
    </xf>
    <xf numFmtId="0" fontId="66" fillId="0" borderId="7" xfId="167" applyFont="1" applyFill="1" applyBorder="1" applyAlignment="1">
      <alignment horizontal="center" vertical="center" wrapText="1"/>
    </xf>
    <xf numFmtId="0" fontId="66" fillId="0" borderId="7" xfId="167" applyFont="1" applyFill="1" applyBorder="1" applyAlignment="1">
      <alignment horizontal="justify" vertical="center" wrapText="1"/>
    </xf>
    <xf numFmtId="0" fontId="207" fillId="0" borderId="7" xfId="167" applyFont="1" applyFill="1" applyBorder="1" applyAlignment="1">
      <alignment horizontal="center" vertical="center" wrapText="1"/>
    </xf>
    <xf numFmtId="0" fontId="207" fillId="0" borderId="7" xfId="167" applyFont="1" applyFill="1" applyBorder="1" applyAlignment="1">
      <alignment horizontal="justify" vertical="center" wrapText="1"/>
    </xf>
    <xf numFmtId="3" fontId="207" fillId="0" borderId="7" xfId="167" applyNumberFormat="1" applyFont="1" applyFill="1" applyBorder="1" applyAlignment="1">
      <alignment vertical="center" wrapText="1"/>
    </xf>
    <xf numFmtId="3" fontId="184" fillId="0" borderId="7" xfId="167" applyNumberFormat="1" applyFont="1" applyFill="1" applyBorder="1" applyAlignment="1">
      <alignment horizontal="right" vertical="center" wrapText="1"/>
    </xf>
    <xf numFmtId="0" fontId="207" fillId="0" borderId="0" xfId="167" applyFont="1" applyFill="1" applyAlignment="1">
      <alignment vertical="center" wrapText="1"/>
    </xf>
    <xf numFmtId="0" fontId="208" fillId="0" borderId="7" xfId="167" applyFont="1" applyFill="1" applyBorder="1" applyAlignment="1">
      <alignment horizontal="center" vertical="center" wrapText="1"/>
    </xf>
    <xf numFmtId="3" fontId="208" fillId="0" borderId="7" xfId="167" applyNumberFormat="1" applyFont="1" applyFill="1" applyBorder="1" applyAlignment="1">
      <alignment horizontal="right" vertical="center" wrapText="1"/>
    </xf>
    <xf numFmtId="0" fontId="208" fillId="0" borderId="0" xfId="167" applyFont="1" applyFill="1" applyAlignment="1">
      <alignment vertical="center" wrapText="1"/>
    </xf>
    <xf numFmtId="0" fontId="208" fillId="0" borderId="7" xfId="167" applyFont="1" applyFill="1" applyBorder="1" applyAlignment="1">
      <alignment horizontal="justify" vertical="center" wrapText="1"/>
    </xf>
    <xf numFmtId="3" fontId="185" fillId="0" borderId="7" xfId="167" applyNumberFormat="1" applyFont="1" applyFill="1" applyBorder="1" applyAlignment="1">
      <alignment vertical="center" wrapText="1"/>
    </xf>
    <xf numFmtId="0" fontId="66" fillId="0" borderId="7" xfId="167" applyFill="1" applyBorder="1" applyAlignment="1">
      <alignment horizontal="justify" vertical="center" wrapText="1"/>
    </xf>
    <xf numFmtId="3" fontId="205" fillId="0" borderId="7" xfId="167" applyNumberFormat="1" applyFont="1" applyFill="1" applyBorder="1" applyAlignment="1">
      <alignment vertical="center" wrapText="1"/>
    </xf>
    <xf numFmtId="0" fontId="66" fillId="0" borderId="7" xfId="167" applyFill="1" applyBorder="1" applyAlignment="1">
      <alignment horizontal="center" vertical="center" wrapText="1"/>
    </xf>
    <xf numFmtId="3" fontId="26" fillId="0" borderId="7" xfId="167" applyNumberFormat="1" applyFont="1" applyFill="1" applyBorder="1" applyAlignment="1">
      <alignment vertical="center" wrapText="1"/>
    </xf>
    <xf numFmtId="0" fontId="66" fillId="0" borderId="10" xfId="167" applyFont="1" applyFill="1" applyBorder="1" applyAlignment="1">
      <alignment horizontal="center" vertical="center" wrapText="1"/>
    </xf>
    <xf numFmtId="0" fontId="66" fillId="0" borderId="10" xfId="167" applyFont="1" applyFill="1" applyBorder="1" applyAlignment="1">
      <alignment horizontal="justify" vertical="center" wrapText="1"/>
    </xf>
    <xf numFmtId="3" fontId="66" fillId="0" borderId="10" xfId="167" applyNumberFormat="1" applyFont="1" applyFill="1" applyBorder="1" applyAlignment="1">
      <alignment vertical="center" wrapText="1"/>
    </xf>
    <xf numFmtId="3" fontId="205" fillId="0" borderId="0" xfId="167" applyNumberFormat="1" applyFont="1" applyFill="1" applyAlignment="1">
      <alignment vertical="center" wrapText="1"/>
    </xf>
    <xf numFmtId="3" fontId="162" fillId="0" borderId="7" xfId="196" applyNumberFormat="1" applyFont="1" applyFill="1" applyBorder="1" applyAlignment="1">
      <alignment horizontal="center" vertical="center" wrapText="1"/>
    </xf>
    <xf numFmtId="1" fontId="162" fillId="0" borderId="7" xfId="196" applyNumberFormat="1" applyFont="1" applyFill="1" applyBorder="1" applyAlignment="1">
      <alignment horizontal="justify" vertical="center" wrapText="1"/>
    </xf>
    <xf numFmtId="3" fontId="26" fillId="0" borderId="7" xfId="196" applyNumberFormat="1" applyFont="1" applyFill="1" applyBorder="1" applyAlignment="1">
      <alignment horizontal="center" vertical="center" wrapText="1"/>
    </xf>
    <xf numFmtId="3" fontId="26" fillId="0" borderId="7" xfId="196" applyNumberFormat="1" applyFont="1" applyFill="1" applyBorder="1" applyAlignment="1">
      <alignment vertical="center" wrapText="1"/>
    </xf>
    <xf numFmtId="1" fontId="162" fillId="0" borderId="7" xfId="197" applyNumberFormat="1" applyFont="1" applyFill="1" applyBorder="1" applyAlignment="1">
      <alignment horizontal="center" vertical="center"/>
    </xf>
    <xf numFmtId="0" fontId="162" fillId="0" borderId="7" xfId="196" applyFont="1" applyFill="1" applyBorder="1" applyAlignment="1">
      <alignment horizontal="justify" vertical="center" wrapText="1"/>
    </xf>
    <xf numFmtId="0" fontId="26" fillId="0" borderId="7" xfId="196" quotePrefix="1" applyFont="1" applyFill="1" applyBorder="1" applyAlignment="1">
      <alignment horizontal="center" vertical="center"/>
    </xf>
    <xf numFmtId="0" fontId="26" fillId="0" borderId="7" xfId="196" applyFont="1" applyFill="1" applyBorder="1" applyAlignment="1">
      <alignment horizontal="justify" vertical="center" wrapText="1"/>
    </xf>
    <xf numFmtId="3" fontId="162" fillId="0" borderId="7" xfId="196" applyNumberFormat="1" applyFont="1" applyFill="1" applyBorder="1" applyAlignment="1">
      <alignment horizontal="justify" vertical="center" wrapText="1"/>
    </xf>
    <xf numFmtId="3" fontId="162" fillId="0" borderId="7" xfId="196" quotePrefix="1" applyNumberFormat="1" applyFont="1" applyFill="1" applyBorder="1" applyAlignment="1">
      <alignment horizontal="center" vertical="center" wrapText="1"/>
    </xf>
    <xf numFmtId="3" fontId="162" fillId="0" borderId="7" xfId="196" applyNumberFormat="1" applyFont="1" applyFill="1" applyBorder="1" applyAlignment="1">
      <alignment vertical="center" wrapText="1"/>
    </xf>
    <xf numFmtId="0" fontId="26" fillId="0" borderId="7" xfId="198" applyFont="1" applyFill="1" applyBorder="1" applyAlignment="1">
      <alignment horizontal="justify" vertical="center" wrapText="1"/>
    </xf>
    <xf numFmtId="3" fontId="26" fillId="0" borderId="7" xfId="197" quotePrefix="1" applyNumberFormat="1" applyFont="1" applyFill="1" applyBorder="1" applyAlignment="1">
      <alignment horizontal="right" vertical="center" wrapText="1"/>
    </xf>
    <xf numFmtId="0" fontId="162" fillId="0" borderId="7" xfId="199" applyFont="1" applyFill="1" applyBorder="1" applyAlignment="1">
      <alignment horizontal="justify" vertical="center" wrapText="1"/>
    </xf>
    <xf numFmtId="1" fontId="184" fillId="0" borderId="7" xfId="197" applyNumberFormat="1" applyFont="1" applyFill="1" applyBorder="1" applyAlignment="1">
      <alignment horizontal="justify" vertical="center" wrapText="1"/>
    </xf>
    <xf numFmtId="0" fontId="162" fillId="0" borderId="7" xfId="200" applyFont="1" applyFill="1" applyBorder="1" applyAlignment="1">
      <alignment horizontal="justify" vertical="center" wrapText="1"/>
    </xf>
    <xf numFmtId="1" fontId="26" fillId="0" borderId="7" xfId="197" applyNumberFormat="1" applyFont="1" applyFill="1" applyBorder="1" applyAlignment="1">
      <alignment horizontal="justify" vertical="center" wrapText="1"/>
    </xf>
    <xf numFmtId="41" fontId="26" fillId="0" borderId="7" xfId="197" quotePrefix="1" applyNumberFormat="1" applyFont="1" applyFill="1" applyBorder="1" applyAlignment="1">
      <alignment horizontal="right" vertical="center" wrapText="1"/>
    </xf>
    <xf numFmtId="0" fontId="26" fillId="0" borderId="7" xfId="200" applyFont="1" applyFill="1" applyBorder="1" applyAlignment="1">
      <alignment horizontal="justify" vertical="center" wrapText="1"/>
    </xf>
    <xf numFmtId="1" fontId="26" fillId="0" borderId="7" xfId="197" applyNumberFormat="1" applyFont="1" applyFill="1" applyBorder="1" applyAlignment="1">
      <alignment horizontal="right" vertical="center" wrapText="1"/>
    </xf>
    <xf numFmtId="0" fontId="162" fillId="0" borderId="7" xfId="201" applyFont="1" applyFill="1" applyBorder="1" applyAlignment="1">
      <alignment horizontal="justify" vertical="center" wrapText="1"/>
    </xf>
    <xf numFmtId="0" fontId="26" fillId="0" borderId="7" xfId="201" applyFont="1" applyFill="1" applyBorder="1" applyAlignment="1">
      <alignment horizontal="justify" vertical="center" wrapText="1"/>
    </xf>
    <xf numFmtId="167" fontId="162" fillId="0" borderId="35" xfId="1" applyNumberFormat="1" applyFont="1" applyBorder="1" applyAlignment="1">
      <alignment horizontal="center" vertical="center" wrapText="1"/>
    </xf>
    <xf numFmtId="167" fontId="26" fillId="0" borderId="34" xfId="1" applyNumberFormat="1" applyFont="1" applyBorder="1" applyAlignment="1">
      <alignment horizontal="center" vertical="center" wrapText="1"/>
    </xf>
    <xf numFmtId="167" fontId="162" fillId="0" borderId="34" xfId="1" applyNumberFormat="1" applyFont="1" applyBorder="1" applyAlignment="1">
      <alignment horizontal="center" vertical="center" wrapText="1"/>
    </xf>
    <xf numFmtId="0" fontId="66" fillId="0" borderId="0" xfId="167" applyAlignment="1">
      <alignment horizontal="center"/>
    </xf>
    <xf numFmtId="0" fontId="66" fillId="0" borderId="0" xfId="167" applyAlignment="1">
      <alignment wrapText="1"/>
    </xf>
    <xf numFmtId="167" fontId="162" fillId="0" borderId="34" xfId="167" applyNumberFormat="1" applyFont="1" applyBorder="1" applyAlignment="1">
      <alignment horizontal="center" vertical="center" wrapText="1"/>
    </xf>
    <xf numFmtId="0" fontId="13" fillId="0" borderId="6" xfId="166" applyFont="1" applyBorder="1" applyAlignment="1">
      <alignment horizontal="center" vertical="center" wrapText="1"/>
    </xf>
    <xf numFmtId="0" fontId="13" fillId="0" borderId="7" xfId="166" applyFont="1" applyBorder="1" applyAlignment="1">
      <alignment horizontal="center" vertical="center" wrapText="1"/>
    </xf>
    <xf numFmtId="0" fontId="13" fillId="0" borderId="7" xfId="166" applyFont="1" applyBorder="1" applyAlignment="1">
      <alignment horizontal="center" vertical="center"/>
    </xf>
    <xf numFmtId="0" fontId="97" fillId="0" borderId="6" xfId="166" applyFont="1" applyBorder="1" applyAlignment="1">
      <alignment horizontal="center" vertical="center"/>
    </xf>
    <xf numFmtId="0" fontId="97" fillId="0" borderId="7" xfId="166" applyFont="1" applyBorder="1" applyAlignment="1">
      <alignment horizontal="center" vertical="center"/>
    </xf>
    <xf numFmtId="0" fontId="13" fillId="0" borderId="6" xfId="166" applyFont="1" applyBorder="1" applyAlignment="1">
      <alignment horizontal="center" vertical="center"/>
    </xf>
    <xf numFmtId="0" fontId="174" fillId="0" borderId="0" xfId="106" applyFont="1" applyFill="1" applyBorder="1" applyAlignment="1">
      <alignment horizontal="center" wrapText="1"/>
    </xf>
    <xf numFmtId="0" fontId="174" fillId="0" borderId="0" xfId="106" applyFont="1" applyFill="1" applyBorder="1" applyAlignment="1">
      <alignment horizontal="left" vertical="center" wrapText="1"/>
    </xf>
    <xf numFmtId="0" fontId="162" fillId="0" borderId="6" xfId="106" applyNumberFormat="1" applyFont="1" applyFill="1" applyBorder="1" applyAlignment="1">
      <alignment horizontal="center" vertical="center" wrapText="1"/>
    </xf>
    <xf numFmtId="0" fontId="162" fillId="0" borderId="7" xfId="106" applyNumberFormat="1" applyFont="1" applyFill="1" applyBorder="1" applyAlignment="1">
      <alignment horizontal="center" vertical="center" wrapText="1"/>
    </xf>
    <xf numFmtId="0" fontId="162" fillId="0" borderId="17" xfId="106" applyNumberFormat="1" applyFont="1" applyFill="1" applyBorder="1" applyAlignment="1">
      <alignment horizontal="center" vertical="center" wrapText="1"/>
    </xf>
    <xf numFmtId="0" fontId="162" fillId="0" borderId="34" xfId="106" applyFont="1" applyFill="1" applyBorder="1" applyAlignment="1">
      <alignment horizontal="center" vertical="center" wrapText="1"/>
    </xf>
    <xf numFmtId="0" fontId="162" fillId="0" borderId="9" xfId="106" applyNumberFormat="1" applyFont="1" applyFill="1" applyBorder="1" applyAlignment="1">
      <alignment horizontal="center" vertical="center" wrapText="1"/>
    </xf>
    <xf numFmtId="0" fontId="162" fillId="0" borderId="5" xfId="106" applyNumberFormat="1" applyFont="1" applyFill="1" applyBorder="1" applyAlignment="1">
      <alignment horizontal="center" vertical="center" wrapText="1"/>
    </xf>
    <xf numFmtId="0" fontId="162" fillId="0" borderId="11" xfId="106" applyNumberFormat="1" applyFont="1" applyFill="1" applyBorder="1" applyAlignment="1">
      <alignment horizontal="center" vertical="center" wrapText="1"/>
    </xf>
    <xf numFmtId="0" fontId="162" fillId="0" borderId="34" xfId="106" applyNumberFormat="1" applyFont="1" applyFill="1" applyBorder="1" applyAlignment="1">
      <alignment horizontal="center" vertical="center" wrapText="1"/>
    </xf>
    <xf numFmtId="0" fontId="162" fillId="0" borderId="0" xfId="106" applyFont="1" applyFill="1" applyAlignment="1">
      <alignment horizontal="center" vertical="center" wrapText="1"/>
    </xf>
    <xf numFmtId="0" fontId="47" fillId="0" borderId="0" xfId="106" applyNumberFormat="1" applyFont="1" applyFill="1" applyAlignment="1">
      <alignment horizontal="center" vertical="center" wrapText="1"/>
    </xf>
    <xf numFmtId="0" fontId="162" fillId="0" borderId="0" xfId="106" applyFont="1" applyFill="1" applyAlignment="1">
      <alignment horizontal="center"/>
    </xf>
    <xf numFmtId="0" fontId="162" fillId="0" borderId="6" xfId="106" applyFont="1" applyFill="1" applyBorder="1" applyAlignment="1">
      <alignment horizontal="center" vertical="center" wrapText="1"/>
    </xf>
    <xf numFmtId="0" fontId="162" fillId="0" borderId="7" xfId="106" applyFont="1" applyFill="1" applyBorder="1" applyAlignment="1">
      <alignment horizontal="center" vertical="center" wrapText="1"/>
    </xf>
    <xf numFmtId="0" fontId="162" fillId="0" borderId="17" xfId="106" applyFont="1" applyFill="1" applyBorder="1" applyAlignment="1">
      <alignment horizontal="center" vertical="center" wrapText="1"/>
    </xf>
    <xf numFmtId="0" fontId="162" fillId="0" borderId="58" xfId="106" applyNumberFormat="1" applyFont="1" applyFill="1" applyBorder="1" applyAlignment="1">
      <alignment horizontal="center" vertical="center" wrapText="1"/>
    </xf>
    <xf numFmtId="0" fontId="162" fillId="0" borderId="21" xfId="106" applyNumberFormat="1" applyFont="1" applyFill="1" applyBorder="1" applyAlignment="1">
      <alignment horizontal="center" vertical="center" wrapText="1"/>
    </xf>
    <xf numFmtId="0" fontId="162" fillId="2" borderId="34" xfId="106" applyFont="1" applyFill="1" applyBorder="1" applyAlignment="1">
      <alignment horizontal="center"/>
    </xf>
    <xf numFmtId="0" fontId="162" fillId="2" borderId="34" xfId="106" applyFont="1" applyFill="1" applyBorder="1" applyAlignment="1">
      <alignment horizontal="center" vertical="center" wrapText="1"/>
    </xf>
    <xf numFmtId="0" fontId="162" fillId="0" borderId="0" xfId="106" applyFont="1" applyAlignment="1">
      <alignment horizontal="center"/>
    </xf>
    <xf numFmtId="0" fontId="162" fillId="2" borderId="0" xfId="106" applyNumberFormat="1" applyFont="1" applyFill="1" applyAlignment="1">
      <alignment horizontal="center" vertical="center" wrapText="1"/>
    </xf>
    <xf numFmtId="0" fontId="162" fillId="4" borderId="11" xfId="106" applyFont="1" applyFill="1" applyBorder="1" applyAlignment="1">
      <alignment horizontal="center" vertical="center" wrapText="1"/>
    </xf>
    <xf numFmtId="0" fontId="162" fillId="4" borderId="9" xfId="106" applyFont="1" applyFill="1" applyBorder="1" applyAlignment="1">
      <alignment horizontal="center" vertical="center" wrapText="1"/>
    </xf>
    <xf numFmtId="0" fontId="162" fillId="4" borderId="5" xfId="106" applyFont="1" applyFill="1" applyBorder="1" applyAlignment="1">
      <alignment horizontal="center" vertical="center" wrapText="1"/>
    </xf>
    <xf numFmtId="0" fontId="162" fillId="4" borderId="11" xfId="106" applyNumberFormat="1" applyFont="1" applyFill="1" applyBorder="1" applyAlignment="1">
      <alignment horizontal="center" vertical="center" wrapText="1"/>
    </xf>
    <xf numFmtId="0" fontId="162" fillId="4" borderId="9" xfId="106" applyNumberFormat="1" applyFont="1" applyFill="1" applyBorder="1" applyAlignment="1">
      <alignment horizontal="center" vertical="center" wrapText="1"/>
    </xf>
    <xf numFmtId="0" fontId="162" fillId="4" borderId="5" xfId="106" applyNumberFormat="1" applyFont="1" applyFill="1" applyBorder="1" applyAlignment="1">
      <alignment horizontal="center" vertical="center" wrapText="1"/>
    </xf>
    <xf numFmtId="0" fontId="193" fillId="0" borderId="0" xfId="106" applyFont="1" applyFill="1" applyAlignment="1">
      <alignment horizontal="center" vertical="center"/>
    </xf>
    <xf numFmtId="0" fontId="119" fillId="0" borderId="0" xfId="106" applyNumberFormat="1" applyFont="1" applyFill="1" applyAlignment="1">
      <alignment horizontal="center" vertical="center" wrapText="1"/>
    </xf>
    <xf numFmtId="0" fontId="181" fillId="0" borderId="0" xfId="106" applyFont="1" applyFill="1" applyAlignment="1">
      <alignment horizontal="center"/>
    </xf>
    <xf numFmtId="0" fontId="119" fillId="0" borderId="34" xfId="106" applyFont="1" applyFill="1" applyBorder="1" applyAlignment="1">
      <alignment horizontal="center" vertical="center"/>
    </xf>
    <xf numFmtId="0" fontId="189" fillId="0" borderId="34" xfId="106" applyNumberFormat="1" applyFont="1" applyFill="1" applyBorder="1" applyAlignment="1">
      <alignment horizontal="center" vertical="center" wrapText="1"/>
    </xf>
    <xf numFmtId="0" fontId="47" fillId="0" borderId="0" xfId="106" applyNumberFormat="1" applyFont="1" applyFill="1" applyAlignment="1">
      <alignment horizontal="center" vertical="center"/>
    </xf>
    <xf numFmtId="0" fontId="162" fillId="0" borderId="11" xfId="155" applyNumberFormat="1" applyFont="1" applyFill="1" applyBorder="1" applyAlignment="1">
      <alignment horizontal="center" vertical="center" wrapText="1"/>
    </xf>
    <xf numFmtId="0" fontId="162" fillId="0" borderId="9" xfId="155" applyNumberFormat="1" applyFont="1" applyFill="1" applyBorder="1" applyAlignment="1">
      <alignment horizontal="center" vertical="center" wrapText="1"/>
    </xf>
    <xf numFmtId="0" fontId="162" fillId="0" borderId="5" xfId="155" applyNumberFormat="1" applyFont="1" applyFill="1" applyBorder="1" applyAlignment="1">
      <alignment horizontal="center" vertical="center" wrapText="1"/>
    </xf>
    <xf numFmtId="0" fontId="7" fillId="0" borderId="0" xfId="106" applyFont="1" applyFill="1" applyBorder="1" applyAlignment="1">
      <alignment horizontal="left" wrapText="1"/>
    </xf>
    <xf numFmtId="0" fontId="7" fillId="0" borderId="0" xfId="106" applyFont="1" applyFill="1" applyBorder="1" applyAlignment="1">
      <alignment horizontal="left" vertical="center" wrapText="1"/>
    </xf>
    <xf numFmtId="49" fontId="7" fillId="0" borderId="0" xfId="109" quotePrefix="1" applyNumberFormat="1" applyFont="1" applyFill="1" applyBorder="1" applyAlignment="1">
      <alignment horizontal="left" vertical="center" wrapText="1"/>
    </xf>
    <xf numFmtId="0" fontId="13" fillId="0" borderId="0" xfId="106" applyFont="1" applyFill="1" applyAlignment="1"/>
    <xf numFmtId="0" fontId="5" fillId="0" borderId="0" xfId="106" applyFont="1" applyFill="1" applyAlignment="1">
      <alignment horizontal="center"/>
    </xf>
    <xf numFmtId="0" fontId="13" fillId="0" borderId="0" xfId="106" applyFont="1" applyFill="1" applyAlignment="1">
      <alignment horizontal="center"/>
    </xf>
    <xf numFmtId="0" fontId="119" fillId="0" borderId="34" xfId="106" applyFont="1" applyFill="1" applyBorder="1" applyAlignment="1">
      <alignment horizontal="center" vertical="center" wrapText="1"/>
    </xf>
    <xf numFmtId="0" fontId="5" fillId="0" borderId="34" xfId="106" applyFont="1" applyFill="1" applyBorder="1" applyAlignment="1">
      <alignment horizontal="center" vertical="center" wrapText="1"/>
    </xf>
    <xf numFmtId="0" fontId="5" fillId="0" borderId="34" xfId="106" applyNumberFormat="1" applyFont="1" applyFill="1" applyBorder="1" applyAlignment="1">
      <alignment horizontal="center" vertical="center" wrapText="1"/>
    </xf>
    <xf numFmtId="0" fontId="119" fillId="0" borderId="36" xfId="106" applyFont="1" applyFill="1" applyBorder="1" applyAlignment="1">
      <alignment horizontal="center" vertical="center" wrapText="1"/>
    </xf>
    <xf numFmtId="0" fontId="119" fillId="0" borderId="37" xfId="106" applyFont="1" applyFill="1" applyBorder="1" applyAlignment="1">
      <alignment horizontal="center" vertical="center" wrapText="1"/>
    </xf>
    <xf numFmtId="0" fontId="119" fillId="0" borderId="38" xfId="106" applyFont="1" applyFill="1" applyBorder="1" applyAlignment="1">
      <alignment horizontal="center" vertical="center" wrapText="1"/>
    </xf>
    <xf numFmtId="0" fontId="119" fillId="0" borderId="34" xfId="106" applyFont="1" applyFill="1" applyBorder="1" applyAlignment="1">
      <alignment horizontal="center" vertical="top" wrapText="1"/>
    </xf>
    <xf numFmtId="0" fontId="119" fillId="3" borderId="34" xfId="106" applyFont="1" applyFill="1" applyBorder="1" applyAlignment="1">
      <alignment horizontal="center" vertical="top" wrapText="1"/>
    </xf>
    <xf numFmtId="0" fontId="3" fillId="0" borderId="62" xfId="95" applyFont="1" applyBorder="1" applyAlignment="1">
      <alignment horizontal="center" wrapText="1"/>
    </xf>
    <xf numFmtId="0" fontId="3" fillId="0" borderId="20" xfId="95" applyFont="1" applyBorder="1" applyAlignment="1">
      <alignment horizontal="center" wrapText="1"/>
    </xf>
    <xf numFmtId="0" fontId="3" fillId="0" borderId="0" xfId="95" applyFont="1" applyAlignment="1">
      <alignment horizontal="center"/>
    </xf>
    <xf numFmtId="0" fontId="97" fillId="0" borderId="1" xfId="95" applyFont="1" applyBorder="1" applyAlignment="1">
      <alignment horizontal="right" vertical="center"/>
    </xf>
    <xf numFmtId="0" fontId="3" fillId="0" borderId="34" xfId="95" applyFont="1" applyBorder="1" applyAlignment="1">
      <alignment horizontal="center" vertical="center" wrapText="1"/>
    </xf>
    <xf numFmtId="0" fontId="3" fillId="0" borderId="19" xfId="95" applyFont="1" applyBorder="1" applyAlignment="1">
      <alignment horizontal="center" vertical="center" wrapText="1"/>
    </xf>
    <xf numFmtId="0" fontId="3" fillId="0" borderId="44" xfId="95" applyFont="1" applyBorder="1" applyAlignment="1">
      <alignment horizontal="center" vertical="center" wrapText="1"/>
    </xf>
    <xf numFmtId="0" fontId="3" fillId="0" borderId="45" xfId="95" applyFont="1" applyBorder="1" applyAlignment="1">
      <alignment horizontal="center" vertical="center" wrapText="1"/>
    </xf>
    <xf numFmtId="0" fontId="5" fillId="0" borderId="0" xfId="168" applyFont="1" applyBorder="1" applyAlignment="1">
      <alignment horizontal="center" vertical="center" wrapText="1"/>
    </xf>
    <xf numFmtId="0" fontId="119" fillId="0" borderId="0" xfId="97" applyFont="1" applyAlignment="1">
      <alignment horizontal="center"/>
    </xf>
    <xf numFmtId="0" fontId="3" fillId="0" borderId="0" xfId="168" applyFont="1" applyAlignment="1">
      <alignment horizontal="center"/>
    </xf>
    <xf numFmtId="0" fontId="100" fillId="0" borderId="0" xfId="168" applyFont="1" applyAlignment="1">
      <alignment horizontal="center" vertical="center"/>
    </xf>
    <xf numFmtId="0" fontId="5" fillId="0" borderId="6" xfId="168" applyFont="1" applyBorder="1" applyAlignment="1">
      <alignment horizontal="center" vertical="center"/>
    </xf>
    <xf numFmtId="0" fontId="5" fillId="0" borderId="7" xfId="168" applyFont="1" applyBorder="1" applyAlignment="1">
      <alignment horizontal="center" vertical="center"/>
    </xf>
    <xf numFmtId="0" fontId="5" fillId="0" borderId="6" xfId="168" applyFont="1" applyBorder="1" applyAlignment="1">
      <alignment horizontal="center" vertical="center" wrapText="1"/>
    </xf>
    <xf numFmtId="0" fontId="5" fillId="0" borderId="7" xfId="168" applyFont="1" applyBorder="1" applyAlignment="1">
      <alignment horizontal="center" vertical="center" wrapText="1"/>
    </xf>
    <xf numFmtId="0" fontId="5" fillId="0" borderId="0" xfId="114" applyFont="1" applyAlignment="1">
      <alignment horizontal="center"/>
    </xf>
    <xf numFmtId="0" fontId="5" fillId="0" borderId="36" xfId="114" applyFont="1" applyBorder="1" applyAlignment="1">
      <alignment horizontal="center"/>
    </xf>
    <xf numFmtId="0" fontId="5" fillId="0" borderId="37" xfId="114" applyFont="1" applyBorder="1" applyAlignment="1">
      <alignment horizontal="center"/>
    </xf>
    <xf numFmtId="0" fontId="5" fillId="0" borderId="38" xfId="114" applyFont="1" applyBorder="1" applyAlignment="1">
      <alignment horizontal="center"/>
    </xf>
    <xf numFmtId="0" fontId="13" fillId="0" borderId="1" xfId="114" applyFont="1" applyBorder="1" applyAlignment="1">
      <alignment horizontal="center"/>
    </xf>
    <xf numFmtId="0" fontId="172" fillId="0" borderId="0" xfId="167" applyFont="1" applyAlignment="1">
      <alignment horizontal="center"/>
    </xf>
    <xf numFmtId="0" fontId="173" fillId="0" borderId="0" xfId="167" applyFont="1" applyAlignment="1">
      <alignment horizontal="center" vertical="center"/>
    </xf>
    <xf numFmtId="0" fontId="175" fillId="39" borderId="0" xfId="167" applyFont="1" applyFill="1" applyAlignment="1">
      <alignment horizontal="center"/>
    </xf>
    <xf numFmtId="0" fontId="172" fillId="0" borderId="0" xfId="167" applyFont="1" applyAlignment="1">
      <alignment horizontal="center" vertical="center"/>
    </xf>
    <xf numFmtId="0" fontId="162" fillId="0" borderId="34" xfId="167" applyFont="1" applyBorder="1" applyAlignment="1">
      <alignment horizontal="center" vertical="center" wrapText="1"/>
    </xf>
    <xf numFmtId="0" fontId="172" fillId="0" borderId="0" xfId="167" applyFont="1" applyAlignment="1">
      <alignment horizontal="center" vertical="center" wrapText="1"/>
    </xf>
    <xf numFmtId="0" fontId="162" fillId="0" borderId="35" xfId="167" applyFont="1" applyBorder="1" applyAlignment="1">
      <alignment horizontal="center" vertical="center" wrapText="1"/>
    </xf>
    <xf numFmtId="0" fontId="162" fillId="0" borderId="5" xfId="167" applyFont="1" applyBorder="1" applyAlignment="1">
      <alignment horizontal="center" vertical="center" wrapText="1"/>
    </xf>
    <xf numFmtId="0" fontId="162" fillId="0" borderId="36" xfId="167" applyFont="1" applyBorder="1" applyAlignment="1">
      <alignment horizontal="center" vertical="center" wrapText="1"/>
    </xf>
    <xf numFmtId="0" fontId="162" fillId="0" borderId="37" xfId="167" applyFont="1" applyBorder="1" applyAlignment="1">
      <alignment horizontal="center" vertical="center" wrapText="1"/>
    </xf>
    <xf numFmtId="0" fontId="162" fillId="0" borderId="38" xfId="167" applyFont="1" applyBorder="1" applyAlignment="1">
      <alignment horizontal="center" vertical="center" wrapText="1"/>
    </xf>
    <xf numFmtId="167" fontId="97" fillId="0" borderId="35" xfId="1" applyNumberFormat="1" applyFont="1" applyBorder="1" applyAlignment="1">
      <alignment horizontal="center" vertical="center" wrapText="1"/>
    </xf>
    <xf numFmtId="167" fontId="97" fillId="0" borderId="5" xfId="1" applyNumberFormat="1" applyFont="1" applyBorder="1" applyAlignment="1">
      <alignment horizontal="center" vertical="center" wrapText="1"/>
    </xf>
    <xf numFmtId="167" fontId="100" fillId="0" borderId="34" xfId="1" applyNumberFormat="1" applyFont="1" applyBorder="1" applyAlignment="1">
      <alignment horizontal="center" vertical="center" wrapText="1"/>
    </xf>
    <xf numFmtId="167" fontId="13" fillId="0" borderId="35" xfId="1" applyNumberFormat="1" applyFont="1" applyBorder="1" applyAlignment="1">
      <alignment horizontal="center" vertical="center" wrapText="1"/>
    </xf>
    <xf numFmtId="167" fontId="13" fillId="0" borderId="5" xfId="1" applyNumberFormat="1" applyFont="1" applyBorder="1" applyAlignment="1">
      <alignment horizontal="center" vertical="center" wrapText="1"/>
    </xf>
    <xf numFmtId="167" fontId="5" fillId="0" borderId="35" xfId="1" applyNumberFormat="1" applyFont="1" applyBorder="1" applyAlignment="1">
      <alignment horizontal="center" vertical="center" wrapText="1"/>
    </xf>
    <xf numFmtId="167" fontId="5" fillId="0" borderId="5" xfId="1" applyNumberFormat="1" applyFont="1" applyBorder="1" applyAlignment="1">
      <alignment horizontal="center" vertical="center" wrapText="1"/>
    </xf>
    <xf numFmtId="0" fontId="172" fillId="0" borderId="34" xfId="167" applyFont="1" applyBorder="1" applyAlignment="1">
      <alignment horizontal="center" vertical="center" wrapText="1"/>
    </xf>
    <xf numFmtId="0" fontId="172" fillId="0" borderId="35" xfId="167" applyFont="1" applyBorder="1" applyAlignment="1">
      <alignment horizontal="center" vertical="center" wrapText="1"/>
    </xf>
    <xf numFmtId="0" fontId="172" fillId="0" borderId="9" xfId="167" applyFont="1" applyBorder="1" applyAlignment="1">
      <alignment horizontal="center" vertical="center" wrapText="1"/>
    </xf>
    <xf numFmtId="0" fontId="172" fillId="0" borderId="5" xfId="167" applyFont="1" applyBorder="1" applyAlignment="1">
      <alignment horizontal="center" vertical="center" wrapText="1"/>
    </xf>
    <xf numFmtId="0" fontId="5" fillId="0" borderId="35" xfId="2" applyFont="1" applyFill="1" applyBorder="1" applyAlignment="1">
      <alignment horizontal="center" vertical="center" wrapText="1"/>
    </xf>
    <xf numFmtId="0" fontId="5" fillId="0" borderId="9" xfId="2" applyFont="1" applyFill="1" applyBorder="1" applyAlignment="1">
      <alignment horizontal="center" vertical="center" wrapText="1"/>
    </xf>
    <xf numFmtId="0" fontId="5" fillId="0" borderId="5" xfId="2" applyFont="1" applyFill="1" applyBorder="1" applyAlignment="1">
      <alignment horizontal="center" vertical="center" wrapText="1"/>
    </xf>
    <xf numFmtId="0" fontId="176" fillId="0" borderId="34" xfId="167" applyFont="1" applyBorder="1" applyAlignment="1">
      <alignment horizontal="center" vertical="center" wrapText="1"/>
    </xf>
    <xf numFmtId="0" fontId="176" fillId="0" borderId="42" xfId="167" applyFont="1" applyBorder="1" applyAlignment="1">
      <alignment horizontal="center" vertical="center" wrapText="1"/>
    </xf>
    <xf numFmtId="0" fontId="176" fillId="0" borderId="1" xfId="167" applyFont="1" applyBorder="1" applyAlignment="1">
      <alignment horizontal="center" vertical="center" wrapText="1"/>
    </xf>
    <xf numFmtId="0" fontId="176" fillId="0" borderId="58" xfId="167" applyFont="1" applyBorder="1" applyAlignment="1">
      <alignment horizontal="center" vertical="center" wrapText="1"/>
    </xf>
    <xf numFmtId="0" fontId="176" fillId="0" borderId="63" xfId="167" applyFont="1" applyBorder="1" applyAlignment="1">
      <alignment horizontal="center" vertical="center" wrapText="1"/>
    </xf>
    <xf numFmtId="0" fontId="162" fillId="0" borderId="62" xfId="187" applyFont="1" applyBorder="1" applyAlignment="1">
      <alignment horizontal="center" wrapText="1"/>
    </xf>
    <xf numFmtId="0" fontId="162" fillId="0" borderId="20" xfId="187" applyFont="1" applyBorder="1" applyAlignment="1">
      <alignment horizontal="center" wrapText="1"/>
    </xf>
    <xf numFmtId="0" fontId="162" fillId="0" borderId="34" xfId="167" applyFont="1" applyFill="1" applyBorder="1" applyAlignment="1">
      <alignment horizontal="center" vertical="center" wrapText="1"/>
    </xf>
    <xf numFmtId="0" fontId="172" fillId="0" borderId="0" xfId="167" applyFont="1" applyFill="1" applyAlignment="1">
      <alignment horizontal="center" vertical="center" wrapText="1"/>
    </xf>
    <xf numFmtId="0" fontId="173" fillId="0" borderId="0" xfId="167" applyFont="1" applyFill="1" applyAlignment="1">
      <alignment horizontal="center" vertical="center" wrapText="1"/>
    </xf>
    <xf numFmtId="0" fontId="173" fillId="0" borderId="1" xfId="167" applyFont="1" applyFill="1" applyBorder="1" applyAlignment="1">
      <alignment horizontal="center" vertical="center" wrapText="1"/>
    </xf>
    <xf numFmtId="0" fontId="162" fillId="0" borderId="35" xfId="167" applyFont="1" applyFill="1" applyBorder="1" applyAlignment="1">
      <alignment horizontal="center" vertical="center" wrapText="1"/>
    </xf>
    <xf numFmtId="0" fontId="162" fillId="0" borderId="9" xfId="167" applyFont="1" applyFill="1" applyBorder="1" applyAlignment="1">
      <alignment horizontal="center" vertical="center" wrapText="1"/>
    </xf>
    <xf numFmtId="0" fontId="162" fillId="0" borderId="5" xfId="167" applyFont="1" applyFill="1" applyBorder="1" applyAlignment="1">
      <alignment horizontal="center" vertical="center" wrapText="1"/>
    </xf>
    <xf numFmtId="0" fontId="7" fillId="0" borderId="0" xfId="114" applyFont="1" applyAlignment="1">
      <alignment horizontal="center"/>
    </xf>
    <xf numFmtId="0" fontId="5" fillId="0" borderId="0" xfId="114" applyFont="1" applyFill="1" applyBorder="1" applyAlignment="1">
      <alignment horizontal="center" vertical="center" wrapText="1"/>
    </xf>
    <xf numFmtId="0" fontId="5" fillId="4" borderId="34" xfId="114" applyFont="1" applyFill="1" applyBorder="1" applyAlignment="1">
      <alignment horizontal="center" vertical="center"/>
    </xf>
    <xf numFmtId="0" fontId="5" fillId="4" borderId="34" xfId="114" applyFont="1" applyFill="1" applyBorder="1" applyAlignment="1">
      <alignment horizontal="center" vertical="center" wrapText="1"/>
    </xf>
    <xf numFmtId="0" fontId="6" fillId="0" borderId="0" xfId="114" applyFont="1" applyBorder="1" applyAlignment="1">
      <alignment horizontal="center"/>
    </xf>
    <xf numFmtId="0" fontId="6" fillId="0" borderId="0" xfId="114" applyFont="1" applyBorder="1" applyAlignment="1">
      <alignment horizontal="left" wrapText="1"/>
    </xf>
    <xf numFmtId="167" fontId="5" fillId="4" borderId="34" xfId="1" applyNumberFormat="1" applyFont="1" applyFill="1" applyBorder="1" applyAlignment="1">
      <alignment horizontal="center" vertical="center" wrapText="1"/>
    </xf>
    <xf numFmtId="0" fontId="137" fillId="0" borderId="0" xfId="101" applyFont="1" applyFill="1" applyAlignment="1">
      <alignment horizontal="center" vertical="center" wrapText="1"/>
    </xf>
    <xf numFmtId="3" fontId="137" fillId="0" borderId="0" xfId="101" applyNumberFormat="1" applyFont="1" applyFill="1" applyBorder="1" applyAlignment="1">
      <alignment horizontal="center" vertical="center" wrapText="1"/>
    </xf>
    <xf numFmtId="3" fontId="137" fillId="0" borderId="6" xfId="101" applyNumberFormat="1" applyFont="1" applyFill="1" applyBorder="1" applyAlignment="1">
      <alignment horizontal="center" vertical="center" wrapText="1"/>
    </xf>
    <xf numFmtId="3" fontId="137" fillId="0" borderId="7" xfId="101" applyNumberFormat="1" applyFont="1" applyFill="1" applyBorder="1" applyAlignment="1">
      <alignment horizontal="center" vertical="center" wrapText="1"/>
    </xf>
    <xf numFmtId="0" fontId="137" fillId="0" borderId="5" xfId="101" applyFont="1" applyFill="1" applyBorder="1" applyAlignment="1">
      <alignment horizontal="center" vertical="center"/>
    </xf>
    <xf numFmtId="3" fontId="137" fillId="0" borderId="34" xfId="101" applyNumberFormat="1" applyFont="1" applyFill="1" applyBorder="1" applyAlignment="1">
      <alignment horizontal="center" vertical="center" wrapText="1"/>
    </xf>
    <xf numFmtId="3" fontId="137" fillId="0" borderId="34" xfId="101" applyNumberFormat="1" applyFont="1" applyFill="1" applyBorder="1" applyAlignment="1">
      <alignment horizontal="center" vertical="center"/>
    </xf>
    <xf numFmtId="3" fontId="137" fillId="34" borderId="6" xfId="101" applyNumberFormat="1" applyFont="1" applyFill="1" applyBorder="1" applyAlignment="1">
      <alignment horizontal="center" vertical="center" wrapText="1"/>
    </xf>
    <xf numFmtId="3" fontId="137" fillId="34" borderId="7" xfId="101" applyNumberFormat="1" applyFont="1" applyFill="1" applyBorder="1" applyAlignment="1">
      <alignment horizontal="center" vertical="center" wrapText="1"/>
    </xf>
    <xf numFmtId="0" fontId="137" fillId="0" borderId="6" xfId="101" applyFont="1" applyFill="1" applyBorder="1" applyAlignment="1">
      <alignment horizontal="center" vertical="center" wrapText="1"/>
    </xf>
    <xf numFmtId="0" fontId="137" fillId="0" borderId="7" xfId="101" applyFont="1" applyFill="1" applyBorder="1" applyAlignment="1">
      <alignment horizontal="center" vertical="center" wrapText="1"/>
    </xf>
    <xf numFmtId="3" fontId="137" fillId="40" borderId="35" xfId="101" applyNumberFormat="1" applyFont="1" applyFill="1" applyBorder="1" applyAlignment="1">
      <alignment horizontal="center" vertical="center" wrapText="1"/>
    </xf>
    <xf numFmtId="3" fontId="137" fillId="40" borderId="8" xfId="101" applyNumberFormat="1" applyFont="1" applyFill="1" applyBorder="1" applyAlignment="1">
      <alignment horizontal="center" vertical="center" wrapText="1"/>
    </xf>
    <xf numFmtId="0" fontId="137" fillId="0" borderId="0" xfId="101" applyFont="1" applyFill="1" applyAlignment="1">
      <alignment horizontal="center" vertical="center"/>
    </xf>
    <xf numFmtId="0" fontId="138" fillId="0" borderId="0" xfId="101" applyFont="1" applyFill="1" applyAlignment="1">
      <alignment horizontal="center" vertical="center" wrapText="1"/>
    </xf>
    <xf numFmtId="0" fontId="139" fillId="0" borderId="0" xfId="101" applyFont="1" applyFill="1" applyAlignment="1">
      <alignment horizontal="center" vertical="center" wrapText="1"/>
    </xf>
    <xf numFmtId="3" fontId="141" fillId="34" borderId="1" xfId="101" applyNumberFormat="1" applyFont="1" applyFill="1" applyBorder="1" applyAlignment="1">
      <alignment horizontal="center" vertical="center" wrapText="1"/>
    </xf>
    <xf numFmtId="0" fontId="3" fillId="0" borderId="0" xfId="148" applyFont="1" applyFill="1" applyAlignment="1">
      <alignment horizontal="center" vertical="center"/>
    </xf>
    <xf numFmtId="0" fontId="97" fillId="0" borderId="0" xfId="148" applyFont="1" applyFill="1" applyAlignment="1">
      <alignment horizontal="center" vertical="center"/>
    </xf>
    <xf numFmtId="0" fontId="13" fillId="0" borderId="0" xfId="148" applyFont="1" applyFill="1" applyAlignment="1">
      <alignment horizontal="center" vertical="center"/>
    </xf>
    <xf numFmtId="0" fontId="3" fillId="0" borderId="0" xfId="147" applyNumberFormat="1" applyFont="1" applyFill="1" applyAlignment="1" applyProtection="1">
      <alignment horizontal="center" vertical="center"/>
    </xf>
    <xf numFmtId="0" fontId="98" fillId="0" borderId="0" xfId="147" applyNumberFormat="1" applyFont="1" applyFill="1" applyAlignment="1">
      <alignment horizontal="center" vertical="center"/>
    </xf>
    <xf numFmtId="0" fontId="100" fillId="0" borderId="1" xfId="147" applyNumberFormat="1" applyFont="1" applyFill="1" applyBorder="1" applyAlignment="1">
      <alignment horizontal="center" vertical="center"/>
    </xf>
    <xf numFmtId="0" fontId="40" fillId="0" borderId="1" xfId="147" applyNumberFormat="1" applyFont="1" applyFill="1" applyBorder="1" applyAlignment="1">
      <alignment horizontal="center" vertical="center"/>
    </xf>
    <xf numFmtId="0" fontId="30" fillId="0" borderId="34" xfId="147" applyNumberFormat="1" applyFont="1" applyFill="1" applyBorder="1" applyAlignment="1">
      <alignment horizontal="center" vertical="center"/>
    </xf>
    <xf numFmtId="0" fontId="30" fillId="0" borderId="34" xfId="147" applyNumberFormat="1" applyFont="1" applyFill="1" applyBorder="1" applyAlignment="1" applyProtection="1">
      <alignment horizontal="center" vertical="center"/>
    </xf>
    <xf numFmtId="0" fontId="30" fillId="0" borderId="35" xfId="147" applyNumberFormat="1" applyFont="1" applyFill="1" applyBorder="1" applyAlignment="1" applyProtection="1">
      <alignment horizontal="center" vertical="top" wrapText="1"/>
    </xf>
    <xf numFmtId="0" fontId="30" fillId="0" borderId="9" xfId="147" applyNumberFormat="1" applyFont="1" applyFill="1" applyBorder="1" applyAlignment="1" applyProtection="1">
      <alignment horizontal="center" vertical="top" wrapText="1"/>
    </xf>
    <xf numFmtId="0" fontId="30" fillId="0" borderId="5" xfId="147" applyNumberFormat="1" applyFont="1" applyFill="1" applyBorder="1" applyAlignment="1" applyProtection="1">
      <alignment horizontal="center" vertical="top" wrapText="1"/>
    </xf>
    <xf numFmtId="0" fontId="30" fillId="0" borderId="34" xfId="147" applyNumberFormat="1" applyFont="1" applyFill="1" applyBorder="1" applyAlignment="1" applyProtection="1">
      <alignment horizontal="center" vertical="center" wrapText="1"/>
    </xf>
    <xf numFmtId="0" fontId="30" fillId="0" borderId="35" xfId="147" applyFont="1" applyFill="1" applyBorder="1" applyAlignment="1">
      <alignment horizontal="center" vertical="top" wrapText="1"/>
    </xf>
    <xf numFmtId="0" fontId="9" fillId="0" borderId="9" xfId="147" applyFont="1" applyFill="1" applyBorder="1" applyAlignment="1">
      <alignment horizontal="center" vertical="top"/>
    </xf>
    <xf numFmtId="0" fontId="9" fillId="0" borderId="5" xfId="147" applyFont="1" applyFill="1" applyBorder="1" applyAlignment="1">
      <alignment horizontal="center" vertical="top"/>
    </xf>
    <xf numFmtId="0" fontId="30" fillId="0" borderId="5" xfId="147" applyNumberFormat="1" applyFont="1" applyFill="1" applyBorder="1" applyAlignment="1" applyProtection="1">
      <alignment horizontal="center" vertical="top"/>
    </xf>
    <xf numFmtId="0" fontId="5" fillId="2" borderId="35" xfId="8" applyFont="1" applyFill="1" applyBorder="1" applyAlignment="1">
      <alignment horizontal="center" vertical="center"/>
    </xf>
    <xf numFmtId="0" fontId="5" fillId="2" borderId="9" xfId="8" applyFont="1" applyFill="1" applyBorder="1" applyAlignment="1">
      <alignment horizontal="center" vertical="center"/>
    </xf>
    <xf numFmtId="167" fontId="5" fillId="0" borderId="46" xfId="1" applyNumberFormat="1" applyFont="1" applyFill="1" applyBorder="1" applyAlignment="1">
      <alignment horizontal="center" vertical="center" wrapText="1"/>
    </xf>
    <xf numFmtId="167" fontId="5" fillId="0" borderId="42" xfId="1" applyNumberFormat="1" applyFont="1" applyFill="1" applyBorder="1" applyAlignment="1">
      <alignment horizontal="center" vertical="center" wrapText="1"/>
    </xf>
    <xf numFmtId="167" fontId="5" fillId="0" borderId="47" xfId="1" applyNumberFormat="1" applyFont="1" applyFill="1" applyBorder="1" applyAlignment="1">
      <alignment horizontal="center" vertical="center" wrapText="1"/>
    </xf>
    <xf numFmtId="167" fontId="5" fillId="0" borderId="18" xfId="1" applyNumberFormat="1" applyFont="1" applyFill="1" applyBorder="1" applyAlignment="1">
      <alignment horizontal="center" vertical="center" wrapText="1"/>
    </xf>
    <xf numFmtId="167" fontId="5" fillId="0" borderId="0" xfId="1" applyNumberFormat="1" applyFont="1" applyFill="1" applyBorder="1" applyAlignment="1">
      <alignment horizontal="center" vertical="center" wrapText="1"/>
    </xf>
    <xf numFmtId="167" fontId="5" fillId="0" borderId="21" xfId="1" applyNumberFormat="1" applyFont="1" applyFill="1" applyBorder="1" applyAlignment="1">
      <alignment horizontal="center" vertical="center" wrapText="1"/>
    </xf>
    <xf numFmtId="0" fontId="5" fillId="2" borderId="0" xfId="8" applyFont="1" applyFill="1" applyAlignment="1">
      <alignment horizontal="center" vertical="center"/>
    </xf>
    <xf numFmtId="0" fontId="5" fillId="0" borderId="34" xfId="8" applyFont="1" applyFill="1" applyBorder="1" applyAlignment="1">
      <alignment horizontal="center" vertical="center" wrapText="1"/>
    </xf>
    <xf numFmtId="0" fontId="13" fillId="0" borderId="34" xfId="8" applyFont="1" applyFill="1" applyBorder="1" applyAlignment="1">
      <alignment horizontal="center" vertical="center"/>
    </xf>
    <xf numFmtId="0" fontId="13" fillId="0" borderId="35" xfId="8" applyFont="1" applyFill="1" applyBorder="1" applyAlignment="1">
      <alignment horizontal="center" vertical="center"/>
    </xf>
    <xf numFmtId="0" fontId="5" fillId="2" borderId="34" xfId="8" applyFont="1" applyFill="1" applyBorder="1" applyAlignment="1">
      <alignment horizontal="center" vertical="center"/>
    </xf>
    <xf numFmtId="0" fontId="5" fillId="2" borderId="34" xfId="8" applyFont="1" applyFill="1" applyBorder="1" applyAlignment="1">
      <alignment horizontal="center" vertical="center" wrapText="1"/>
    </xf>
    <xf numFmtId="0" fontId="5" fillId="2" borderId="35" xfId="8" applyFont="1" applyFill="1" applyBorder="1" applyAlignment="1">
      <alignment horizontal="center" vertical="center" wrapText="1"/>
    </xf>
    <xf numFmtId="0" fontId="5" fillId="2" borderId="11" xfId="8" applyFont="1" applyFill="1" applyBorder="1" applyAlignment="1">
      <alignment horizontal="center" vertical="center"/>
    </xf>
    <xf numFmtId="0" fontId="5" fillId="2" borderId="0" xfId="8" applyFont="1" applyFill="1" applyBorder="1" applyAlignment="1">
      <alignment horizontal="center" vertical="center"/>
    </xf>
    <xf numFmtId="0" fontId="5" fillId="2" borderId="9" xfId="8" applyFont="1" applyFill="1" applyBorder="1" applyAlignment="1">
      <alignment horizontal="center" vertical="center" wrapText="1"/>
    </xf>
    <xf numFmtId="167" fontId="5" fillId="0" borderId="34" xfId="1" applyNumberFormat="1" applyFont="1" applyFill="1" applyBorder="1" applyAlignment="1">
      <alignment horizontal="center" vertical="center"/>
    </xf>
    <xf numFmtId="0" fontId="5" fillId="0" borderId="34" xfId="147" applyNumberFormat="1" applyFont="1" applyFill="1" applyBorder="1" applyAlignment="1">
      <alignment horizontal="center" vertical="center"/>
    </xf>
    <xf numFmtId="0" fontId="5" fillId="0" borderId="34" xfId="147" applyNumberFormat="1" applyFont="1" applyFill="1" applyBorder="1" applyAlignment="1" applyProtection="1">
      <alignment horizontal="center" vertical="center" wrapText="1"/>
    </xf>
    <xf numFmtId="0" fontId="5" fillId="0" borderId="35" xfId="147" applyNumberFormat="1" applyFont="1" applyFill="1" applyBorder="1" applyAlignment="1" applyProtection="1">
      <alignment horizontal="center" vertical="center" wrapText="1"/>
    </xf>
    <xf numFmtId="0" fontId="5" fillId="0" borderId="9" xfId="147" applyNumberFormat="1" applyFont="1" applyFill="1" applyBorder="1" applyAlignment="1" applyProtection="1">
      <alignment horizontal="center" vertical="center" wrapText="1"/>
    </xf>
    <xf numFmtId="0" fontId="5" fillId="0" borderId="5" xfId="147" applyNumberFormat="1" applyFont="1" applyFill="1" applyBorder="1" applyAlignment="1" applyProtection="1">
      <alignment horizontal="center" vertical="center" wrapText="1"/>
    </xf>
    <xf numFmtId="0" fontId="5" fillId="0" borderId="35" xfId="147" applyFont="1" applyFill="1" applyBorder="1" applyAlignment="1">
      <alignment horizontal="center" vertical="top" wrapText="1"/>
    </xf>
    <xf numFmtId="0" fontId="13" fillId="0" borderId="9" xfId="147" applyFont="1" applyFill="1" applyBorder="1" applyAlignment="1">
      <alignment horizontal="center" vertical="top"/>
    </xf>
    <xf numFmtId="0" fontId="13" fillId="0" borderId="5" xfId="147" applyFont="1" applyFill="1" applyBorder="1" applyAlignment="1">
      <alignment horizontal="center" vertical="top"/>
    </xf>
    <xf numFmtId="0" fontId="5" fillId="0" borderId="5" xfId="147" applyNumberFormat="1" applyFont="1" applyFill="1" applyBorder="1" applyAlignment="1" applyProtection="1">
      <alignment horizontal="center" vertical="center"/>
    </xf>
    <xf numFmtId="0" fontId="5" fillId="0" borderId="0" xfId="148" applyFont="1" applyFill="1" applyAlignment="1">
      <alignment horizontal="center" vertical="center"/>
    </xf>
    <xf numFmtId="0" fontId="5" fillId="0" borderId="0" xfId="147" applyNumberFormat="1" applyFont="1" applyFill="1" applyAlignment="1" applyProtection="1">
      <alignment horizontal="center" vertical="center"/>
    </xf>
    <xf numFmtId="0" fontId="7" fillId="0" borderId="0" xfId="147" applyNumberFormat="1" applyFont="1" applyFill="1" applyAlignment="1">
      <alignment horizontal="center" vertical="center"/>
    </xf>
    <xf numFmtId="0" fontId="18" fillId="0" borderId="0" xfId="2" applyNumberFormat="1" applyFont="1" applyAlignment="1">
      <alignment horizontal="center" vertical="center"/>
    </xf>
    <xf numFmtId="0" fontId="3" fillId="0" borderId="0" xfId="2" applyNumberFormat="1" applyFont="1" applyAlignment="1">
      <alignment horizontal="center" vertical="center"/>
    </xf>
    <xf numFmtId="0" fontId="4" fillId="2" borderId="0" xfId="0" applyFont="1" applyFill="1" applyAlignment="1">
      <alignment horizontal="center" vertical="center"/>
    </xf>
    <xf numFmtId="0" fontId="18" fillId="2" borderId="0" xfId="0" applyFont="1" applyFill="1" applyAlignment="1">
      <alignment horizontal="center" vertical="center"/>
    </xf>
    <xf numFmtId="167" fontId="137" fillId="28" borderId="35" xfId="53" applyNumberFormat="1" applyFont="1" applyFill="1" applyBorder="1" applyAlignment="1">
      <alignment horizontal="center" vertical="center"/>
    </xf>
    <xf numFmtId="167" fontId="137" fillId="28" borderId="8" xfId="53" applyNumberFormat="1" applyFont="1" applyFill="1" applyBorder="1" applyAlignment="1">
      <alignment horizontal="center" vertical="center"/>
    </xf>
    <xf numFmtId="167" fontId="137" fillId="28" borderId="19" xfId="53" applyNumberFormat="1" applyFont="1" applyFill="1" applyBorder="1" applyAlignment="1">
      <alignment horizontal="center" vertical="center"/>
    </xf>
    <xf numFmtId="167" fontId="137" fillId="28" borderId="44" xfId="53" applyNumberFormat="1" applyFont="1" applyFill="1" applyBorder="1" applyAlignment="1">
      <alignment horizontal="center" vertical="center"/>
    </xf>
    <xf numFmtId="167" fontId="137" fillId="28" borderId="45" xfId="53" applyNumberFormat="1" applyFont="1" applyFill="1" applyBorder="1" applyAlignment="1">
      <alignment horizontal="center" vertical="center"/>
    </xf>
    <xf numFmtId="3" fontId="137" fillId="0" borderId="35" xfId="101" applyNumberFormat="1" applyFont="1" applyFill="1" applyBorder="1" applyAlignment="1">
      <alignment horizontal="center" vertical="center" wrapText="1"/>
    </xf>
    <xf numFmtId="3" fontId="137" fillId="0" borderId="8" xfId="101" applyNumberFormat="1" applyFont="1" applyFill="1" applyBorder="1" applyAlignment="1">
      <alignment horizontal="center" vertical="center" wrapText="1"/>
    </xf>
    <xf numFmtId="0" fontId="137" fillId="0" borderId="0" xfId="101" applyFont="1" applyFill="1" applyAlignment="1">
      <alignment horizontal="left" vertical="center" wrapText="1"/>
    </xf>
    <xf numFmtId="0" fontId="137" fillId="28" borderId="35" xfId="101" applyFont="1" applyFill="1" applyBorder="1" applyAlignment="1">
      <alignment horizontal="center" vertical="center"/>
    </xf>
    <xf numFmtId="0" fontId="137" fillId="28" borderId="8" xfId="101" applyFont="1" applyFill="1" applyBorder="1" applyAlignment="1">
      <alignment horizontal="center" vertical="center"/>
    </xf>
    <xf numFmtId="0" fontId="5" fillId="0" borderId="0" xfId="101" applyFont="1" applyFill="1" applyAlignment="1">
      <alignment horizontal="center" vertical="center"/>
    </xf>
    <xf numFmtId="167" fontId="137" fillId="28" borderId="35" xfId="53" applyNumberFormat="1" applyFont="1" applyFill="1" applyBorder="1" applyAlignment="1">
      <alignment horizontal="center" vertical="center" wrapText="1"/>
    </xf>
    <xf numFmtId="167" fontId="137" fillId="28" borderId="8" xfId="53" applyNumberFormat="1" applyFont="1" applyFill="1" applyBorder="1" applyAlignment="1">
      <alignment horizontal="center" vertical="center" wrapText="1"/>
    </xf>
    <xf numFmtId="0" fontId="40" fillId="0" borderId="36" xfId="101" applyFont="1" applyFill="1" applyBorder="1" applyAlignment="1">
      <alignment horizontal="center" vertical="center" wrapText="1"/>
    </xf>
    <xf numFmtId="0" fontId="40" fillId="0" borderId="38" xfId="101" applyFont="1" applyFill="1" applyBorder="1" applyAlignment="1">
      <alignment horizontal="center" vertical="center" wrapText="1"/>
    </xf>
    <xf numFmtId="0" fontId="40" fillId="0" borderId="5" xfId="101" applyFont="1" applyFill="1" applyBorder="1" applyAlignment="1">
      <alignment horizontal="center" vertical="center"/>
    </xf>
    <xf numFmtId="0" fontId="40" fillId="0" borderId="10" xfId="101" applyFont="1" applyFill="1" applyBorder="1" applyAlignment="1">
      <alignment horizontal="center" vertical="center" wrapText="1"/>
    </xf>
    <xf numFmtId="167" fontId="137" fillId="28" borderId="19" xfId="53" applyNumberFormat="1" applyFont="1" applyFill="1" applyBorder="1" applyAlignment="1">
      <alignment horizontal="center" vertical="center" wrapText="1"/>
    </xf>
    <xf numFmtId="167" fontId="137" fillId="28" borderId="44" xfId="53" applyNumberFormat="1" applyFont="1" applyFill="1" applyBorder="1" applyAlignment="1">
      <alignment horizontal="center" vertical="center" wrapText="1"/>
    </xf>
    <xf numFmtId="167" fontId="137" fillId="28" borderId="45" xfId="53" applyNumberFormat="1" applyFont="1" applyFill="1" applyBorder="1" applyAlignment="1">
      <alignment horizontal="center" vertical="center" wrapText="1"/>
    </xf>
    <xf numFmtId="3" fontId="167" fillId="0" borderId="0" xfId="101" applyNumberFormat="1" applyFont="1" applyFill="1" applyAlignment="1">
      <alignment horizontal="center" vertical="center" wrapText="1"/>
    </xf>
    <xf numFmtId="3" fontId="141" fillId="0" borderId="1" xfId="101" applyNumberFormat="1" applyFont="1" applyFill="1" applyBorder="1" applyAlignment="1">
      <alignment horizontal="center" vertical="center" wrapText="1"/>
    </xf>
    <xf numFmtId="0" fontId="137" fillId="0" borderId="0" xfId="101" applyFont="1" applyFill="1" applyBorder="1" applyAlignment="1">
      <alignment horizontal="left" vertical="center"/>
    </xf>
    <xf numFmtId="0" fontId="5" fillId="0" borderId="6" xfId="2" applyFont="1" applyBorder="1" applyAlignment="1">
      <alignment horizontal="center" vertical="center"/>
    </xf>
    <xf numFmtId="0" fontId="5" fillId="0" borderId="7" xfId="2" applyFont="1" applyBorder="1" applyAlignment="1">
      <alignment horizontal="center" vertical="center"/>
    </xf>
    <xf numFmtId="167" fontId="5" fillId="0" borderId="0" xfId="1" applyNumberFormat="1" applyFont="1" applyAlignment="1">
      <alignment horizontal="center" vertical="center"/>
    </xf>
    <xf numFmtId="0" fontId="13" fillId="2" borderId="0" xfId="0" applyFont="1" applyFill="1" applyAlignment="1">
      <alignment horizontal="center" vertical="center"/>
    </xf>
    <xf numFmtId="0" fontId="5" fillId="0" borderId="0" xfId="0" applyFont="1" applyAlignment="1">
      <alignment horizontal="center" vertical="center"/>
    </xf>
    <xf numFmtId="0" fontId="5" fillId="2" borderId="0" xfId="0" applyFont="1" applyFill="1" applyAlignment="1">
      <alignment horizontal="center" vertical="center"/>
    </xf>
    <xf numFmtId="0" fontId="5" fillId="0" borderId="0" xfId="2" applyNumberFormat="1" applyFont="1" applyAlignment="1">
      <alignment horizontal="center" vertical="center"/>
    </xf>
    <xf numFmtId="0" fontId="5" fillId="0" borderId="0" xfId="2" applyFont="1" applyAlignment="1">
      <alignment horizontal="center" vertical="center"/>
    </xf>
    <xf numFmtId="0" fontId="7" fillId="0" borderId="0" xfId="2" applyNumberFormat="1" applyFont="1" applyBorder="1" applyAlignment="1">
      <alignment horizontal="center" vertical="center"/>
    </xf>
    <xf numFmtId="0" fontId="5" fillId="0" borderId="6" xfId="2" applyNumberFormat="1" applyFont="1" applyBorder="1" applyAlignment="1">
      <alignment horizontal="center" vertical="center" wrapText="1"/>
    </xf>
    <xf numFmtId="0" fontId="5" fillId="0" borderId="7" xfId="2" applyNumberFormat="1" applyFont="1" applyBorder="1" applyAlignment="1">
      <alignment horizontal="center" vertical="center" wrapText="1"/>
    </xf>
    <xf numFmtId="0" fontId="5" fillId="0" borderId="6" xfId="2" applyFont="1" applyFill="1" applyBorder="1" applyAlignment="1">
      <alignment horizontal="center" vertical="center" wrapText="1"/>
    </xf>
    <xf numFmtId="0" fontId="5" fillId="0" borderId="7" xfId="2" applyFont="1" applyFill="1" applyBorder="1" applyAlignment="1">
      <alignment horizontal="center" vertical="center" wrapText="1"/>
    </xf>
    <xf numFmtId="0" fontId="5" fillId="0" borderId="6" xfId="2" applyFont="1" applyBorder="1" applyAlignment="1">
      <alignment horizontal="center" vertical="center" wrapText="1"/>
    </xf>
    <xf numFmtId="0" fontId="5" fillId="0" borderId="19" xfId="2" applyFont="1" applyBorder="1" applyAlignment="1">
      <alignment horizontal="center" vertical="center"/>
    </xf>
    <xf numFmtId="0" fontId="37" fillId="0" borderId="0" xfId="0" applyFont="1" applyAlignment="1">
      <alignment horizontal="center"/>
    </xf>
    <xf numFmtId="0" fontId="5" fillId="0" borderId="0" xfId="6" applyNumberFormat="1" applyFont="1" applyFill="1" applyAlignment="1">
      <alignment horizontal="center" vertical="center" wrapText="1"/>
    </xf>
    <xf numFmtId="0" fontId="13" fillId="0" borderId="0" xfId="6" applyFont="1" applyFill="1" applyAlignment="1">
      <alignment horizontal="left" vertical="center" wrapText="1"/>
    </xf>
    <xf numFmtId="0" fontId="5" fillId="0" borderId="0" xfId="6" applyFont="1" applyFill="1" applyAlignment="1">
      <alignment horizontal="center" vertical="center"/>
    </xf>
    <xf numFmtId="0" fontId="18" fillId="0" borderId="0" xfId="0" applyFont="1" applyAlignment="1">
      <alignment horizontal="center"/>
    </xf>
    <xf numFmtId="0" fontId="3" fillId="0" borderId="0" xfId="0" applyFont="1" applyAlignment="1">
      <alignment horizontal="center"/>
    </xf>
    <xf numFmtId="0" fontId="35" fillId="0" borderId="0" xfId="0" applyFont="1" applyAlignment="1">
      <alignment horizontal="center"/>
    </xf>
    <xf numFmtId="0" fontId="4" fillId="0" borderId="1" xfId="0" applyFont="1" applyBorder="1" applyAlignment="1">
      <alignment horizontal="center"/>
    </xf>
    <xf numFmtId="0" fontId="18" fillId="0" borderId="34" xfId="0" applyFont="1" applyBorder="1" applyAlignment="1">
      <alignment horizontal="center" vertical="center"/>
    </xf>
    <xf numFmtId="0" fontId="18" fillId="0" borderId="34" xfId="0" applyFont="1" applyBorder="1" applyAlignment="1">
      <alignment horizontal="center" vertical="center" wrapText="1"/>
    </xf>
    <xf numFmtId="167" fontId="4" fillId="0" borderId="0" xfId="0" applyNumberFormat="1" applyFont="1" applyAlignment="1">
      <alignment horizontal="center" vertical="center"/>
    </xf>
    <xf numFmtId="0" fontId="36" fillId="0" borderId="34" xfId="0" applyFont="1" applyBorder="1" applyAlignment="1">
      <alignment horizontal="center" vertical="center"/>
    </xf>
    <xf numFmtId="0" fontId="18" fillId="3" borderId="34" xfId="0" applyFont="1" applyFill="1" applyBorder="1" applyAlignment="1">
      <alignment horizontal="center" vertical="center" wrapText="1"/>
    </xf>
    <xf numFmtId="0" fontId="18" fillId="3" borderId="34" xfId="0" applyFont="1" applyFill="1" applyBorder="1" applyAlignment="1">
      <alignment horizontal="center" vertical="center"/>
    </xf>
    <xf numFmtId="167" fontId="18" fillId="0" borderId="0" xfId="1" applyNumberFormat="1" applyFont="1" applyAlignment="1">
      <alignment horizontal="center" vertical="center"/>
    </xf>
    <xf numFmtId="0" fontId="3" fillId="0" borderId="0" xfId="2" applyFont="1" applyAlignment="1">
      <alignment horizontal="center" vertical="center"/>
    </xf>
    <xf numFmtId="0" fontId="31" fillId="0" borderId="0" xfId="2" applyNumberFormat="1" applyFont="1" applyBorder="1" applyAlignment="1">
      <alignment horizontal="center" vertical="center"/>
    </xf>
    <xf numFmtId="0" fontId="5" fillId="0" borderId="6" xfId="2" applyNumberFormat="1" applyFont="1" applyBorder="1" applyAlignment="1">
      <alignment horizontal="center" vertical="center"/>
    </xf>
    <xf numFmtId="0" fontId="5" fillId="0" borderId="7" xfId="2" applyNumberFormat="1" applyFont="1" applyBorder="1" applyAlignment="1">
      <alignment horizontal="center" vertical="center"/>
    </xf>
    <xf numFmtId="0" fontId="8" fillId="0" borderId="6" xfId="2" applyFont="1" applyBorder="1" applyAlignment="1">
      <alignment horizontal="center" vertical="center"/>
    </xf>
    <xf numFmtId="0" fontId="8" fillId="0" borderId="7" xfId="2" applyFont="1" applyBorder="1" applyAlignment="1">
      <alignment horizontal="center" vertical="center"/>
    </xf>
    <xf numFmtId="0" fontId="18" fillId="0" borderId="0" xfId="0" applyFont="1" applyFill="1" applyBorder="1" applyAlignment="1">
      <alignment horizontal="center" vertical="center"/>
    </xf>
    <xf numFmtId="167" fontId="8" fillId="0" borderId="6"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167" fontId="5" fillId="0" borderId="6" xfId="1" applyNumberFormat="1" applyFont="1" applyFill="1" applyBorder="1" applyAlignment="1">
      <alignment horizontal="center" vertical="center" wrapText="1"/>
    </xf>
    <xf numFmtId="167" fontId="5" fillId="0" borderId="7" xfId="1" applyNumberFormat="1" applyFont="1" applyFill="1" applyBorder="1" applyAlignment="1">
      <alignment horizontal="center" vertical="center" wrapText="1"/>
    </xf>
    <xf numFmtId="0" fontId="8" fillId="0" borderId="6" xfId="2" applyNumberFormat="1" applyFont="1" applyBorder="1" applyAlignment="1">
      <alignment horizontal="center" vertical="center"/>
    </xf>
    <xf numFmtId="0" fontId="8" fillId="0" borderId="7" xfId="2" applyNumberFormat="1" applyFont="1" applyBorder="1" applyAlignment="1">
      <alignment horizontal="center" vertical="center"/>
    </xf>
    <xf numFmtId="0" fontId="8" fillId="0" borderId="6" xfId="2" applyFont="1" applyBorder="1" applyAlignment="1">
      <alignment horizontal="center" vertical="center" wrapText="1"/>
    </xf>
    <xf numFmtId="0" fontId="8" fillId="0" borderId="6"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119" fillId="0" borderId="6" xfId="2" applyFont="1" applyBorder="1" applyAlignment="1">
      <alignment horizontal="center" vertical="center"/>
    </xf>
    <xf numFmtId="0" fontId="119" fillId="0" borderId="7" xfId="2" applyFont="1" applyBorder="1" applyAlignment="1">
      <alignment horizontal="center" vertical="center"/>
    </xf>
    <xf numFmtId="0" fontId="119" fillId="0" borderId="0" xfId="2" applyNumberFormat="1" applyFont="1" applyAlignment="1">
      <alignment horizontal="center" vertical="center"/>
    </xf>
    <xf numFmtId="0" fontId="119" fillId="0" borderId="0" xfId="2" applyFont="1" applyAlignment="1">
      <alignment horizontal="center" vertical="center"/>
    </xf>
    <xf numFmtId="0" fontId="118" fillId="0" borderId="0" xfId="2" applyNumberFormat="1" applyFont="1" applyBorder="1" applyAlignment="1">
      <alignment horizontal="center" vertical="center"/>
    </xf>
    <xf numFmtId="0" fontId="119" fillId="0" borderId="6" xfId="2" applyNumberFormat="1" applyFont="1" applyBorder="1" applyAlignment="1">
      <alignment horizontal="center" vertical="center"/>
    </xf>
    <xf numFmtId="0" fontId="119" fillId="0" borderId="7" xfId="2" applyNumberFormat="1" applyFont="1" applyBorder="1" applyAlignment="1">
      <alignment horizontal="center" vertical="center"/>
    </xf>
    <xf numFmtId="0" fontId="119" fillId="0" borderId="6" xfId="2" applyFont="1" applyFill="1" applyBorder="1" applyAlignment="1">
      <alignment horizontal="center" vertical="center" wrapText="1"/>
    </xf>
    <xf numFmtId="0" fontId="119" fillId="0" borderId="7" xfId="2" applyFont="1" applyFill="1" applyBorder="1" applyAlignment="1">
      <alignment horizontal="center" vertical="center" wrapText="1"/>
    </xf>
    <xf numFmtId="0" fontId="119" fillId="0" borderId="6" xfId="2" applyFont="1" applyBorder="1" applyAlignment="1">
      <alignment horizontal="center" vertical="center" wrapText="1"/>
    </xf>
    <xf numFmtId="0" fontId="7" fillId="0" borderId="1" xfId="2" applyNumberFormat="1" applyFont="1" applyBorder="1" applyAlignment="1">
      <alignment horizontal="center" vertical="center"/>
    </xf>
    <xf numFmtId="0" fontId="5" fillId="27" borderId="7" xfId="2" applyNumberFormat="1" applyFont="1" applyFill="1" applyBorder="1" applyAlignment="1">
      <alignment horizontal="center" vertical="center"/>
    </xf>
    <xf numFmtId="3" fontId="162" fillId="0" borderId="34" xfId="167" applyNumberFormat="1" applyFont="1" applyBorder="1" applyAlignment="1">
      <alignment horizontal="center" vertical="center" wrapText="1"/>
    </xf>
    <xf numFmtId="0" fontId="162" fillId="0" borderId="34" xfId="167" applyFont="1" applyBorder="1" applyAlignment="1">
      <alignment horizontal="left" vertical="center" wrapText="1"/>
    </xf>
    <xf numFmtId="0" fontId="26" fillId="0" borderId="34" xfId="167" applyFont="1" applyBorder="1" applyAlignment="1">
      <alignment horizontal="justify" vertical="center" wrapText="1"/>
    </xf>
    <xf numFmtId="167" fontId="26" fillId="0" borderId="34" xfId="1" applyNumberFormat="1" applyFont="1" applyBorder="1" applyAlignment="1">
      <alignment horizontal="right" vertical="center" wrapText="1"/>
    </xf>
    <xf numFmtId="0" fontId="162" fillId="0" borderId="34" xfId="167" applyFont="1" applyBorder="1" applyAlignment="1">
      <alignment vertical="center" wrapText="1"/>
    </xf>
    <xf numFmtId="0" fontId="26" fillId="0" borderId="34" xfId="167" applyFont="1" applyBorder="1" applyAlignment="1">
      <alignment vertical="center" wrapText="1"/>
    </xf>
    <xf numFmtId="167" fontId="26" fillId="0" borderId="34" xfId="1" applyNumberFormat="1" applyFont="1" applyBorder="1" applyAlignment="1">
      <alignment vertical="center" wrapText="1"/>
    </xf>
    <xf numFmtId="0" fontId="66" fillId="0" borderId="34" xfId="167" applyBorder="1" applyAlignment="1">
      <alignment wrapText="1"/>
    </xf>
    <xf numFmtId="0" fontId="66" fillId="0" borderId="34" xfId="167" applyFont="1" applyBorder="1" applyAlignment="1">
      <alignment vertical="center" wrapText="1"/>
    </xf>
    <xf numFmtId="0" fontId="175" fillId="0" borderId="34" xfId="167" applyFont="1" applyBorder="1" applyAlignment="1">
      <alignment horizontal="center"/>
    </xf>
    <xf numFmtId="167" fontId="175" fillId="0" borderId="34" xfId="1" applyNumberFormat="1" applyFont="1" applyBorder="1"/>
    <xf numFmtId="0" fontId="175" fillId="0" borderId="34" xfId="167" applyFont="1" applyBorder="1" applyAlignment="1">
      <alignment wrapText="1"/>
    </xf>
    <xf numFmtId="0" fontId="26" fillId="0" borderId="34" xfId="95" applyFont="1" applyBorder="1" applyAlignment="1"/>
    <xf numFmtId="0" fontId="205" fillId="0" borderId="34" xfId="167" applyFont="1" applyFill="1" applyBorder="1" applyAlignment="1">
      <alignment horizontal="justify" vertical="center" wrapText="1"/>
    </xf>
    <xf numFmtId="0" fontId="140" fillId="0" borderId="34" xfId="101" applyFont="1" applyFill="1" applyBorder="1" applyAlignment="1">
      <alignment horizontal="left" vertical="center" wrapText="1"/>
    </xf>
    <xf numFmtId="0" fontId="13" fillId="0" borderId="34" xfId="106" quotePrefix="1" applyFont="1" applyFill="1" applyBorder="1" applyAlignment="1">
      <alignment vertical="center" wrapText="1"/>
    </xf>
    <xf numFmtId="0" fontId="140" fillId="0" borderId="34" xfId="101" applyFont="1" applyFill="1" applyBorder="1" applyAlignment="1">
      <alignment vertical="center"/>
    </xf>
    <xf numFmtId="0" fontId="140" fillId="0" borderId="34" xfId="101" applyFont="1" applyFill="1" applyBorder="1" applyAlignment="1">
      <alignment vertical="center" wrapText="1"/>
    </xf>
    <xf numFmtId="0" fontId="140" fillId="0" borderId="34" xfId="101" applyFont="1" applyFill="1" applyBorder="1" applyAlignment="1">
      <alignment horizontal="left" vertical="center"/>
    </xf>
    <xf numFmtId="0" fontId="140" fillId="3" borderId="34" xfId="101" applyFont="1" applyFill="1" applyBorder="1" applyAlignment="1">
      <alignment horizontal="left" vertical="center" wrapText="1"/>
    </xf>
    <xf numFmtId="0" fontId="140" fillId="0" borderId="34" xfId="101" quotePrefix="1" applyFont="1" applyFill="1" applyBorder="1" applyAlignment="1">
      <alignment horizontal="left" vertical="center" wrapText="1"/>
    </xf>
    <xf numFmtId="167" fontId="140" fillId="0" borderId="34" xfId="1" applyNumberFormat="1" applyFont="1" applyFill="1" applyBorder="1" applyAlignment="1">
      <alignment vertical="center" wrapText="1"/>
    </xf>
    <xf numFmtId="49" fontId="140" fillId="0" borderId="34" xfId="101" applyNumberFormat="1" applyFont="1" applyFill="1" applyBorder="1" applyAlignment="1">
      <alignment horizontal="left" vertical="center" wrapText="1"/>
    </xf>
    <xf numFmtId="167" fontId="140" fillId="0" borderId="34" xfId="1" applyNumberFormat="1" applyFont="1" applyFill="1" applyBorder="1" applyAlignment="1">
      <alignment horizontal="right" vertical="center" wrapText="1"/>
    </xf>
    <xf numFmtId="49" fontId="140" fillId="0" borderId="34" xfId="101" quotePrefix="1" applyNumberFormat="1" applyFont="1" applyFill="1" applyBorder="1" applyAlignment="1">
      <alignment horizontal="left" vertical="center" wrapText="1"/>
    </xf>
    <xf numFmtId="0" fontId="13" fillId="3" borderId="34" xfId="106" quotePrefix="1" applyFont="1" applyFill="1" applyBorder="1" applyAlignment="1">
      <alignment vertical="center" wrapText="1"/>
    </xf>
    <xf numFmtId="0" fontId="133" fillId="0" borderId="34" xfId="106" quotePrefix="1" applyFont="1" applyFill="1" applyBorder="1" applyAlignment="1">
      <alignment vertical="center" wrapText="1"/>
    </xf>
    <xf numFmtId="167" fontId="26" fillId="0" borderId="34" xfId="167" applyNumberFormat="1" applyFont="1" applyBorder="1" applyAlignment="1">
      <alignment horizontal="center" vertical="center" wrapText="1"/>
    </xf>
    <xf numFmtId="3" fontId="5" fillId="0" borderId="34" xfId="106" applyNumberFormat="1" applyFont="1" applyFill="1" applyBorder="1" applyAlignment="1">
      <alignment horizontal="right" vertical="center" wrapText="1"/>
    </xf>
    <xf numFmtId="3" fontId="5" fillId="3" borderId="34" xfId="106" applyNumberFormat="1" applyFont="1" applyFill="1" applyBorder="1" applyAlignment="1">
      <alignment horizontal="right" vertical="center" wrapText="1"/>
    </xf>
    <xf numFmtId="0" fontId="66" fillId="0" borderId="34" xfId="167" applyBorder="1" applyAlignment="1">
      <alignment vertical="center"/>
    </xf>
    <xf numFmtId="0" fontId="175" fillId="0" borderId="34" xfId="167" applyFont="1" applyBorder="1" applyAlignment="1">
      <alignment vertical="center"/>
    </xf>
    <xf numFmtId="167" fontId="175" fillId="0" borderId="34" xfId="1" applyNumberFormat="1" applyFont="1" applyBorder="1" applyAlignment="1">
      <alignment horizontal="right" vertical="center"/>
    </xf>
    <xf numFmtId="3" fontId="175" fillId="0" borderId="34" xfId="167" applyNumberFormat="1" applyFont="1" applyBorder="1" applyAlignment="1">
      <alignment vertical="center"/>
    </xf>
    <xf numFmtId="0" fontId="66" fillId="0" borderId="34" xfId="167" applyFont="1" applyBorder="1" applyAlignment="1">
      <alignment vertical="center"/>
    </xf>
    <xf numFmtId="0" fontId="175" fillId="0" borderId="34" xfId="167" applyFont="1" applyBorder="1" applyAlignment="1">
      <alignment horizontal="center" vertical="center" wrapText="1"/>
    </xf>
    <xf numFmtId="41" fontId="176" fillId="0" borderId="34" xfId="167" applyNumberFormat="1" applyFont="1" applyBorder="1" applyAlignment="1">
      <alignment horizontal="center" vertical="center" wrapText="1"/>
    </xf>
    <xf numFmtId="41" fontId="176" fillId="0" borderId="34" xfId="167" applyNumberFormat="1" applyFont="1" applyBorder="1" applyAlignment="1">
      <alignment vertical="center" wrapText="1"/>
    </xf>
    <xf numFmtId="41" fontId="172" fillId="0" borderId="34" xfId="167" applyNumberFormat="1" applyFont="1" applyBorder="1" applyAlignment="1">
      <alignment vertical="center" wrapText="1"/>
    </xf>
    <xf numFmtId="41" fontId="66" fillId="0" borderId="34" xfId="167" applyNumberFormat="1" applyBorder="1"/>
    <xf numFmtId="41" fontId="175" fillId="0" borderId="0" xfId="167" applyNumberFormat="1" applyFont="1"/>
    <xf numFmtId="346" fontId="176" fillId="0" borderId="34" xfId="167" applyNumberFormat="1" applyFont="1" applyBorder="1" applyAlignment="1">
      <alignment horizontal="center" vertical="center" wrapText="1"/>
    </xf>
    <xf numFmtId="346" fontId="66" fillId="0" borderId="34" xfId="167" applyNumberFormat="1" applyBorder="1"/>
    <xf numFmtId="0" fontId="172" fillId="0" borderId="36" xfId="167" applyFont="1" applyBorder="1" applyAlignment="1">
      <alignment horizontal="center" vertical="center" wrapText="1"/>
    </xf>
    <xf numFmtId="0" fontId="172" fillId="0" borderId="37" xfId="167" applyFont="1" applyBorder="1" applyAlignment="1">
      <alignment horizontal="center" vertical="center" wrapText="1"/>
    </xf>
    <xf numFmtId="0" fontId="172" fillId="0" borderId="38" xfId="167" applyFont="1" applyBorder="1" applyAlignment="1">
      <alignment horizontal="center" vertical="center" wrapText="1"/>
    </xf>
    <xf numFmtId="0" fontId="173" fillId="0" borderId="1" xfId="167" applyFont="1" applyBorder="1" applyAlignment="1">
      <alignment horizontal="center" vertical="center"/>
    </xf>
    <xf numFmtId="196" fontId="26" fillId="0" borderId="8" xfId="147" applyNumberFormat="1" applyFont="1" applyFill="1" applyBorder="1" applyAlignment="1" applyProtection="1">
      <alignment horizontal="center"/>
    </xf>
    <xf numFmtId="0" fontId="26" fillId="0" borderId="8" xfId="147" applyNumberFormat="1" applyFont="1" applyFill="1" applyBorder="1" applyAlignment="1" applyProtection="1">
      <alignment horizontal="left" wrapText="1"/>
    </xf>
    <xf numFmtId="167" fontId="26" fillId="0" borderId="8" xfId="1" applyNumberFormat="1" applyFont="1" applyBorder="1" applyAlignment="1">
      <alignment horizontal="center" vertical="center" wrapText="1"/>
    </xf>
    <xf numFmtId="2" fontId="26" fillId="0" borderId="8" xfId="167" applyNumberFormat="1" applyFont="1" applyBorder="1" applyAlignment="1">
      <alignment horizontal="right" vertical="center" wrapText="1"/>
    </xf>
    <xf numFmtId="2" fontId="162" fillId="0" borderId="34" xfId="167" applyNumberFormat="1" applyFont="1" applyBorder="1" applyAlignment="1">
      <alignment horizontal="right" vertical="center" wrapText="1"/>
    </xf>
    <xf numFmtId="196" fontId="26" fillId="0" borderId="17" xfId="147" applyNumberFormat="1" applyFont="1" applyFill="1" applyBorder="1" applyAlignment="1" applyProtection="1">
      <alignment horizontal="center"/>
    </xf>
    <xf numFmtId="0" fontId="26" fillId="0" borderId="17" xfId="147" applyNumberFormat="1" applyFont="1" applyFill="1" applyBorder="1" applyAlignment="1" applyProtection="1">
      <alignment horizontal="left" wrapText="1"/>
    </xf>
    <xf numFmtId="167" fontId="66" fillId="0" borderId="17" xfId="1" applyNumberFormat="1" applyFont="1" applyBorder="1"/>
    <xf numFmtId="2" fontId="26" fillId="0" borderId="17" xfId="167" applyNumberFormat="1" applyFont="1" applyBorder="1" applyAlignment="1">
      <alignment horizontal="right" vertical="center" wrapText="1"/>
    </xf>
    <xf numFmtId="0" fontId="26" fillId="0" borderId="8" xfId="147" applyFont="1" applyFill="1" applyBorder="1" applyAlignment="1">
      <alignment horizontal="center" vertical="center"/>
    </xf>
    <xf numFmtId="0" fontId="26" fillId="2" borderId="8" xfId="8" quotePrefix="1" applyFont="1" applyFill="1" applyBorder="1" applyAlignment="1">
      <alignment horizontal="left" vertical="center" wrapText="1"/>
    </xf>
    <xf numFmtId="167" fontId="66" fillId="0" borderId="8" xfId="1" applyNumberFormat="1" applyFont="1" applyBorder="1"/>
    <xf numFmtId="196" fontId="162" fillId="0" borderId="34" xfId="147" applyNumberFormat="1" applyFont="1" applyFill="1" applyBorder="1" applyAlignment="1" applyProtection="1">
      <alignment horizontal="center"/>
    </xf>
    <xf numFmtId="0" fontId="162" fillId="2" borderId="34" xfId="8" applyFont="1" applyFill="1" applyBorder="1" applyAlignment="1">
      <alignment vertical="center" wrapText="1"/>
    </xf>
    <xf numFmtId="0" fontId="26" fillId="0" borderId="17" xfId="147" applyFont="1" applyFill="1" applyBorder="1" applyAlignment="1">
      <alignment horizontal="center" vertical="center"/>
    </xf>
    <xf numFmtId="0" fontId="26" fillId="2" borderId="17" xfId="8" quotePrefix="1" applyFont="1" applyFill="1" applyBorder="1" applyAlignment="1">
      <alignment horizontal="left" vertical="center" wrapText="1"/>
    </xf>
    <xf numFmtId="0" fontId="162" fillId="0" borderId="34" xfId="147" applyFont="1" applyFill="1" applyBorder="1" applyAlignment="1">
      <alignment horizontal="center" vertical="center"/>
    </xf>
    <xf numFmtId="0" fontId="162" fillId="2" borderId="34" xfId="8" applyFont="1" applyFill="1" applyBorder="1" applyAlignment="1">
      <alignment horizontal="left" vertical="center" wrapText="1"/>
    </xf>
    <xf numFmtId="0" fontId="176" fillId="0" borderId="34" xfId="167" applyFont="1" applyBorder="1" applyAlignment="1">
      <alignment horizontal="left" vertical="center" wrapText="1"/>
    </xf>
    <xf numFmtId="0" fontId="4" fillId="0" borderId="34" xfId="0" applyFont="1" applyBorder="1" applyAlignment="1">
      <alignment horizontal="center"/>
    </xf>
    <xf numFmtId="0" fontId="4" fillId="0" borderId="34" xfId="0" applyFont="1" applyBorder="1" applyAlignment="1"/>
    <xf numFmtId="201" fontId="177" fillId="0" borderId="54" xfId="56" applyNumberFormat="1" applyFont="1" applyFill="1" applyBorder="1" applyAlignment="1">
      <alignment horizontal="right" vertical="center" wrapText="1"/>
    </xf>
    <xf numFmtId="0" fontId="176" fillId="0" borderId="54" xfId="11" applyFont="1" applyBorder="1" applyAlignment="1">
      <alignment vertical="center" wrapText="1"/>
    </xf>
    <xf numFmtId="0" fontId="26" fillId="0" borderId="55" xfId="106" applyFont="1" applyFill="1" applyBorder="1" applyAlignment="1">
      <alignment horizontal="left" vertical="center" wrapText="1"/>
    </xf>
    <xf numFmtId="2" fontId="26" fillId="0" borderId="55" xfId="167" applyNumberFormat="1" applyFont="1" applyFill="1" applyBorder="1" applyAlignment="1">
      <alignment vertical="center" wrapText="1"/>
    </xf>
    <xf numFmtId="0" fontId="162" fillId="0" borderId="56" xfId="167" applyFont="1" applyBorder="1" applyAlignment="1">
      <alignment horizontal="center" vertical="center" wrapText="1"/>
    </xf>
    <xf numFmtId="0" fontId="162" fillId="0" borderId="56" xfId="167" applyFont="1" applyBorder="1" applyAlignment="1">
      <alignment vertical="center" wrapText="1"/>
    </xf>
    <xf numFmtId="201" fontId="162" fillId="0" borderId="56" xfId="167" applyNumberFormat="1" applyFont="1" applyBorder="1" applyAlignment="1">
      <alignment horizontal="right" vertical="center" wrapText="1"/>
    </xf>
    <xf numFmtId="2" fontId="162" fillId="0" borderId="56" xfId="167" applyNumberFormat="1" applyFont="1" applyFill="1" applyBorder="1" applyAlignment="1">
      <alignment vertical="center" wrapText="1"/>
    </xf>
    <xf numFmtId="0" fontId="162" fillId="4" borderId="34" xfId="167" applyFont="1" applyFill="1" applyBorder="1" applyAlignment="1">
      <alignment horizontal="center" vertical="center" wrapText="1"/>
    </xf>
    <xf numFmtId="0" fontId="162" fillId="4" borderId="34" xfId="167" applyFont="1" applyFill="1" applyBorder="1" applyAlignment="1">
      <alignment horizontal="left" vertical="center" wrapText="1"/>
    </xf>
    <xf numFmtId="201" fontId="162" fillId="4" borderId="34" xfId="167" applyNumberFormat="1" applyFont="1" applyFill="1" applyBorder="1" applyAlignment="1">
      <alignment horizontal="right" vertical="center" wrapText="1"/>
    </xf>
    <xf numFmtId="2" fontId="162" fillId="4" borderId="34" xfId="167" applyNumberFormat="1" applyFont="1" applyFill="1" applyBorder="1" applyAlignment="1">
      <alignment vertical="center" wrapText="1"/>
    </xf>
    <xf numFmtId="0" fontId="162" fillId="0" borderId="91" xfId="167" applyFont="1" applyBorder="1" applyAlignment="1">
      <alignment horizontal="center" vertical="center" wrapText="1"/>
    </xf>
    <xf numFmtId="0" fontId="162" fillId="0" borderId="91" xfId="167" applyFont="1" applyBorder="1" applyAlignment="1">
      <alignment vertical="center" wrapText="1"/>
    </xf>
    <xf numFmtId="0" fontId="26" fillId="0" borderId="91" xfId="167" applyFont="1" applyBorder="1" applyAlignment="1">
      <alignment horizontal="right" vertical="center" wrapText="1"/>
    </xf>
    <xf numFmtId="2" fontId="162" fillId="0" borderId="91" xfId="167" applyNumberFormat="1" applyFont="1" applyFill="1" applyBorder="1" applyAlignment="1">
      <alignment vertical="center" wrapText="1"/>
    </xf>
    <xf numFmtId="3" fontId="162" fillId="0" borderId="56" xfId="167" applyNumberFormat="1" applyFont="1" applyBorder="1" applyAlignment="1">
      <alignment horizontal="right" vertical="center" wrapText="1"/>
    </xf>
    <xf numFmtId="0" fontId="162" fillId="27" borderId="34" xfId="167" applyFont="1" applyFill="1" applyBorder="1" applyAlignment="1">
      <alignment horizontal="center" vertical="center" wrapText="1"/>
    </xf>
    <xf numFmtId="0" fontId="162" fillId="27" borderId="34" xfId="167" applyFont="1" applyFill="1" applyBorder="1" applyAlignment="1">
      <alignment horizontal="left" vertical="center" wrapText="1"/>
    </xf>
    <xf numFmtId="3" fontId="162" fillId="27" borderId="34" xfId="167" applyNumberFormat="1" applyFont="1" applyFill="1" applyBorder="1" applyAlignment="1">
      <alignment horizontal="right" vertical="center" wrapText="1"/>
    </xf>
    <xf numFmtId="2" fontId="162" fillId="27" borderId="34" xfId="167" applyNumberFormat="1" applyFont="1" applyFill="1" applyBorder="1" applyAlignment="1">
      <alignment vertical="center" wrapText="1"/>
    </xf>
    <xf numFmtId="3" fontId="162" fillId="0" borderId="91" xfId="167" applyNumberFormat="1" applyFont="1" applyBorder="1" applyAlignment="1">
      <alignment horizontal="right" vertical="center" wrapText="1"/>
    </xf>
    <xf numFmtId="167" fontId="162" fillId="0" borderId="91" xfId="1" applyNumberFormat="1" applyFont="1" applyBorder="1" applyAlignment="1">
      <alignment horizontal="right" vertical="center" wrapText="1"/>
    </xf>
    <xf numFmtId="0" fontId="26" fillId="0" borderId="56" xfId="167" applyFont="1" applyBorder="1" applyAlignment="1">
      <alignment horizontal="center" vertical="center" wrapText="1"/>
    </xf>
    <xf numFmtId="0" fontId="26" fillId="0" borderId="56" xfId="167" applyFont="1" applyBorder="1" applyAlignment="1">
      <alignment vertical="center" wrapText="1"/>
    </xf>
    <xf numFmtId="3" fontId="26" fillId="0" borderId="56" xfId="167" applyNumberFormat="1" applyFont="1" applyBorder="1" applyAlignment="1">
      <alignment horizontal="right" vertical="center" wrapText="1"/>
    </xf>
    <xf numFmtId="0" fontId="26" fillId="0" borderId="56" xfId="167" applyFont="1" applyBorder="1" applyAlignment="1">
      <alignment horizontal="right" vertical="center" wrapText="1"/>
    </xf>
    <xf numFmtId="0" fontId="162" fillId="33" borderId="34" xfId="167" applyFont="1" applyFill="1" applyBorder="1" applyAlignment="1">
      <alignment horizontal="center" vertical="center" wrapText="1"/>
    </xf>
    <xf numFmtId="0" fontId="162" fillId="33" borderId="34" xfId="167" applyFont="1" applyFill="1" applyBorder="1" applyAlignment="1">
      <alignment horizontal="left" vertical="center" wrapText="1"/>
    </xf>
    <xf numFmtId="201" fontId="162" fillId="33" borderId="34" xfId="167" applyNumberFormat="1" applyFont="1" applyFill="1" applyBorder="1" applyAlignment="1">
      <alignment horizontal="right" vertical="center" wrapText="1"/>
    </xf>
    <xf numFmtId="0" fontId="162" fillId="45" borderId="34" xfId="167" applyFont="1" applyFill="1" applyBorder="1" applyAlignment="1">
      <alignment horizontal="center" vertical="center" wrapText="1"/>
    </xf>
    <xf numFmtId="0" fontId="162" fillId="45" borderId="34" xfId="167" applyFont="1" applyFill="1" applyBorder="1" applyAlignment="1">
      <alignment horizontal="left" vertical="center" wrapText="1"/>
    </xf>
    <xf numFmtId="3" fontId="162" fillId="45" borderId="34" xfId="167" applyNumberFormat="1" applyFont="1" applyFill="1" applyBorder="1" applyAlignment="1">
      <alignment horizontal="right" vertical="center" wrapText="1"/>
    </xf>
    <xf numFmtId="4" fontId="162" fillId="45" borderId="34" xfId="167" applyNumberFormat="1" applyFont="1" applyFill="1" applyBorder="1" applyAlignment="1">
      <alignment horizontal="right" vertical="center" wrapText="1"/>
    </xf>
    <xf numFmtId="0" fontId="26" fillId="0" borderId="91" xfId="167" applyFont="1" applyBorder="1" applyAlignment="1">
      <alignment horizontal="center" vertical="center" wrapText="1"/>
    </xf>
    <xf numFmtId="0" fontId="26" fillId="0" borderId="91" xfId="167" applyFont="1" applyBorder="1" applyAlignment="1">
      <alignment vertical="center" wrapText="1"/>
    </xf>
    <xf numFmtId="37" fontId="26" fillId="0" borderId="91" xfId="167" applyNumberFormat="1" applyFont="1" applyBorder="1" applyAlignment="1">
      <alignment horizontal="right" vertical="center" wrapText="1"/>
    </xf>
    <xf numFmtId="3" fontId="26" fillId="0" borderId="91" xfId="167" applyNumberFormat="1" applyFont="1" applyBorder="1" applyAlignment="1">
      <alignment horizontal="right" vertical="center" wrapText="1"/>
    </xf>
    <xf numFmtId="2" fontId="26" fillId="0" borderId="91" xfId="167" applyNumberFormat="1" applyFont="1" applyFill="1" applyBorder="1" applyAlignment="1">
      <alignment vertical="center" wrapText="1"/>
    </xf>
    <xf numFmtId="43" fontId="26" fillId="0" borderId="56" xfId="1" applyFont="1" applyBorder="1" applyAlignment="1">
      <alignment horizontal="right" vertical="center" wrapText="1"/>
    </xf>
    <xf numFmtId="0" fontId="162" fillId="37" borderId="34" xfId="167" applyFont="1" applyFill="1" applyBorder="1" applyAlignment="1">
      <alignment horizontal="center" vertical="center" wrapText="1"/>
    </xf>
    <xf numFmtId="0" fontId="162" fillId="37" borderId="34" xfId="167" applyFont="1" applyFill="1" applyBorder="1" applyAlignment="1">
      <alignment horizontal="left" vertical="center" wrapText="1"/>
    </xf>
    <xf numFmtId="167" fontId="162" fillId="37" borderId="34" xfId="1" applyNumberFormat="1" applyFont="1" applyFill="1" applyBorder="1" applyAlignment="1">
      <alignment horizontal="right" vertical="center" wrapText="1"/>
    </xf>
    <xf numFmtId="43" fontId="162" fillId="37" borderId="34" xfId="1" applyNumberFormat="1" applyFont="1" applyFill="1" applyBorder="1" applyAlignment="1">
      <alignment horizontal="right" vertical="center" wrapText="1"/>
    </xf>
    <xf numFmtId="0" fontId="162" fillId="0" borderId="17" xfId="167" applyFont="1" applyBorder="1" applyAlignment="1">
      <alignment horizontal="center" vertical="center" wrapText="1"/>
    </xf>
    <xf numFmtId="0" fontId="162" fillId="0" borderId="17" xfId="167" applyFont="1" applyBorder="1" applyAlignment="1">
      <alignment vertical="center" wrapText="1"/>
    </xf>
    <xf numFmtId="3" fontId="26" fillId="0" borderId="17" xfId="167" applyNumberFormat="1" applyFont="1" applyBorder="1" applyAlignment="1">
      <alignment vertical="center" wrapText="1"/>
    </xf>
    <xf numFmtId="0" fontId="26" fillId="0" borderId="17" xfId="167" applyFont="1" applyBorder="1" applyAlignment="1">
      <alignment vertical="center" wrapText="1"/>
    </xf>
    <xf numFmtId="0" fontId="162" fillId="4" borderId="8" xfId="174" applyFont="1" applyFill="1" applyBorder="1" applyAlignment="1">
      <alignment horizontal="center" vertical="center"/>
    </xf>
    <xf numFmtId="0" fontId="162" fillId="4" borderId="8" xfId="174" applyFont="1" applyFill="1" applyBorder="1" applyAlignment="1">
      <alignment vertical="center" wrapText="1"/>
    </xf>
    <xf numFmtId="167" fontId="162" fillId="4" borderId="8" xfId="1" applyNumberFormat="1" applyFont="1" applyFill="1" applyBorder="1" applyAlignment="1">
      <alignment vertical="center" wrapText="1"/>
    </xf>
    <xf numFmtId="3" fontId="162" fillId="4" borderId="8" xfId="167" applyNumberFormat="1" applyFont="1" applyFill="1" applyBorder="1" applyAlignment="1">
      <alignment vertical="center" wrapText="1"/>
    </xf>
    <xf numFmtId="0" fontId="162" fillId="28" borderId="34" xfId="174" applyFont="1" applyFill="1" applyBorder="1" applyAlignment="1">
      <alignment horizontal="center" vertical="center" wrapText="1"/>
    </xf>
    <xf numFmtId="0" fontId="162" fillId="28" borderId="34" xfId="174" applyFont="1" applyFill="1" applyBorder="1" applyAlignment="1">
      <alignment vertical="center" wrapText="1"/>
    </xf>
    <xf numFmtId="3" fontId="162" fillId="3" borderId="34" xfId="167" applyNumberFormat="1" applyFont="1" applyFill="1" applyBorder="1" applyAlignment="1">
      <alignment vertical="center" wrapText="1"/>
    </xf>
    <xf numFmtId="3" fontId="162" fillId="0" borderId="8" xfId="167" applyNumberFormat="1" applyFont="1" applyBorder="1" applyAlignment="1">
      <alignment vertical="center" wrapText="1"/>
    </xf>
    <xf numFmtId="0" fontId="162" fillId="3" borderId="34" xfId="167" applyFont="1" applyFill="1" applyBorder="1" applyAlignment="1">
      <alignment horizontal="center" vertical="center" wrapText="1"/>
    </xf>
    <xf numFmtId="0" fontId="162" fillId="3" borderId="34" xfId="167" applyFont="1" applyFill="1" applyBorder="1" applyAlignment="1">
      <alignment vertical="center" wrapText="1"/>
    </xf>
    <xf numFmtId="0" fontId="162" fillId="0" borderId="17" xfId="174" applyFont="1" applyFill="1" applyBorder="1" applyAlignment="1">
      <alignment horizontal="center" vertical="center"/>
    </xf>
    <xf numFmtId="167" fontId="26" fillId="0" borderId="17" xfId="1" applyNumberFormat="1" applyFont="1" applyBorder="1" applyAlignment="1">
      <alignment vertical="center" wrapText="1"/>
    </xf>
    <xf numFmtId="0" fontId="175" fillId="28" borderId="34" xfId="174" applyFont="1" applyFill="1" applyBorder="1" applyAlignment="1">
      <alignment horizontal="center" vertical="center"/>
    </xf>
    <xf numFmtId="0" fontId="175" fillId="28" borderId="34" xfId="174" applyFont="1" applyFill="1" applyBorder="1" applyAlignment="1">
      <alignment vertical="center"/>
    </xf>
    <xf numFmtId="167" fontId="162" fillId="0" borderId="34" xfId="1" applyNumberFormat="1" applyFont="1" applyBorder="1" applyAlignment="1">
      <alignment vertical="center" wrapText="1"/>
    </xf>
    <xf numFmtId="0" fontId="66" fillId="0" borderId="7" xfId="167" applyBorder="1" applyAlignment="1">
      <alignment vertical="center"/>
    </xf>
    <xf numFmtId="3" fontId="66" fillId="0" borderId="7" xfId="167" applyNumberFormat="1" applyBorder="1" applyAlignment="1">
      <alignment vertical="center"/>
    </xf>
    <xf numFmtId="3" fontId="175" fillId="4" borderId="7" xfId="167" applyNumberFormat="1" applyFont="1" applyFill="1" applyBorder="1" applyAlignment="1">
      <alignment vertical="center"/>
    </xf>
    <xf numFmtId="3" fontId="175" fillId="0" borderId="7" xfId="167" applyNumberFormat="1" applyFont="1" applyBorder="1" applyAlignment="1">
      <alignment vertical="center"/>
    </xf>
    <xf numFmtId="0" fontId="175" fillId="0" borderId="7" xfId="167" applyFont="1" applyBorder="1" applyAlignment="1">
      <alignment vertical="center"/>
    </xf>
    <xf numFmtId="3" fontId="66" fillId="0" borderId="7" xfId="167" applyNumberFormat="1" applyFont="1" applyBorder="1" applyAlignment="1">
      <alignment vertical="center"/>
    </xf>
    <xf numFmtId="3" fontId="66" fillId="0" borderId="17" xfId="167" applyNumberFormat="1" applyBorder="1" applyAlignment="1">
      <alignment vertical="center"/>
    </xf>
    <xf numFmtId="3" fontId="66" fillId="0" borderId="17" xfId="167" applyNumberFormat="1" applyFont="1" applyBorder="1" applyAlignment="1">
      <alignment vertical="center"/>
    </xf>
    <xf numFmtId="0" fontId="26" fillId="0" borderId="8" xfId="167" applyFont="1" applyBorder="1" applyAlignment="1">
      <alignment horizontal="center" vertical="center" wrapText="1"/>
    </xf>
    <xf numFmtId="0" fontId="26" fillId="0" borderId="8" xfId="167" applyFont="1" applyBorder="1" applyAlignment="1">
      <alignment vertical="center" wrapText="1"/>
    </xf>
    <xf numFmtId="0" fontId="26" fillId="0" borderId="17" xfId="167" applyFont="1" applyBorder="1" applyAlignment="1">
      <alignment horizontal="center" vertical="center" wrapText="1"/>
    </xf>
    <xf numFmtId="167" fontId="26" fillId="0" borderId="17" xfId="1" applyNumberFormat="1" applyFont="1" applyBorder="1" applyAlignment="1">
      <alignment horizontal="center" vertical="center" wrapText="1"/>
    </xf>
    <xf numFmtId="0" fontId="175" fillId="28" borderId="34" xfId="174" applyFont="1" applyFill="1" applyBorder="1" applyAlignment="1">
      <alignment horizontal="center"/>
    </xf>
    <xf numFmtId="0" fontId="175" fillId="28" borderId="34" xfId="174" applyFont="1" applyFill="1" applyBorder="1"/>
    <xf numFmtId="0" fontId="66" fillId="0" borderId="34" xfId="167" applyBorder="1" applyAlignment="1">
      <alignment horizontal="center" vertical="center"/>
    </xf>
    <xf numFmtId="0" fontId="66" fillId="0" borderId="34" xfId="167" applyBorder="1" applyAlignment="1">
      <alignment vertical="center" wrapText="1"/>
    </xf>
    <xf numFmtId="167" fontId="207" fillId="0" borderId="34" xfId="1" applyNumberFormat="1" applyFont="1" applyBorder="1" applyAlignment="1">
      <alignment vertical="center"/>
    </xf>
    <xf numFmtId="167" fontId="202" fillId="0" borderId="34" xfId="1" applyNumberFormat="1" applyFont="1" applyBorder="1" applyAlignment="1">
      <alignment vertical="center"/>
    </xf>
    <xf numFmtId="0" fontId="202" fillId="0" borderId="34" xfId="167" applyFont="1" applyBorder="1" applyAlignment="1">
      <alignment vertical="center"/>
    </xf>
  </cellXfs>
  <cellStyles count="5357">
    <cellStyle name="_x0001_" xfId="202"/>
    <cellStyle name="          _x000a__x000a_shell=progman.exe_x000a__x000a_m" xfId="203"/>
    <cellStyle name="          _x000d__x000a_shell=progman.exe_x000d__x000a_m" xfId="204"/>
    <cellStyle name="          _x005f_x000d__x005f_x000a_shell=progman.exe_x005f_x000d__x005f_x000a_m" xfId="205"/>
    <cellStyle name="_x000d__x000a_JournalTemplate=C:\COMFO\CTALK\JOURSTD.TPL_x000d__x000a_LbStateAddress=3 3 0 251 1 89 2 311_x000d__x000a_LbStateJou" xfId="206"/>
    <cellStyle name="#,##0" xfId="207"/>
    <cellStyle name="#,##0 2" xfId="208"/>
    <cellStyle name="#,##0 2 2" xfId="209"/>
    <cellStyle name="#,##0 2 3" xfId="210"/>
    <cellStyle name="#,##0 3" xfId="211"/>
    <cellStyle name="#,##0 4" xfId="212"/>
    <cellStyle name="." xfId="213"/>
    <cellStyle name=". 2" xfId="214"/>
    <cellStyle name=". 3" xfId="215"/>
    <cellStyle name=". 3 2" xfId="216"/>
    <cellStyle name=".d©y" xfId="217"/>
    <cellStyle name="??" xfId="12"/>
    <cellStyle name="?? [0.00]_ Att. 1- Cover" xfId="218"/>
    <cellStyle name="?? [0]" xfId="13"/>
    <cellStyle name="?? [0] 2" xfId="219"/>
    <cellStyle name="?? 2" xfId="220"/>
    <cellStyle name="?? 3" xfId="221"/>
    <cellStyle name="?? 4" xfId="222"/>
    <cellStyle name="?? 5" xfId="223"/>
    <cellStyle name="?? 6" xfId="224"/>
    <cellStyle name="?? 7" xfId="225"/>
    <cellStyle name="?_x001d_??%U©÷u&amp;H©÷9_x0008_? s_x000a__x0007__x0001__x0001_" xfId="14"/>
    <cellStyle name="?_x001d_??%U©÷u&amp;H©÷9_x0008_? s_x000a__x0007__x0001__x0001_ 10" xfId="226"/>
    <cellStyle name="?_x001d_??%U©÷u&amp;H©÷9_x0008_? s_x000a__x0007__x0001__x0001_ 11" xfId="227"/>
    <cellStyle name="?_x001d_??%U©÷u&amp;H©÷9_x0008_? s_x000a__x0007__x0001__x0001_ 12" xfId="228"/>
    <cellStyle name="?_x001d_??%U©÷u&amp;H©÷9_x0008_? s_x000a__x0007__x0001__x0001_ 13" xfId="229"/>
    <cellStyle name="?_x001d_??%U©÷u&amp;H©÷9_x0008_? s_x000a__x0007__x0001__x0001_ 14" xfId="230"/>
    <cellStyle name="?_x001d_??%U©÷u&amp;H©÷9_x0008_? s_x000a__x0007__x0001__x0001_ 15" xfId="231"/>
    <cellStyle name="?_x001d_??%U©÷u&amp;H©÷9_x0008_? s_x000a__x0007__x0001__x0001_ 2" xfId="232"/>
    <cellStyle name="?_x001d_??%U©÷u&amp;H©÷9_x0008_? s_x000a__x0007__x0001__x0001_ 3" xfId="233"/>
    <cellStyle name="?_x001d_??%U©÷u&amp;H©÷9_x0008_? s_x000a__x0007__x0001__x0001_ 4" xfId="234"/>
    <cellStyle name="?_x001d_??%U©÷u&amp;H©÷9_x0008_? s_x000a__x0007__x0001__x0001_ 5" xfId="235"/>
    <cellStyle name="?_x001d_??%U©÷u&amp;H©÷9_x0008_? s_x000a__x0007__x0001__x0001_ 6" xfId="236"/>
    <cellStyle name="?_x001d_??%U©÷u&amp;H©÷9_x0008_? s_x000a__x0007__x0001__x0001_ 7" xfId="237"/>
    <cellStyle name="?_x001d_??%U©÷u&amp;H©÷9_x0008_? s_x000a__x0007__x0001__x0001_ 8" xfId="238"/>
    <cellStyle name="?_x001d_??%U©÷u&amp;H©÷9_x0008_? s_x000a__x0007__x0001__x0001_ 9" xfId="239"/>
    <cellStyle name="?_x001d_??%U©÷u&amp;H©÷9_x0008_?_x0009_s_x000a__x0007__x0001__x0001_" xfId="173"/>
    <cellStyle name="???? [0.00]_      " xfId="240"/>
    <cellStyle name="??????" xfId="241"/>
    <cellStyle name="????_      " xfId="242"/>
    <cellStyle name="???[0]_?? DI" xfId="243"/>
    <cellStyle name="???_?? DI" xfId="244"/>
    <cellStyle name="??[0]_BRE" xfId="245"/>
    <cellStyle name="??_      " xfId="246"/>
    <cellStyle name="??A? [0]_laroux_1_¢¬???¢â? " xfId="15"/>
    <cellStyle name="??A?_laroux_1_¢¬???¢â? " xfId="16"/>
    <cellStyle name="?_x005f_x001d_??%U©÷u&amp;H©÷9_x005f_x0008_? s_x005f_x000a__x005f_x0007__x005f_x0001__x005f_x0001_" xfId="247"/>
    <cellStyle name="?_x005f_x001d_??%U©÷u&amp;H©÷9_x005f_x0008_?_x005f_x0009_s_x005f_x000a__x005f_x0007__x005f_x0001__x005f_x0001_" xfId="248"/>
    <cellStyle name="?_x005f_x005f_x005f_x001d_??%U©÷u&amp;H©÷9_x005f_x005f_x005f_x0008_? s_x005f_x005f_x005f_x000a__x005f_x005f_x005f_x0007__x005f_x005f_x005f_x0001__x005f_x005f_x005f_x0001_" xfId="249"/>
    <cellStyle name="?¡±¢¥?_?¨ù??¢´¢¥_¢¬???¢â? " xfId="17"/>
    <cellStyle name="?ðÇ%U?&amp;H?_x0008_?s_x000a__x0007__x0001__x0001_" xfId="18"/>
    <cellStyle name="?ðÇ%U?&amp;H?_x0008_?s_x000a__x0007__x0001__x0001_ 10" xfId="250"/>
    <cellStyle name="?ðÇ%U?&amp;H?_x0008_?s_x000a__x0007__x0001__x0001_ 11" xfId="251"/>
    <cellStyle name="?ðÇ%U?&amp;H?_x0008_?s_x000a__x0007__x0001__x0001_ 12" xfId="252"/>
    <cellStyle name="?ðÇ%U?&amp;H?_x0008_?s_x000a__x0007__x0001__x0001_ 13" xfId="253"/>
    <cellStyle name="?ðÇ%U?&amp;H?_x0008_?s_x000a__x0007__x0001__x0001_ 14" xfId="254"/>
    <cellStyle name="?ðÇ%U?&amp;H?_x0008_?s_x000a__x0007__x0001__x0001_ 15" xfId="255"/>
    <cellStyle name="?ðÇ%U?&amp;H?_x0008_?s_x000a__x0007__x0001__x0001_ 2" xfId="256"/>
    <cellStyle name="?ðÇ%U?&amp;H?_x0008_?s_x000a__x0007__x0001__x0001_ 3" xfId="257"/>
    <cellStyle name="?ðÇ%U?&amp;H?_x0008_?s_x000a__x0007__x0001__x0001_ 4" xfId="258"/>
    <cellStyle name="?ðÇ%U?&amp;H?_x0008_?s_x000a__x0007__x0001__x0001_ 5" xfId="259"/>
    <cellStyle name="?ðÇ%U?&amp;H?_x0008_?s_x000a__x0007__x0001__x0001_ 6" xfId="260"/>
    <cellStyle name="?ðÇ%U?&amp;H?_x0008_?s_x000a__x0007__x0001__x0001_ 7" xfId="261"/>
    <cellStyle name="?ðÇ%U?&amp;H?_x0008_?s_x000a__x0007__x0001__x0001_ 8" xfId="262"/>
    <cellStyle name="?ðÇ%U?&amp;H?_x0008_?s_x000a__x0007__x0001__x0001_ 9" xfId="263"/>
    <cellStyle name="?ðÇ%U?&amp;H?_x005f_x0008_?s_x005f_x000a__x005f_x0007__x005f_x0001__x005f_x0001_" xfId="264"/>
    <cellStyle name="@ET_Style?.font5" xfId="265"/>
    <cellStyle name="[0]_Chi phÝ kh¸c_V" xfId="266"/>
    <cellStyle name="_!1 1 bao cao giao KH ve HTCMT vung TNB   12-12-2011" xfId="267"/>
    <cellStyle name="_x0001__!1 1 bao cao giao KH ve HTCMT vung TNB   12-12-2011" xfId="268"/>
    <cellStyle name="_1 TONG HOP - CA NA" xfId="269"/>
    <cellStyle name="_123_DONG_THANH_Moi" xfId="270"/>
    <cellStyle name="_123_DONG_THANH_Moi_!1 1 bao cao giao KH ve HTCMT vung TNB   12-12-2011" xfId="271"/>
    <cellStyle name="_123_DONG_THANH_Moi_KH TPCP vung TNB (03-1-2012)" xfId="272"/>
    <cellStyle name="_Bang Chi tieu (2)" xfId="273"/>
    <cellStyle name="_BAO GIA NGAY 24-10-08 (co dam)" xfId="274"/>
    <cellStyle name="_BC  NAM 2007" xfId="275"/>
    <cellStyle name="_BC CV 6403 BKHĐT" xfId="276"/>
    <cellStyle name="_BC thuc hien KH 2009" xfId="277"/>
    <cellStyle name="_BC thuc hien KH 2009_15_10_2013 BC nhu cau von doi ung ODA (2014-2016) ngay 15102013 Sua" xfId="278"/>
    <cellStyle name="_BC thuc hien KH 2009_BC nhu cau von doi ung ODA nganh NN (BKH)" xfId="279"/>
    <cellStyle name="_BC thuc hien KH 2009_BC nhu cau von doi ung ODA nganh NN (BKH)_05-12  KH trung han 2016-2020 - Liem Thinh edited" xfId="280"/>
    <cellStyle name="_BC thuc hien KH 2009_BC nhu cau von doi ung ODA nganh NN (BKH)_Copy of 05-12  KH trung han 2016-2020 - Liem Thinh edited (1)" xfId="281"/>
    <cellStyle name="_BC thuc hien KH 2009_BC Tai co cau (bieu TH)" xfId="282"/>
    <cellStyle name="_BC thuc hien KH 2009_BC Tai co cau (bieu TH)_05-12  KH trung han 2016-2020 - Liem Thinh edited" xfId="283"/>
    <cellStyle name="_BC thuc hien KH 2009_BC Tai co cau (bieu TH)_Copy of 05-12  KH trung han 2016-2020 - Liem Thinh edited (1)" xfId="284"/>
    <cellStyle name="_BC thuc hien KH 2009_DK 2014-2015 final" xfId="285"/>
    <cellStyle name="_BC thuc hien KH 2009_DK 2014-2015 final_05-12  KH trung han 2016-2020 - Liem Thinh edited" xfId="286"/>
    <cellStyle name="_BC thuc hien KH 2009_DK 2014-2015 final_Copy of 05-12  KH trung han 2016-2020 - Liem Thinh edited (1)" xfId="287"/>
    <cellStyle name="_BC thuc hien KH 2009_DK 2014-2015 new" xfId="288"/>
    <cellStyle name="_BC thuc hien KH 2009_DK 2014-2015 new_05-12  KH trung han 2016-2020 - Liem Thinh edited" xfId="289"/>
    <cellStyle name="_BC thuc hien KH 2009_DK 2014-2015 new_Copy of 05-12  KH trung han 2016-2020 - Liem Thinh edited (1)" xfId="290"/>
    <cellStyle name="_BC thuc hien KH 2009_DK KH CBDT 2014 11-11-2013" xfId="291"/>
    <cellStyle name="_BC thuc hien KH 2009_DK KH CBDT 2014 11-11-2013(1)" xfId="292"/>
    <cellStyle name="_BC thuc hien KH 2009_DK KH CBDT 2014 11-11-2013(1)_05-12  KH trung han 2016-2020 - Liem Thinh edited" xfId="293"/>
    <cellStyle name="_BC thuc hien KH 2009_DK KH CBDT 2014 11-11-2013(1)_Copy of 05-12  KH trung han 2016-2020 - Liem Thinh edited (1)" xfId="294"/>
    <cellStyle name="_BC thuc hien KH 2009_DK KH CBDT 2014 11-11-2013_05-12  KH trung han 2016-2020 - Liem Thinh edited" xfId="295"/>
    <cellStyle name="_BC thuc hien KH 2009_DK KH CBDT 2014 11-11-2013_Copy of 05-12  KH trung han 2016-2020 - Liem Thinh edited (1)" xfId="296"/>
    <cellStyle name="_BC thuc hien KH 2009_KH 2011-2015" xfId="297"/>
    <cellStyle name="_BC thuc hien KH 2009_tai co cau dau tu (tong hop)1" xfId="298"/>
    <cellStyle name="_BEN TRE" xfId="299"/>
    <cellStyle name="_Bieu mau cong trinh khoi cong moi 3-4" xfId="300"/>
    <cellStyle name="_Bieu Tay Nam Bo 25-11" xfId="301"/>
    <cellStyle name="_Bieu3ODA" xfId="302"/>
    <cellStyle name="_Bieu3ODA_1" xfId="303"/>
    <cellStyle name="_Bieu4HTMT" xfId="304"/>
    <cellStyle name="_Bieu4HTMT_!1 1 bao cao giao KH ve HTCMT vung TNB   12-12-2011" xfId="305"/>
    <cellStyle name="_Bieu4HTMT_KH TPCP vung TNB (03-1-2012)" xfId="306"/>
    <cellStyle name="_Book1" xfId="307"/>
    <cellStyle name="_Book1 2" xfId="308"/>
    <cellStyle name="_Book1_!1 1 bao cao giao KH ve HTCMT vung TNB   12-12-2011" xfId="309"/>
    <cellStyle name="_Book1_1" xfId="310"/>
    <cellStyle name="_Book1_2" xfId="311"/>
    <cellStyle name="_Book1_BC-QT-WB-dthao" xfId="312"/>
    <cellStyle name="_Book1_BC-QT-WB-dthao_05-12  KH trung han 2016-2020 - Liem Thinh edited" xfId="313"/>
    <cellStyle name="_Book1_BC-QT-WB-dthao_Copy of 05-12  KH trung han 2016-2020 - Liem Thinh edited (1)" xfId="314"/>
    <cellStyle name="_Book1_BC-QT-WB-dthao_KH TPCP 2016-2020 (tong hop)" xfId="315"/>
    <cellStyle name="_Book1_Bieu3ODA" xfId="316"/>
    <cellStyle name="_Book1_Bieu4HTMT" xfId="317"/>
    <cellStyle name="_Book1_Bieu4HTMT_!1 1 bao cao giao KH ve HTCMT vung TNB   12-12-2011" xfId="318"/>
    <cellStyle name="_Book1_Bieu4HTMT_KH TPCP vung TNB (03-1-2012)" xfId="319"/>
    <cellStyle name="_Book1_bo sung von KCH nam 2010 va Du an tre kho khan" xfId="320"/>
    <cellStyle name="_Book1_bo sung von KCH nam 2010 va Du an tre kho khan_!1 1 bao cao giao KH ve HTCMT vung TNB   12-12-2011" xfId="321"/>
    <cellStyle name="_Book1_bo sung von KCH nam 2010 va Du an tre kho khan_KH TPCP vung TNB (03-1-2012)" xfId="322"/>
    <cellStyle name="_Book1_cong hang rao" xfId="323"/>
    <cellStyle name="_Book1_cong hang rao_!1 1 bao cao giao KH ve HTCMT vung TNB   12-12-2011" xfId="324"/>
    <cellStyle name="_Book1_cong hang rao_KH TPCP vung TNB (03-1-2012)" xfId="325"/>
    <cellStyle name="_Book1_danh muc chuan bi dau tu 2011 ngay 07-6-2011" xfId="326"/>
    <cellStyle name="_Book1_danh muc chuan bi dau tu 2011 ngay 07-6-2011_!1 1 bao cao giao KH ve HTCMT vung TNB   12-12-2011" xfId="327"/>
    <cellStyle name="_Book1_danh muc chuan bi dau tu 2011 ngay 07-6-2011_KH TPCP vung TNB (03-1-2012)" xfId="328"/>
    <cellStyle name="_Book1_Danh muc pbo nguon von XSKT, XDCB nam 2009 chuyen qua nam 2010" xfId="329"/>
    <cellStyle name="_Book1_Danh muc pbo nguon von XSKT, XDCB nam 2009 chuyen qua nam 2010_!1 1 bao cao giao KH ve HTCMT vung TNB   12-12-2011" xfId="330"/>
    <cellStyle name="_Book1_Danh muc pbo nguon von XSKT, XDCB nam 2009 chuyen qua nam 2010_KH TPCP vung TNB (03-1-2012)" xfId="331"/>
    <cellStyle name="_Book1_dieu chinh KH 2011 ngay 26-5-2011111" xfId="332"/>
    <cellStyle name="_Book1_dieu chinh KH 2011 ngay 26-5-2011111_!1 1 bao cao giao KH ve HTCMT vung TNB   12-12-2011" xfId="333"/>
    <cellStyle name="_Book1_dieu chinh KH 2011 ngay 26-5-2011111_KH TPCP vung TNB (03-1-2012)" xfId="334"/>
    <cellStyle name="_Book1_DS KCH PHAN BO VON NSDP NAM 2010" xfId="335"/>
    <cellStyle name="_Book1_DS KCH PHAN BO VON NSDP NAM 2010_!1 1 bao cao giao KH ve HTCMT vung TNB   12-12-2011" xfId="336"/>
    <cellStyle name="_Book1_DS KCH PHAN BO VON NSDP NAM 2010_KH TPCP vung TNB (03-1-2012)" xfId="337"/>
    <cellStyle name="_Book1_giao KH 2011 ngay 10-12-2010" xfId="338"/>
    <cellStyle name="_Book1_giao KH 2011 ngay 10-12-2010_!1 1 bao cao giao KH ve HTCMT vung TNB   12-12-2011" xfId="339"/>
    <cellStyle name="_Book1_giao KH 2011 ngay 10-12-2010_KH TPCP vung TNB (03-1-2012)" xfId="340"/>
    <cellStyle name="_Book1_IN" xfId="341"/>
    <cellStyle name="_Book1_Kh ql62 (2010) 11-09" xfId="342"/>
    <cellStyle name="_Book1_KH TPCP vung TNB (03-1-2012)" xfId="343"/>
    <cellStyle name="_Book1_Khung 2012" xfId="344"/>
    <cellStyle name="_Book1_kien giang 2" xfId="345"/>
    <cellStyle name="_Book1_phu luc tong ket tinh hinh TH giai doan 03-10 (ngay 30)" xfId="346"/>
    <cellStyle name="_Book1_phu luc tong ket tinh hinh TH giai doan 03-10 (ngay 30)_!1 1 bao cao giao KH ve HTCMT vung TNB   12-12-2011" xfId="347"/>
    <cellStyle name="_Book1_phu luc tong ket tinh hinh TH giai doan 03-10 (ngay 30)_KH TPCP vung TNB (03-1-2012)" xfId="348"/>
    <cellStyle name="_C.cong+B.luong-Sanluong" xfId="349"/>
    <cellStyle name="_cong hang rao" xfId="350"/>
    <cellStyle name="_dien chieu sang" xfId="351"/>
    <cellStyle name="_DK KH 2009" xfId="352"/>
    <cellStyle name="_DK KH 2009_15_10_2013 BC nhu cau von doi ung ODA (2014-2016) ngay 15102013 Sua" xfId="353"/>
    <cellStyle name="_DK KH 2009_BC nhu cau von doi ung ODA nganh NN (BKH)" xfId="354"/>
    <cellStyle name="_DK KH 2009_BC nhu cau von doi ung ODA nganh NN (BKH)_05-12  KH trung han 2016-2020 - Liem Thinh edited" xfId="355"/>
    <cellStyle name="_DK KH 2009_BC nhu cau von doi ung ODA nganh NN (BKH)_Copy of 05-12  KH trung han 2016-2020 - Liem Thinh edited (1)" xfId="356"/>
    <cellStyle name="_DK KH 2009_BC Tai co cau (bieu TH)" xfId="357"/>
    <cellStyle name="_DK KH 2009_BC Tai co cau (bieu TH)_05-12  KH trung han 2016-2020 - Liem Thinh edited" xfId="358"/>
    <cellStyle name="_DK KH 2009_BC Tai co cau (bieu TH)_Copy of 05-12  KH trung han 2016-2020 - Liem Thinh edited (1)" xfId="359"/>
    <cellStyle name="_DK KH 2009_DK 2014-2015 final" xfId="360"/>
    <cellStyle name="_DK KH 2009_DK 2014-2015 final_05-12  KH trung han 2016-2020 - Liem Thinh edited" xfId="361"/>
    <cellStyle name="_DK KH 2009_DK 2014-2015 final_Copy of 05-12  KH trung han 2016-2020 - Liem Thinh edited (1)" xfId="362"/>
    <cellStyle name="_DK KH 2009_DK 2014-2015 new" xfId="363"/>
    <cellStyle name="_DK KH 2009_DK 2014-2015 new_05-12  KH trung han 2016-2020 - Liem Thinh edited" xfId="364"/>
    <cellStyle name="_DK KH 2009_DK 2014-2015 new_Copy of 05-12  KH trung han 2016-2020 - Liem Thinh edited (1)" xfId="365"/>
    <cellStyle name="_DK KH 2009_DK KH CBDT 2014 11-11-2013" xfId="366"/>
    <cellStyle name="_DK KH 2009_DK KH CBDT 2014 11-11-2013(1)" xfId="367"/>
    <cellStyle name="_DK KH 2009_DK KH CBDT 2014 11-11-2013(1)_05-12  KH trung han 2016-2020 - Liem Thinh edited" xfId="368"/>
    <cellStyle name="_DK KH 2009_DK KH CBDT 2014 11-11-2013(1)_Copy of 05-12  KH trung han 2016-2020 - Liem Thinh edited (1)" xfId="369"/>
    <cellStyle name="_DK KH 2009_DK KH CBDT 2014 11-11-2013_05-12  KH trung han 2016-2020 - Liem Thinh edited" xfId="370"/>
    <cellStyle name="_DK KH 2009_DK KH CBDT 2014 11-11-2013_Copy of 05-12  KH trung han 2016-2020 - Liem Thinh edited (1)" xfId="371"/>
    <cellStyle name="_DK KH 2009_KH 2011-2015" xfId="372"/>
    <cellStyle name="_DK KH 2009_tai co cau dau tu (tong hop)1" xfId="373"/>
    <cellStyle name="_DK KH 2010" xfId="374"/>
    <cellStyle name="_DK KH 2010 (BKH)" xfId="375"/>
    <cellStyle name="_DK KH 2010_15_10_2013 BC nhu cau von doi ung ODA (2014-2016) ngay 15102013 Sua" xfId="376"/>
    <cellStyle name="_DK KH 2010_BC nhu cau von doi ung ODA nganh NN (BKH)" xfId="377"/>
    <cellStyle name="_DK KH 2010_BC nhu cau von doi ung ODA nganh NN (BKH)_05-12  KH trung han 2016-2020 - Liem Thinh edited" xfId="378"/>
    <cellStyle name="_DK KH 2010_BC nhu cau von doi ung ODA nganh NN (BKH)_Copy of 05-12  KH trung han 2016-2020 - Liem Thinh edited (1)" xfId="379"/>
    <cellStyle name="_DK KH 2010_BC Tai co cau (bieu TH)" xfId="380"/>
    <cellStyle name="_DK KH 2010_BC Tai co cau (bieu TH)_05-12  KH trung han 2016-2020 - Liem Thinh edited" xfId="381"/>
    <cellStyle name="_DK KH 2010_BC Tai co cau (bieu TH)_Copy of 05-12  KH trung han 2016-2020 - Liem Thinh edited (1)" xfId="382"/>
    <cellStyle name="_DK KH 2010_DK 2014-2015 final" xfId="383"/>
    <cellStyle name="_DK KH 2010_DK 2014-2015 final_05-12  KH trung han 2016-2020 - Liem Thinh edited" xfId="384"/>
    <cellStyle name="_DK KH 2010_DK 2014-2015 final_Copy of 05-12  KH trung han 2016-2020 - Liem Thinh edited (1)" xfId="385"/>
    <cellStyle name="_DK KH 2010_DK 2014-2015 new" xfId="386"/>
    <cellStyle name="_DK KH 2010_DK 2014-2015 new_05-12  KH trung han 2016-2020 - Liem Thinh edited" xfId="387"/>
    <cellStyle name="_DK KH 2010_DK 2014-2015 new_Copy of 05-12  KH trung han 2016-2020 - Liem Thinh edited (1)" xfId="388"/>
    <cellStyle name="_DK KH 2010_DK KH CBDT 2014 11-11-2013" xfId="389"/>
    <cellStyle name="_DK KH 2010_DK KH CBDT 2014 11-11-2013(1)" xfId="390"/>
    <cellStyle name="_DK KH 2010_DK KH CBDT 2014 11-11-2013(1)_05-12  KH trung han 2016-2020 - Liem Thinh edited" xfId="391"/>
    <cellStyle name="_DK KH 2010_DK KH CBDT 2014 11-11-2013(1)_Copy of 05-12  KH trung han 2016-2020 - Liem Thinh edited (1)" xfId="392"/>
    <cellStyle name="_DK KH 2010_DK KH CBDT 2014 11-11-2013_05-12  KH trung han 2016-2020 - Liem Thinh edited" xfId="393"/>
    <cellStyle name="_DK KH 2010_DK KH CBDT 2014 11-11-2013_Copy of 05-12  KH trung han 2016-2020 - Liem Thinh edited (1)" xfId="394"/>
    <cellStyle name="_DK KH 2010_KH 2011-2015" xfId="395"/>
    <cellStyle name="_DK KH 2010_tai co cau dau tu (tong hop)1" xfId="396"/>
    <cellStyle name="_DK TPCP 2010" xfId="397"/>
    <cellStyle name="_DO-D1500-KHONG CO TRONG DT" xfId="398"/>
    <cellStyle name="_Dong Thap" xfId="399"/>
    <cellStyle name="_Duyet TK thay đôi" xfId="400"/>
    <cellStyle name="_Duyet TK thay đôi_!1 1 bao cao giao KH ve HTCMT vung TNB   12-12-2011" xfId="401"/>
    <cellStyle name="_Duyet TK thay đôi_Bieu4HTMT" xfId="402"/>
    <cellStyle name="_Duyet TK thay đôi_Bieu4HTMT_!1 1 bao cao giao KH ve HTCMT vung TNB   12-12-2011" xfId="403"/>
    <cellStyle name="_Duyet TK thay đôi_Bieu4HTMT_KH TPCP vung TNB (03-1-2012)" xfId="404"/>
    <cellStyle name="_Duyet TK thay đôi_KH TPCP vung TNB (03-1-2012)" xfId="405"/>
    <cellStyle name="_GOITHAUSO2" xfId="406"/>
    <cellStyle name="_GOITHAUSO3" xfId="407"/>
    <cellStyle name="_GOITHAUSO4" xfId="408"/>
    <cellStyle name="_GTGT 2003" xfId="409"/>
    <cellStyle name="_Gui VU KH 5-5-09" xfId="410"/>
    <cellStyle name="_Gui VU KH 5-5-09_05-12  KH trung han 2016-2020 - Liem Thinh edited" xfId="411"/>
    <cellStyle name="_Gui VU KH 5-5-09_Copy of 05-12  KH trung han 2016-2020 - Liem Thinh edited (1)" xfId="412"/>
    <cellStyle name="_Gui VU KH 5-5-09_KH TPCP 2016-2020 (tong hop)" xfId="413"/>
    <cellStyle name="_HaHoa_TDT_DienCSang" xfId="414"/>
    <cellStyle name="_HaHoa19-5-07" xfId="415"/>
    <cellStyle name="_Huong CHI tieu Nhiem vu CTMTQG 2014(1)" xfId="416"/>
    <cellStyle name="_IN" xfId="417"/>
    <cellStyle name="_IN_!1 1 bao cao giao KH ve HTCMT vung TNB   12-12-2011" xfId="418"/>
    <cellStyle name="_IN_KH TPCP vung TNB (03-1-2012)" xfId="419"/>
    <cellStyle name="_KE KHAI THUE GTGT 2004" xfId="420"/>
    <cellStyle name="_KE KHAI THUE GTGT 2004_BCTC2004" xfId="421"/>
    <cellStyle name="_KH 2009" xfId="422"/>
    <cellStyle name="_KH 2009_15_10_2013 BC nhu cau von doi ung ODA (2014-2016) ngay 15102013 Sua" xfId="423"/>
    <cellStyle name="_KH 2009_BC nhu cau von doi ung ODA nganh NN (BKH)" xfId="424"/>
    <cellStyle name="_KH 2009_BC nhu cau von doi ung ODA nganh NN (BKH)_05-12  KH trung han 2016-2020 - Liem Thinh edited" xfId="425"/>
    <cellStyle name="_KH 2009_BC nhu cau von doi ung ODA nganh NN (BKH)_Copy of 05-12  KH trung han 2016-2020 - Liem Thinh edited (1)" xfId="426"/>
    <cellStyle name="_KH 2009_BC Tai co cau (bieu TH)" xfId="427"/>
    <cellStyle name="_KH 2009_BC Tai co cau (bieu TH)_05-12  KH trung han 2016-2020 - Liem Thinh edited" xfId="428"/>
    <cellStyle name="_KH 2009_BC Tai co cau (bieu TH)_Copy of 05-12  KH trung han 2016-2020 - Liem Thinh edited (1)" xfId="429"/>
    <cellStyle name="_KH 2009_DK 2014-2015 final" xfId="430"/>
    <cellStyle name="_KH 2009_DK 2014-2015 final_05-12  KH trung han 2016-2020 - Liem Thinh edited" xfId="431"/>
    <cellStyle name="_KH 2009_DK 2014-2015 final_Copy of 05-12  KH trung han 2016-2020 - Liem Thinh edited (1)" xfId="432"/>
    <cellStyle name="_KH 2009_DK 2014-2015 new" xfId="433"/>
    <cellStyle name="_KH 2009_DK 2014-2015 new_05-12  KH trung han 2016-2020 - Liem Thinh edited" xfId="434"/>
    <cellStyle name="_KH 2009_DK 2014-2015 new_Copy of 05-12  KH trung han 2016-2020 - Liem Thinh edited (1)" xfId="435"/>
    <cellStyle name="_KH 2009_DK KH CBDT 2014 11-11-2013" xfId="436"/>
    <cellStyle name="_KH 2009_DK KH CBDT 2014 11-11-2013(1)" xfId="437"/>
    <cellStyle name="_KH 2009_DK KH CBDT 2014 11-11-2013(1)_05-12  KH trung han 2016-2020 - Liem Thinh edited" xfId="438"/>
    <cellStyle name="_KH 2009_DK KH CBDT 2014 11-11-2013(1)_Copy of 05-12  KH trung han 2016-2020 - Liem Thinh edited (1)" xfId="439"/>
    <cellStyle name="_KH 2009_DK KH CBDT 2014 11-11-2013_05-12  KH trung han 2016-2020 - Liem Thinh edited" xfId="440"/>
    <cellStyle name="_KH 2009_DK KH CBDT 2014 11-11-2013_Copy of 05-12  KH trung han 2016-2020 - Liem Thinh edited (1)" xfId="441"/>
    <cellStyle name="_KH 2009_KH 2011-2015" xfId="442"/>
    <cellStyle name="_KH 2009_tai co cau dau tu (tong hop)1" xfId="443"/>
    <cellStyle name="_KH 2012 (TPCP) Bac Lieu (25-12-2011)" xfId="444"/>
    <cellStyle name="_Kh ql62 (2010) 11-09" xfId="445"/>
    <cellStyle name="_KH TPCP 2010 17-3-10" xfId="446"/>
    <cellStyle name="_KH TPCP vung TNB (03-1-2012)" xfId="447"/>
    <cellStyle name="_KH ung von cap bach 2009-Cuc NTTS de nghi (sua)" xfId="448"/>
    <cellStyle name="_KH.DTC.gd2016-2020 tinh (T2-2015)" xfId="449"/>
    <cellStyle name="_Khung 2012" xfId="450"/>
    <cellStyle name="_Khung nam 2010" xfId="451"/>
    <cellStyle name="_x0001__kien giang 2" xfId="452"/>
    <cellStyle name="_KT (2)" xfId="453"/>
    <cellStyle name="_KT (2) 2" xfId="454"/>
    <cellStyle name="_KT (2)_05-12  KH trung han 2016-2020 - Liem Thinh edited" xfId="455"/>
    <cellStyle name="_KT (2)_1" xfId="456"/>
    <cellStyle name="_KT (2)_1 2" xfId="457"/>
    <cellStyle name="_KT (2)_1_05-12  KH trung han 2016-2020 - Liem Thinh edited" xfId="458"/>
    <cellStyle name="_KT (2)_1_Copy of 05-12  KH trung han 2016-2020 - Liem Thinh edited (1)" xfId="459"/>
    <cellStyle name="_KT (2)_1_KH TPCP 2016-2020 (tong hop)" xfId="460"/>
    <cellStyle name="_KT (2)_1_Lora-tungchau" xfId="461"/>
    <cellStyle name="_KT (2)_1_Lora-tungchau 2" xfId="462"/>
    <cellStyle name="_KT (2)_1_Lora-tungchau_05-12  KH trung han 2016-2020 - Liem Thinh edited" xfId="463"/>
    <cellStyle name="_KT (2)_1_Lora-tungchau_Copy of 05-12  KH trung han 2016-2020 - Liem Thinh edited (1)" xfId="464"/>
    <cellStyle name="_KT (2)_1_Lora-tungchau_KH TPCP 2016-2020 (tong hop)" xfId="465"/>
    <cellStyle name="_KT (2)_1_Qt-HT3PQ1(CauKho)" xfId="466"/>
    <cellStyle name="_KT (2)_2" xfId="467"/>
    <cellStyle name="_KT (2)_2_TG-TH" xfId="468"/>
    <cellStyle name="_KT (2)_2_TG-TH 2" xfId="469"/>
    <cellStyle name="_KT (2)_2_TG-TH_05-12  KH trung han 2016-2020 - Liem Thinh edited" xfId="470"/>
    <cellStyle name="_KT (2)_2_TG-TH_ApGiaVatTu_cayxanh_latgach" xfId="471"/>
    <cellStyle name="_KT (2)_2_TG-TH_BANG TONG HOP TINH HINH THANH QUYET TOAN (MOI I)" xfId="472"/>
    <cellStyle name="_KT (2)_2_TG-TH_BAO CAO KLCT PT2000" xfId="473"/>
    <cellStyle name="_KT (2)_2_TG-TH_BAO CAO PT2000" xfId="474"/>
    <cellStyle name="_KT (2)_2_TG-TH_BAO CAO PT2000_Book1" xfId="475"/>
    <cellStyle name="_KT (2)_2_TG-TH_Bao cao XDCB 2001 - T11 KH dieu chinh 20-11-THAI" xfId="476"/>
    <cellStyle name="_KT (2)_2_TG-TH_BAO GIA NGAY 24-10-08 (co dam)" xfId="477"/>
    <cellStyle name="_KT (2)_2_TG-TH_BC  NAM 2007" xfId="478"/>
    <cellStyle name="_KT (2)_2_TG-TH_BC CV 6403 BKHĐT" xfId="479"/>
    <cellStyle name="_KT (2)_2_TG-TH_BC NQ11-CP - chinh sua lai" xfId="480"/>
    <cellStyle name="_KT (2)_2_TG-TH_BC NQ11-CP-Quynh sau bieu so3" xfId="481"/>
    <cellStyle name="_KT (2)_2_TG-TH_BC_NQ11-CP_-_Thao_sua_lai" xfId="482"/>
    <cellStyle name="_KT (2)_2_TG-TH_Bieu mau cong trinh khoi cong moi 3-4" xfId="483"/>
    <cellStyle name="_KT (2)_2_TG-TH_Bieu3ODA" xfId="484"/>
    <cellStyle name="_KT (2)_2_TG-TH_Bieu3ODA_1" xfId="485"/>
    <cellStyle name="_KT (2)_2_TG-TH_Bieu4HTMT" xfId="486"/>
    <cellStyle name="_KT (2)_2_TG-TH_bo sung von KCH nam 2010 va Du an tre kho khan" xfId="487"/>
    <cellStyle name="_KT (2)_2_TG-TH_Book1" xfId="488"/>
    <cellStyle name="_KT (2)_2_TG-TH_Book1 2" xfId="489"/>
    <cellStyle name="_KT (2)_2_TG-TH_Book1_1" xfId="490"/>
    <cellStyle name="_KT (2)_2_TG-TH_Book1_1 2" xfId="491"/>
    <cellStyle name="_KT (2)_2_TG-TH_Book1_1_BC CV 6403 BKHĐT" xfId="492"/>
    <cellStyle name="_KT (2)_2_TG-TH_Book1_1_Bieu mau cong trinh khoi cong moi 3-4" xfId="493"/>
    <cellStyle name="_KT (2)_2_TG-TH_Book1_1_Bieu3ODA" xfId="494"/>
    <cellStyle name="_KT (2)_2_TG-TH_Book1_1_Bieu4HTMT" xfId="495"/>
    <cellStyle name="_KT (2)_2_TG-TH_Book1_1_Book1" xfId="496"/>
    <cellStyle name="_KT (2)_2_TG-TH_Book1_1_Luy ke von ung nam 2011 -Thoa gui ngay 12-8-2012" xfId="497"/>
    <cellStyle name="_KT (2)_2_TG-TH_Book1_2" xfId="498"/>
    <cellStyle name="_KT (2)_2_TG-TH_Book1_2 2" xfId="499"/>
    <cellStyle name="_KT (2)_2_TG-TH_Book1_2_BC CV 6403 BKHĐT" xfId="500"/>
    <cellStyle name="_KT (2)_2_TG-TH_Book1_2_Bieu3ODA" xfId="501"/>
    <cellStyle name="_KT (2)_2_TG-TH_Book1_2_Luy ke von ung nam 2011 -Thoa gui ngay 12-8-2012" xfId="502"/>
    <cellStyle name="_KT (2)_2_TG-TH_Book1_3" xfId="503"/>
    <cellStyle name="_KT (2)_2_TG-TH_Book1_3 2" xfId="504"/>
    <cellStyle name="_KT (2)_2_TG-TH_Book1_4" xfId="505"/>
    <cellStyle name="_KT (2)_2_TG-TH_Book1_BC CV 6403 BKHĐT" xfId="506"/>
    <cellStyle name="_KT (2)_2_TG-TH_Book1_Bieu mau cong trinh khoi cong moi 3-4" xfId="507"/>
    <cellStyle name="_KT (2)_2_TG-TH_Book1_Bieu3ODA" xfId="508"/>
    <cellStyle name="_KT (2)_2_TG-TH_Book1_Bieu4HTMT" xfId="509"/>
    <cellStyle name="_KT (2)_2_TG-TH_Book1_bo sung von KCH nam 2010 va Du an tre kho khan" xfId="510"/>
    <cellStyle name="_KT (2)_2_TG-TH_Book1_Book1" xfId="511"/>
    <cellStyle name="_KT (2)_2_TG-TH_Book1_danh muc chuan bi dau tu 2011 ngay 07-6-2011" xfId="512"/>
    <cellStyle name="_KT (2)_2_TG-TH_Book1_Danh muc pbo nguon von XSKT, XDCB nam 2009 chuyen qua nam 2010" xfId="513"/>
    <cellStyle name="_KT (2)_2_TG-TH_Book1_dieu chinh KH 2011 ngay 26-5-2011111" xfId="514"/>
    <cellStyle name="_KT (2)_2_TG-TH_Book1_DS KCH PHAN BO VON NSDP NAM 2010" xfId="515"/>
    <cellStyle name="_KT (2)_2_TG-TH_Book1_giao KH 2011 ngay 10-12-2010" xfId="516"/>
    <cellStyle name="_KT (2)_2_TG-TH_Book1_Luy ke von ung nam 2011 -Thoa gui ngay 12-8-2012" xfId="517"/>
    <cellStyle name="_KT (2)_2_TG-TH_CAU Khanh Nam(Thi Cong)" xfId="518"/>
    <cellStyle name="_KT (2)_2_TG-TH_ChiHuong_ApGia" xfId="519"/>
    <cellStyle name="_KT (2)_2_TG-TH_CoCauPhi (version 1)" xfId="520"/>
    <cellStyle name="_KT (2)_2_TG-TH_Copy of 05-12  KH trung han 2016-2020 - Liem Thinh edited (1)" xfId="521"/>
    <cellStyle name="_KT (2)_2_TG-TH_danh muc chuan bi dau tu 2011 ngay 07-6-2011" xfId="522"/>
    <cellStyle name="_KT (2)_2_TG-TH_Danh muc pbo nguon von XSKT, XDCB nam 2009 chuyen qua nam 2010" xfId="523"/>
    <cellStyle name="_KT (2)_2_TG-TH_DAU NOI PL-CL TAI PHU LAMHC" xfId="524"/>
    <cellStyle name="_KT (2)_2_TG-TH_dieu chinh KH 2011 ngay 26-5-2011111" xfId="525"/>
    <cellStyle name="_KT (2)_2_TG-TH_DS KCH PHAN BO VON NSDP NAM 2010" xfId="526"/>
    <cellStyle name="_KT (2)_2_TG-TH_DTCDT MR.2N110.HOCMON.TDTOAN.CCUNG" xfId="527"/>
    <cellStyle name="_KT (2)_2_TG-TH_DU TRU VAT TU" xfId="528"/>
    <cellStyle name="_KT (2)_2_TG-TH_giao KH 2011 ngay 10-12-2010" xfId="529"/>
    <cellStyle name="_KT (2)_2_TG-TH_GTGT 2003" xfId="530"/>
    <cellStyle name="_KT (2)_2_TG-TH_KE KHAI THUE GTGT 2004" xfId="531"/>
    <cellStyle name="_KT (2)_2_TG-TH_KE KHAI THUE GTGT 2004_BCTC2004" xfId="532"/>
    <cellStyle name="_KT (2)_2_TG-TH_KH TPCP 2016-2020 (tong hop)" xfId="533"/>
    <cellStyle name="_KT (2)_2_TG-TH_KH TPCP vung TNB (03-1-2012)" xfId="534"/>
    <cellStyle name="_KT (2)_2_TG-TH_kien giang 2" xfId="535"/>
    <cellStyle name="_KT (2)_2_TG-TH_Lora-tungchau" xfId="536"/>
    <cellStyle name="_KT (2)_2_TG-TH_Luy ke von ung nam 2011 -Thoa gui ngay 12-8-2012" xfId="537"/>
    <cellStyle name="_KT (2)_2_TG-TH_NhanCong" xfId="538"/>
    <cellStyle name="_KT (2)_2_TG-TH_N-X-T-04" xfId="539"/>
    <cellStyle name="_KT (2)_2_TG-TH_PGIA-phieu tham tra Kho bac" xfId="540"/>
    <cellStyle name="_KT (2)_2_TG-TH_phu luc tong ket tinh hinh TH giai doan 03-10 (ngay 30)" xfId="541"/>
    <cellStyle name="_KT (2)_2_TG-TH_PT02-02" xfId="542"/>
    <cellStyle name="_KT (2)_2_TG-TH_PT02-02_Book1" xfId="543"/>
    <cellStyle name="_KT (2)_2_TG-TH_PT02-03" xfId="544"/>
    <cellStyle name="_KT (2)_2_TG-TH_PT02-03_Book1" xfId="545"/>
    <cellStyle name="_KT (2)_2_TG-TH_Qt-HT3PQ1(CauKho)" xfId="546"/>
    <cellStyle name="_KT (2)_2_TG-TH_Sheet1" xfId="547"/>
    <cellStyle name="_KT (2)_2_TG-TH_TK152-04" xfId="548"/>
    <cellStyle name="_KT (2)_2_TG-TH_ÿÿÿÿÿ" xfId="549"/>
    <cellStyle name="_KT (2)_2_TG-TH_ÿÿÿÿÿ_Bieu mau cong trinh khoi cong moi 3-4" xfId="550"/>
    <cellStyle name="_KT (2)_2_TG-TH_ÿÿÿÿÿ_Bieu3ODA" xfId="551"/>
    <cellStyle name="_KT (2)_2_TG-TH_ÿÿÿÿÿ_Bieu4HTMT" xfId="552"/>
    <cellStyle name="_KT (2)_2_TG-TH_ÿÿÿÿÿ_KH TPCP vung TNB (03-1-2012)" xfId="553"/>
    <cellStyle name="_KT (2)_2_TG-TH_ÿÿÿÿÿ_kien giang 2" xfId="554"/>
    <cellStyle name="_KT (2)_3" xfId="555"/>
    <cellStyle name="_KT (2)_3_TG-TH" xfId="556"/>
    <cellStyle name="_KT (2)_3_TG-TH 2" xfId="557"/>
    <cellStyle name="_KT (2)_3_TG-TH_05-12  KH trung han 2016-2020 - Liem Thinh edited" xfId="558"/>
    <cellStyle name="_KT (2)_3_TG-TH_BC  NAM 2007" xfId="559"/>
    <cellStyle name="_KT (2)_3_TG-TH_Bieu mau cong trinh khoi cong moi 3-4" xfId="560"/>
    <cellStyle name="_KT (2)_3_TG-TH_Bieu3ODA" xfId="561"/>
    <cellStyle name="_KT (2)_3_TG-TH_Bieu3ODA_1" xfId="562"/>
    <cellStyle name="_KT (2)_3_TG-TH_Bieu4HTMT" xfId="563"/>
    <cellStyle name="_KT (2)_3_TG-TH_bo sung von KCH nam 2010 va Du an tre kho khan" xfId="564"/>
    <cellStyle name="_KT (2)_3_TG-TH_Book1" xfId="565"/>
    <cellStyle name="_KT (2)_3_TG-TH_Book1 2" xfId="566"/>
    <cellStyle name="_KT (2)_3_TG-TH_Book1_1" xfId="567"/>
    <cellStyle name="_KT (2)_3_TG-TH_Book1_BC-QT-WB-dthao" xfId="568"/>
    <cellStyle name="_KT (2)_3_TG-TH_Book1_BC-QT-WB-dthao_05-12  KH trung han 2016-2020 - Liem Thinh edited" xfId="569"/>
    <cellStyle name="_KT (2)_3_TG-TH_Book1_BC-QT-WB-dthao_Copy of 05-12  KH trung han 2016-2020 - Liem Thinh edited (1)" xfId="570"/>
    <cellStyle name="_KT (2)_3_TG-TH_Book1_BC-QT-WB-dthao_KH TPCP 2016-2020 (tong hop)" xfId="571"/>
    <cellStyle name="_KT (2)_3_TG-TH_Book1_KH TPCP vung TNB (03-1-2012)" xfId="572"/>
    <cellStyle name="_KT (2)_3_TG-TH_Book1_kien giang 2" xfId="573"/>
    <cellStyle name="_KT (2)_3_TG-TH_Copy of 05-12  KH trung han 2016-2020 - Liem Thinh edited (1)" xfId="574"/>
    <cellStyle name="_KT (2)_3_TG-TH_danh muc chuan bi dau tu 2011 ngay 07-6-2011" xfId="575"/>
    <cellStyle name="_KT (2)_3_TG-TH_Danh muc pbo nguon von XSKT, XDCB nam 2009 chuyen qua nam 2010" xfId="576"/>
    <cellStyle name="_KT (2)_3_TG-TH_dieu chinh KH 2011 ngay 26-5-2011111" xfId="577"/>
    <cellStyle name="_KT (2)_3_TG-TH_DS KCH PHAN BO VON NSDP NAM 2010" xfId="578"/>
    <cellStyle name="_KT (2)_3_TG-TH_giao KH 2011 ngay 10-12-2010" xfId="579"/>
    <cellStyle name="_KT (2)_3_TG-TH_GTGT 2003" xfId="580"/>
    <cellStyle name="_KT (2)_3_TG-TH_KE KHAI THUE GTGT 2004" xfId="581"/>
    <cellStyle name="_KT (2)_3_TG-TH_KE KHAI THUE GTGT 2004_BCTC2004" xfId="582"/>
    <cellStyle name="_KT (2)_3_TG-TH_KH TPCP 2016-2020 (tong hop)" xfId="583"/>
    <cellStyle name="_KT (2)_3_TG-TH_KH TPCP vung TNB (03-1-2012)" xfId="584"/>
    <cellStyle name="_KT (2)_3_TG-TH_kien giang 2" xfId="585"/>
    <cellStyle name="_KT (2)_3_TG-TH_Lora-tungchau" xfId="586"/>
    <cellStyle name="_KT (2)_3_TG-TH_Lora-tungchau 2" xfId="587"/>
    <cellStyle name="_KT (2)_3_TG-TH_Lora-tungchau_05-12  KH trung han 2016-2020 - Liem Thinh edited" xfId="588"/>
    <cellStyle name="_KT (2)_3_TG-TH_Lora-tungchau_Copy of 05-12  KH trung han 2016-2020 - Liem Thinh edited (1)" xfId="589"/>
    <cellStyle name="_KT (2)_3_TG-TH_Lora-tungchau_KH TPCP 2016-2020 (tong hop)" xfId="590"/>
    <cellStyle name="_KT (2)_3_TG-TH_N-X-T-04" xfId="591"/>
    <cellStyle name="_KT (2)_3_TG-TH_PERSONAL" xfId="592"/>
    <cellStyle name="_KT (2)_3_TG-TH_PERSONAL_BC CV 6403 BKHĐT" xfId="593"/>
    <cellStyle name="_KT (2)_3_TG-TH_PERSONAL_Bieu mau cong trinh khoi cong moi 3-4" xfId="594"/>
    <cellStyle name="_KT (2)_3_TG-TH_PERSONAL_Bieu3ODA" xfId="595"/>
    <cellStyle name="_KT (2)_3_TG-TH_PERSONAL_Bieu4HTMT" xfId="596"/>
    <cellStyle name="_KT (2)_3_TG-TH_PERSONAL_Book1" xfId="597"/>
    <cellStyle name="_KT (2)_3_TG-TH_PERSONAL_Book1 2" xfId="598"/>
    <cellStyle name="_KT (2)_3_TG-TH_PERSONAL_HTQ.8 GD1" xfId="599"/>
    <cellStyle name="_KT (2)_3_TG-TH_PERSONAL_HTQ.8 GD1_05-12  KH trung han 2016-2020 - Liem Thinh edited" xfId="600"/>
    <cellStyle name="_KT (2)_3_TG-TH_PERSONAL_HTQ.8 GD1_Copy of 05-12  KH trung han 2016-2020 - Liem Thinh edited (1)" xfId="601"/>
    <cellStyle name="_KT (2)_3_TG-TH_PERSONAL_HTQ.8 GD1_KH TPCP 2016-2020 (tong hop)" xfId="602"/>
    <cellStyle name="_KT (2)_3_TG-TH_PERSONAL_Luy ke von ung nam 2011 -Thoa gui ngay 12-8-2012" xfId="603"/>
    <cellStyle name="_KT (2)_3_TG-TH_PERSONAL_Tong hop KHCB 2001" xfId="604"/>
    <cellStyle name="_KT (2)_3_TG-TH_Qt-HT3PQ1(CauKho)" xfId="605"/>
    <cellStyle name="_KT (2)_3_TG-TH_TK152-04" xfId="606"/>
    <cellStyle name="_KT (2)_3_TG-TH_ÿÿÿÿÿ" xfId="607"/>
    <cellStyle name="_KT (2)_3_TG-TH_ÿÿÿÿÿ_KH TPCP vung TNB (03-1-2012)" xfId="608"/>
    <cellStyle name="_KT (2)_3_TG-TH_ÿÿÿÿÿ_kien giang 2" xfId="609"/>
    <cellStyle name="_KT (2)_4" xfId="610"/>
    <cellStyle name="_KT (2)_4 2" xfId="611"/>
    <cellStyle name="_KT (2)_4_05-12  KH trung han 2016-2020 - Liem Thinh edited" xfId="612"/>
    <cellStyle name="_KT (2)_4_ApGiaVatTu_cayxanh_latgach" xfId="613"/>
    <cellStyle name="_KT (2)_4_BANG TONG HOP TINH HINH THANH QUYET TOAN (MOI I)" xfId="614"/>
    <cellStyle name="_KT (2)_4_BAO CAO KLCT PT2000" xfId="615"/>
    <cellStyle name="_KT (2)_4_BAO CAO PT2000" xfId="616"/>
    <cellStyle name="_KT (2)_4_BAO CAO PT2000_Book1" xfId="617"/>
    <cellStyle name="_KT (2)_4_Bao cao XDCB 2001 - T11 KH dieu chinh 20-11-THAI" xfId="618"/>
    <cellStyle name="_KT (2)_4_BAO GIA NGAY 24-10-08 (co dam)" xfId="619"/>
    <cellStyle name="_KT (2)_4_BC  NAM 2007" xfId="620"/>
    <cellStyle name="_KT (2)_4_BC CV 6403 BKHĐT" xfId="621"/>
    <cellStyle name="_KT (2)_4_BC NQ11-CP - chinh sua lai" xfId="622"/>
    <cellStyle name="_KT (2)_4_BC NQ11-CP-Quynh sau bieu so3" xfId="623"/>
    <cellStyle name="_KT (2)_4_BC_NQ11-CP_-_Thao_sua_lai" xfId="624"/>
    <cellStyle name="_KT (2)_4_Bieu mau cong trinh khoi cong moi 3-4" xfId="625"/>
    <cellStyle name="_KT (2)_4_Bieu3ODA" xfId="626"/>
    <cellStyle name="_KT (2)_4_Bieu3ODA_1" xfId="627"/>
    <cellStyle name="_KT (2)_4_Bieu4HTMT" xfId="628"/>
    <cellStyle name="_KT (2)_4_bo sung von KCH nam 2010 va Du an tre kho khan" xfId="629"/>
    <cellStyle name="_KT (2)_4_Book1" xfId="630"/>
    <cellStyle name="_KT (2)_4_Book1 2" xfId="631"/>
    <cellStyle name="_KT (2)_4_Book1_1" xfId="632"/>
    <cellStyle name="_KT (2)_4_Book1_1 2" xfId="633"/>
    <cellStyle name="_KT (2)_4_Book1_1_BC CV 6403 BKHĐT" xfId="634"/>
    <cellStyle name="_KT (2)_4_Book1_1_Bieu mau cong trinh khoi cong moi 3-4" xfId="635"/>
    <cellStyle name="_KT (2)_4_Book1_1_Bieu3ODA" xfId="636"/>
    <cellStyle name="_KT (2)_4_Book1_1_Bieu4HTMT" xfId="637"/>
    <cellStyle name="_KT (2)_4_Book1_1_Book1" xfId="638"/>
    <cellStyle name="_KT (2)_4_Book1_1_Luy ke von ung nam 2011 -Thoa gui ngay 12-8-2012" xfId="639"/>
    <cellStyle name="_KT (2)_4_Book1_2" xfId="640"/>
    <cellStyle name="_KT (2)_4_Book1_2 2" xfId="641"/>
    <cellStyle name="_KT (2)_4_Book1_2_BC CV 6403 BKHĐT" xfId="642"/>
    <cellStyle name="_KT (2)_4_Book1_2_Bieu3ODA" xfId="643"/>
    <cellStyle name="_KT (2)_4_Book1_2_Luy ke von ung nam 2011 -Thoa gui ngay 12-8-2012" xfId="644"/>
    <cellStyle name="_KT (2)_4_Book1_3" xfId="645"/>
    <cellStyle name="_KT (2)_4_Book1_3 2" xfId="646"/>
    <cellStyle name="_KT (2)_4_Book1_4" xfId="647"/>
    <cellStyle name="_KT (2)_4_Book1_BC CV 6403 BKHĐT" xfId="648"/>
    <cellStyle name="_KT (2)_4_Book1_Bieu mau cong trinh khoi cong moi 3-4" xfId="649"/>
    <cellStyle name="_KT (2)_4_Book1_Bieu3ODA" xfId="650"/>
    <cellStyle name="_KT (2)_4_Book1_Bieu4HTMT" xfId="651"/>
    <cellStyle name="_KT (2)_4_Book1_bo sung von KCH nam 2010 va Du an tre kho khan" xfId="652"/>
    <cellStyle name="_KT (2)_4_Book1_Book1" xfId="653"/>
    <cellStyle name="_KT (2)_4_Book1_danh muc chuan bi dau tu 2011 ngay 07-6-2011" xfId="654"/>
    <cellStyle name="_KT (2)_4_Book1_Danh muc pbo nguon von XSKT, XDCB nam 2009 chuyen qua nam 2010" xfId="655"/>
    <cellStyle name="_KT (2)_4_Book1_dieu chinh KH 2011 ngay 26-5-2011111" xfId="656"/>
    <cellStyle name="_KT (2)_4_Book1_DS KCH PHAN BO VON NSDP NAM 2010" xfId="657"/>
    <cellStyle name="_KT (2)_4_Book1_giao KH 2011 ngay 10-12-2010" xfId="658"/>
    <cellStyle name="_KT (2)_4_Book1_Luy ke von ung nam 2011 -Thoa gui ngay 12-8-2012" xfId="659"/>
    <cellStyle name="_KT (2)_4_CAU Khanh Nam(Thi Cong)" xfId="660"/>
    <cellStyle name="_KT (2)_4_ChiHuong_ApGia" xfId="661"/>
    <cellStyle name="_KT (2)_4_CoCauPhi (version 1)" xfId="662"/>
    <cellStyle name="_KT (2)_4_Copy of 05-12  KH trung han 2016-2020 - Liem Thinh edited (1)" xfId="663"/>
    <cellStyle name="_KT (2)_4_danh muc chuan bi dau tu 2011 ngay 07-6-2011" xfId="664"/>
    <cellStyle name="_KT (2)_4_Danh muc pbo nguon von XSKT, XDCB nam 2009 chuyen qua nam 2010" xfId="665"/>
    <cellStyle name="_KT (2)_4_DAU NOI PL-CL TAI PHU LAMHC" xfId="666"/>
    <cellStyle name="_KT (2)_4_dieu chinh KH 2011 ngay 26-5-2011111" xfId="667"/>
    <cellStyle name="_KT (2)_4_DS KCH PHAN BO VON NSDP NAM 2010" xfId="668"/>
    <cellStyle name="_KT (2)_4_DTCDT MR.2N110.HOCMON.TDTOAN.CCUNG" xfId="669"/>
    <cellStyle name="_KT (2)_4_DU TRU VAT TU" xfId="670"/>
    <cellStyle name="_KT (2)_4_giao KH 2011 ngay 10-12-2010" xfId="671"/>
    <cellStyle name="_KT (2)_4_GTGT 2003" xfId="672"/>
    <cellStyle name="_KT (2)_4_KE KHAI THUE GTGT 2004" xfId="673"/>
    <cellStyle name="_KT (2)_4_KE KHAI THUE GTGT 2004_BCTC2004" xfId="674"/>
    <cellStyle name="_KT (2)_4_KH TPCP 2016-2020 (tong hop)" xfId="675"/>
    <cellStyle name="_KT (2)_4_KH TPCP vung TNB (03-1-2012)" xfId="676"/>
    <cellStyle name="_KT (2)_4_kien giang 2" xfId="677"/>
    <cellStyle name="_KT (2)_4_Lora-tungchau" xfId="678"/>
    <cellStyle name="_KT (2)_4_Luy ke von ung nam 2011 -Thoa gui ngay 12-8-2012" xfId="679"/>
    <cellStyle name="_KT (2)_4_NhanCong" xfId="680"/>
    <cellStyle name="_KT (2)_4_N-X-T-04" xfId="681"/>
    <cellStyle name="_KT (2)_4_PGIA-phieu tham tra Kho bac" xfId="682"/>
    <cellStyle name="_KT (2)_4_phu luc tong ket tinh hinh TH giai doan 03-10 (ngay 30)" xfId="683"/>
    <cellStyle name="_KT (2)_4_PT02-02" xfId="684"/>
    <cellStyle name="_KT (2)_4_PT02-02_Book1" xfId="685"/>
    <cellStyle name="_KT (2)_4_PT02-03" xfId="686"/>
    <cellStyle name="_KT (2)_4_PT02-03_Book1" xfId="687"/>
    <cellStyle name="_KT (2)_4_Qt-HT3PQ1(CauKho)" xfId="688"/>
    <cellStyle name="_KT (2)_4_Sheet1" xfId="689"/>
    <cellStyle name="_KT (2)_4_TG-TH" xfId="690"/>
    <cellStyle name="_KT (2)_4_TK152-04" xfId="691"/>
    <cellStyle name="_KT (2)_4_ÿÿÿÿÿ" xfId="692"/>
    <cellStyle name="_KT (2)_4_ÿÿÿÿÿ_Bieu mau cong trinh khoi cong moi 3-4" xfId="693"/>
    <cellStyle name="_KT (2)_4_ÿÿÿÿÿ_Bieu3ODA" xfId="694"/>
    <cellStyle name="_KT (2)_4_ÿÿÿÿÿ_Bieu4HTMT" xfId="695"/>
    <cellStyle name="_KT (2)_4_ÿÿÿÿÿ_KH TPCP vung TNB (03-1-2012)" xfId="696"/>
    <cellStyle name="_KT (2)_4_ÿÿÿÿÿ_kien giang 2" xfId="697"/>
    <cellStyle name="_KT (2)_5" xfId="698"/>
    <cellStyle name="_KT (2)_5 2" xfId="699"/>
    <cellStyle name="_KT (2)_5_05-12  KH trung han 2016-2020 - Liem Thinh edited" xfId="700"/>
    <cellStyle name="_KT (2)_5_ApGiaVatTu_cayxanh_latgach" xfId="701"/>
    <cellStyle name="_KT (2)_5_BANG TONG HOP TINH HINH THANH QUYET TOAN (MOI I)" xfId="702"/>
    <cellStyle name="_KT (2)_5_BAO CAO KLCT PT2000" xfId="703"/>
    <cellStyle name="_KT (2)_5_BAO CAO PT2000" xfId="704"/>
    <cellStyle name="_KT (2)_5_BAO CAO PT2000_Book1" xfId="705"/>
    <cellStyle name="_KT (2)_5_Bao cao XDCB 2001 - T11 KH dieu chinh 20-11-THAI" xfId="706"/>
    <cellStyle name="_KT (2)_5_BAO GIA NGAY 24-10-08 (co dam)" xfId="707"/>
    <cellStyle name="_KT (2)_5_BC  NAM 2007" xfId="708"/>
    <cellStyle name="_KT (2)_5_BC CV 6403 BKHĐT" xfId="709"/>
    <cellStyle name="_KT (2)_5_BC NQ11-CP - chinh sua lai" xfId="710"/>
    <cellStyle name="_KT (2)_5_BC NQ11-CP-Quynh sau bieu so3" xfId="711"/>
    <cellStyle name="_KT (2)_5_BC_NQ11-CP_-_Thao_sua_lai" xfId="712"/>
    <cellStyle name="_KT (2)_5_Bieu mau cong trinh khoi cong moi 3-4" xfId="713"/>
    <cellStyle name="_KT (2)_5_Bieu3ODA" xfId="714"/>
    <cellStyle name="_KT (2)_5_Bieu3ODA_1" xfId="715"/>
    <cellStyle name="_KT (2)_5_Bieu4HTMT" xfId="716"/>
    <cellStyle name="_KT (2)_5_bo sung von KCH nam 2010 va Du an tre kho khan" xfId="717"/>
    <cellStyle name="_KT (2)_5_Book1" xfId="718"/>
    <cellStyle name="_KT (2)_5_Book1 2" xfId="719"/>
    <cellStyle name="_KT (2)_5_Book1_1" xfId="720"/>
    <cellStyle name="_KT (2)_5_Book1_1 2" xfId="721"/>
    <cellStyle name="_KT (2)_5_Book1_1_BC CV 6403 BKHĐT" xfId="722"/>
    <cellStyle name="_KT (2)_5_Book1_1_Bieu mau cong trinh khoi cong moi 3-4" xfId="723"/>
    <cellStyle name="_KT (2)_5_Book1_1_Bieu3ODA" xfId="724"/>
    <cellStyle name="_KT (2)_5_Book1_1_Bieu4HTMT" xfId="725"/>
    <cellStyle name="_KT (2)_5_Book1_1_Book1" xfId="726"/>
    <cellStyle name="_KT (2)_5_Book1_1_Luy ke von ung nam 2011 -Thoa gui ngay 12-8-2012" xfId="727"/>
    <cellStyle name="_KT (2)_5_Book1_2" xfId="728"/>
    <cellStyle name="_KT (2)_5_Book1_2 2" xfId="729"/>
    <cellStyle name="_KT (2)_5_Book1_2_BC CV 6403 BKHĐT" xfId="730"/>
    <cellStyle name="_KT (2)_5_Book1_2_Bieu3ODA" xfId="731"/>
    <cellStyle name="_KT (2)_5_Book1_2_Luy ke von ung nam 2011 -Thoa gui ngay 12-8-2012" xfId="732"/>
    <cellStyle name="_KT (2)_5_Book1_3" xfId="733"/>
    <cellStyle name="_KT (2)_5_Book1_4" xfId="734"/>
    <cellStyle name="_KT (2)_5_Book1_BC CV 6403 BKHĐT" xfId="735"/>
    <cellStyle name="_KT (2)_5_Book1_BC-QT-WB-dthao" xfId="736"/>
    <cellStyle name="_KT (2)_5_Book1_Bieu mau cong trinh khoi cong moi 3-4" xfId="737"/>
    <cellStyle name="_KT (2)_5_Book1_Bieu3ODA" xfId="738"/>
    <cellStyle name="_KT (2)_5_Book1_Bieu4HTMT" xfId="739"/>
    <cellStyle name="_KT (2)_5_Book1_bo sung von KCH nam 2010 va Du an tre kho khan" xfId="740"/>
    <cellStyle name="_KT (2)_5_Book1_Book1" xfId="741"/>
    <cellStyle name="_KT (2)_5_Book1_danh muc chuan bi dau tu 2011 ngay 07-6-2011" xfId="742"/>
    <cellStyle name="_KT (2)_5_Book1_Danh muc pbo nguon von XSKT, XDCB nam 2009 chuyen qua nam 2010" xfId="743"/>
    <cellStyle name="_KT (2)_5_Book1_dieu chinh KH 2011 ngay 26-5-2011111" xfId="744"/>
    <cellStyle name="_KT (2)_5_Book1_DS KCH PHAN BO VON NSDP NAM 2010" xfId="745"/>
    <cellStyle name="_KT (2)_5_Book1_giao KH 2011 ngay 10-12-2010" xfId="746"/>
    <cellStyle name="_KT (2)_5_Book1_Luy ke von ung nam 2011 -Thoa gui ngay 12-8-2012" xfId="747"/>
    <cellStyle name="_KT (2)_5_CAU Khanh Nam(Thi Cong)" xfId="748"/>
    <cellStyle name="_KT (2)_5_ChiHuong_ApGia" xfId="749"/>
    <cellStyle name="_KT (2)_5_CoCauPhi (version 1)" xfId="750"/>
    <cellStyle name="_KT (2)_5_Copy of 05-12  KH trung han 2016-2020 - Liem Thinh edited (1)" xfId="751"/>
    <cellStyle name="_KT (2)_5_danh muc chuan bi dau tu 2011 ngay 07-6-2011" xfId="752"/>
    <cellStyle name="_KT (2)_5_Danh muc pbo nguon von XSKT, XDCB nam 2009 chuyen qua nam 2010" xfId="753"/>
    <cellStyle name="_KT (2)_5_DAU NOI PL-CL TAI PHU LAMHC" xfId="754"/>
    <cellStyle name="_KT (2)_5_dieu chinh KH 2011 ngay 26-5-2011111" xfId="755"/>
    <cellStyle name="_KT (2)_5_DS KCH PHAN BO VON NSDP NAM 2010" xfId="756"/>
    <cellStyle name="_KT (2)_5_DTCDT MR.2N110.HOCMON.TDTOAN.CCUNG" xfId="757"/>
    <cellStyle name="_KT (2)_5_DU TRU VAT TU" xfId="758"/>
    <cellStyle name="_KT (2)_5_giao KH 2011 ngay 10-12-2010" xfId="759"/>
    <cellStyle name="_KT (2)_5_GTGT 2003" xfId="760"/>
    <cellStyle name="_KT (2)_5_KE KHAI THUE GTGT 2004" xfId="761"/>
    <cellStyle name="_KT (2)_5_KE KHAI THUE GTGT 2004_BCTC2004" xfId="762"/>
    <cellStyle name="_KT (2)_5_KH TPCP 2016-2020 (tong hop)" xfId="763"/>
    <cellStyle name="_KT (2)_5_KH TPCP vung TNB (03-1-2012)" xfId="764"/>
    <cellStyle name="_KT (2)_5_kien giang 2" xfId="765"/>
    <cellStyle name="_KT (2)_5_Lora-tungchau" xfId="766"/>
    <cellStyle name="_KT (2)_5_Luy ke von ung nam 2011 -Thoa gui ngay 12-8-2012" xfId="767"/>
    <cellStyle name="_KT (2)_5_NhanCong" xfId="768"/>
    <cellStyle name="_KT (2)_5_N-X-T-04" xfId="769"/>
    <cellStyle name="_KT (2)_5_PGIA-phieu tham tra Kho bac" xfId="770"/>
    <cellStyle name="_KT (2)_5_phu luc tong ket tinh hinh TH giai doan 03-10 (ngay 30)" xfId="771"/>
    <cellStyle name="_KT (2)_5_PT02-02" xfId="772"/>
    <cellStyle name="_KT (2)_5_PT02-02_Book1" xfId="773"/>
    <cellStyle name="_KT (2)_5_PT02-03" xfId="774"/>
    <cellStyle name="_KT (2)_5_PT02-03_Book1" xfId="775"/>
    <cellStyle name="_KT (2)_5_Qt-HT3PQ1(CauKho)" xfId="776"/>
    <cellStyle name="_KT (2)_5_Sheet1" xfId="777"/>
    <cellStyle name="_KT (2)_5_TK152-04" xfId="778"/>
    <cellStyle name="_KT (2)_5_ÿÿÿÿÿ" xfId="779"/>
    <cellStyle name="_KT (2)_5_ÿÿÿÿÿ_Bieu mau cong trinh khoi cong moi 3-4" xfId="780"/>
    <cellStyle name="_KT (2)_5_ÿÿÿÿÿ_Bieu3ODA" xfId="781"/>
    <cellStyle name="_KT (2)_5_ÿÿÿÿÿ_Bieu4HTMT" xfId="782"/>
    <cellStyle name="_KT (2)_5_ÿÿÿÿÿ_KH TPCP vung TNB (03-1-2012)" xfId="783"/>
    <cellStyle name="_KT (2)_5_ÿÿÿÿÿ_kien giang 2" xfId="784"/>
    <cellStyle name="_KT (2)_BC  NAM 2007" xfId="785"/>
    <cellStyle name="_KT (2)_Bieu mau cong trinh khoi cong moi 3-4" xfId="786"/>
    <cellStyle name="_KT (2)_Bieu3ODA" xfId="787"/>
    <cellStyle name="_KT (2)_Bieu3ODA_1" xfId="788"/>
    <cellStyle name="_KT (2)_Bieu4HTMT" xfId="789"/>
    <cellStyle name="_KT (2)_bo sung von KCH nam 2010 va Du an tre kho khan" xfId="790"/>
    <cellStyle name="_KT (2)_Book1" xfId="791"/>
    <cellStyle name="_KT (2)_Book1 2" xfId="792"/>
    <cellStyle name="_KT (2)_Book1_1" xfId="793"/>
    <cellStyle name="_KT (2)_Book1_BC-QT-WB-dthao" xfId="794"/>
    <cellStyle name="_KT (2)_Book1_BC-QT-WB-dthao_05-12  KH trung han 2016-2020 - Liem Thinh edited" xfId="795"/>
    <cellStyle name="_KT (2)_Book1_BC-QT-WB-dthao_Copy of 05-12  KH trung han 2016-2020 - Liem Thinh edited (1)" xfId="796"/>
    <cellStyle name="_KT (2)_Book1_BC-QT-WB-dthao_KH TPCP 2016-2020 (tong hop)" xfId="797"/>
    <cellStyle name="_KT (2)_Book1_KH TPCP vung TNB (03-1-2012)" xfId="798"/>
    <cellStyle name="_KT (2)_Book1_kien giang 2" xfId="799"/>
    <cellStyle name="_KT (2)_Copy of 05-12  KH trung han 2016-2020 - Liem Thinh edited (1)" xfId="800"/>
    <cellStyle name="_KT (2)_danh muc chuan bi dau tu 2011 ngay 07-6-2011" xfId="801"/>
    <cellStyle name="_KT (2)_Danh muc pbo nguon von XSKT, XDCB nam 2009 chuyen qua nam 2010" xfId="802"/>
    <cellStyle name="_KT (2)_dieu chinh KH 2011 ngay 26-5-2011111" xfId="803"/>
    <cellStyle name="_KT (2)_DS KCH PHAN BO VON NSDP NAM 2010" xfId="804"/>
    <cellStyle name="_KT (2)_giao KH 2011 ngay 10-12-2010" xfId="805"/>
    <cellStyle name="_KT (2)_GTGT 2003" xfId="806"/>
    <cellStyle name="_KT (2)_KE KHAI THUE GTGT 2004" xfId="807"/>
    <cellStyle name="_KT (2)_KE KHAI THUE GTGT 2004_BCTC2004" xfId="808"/>
    <cellStyle name="_KT (2)_KH TPCP 2016-2020 (tong hop)" xfId="809"/>
    <cellStyle name="_KT (2)_KH TPCP vung TNB (03-1-2012)" xfId="810"/>
    <cellStyle name="_KT (2)_kien giang 2" xfId="811"/>
    <cellStyle name="_KT (2)_Lora-tungchau" xfId="812"/>
    <cellStyle name="_KT (2)_Lora-tungchau 2" xfId="813"/>
    <cellStyle name="_KT (2)_Lora-tungchau_05-12  KH trung han 2016-2020 - Liem Thinh edited" xfId="814"/>
    <cellStyle name="_KT (2)_Lora-tungchau_Copy of 05-12  KH trung han 2016-2020 - Liem Thinh edited (1)" xfId="815"/>
    <cellStyle name="_KT (2)_Lora-tungchau_KH TPCP 2016-2020 (tong hop)" xfId="816"/>
    <cellStyle name="_KT (2)_N-X-T-04" xfId="817"/>
    <cellStyle name="_KT (2)_PERSONAL" xfId="818"/>
    <cellStyle name="_KT (2)_PERSONAL_BC CV 6403 BKHĐT" xfId="819"/>
    <cellStyle name="_KT (2)_PERSONAL_Bieu mau cong trinh khoi cong moi 3-4" xfId="820"/>
    <cellStyle name="_KT (2)_PERSONAL_Bieu3ODA" xfId="821"/>
    <cellStyle name="_KT (2)_PERSONAL_Bieu4HTMT" xfId="822"/>
    <cellStyle name="_KT (2)_PERSONAL_Book1" xfId="823"/>
    <cellStyle name="_KT (2)_PERSONAL_Book1 2" xfId="824"/>
    <cellStyle name="_KT (2)_PERSONAL_HTQ.8 GD1" xfId="825"/>
    <cellStyle name="_KT (2)_PERSONAL_HTQ.8 GD1_05-12  KH trung han 2016-2020 - Liem Thinh edited" xfId="826"/>
    <cellStyle name="_KT (2)_PERSONAL_HTQ.8 GD1_Copy of 05-12  KH trung han 2016-2020 - Liem Thinh edited (1)" xfId="827"/>
    <cellStyle name="_KT (2)_PERSONAL_HTQ.8 GD1_KH TPCP 2016-2020 (tong hop)" xfId="828"/>
    <cellStyle name="_KT (2)_PERSONAL_Luy ke von ung nam 2011 -Thoa gui ngay 12-8-2012" xfId="829"/>
    <cellStyle name="_KT (2)_PERSONAL_Tong hop KHCB 2001" xfId="830"/>
    <cellStyle name="_KT (2)_Qt-HT3PQ1(CauKho)" xfId="831"/>
    <cellStyle name="_KT (2)_TG-TH" xfId="832"/>
    <cellStyle name="_KT (2)_TK152-04" xfId="833"/>
    <cellStyle name="_KT (2)_ÿÿÿÿÿ" xfId="834"/>
    <cellStyle name="_KT (2)_ÿÿÿÿÿ_KH TPCP vung TNB (03-1-2012)" xfId="835"/>
    <cellStyle name="_KT (2)_ÿÿÿÿÿ_kien giang 2" xfId="836"/>
    <cellStyle name="_KT_TG" xfId="837"/>
    <cellStyle name="_KT_TG_1" xfId="838"/>
    <cellStyle name="_KT_TG_1 2" xfId="839"/>
    <cellStyle name="_KT_TG_1_05-12  KH trung han 2016-2020 - Liem Thinh edited" xfId="840"/>
    <cellStyle name="_KT_TG_1_ApGiaVatTu_cayxanh_latgach" xfId="841"/>
    <cellStyle name="_KT_TG_1_BANG TONG HOP TINH HINH THANH QUYET TOAN (MOI I)" xfId="842"/>
    <cellStyle name="_KT_TG_1_BAO CAO KLCT PT2000" xfId="843"/>
    <cellStyle name="_KT_TG_1_BAO CAO PT2000" xfId="844"/>
    <cellStyle name="_KT_TG_1_BAO CAO PT2000_Book1" xfId="845"/>
    <cellStyle name="_KT_TG_1_Bao cao XDCB 2001 - T11 KH dieu chinh 20-11-THAI" xfId="846"/>
    <cellStyle name="_KT_TG_1_BAO GIA NGAY 24-10-08 (co dam)" xfId="847"/>
    <cellStyle name="_KT_TG_1_BC  NAM 2007" xfId="848"/>
    <cellStyle name="_KT_TG_1_BC CV 6403 BKHĐT" xfId="849"/>
    <cellStyle name="_KT_TG_1_BC NQ11-CP - chinh sua lai" xfId="850"/>
    <cellStyle name="_KT_TG_1_BC NQ11-CP-Quynh sau bieu so3" xfId="851"/>
    <cellStyle name="_KT_TG_1_BC_NQ11-CP_-_Thao_sua_lai" xfId="852"/>
    <cellStyle name="_KT_TG_1_Bieu mau cong trinh khoi cong moi 3-4" xfId="853"/>
    <cellStyle name="_KT_TG_1_Bieu3ODA" xfId="854"/>
    <cellStyle name="_KT_TG_1_Bieu3ODA_1" xfId="855"/>
    <cellStyle name="_KT_TG_1_Bieu4HTMT" xfId="856"/>
    <cellStyle name="_KT_TG_1_bo sung von KCH nam 2010 va Du an tre kho khan" xfId="857"/>
    <cellStyle name="_KT_TG_1_Book1" xfId="858"/>
    <cellStyle name="_KT_TG_1_Book1 2" xfId="859"/>
    <cellStyle name="_KT_TG_1_Book1_1" xfId="860"/>
    <cellStyle name="_KT_TG_1_Book1_1 2" xfId="861"/>
    <cellStyle name="_KT_TG_1_Book1_1_BC CV 6403 BKHĐT" xfId="862"/>
    <cellStyle name="_KT_TG_1_Book1_1_Bieu mau cong trinh khoi cong moi 3-4" xfId="863"/>
    <cellStyle name="_KT_TG_1_Book1_1_Bieu3ODA" xfId="864"/>
    <cellStyle name="_KT_TG_1_Book1_1_Bieu4HTMT" xfId="865"/>
    <cellStyle name="_KT_TG_1_Book1_1_Book1" xfId="866"/>
    <cellStyle name="_KT_TG_1_Book1_1_Luy ke von ung nam 2011 -Thoa gui ngay 12-8-2012" xfId="867"/>
    <cellStyle name="_KT_TG_1_Book1_2" xfId="868"/>
    <cellStyle name="_KT_TG_1_Book1_2 2" xfId="869"/>
    <cellStyle name="_KT_TG_1_Book1_2_BC CV 6403 BKHĐT" xfId="870"/>
    <cellStyle name="_KT_TG_1_Book1_2_Bieu3ODA" xfId="871"/>
    <cellStyle name="_KT_TG_1_Book1_2_Luy ke von ung nam 2011 -Thoa gui ngay 12-8-2012" xfId="872"/>
    <cellStyle name="_KT_TG_1_Book1_3" xfId="873"/>
    <cellStyle name="_KT_TG_1_Book1_4" xfId="874"/>
    <cellStyle name="_KT_TG_1_Book1_BC CV 6403 BKHĐT" xfId="875"/>
    <cellStyle name="_KT_TG_1_Book1_BC-QT-WB-dthao" xfId="876"/>
    <cellStyle name="_KT_TG_1_Book1_Bieu mau cong trinh khoi cong moi 3-4" xfId="877"/>
    <cellStyle name="_KT_TG_1_Book1_Bieu3ODA" xfId="878"/>
    <cellStyle name="_KT_TG_1_Book1_Bieu4HTMT" xfId="879"/>
    <cellStyle name="_KT_TG_1_Book1_bo sung von KCH nam 2010 va Du an tre kho khan" xfId="880"/>
    <cellStyle name="_KT_TG_1_Book1_Book1" xfId="881"/>
    <cellStyle name="_KT_TG_1_Book1_danh muc chuan bi dau tu 2011 ngay 07-6-2011" xfId="882"/>
    <cellStyle name="_KT_TG_1_Book1_Danh muc pbo nguon von XSKT, XDCB nam 2009 chuyen qua nam 2010" xfId="883"/>
    <cellStyle name="_KT_TG_1_Book1_dieu chinh KH 2011 ngay 26-5-2011111" xfId="884"/>
    <cellStyle name="_KT_TG_1_Book1_DS KCH PHAN BO VON NSDP NAM 2010" xfId="885"/>
    <cellStyle name="_KT_TG_1_Book1_giao KH 2011 ngay 10-12-2010" xfId="886"/>
    <cellStyle name="_KT_TG_1_Book1_Luy ke von ung nam 2011 -Thoa gui ngay 12-8-2012" xfId="887"/>
    <cellStyle name="_KT_TG_1_CAU Khanh Nam(Thi Cong)" xfId="888"/>
    <cellStyle name="_KT_TG_1_ChiHuong_ApGia" xfId="889"/>
    <cellStyle name="_KT_TG_1_CoCauPhi (version 1)" xfId="890"/>
    <cellStyle name="_KT_TG_1_Copy of 05-12  KH trung han 2016-2020 - Liem Thinh edited (1)" xfId="891"/>
    <cellStyle name="_KT_TG_1_danh muc chuan bi dau tu 2011 ngay 07-6-2011" xfId="892"/>
    <cellStyle name="_KT_TG_1_Danh muc pbo nguon von XSKT, XDCB nam 2009 chuyen qua nam 2010" xfId="893"/>
    <cellStyle name="_KT_TG_1_DAU NOI PL-CL TAI PHU LAMHC" xfId="894"/>
    <cellStyle name="_KT_TG_1_dieu chinh KH 2011 ngay 26-5-2011111" xfId="895"/>
    <cellStyle name="_KT_TG_1_DS KCH PHAN BO VON NSDP NAM 2010" xfId="896"/>
    <cellStyle name="_KT_TG_1_DTCDT MR.2N110.HOCMON.TDTOAN.CCUNG" xfId="897"/>
    <cellStyle name="_KT_TG_1_DU TRU VAT TU" xfId="898"/>
    <cellStyle name="_KT_TG_1_giao KH 2011 ngay 10-12-2010" xfId="899"/>
    <cellStyle name="_KT_TG_1_GTGT 2003" xfId="900"/>
    <cellStyle name="_KT_TG_1_KE KHAI THUE GTGT 2004" xfId="901"/>
    <cellStyle name="_KT_TG_1_KE KHAI THUE GTGT 2004_BCTC2004" xfId="902"/>
    <cellStyle name="_KT_TG_1_KH TPCP 2016-2020 (tong hop)" xfId="903"/>
    <cellStyle name="_KT_TG_1_KH TPCP vung TNB (03-1-2012)" xfId="904"/>
    <cellStyle name="_KT_TG_1_kien giang 2" xfId="905"/>
    <cellStyle name="_KT_TG_1_Lora-tungchau" xfId="906"/>
    <cellStyle name="_KT_TG_1_Luy ke von ung nam 2011 -Thoa gui ngay 12-8-2012" xfId="907"/>
    <cellStyle name="_KT_TG_1_NhanCong" xfId="908"/>
    <cellStyle name="_KT_TG_1_N-X-T-04" xfId="909"/>
    <cellStyle name="_KT_TG_1_PGIA-phieu tham tra Kho bac" xfId="910"/>
    <cellStyle name="_KT_TG_1_phu luc tong ket tinh hinh TH giai doan 03-10 (ngay 30)" xfId="911"/>
    <cellStyle name="_KT_TG_1_PT02-02" xfId="912"/>
    <cellStyle name="_KT_TG_1_PT02-02_Book1" xfId="913"/>
    <cellStyle name="_KT_TG_1_PT02-03" xfId="914"/>
    <cellStyle name="_KT_TG_1_PT02-03_Book1" xfId="915"/>
    <cellStyle name="_KT_TG_1_Qt-HT3PQ1(CauKho)" xfId="916"/>
    <cellStyle name="_KT_TG_1_Sheet1" xfId="917"/>
    <cellStyle name="_KT_TG_1_TK152-04" xfId="918"/>
    <cellStyle name="_KT_TG_1_ÿÿÿÿÿ" xfId="919"/>
    <cellStyle name="_KT_TG_1_ÿÿÿÿÿ_Bieu mau cong trinh khoi cong moi 3-4" xfId="920"/>
    <cellStyle name="_KT_TG_1_ÿÿÿÿÿ_Bieu3ODA" xfId="921"/>
    <cellStyle name="_KT_TG_1_ÿÿÿÿÿ_Bieu4HTMT" xfId="922"/>
    <cellStyle name="_KT_TG_1_ÿÿÿÿÿ_KH TPCP vung TNB (03-1-2012)" xfId="923"/>
    <cellStyle name="_KT_TG_1_ÿÿÿÿÿ_kien giang 2" xfId="924"/>
    <cellStyle name="_KT_TG_2" xfId="925"/>
    <cellStyle name="_KT_TG_2 2" xfId="926"/>
    <cellStyle name="_KT_TG_2_05-12  KH trung han 2016-2020 - Liem Thinh edited" xfId="927"/>
    <cellStyle name="_KT_TG_2_ApGiaVatTu_cayxanh_latgach" xfId="928"/>
    <cellStyle name="_KT_TG_2_BANG TONG HOP TINH HINH THANH QUYET TOAN (MOI I)" xfId="929"/>
    <cellStyle name="_KT_TG_2_BAO CAO KLCT PT2000" xfId="930"/>
    <cellStyle name="_KT_TG_2_BAO CAO PT2000" xfId="931"/>
    <cellStyle name="_KT_TG_2_BAO CAO PT2000_Book1" xfId="932"/>
    <cellStyle name="_KT_TG_2_Bao cao XDCB 2001 - T11 KH dieu chinh 20-11-THAI" xfId="933"/>
    <cellStyle name="_KT_TG_2_BAO GIA NGAY 24-10-08 (co dam)" xfId="934"/>
    <cellStyle name="_KT_TG_2_BC  NAM 2007" xfId="935"/>
    <cellStyle name="_KT_TG_2_BC CV 6403 BKHĐT" xfId="936"/>
    <cellStyle name="_KT_TG_2_BC NQ11-CP - chinh sua lai" xfId="937"/>
    <cellStyle name="_KT_TG_2_BC NQ11-CP-Quynh sau bieu so3" xfId="938"/>
    <cellStyle name="_KT_TG_2_BC_NQ11-CP_-_Thao_sua_lai" xfId="939"/>
    <cellStyle name="_KT_TG_2_Bieu mau cong trinh khoi cong moi 3-4" xfId="940"/>
    <cellStyle name="_KT_TG_2_Bieu3ODA" xfId="941"/>
    <cellStyle name="_KT_TG_2_Bieu3ODA_1" xfId="942"/>
    <cellStyle name="_KT_TG_2_Bieu4HTMT" xfId="943"/>
    <cellStyle name="_KT_TG_2_bo sung von KCH nam 2010 va Du an tre kho khan" xfId="944"/>
    <cellStyle name="_KT_TG_2_Book1" xfId="945"/>
    <cellStyle name="_KT_TG_2_Book1 2" xfId="946"/>
    <cellStyle name="_KT_TG_2_Book1_1" xfId="947"/>
    <cellStyle name="_KT_TG_2_Book1_1 2" xfId="948"/>
    <cellStyle name="_KT_TG_2_Book1_1_BC CV 6403 BKHĐT" xfId="949"/>
    <cellStyle name="_KT_TG_2_Book1_1_Bieu mau cong trinh khoi cong moi 3-4" xfId="950"/>
    <cellStyle name="_KT_TG_2_Book1_1_Bieu3ODA" xfId="951"/>
    <cellStyle name="_KT_TG_2_Book1_1_Bieu4HTMT" xfId="952"/>
    <cellStyle name="_KT_TG_2_Book1_1_Book1" xfId="953"/>
    <cellStyle name="_KT_TG_2_Book1_1_Luy ke von ung nam 2011 -Thoa gui ngay 12-8-2012" xfId="954"/>
    <cellStyle name="_KT_TG_2_Book1_2" xfId="955"/>
    <cellStyle name="_KT_TG_2_Book1_2 2" xfId="956"/>
    <cellStyle name="_KT_TG_2_Book1_2_BC CV 6403 BKHĐT" xfId="957"/>
    <cellStyle name="_KT_TG_2_Book1_2_Bieu3ODA" xfId="958"/>
    <cellStyle name="_KT_TG_2_Book1_2_Luy ke von ung nam 2011 -Thoa gui ngay 12-8-2012" xfId="959"/>
    <cellStyle name="_KT_TG_2_Book1_3" xfId="960"/>
    <cellStyle name="_KT_TG_2_Book1_3 2" xfId="961"/>
    <cellStyle name="_KT_TG_2_Book1_4" xfId="962"/>
    <cellStyle name="_KT_TG_2_Book1_BC CV 6403 BKHĐT" xfId="963"/>
    <cellStyle name="_KT_TG_2_Book1_Bieu mau cong trinh khoi cong moi 3-4" xfId="964"/>
    <cellStyle name="_KT_TG_2_Book1_Bieu3ODA" xfId="965"/>
    <cellStyle name="_KT_TG_2_Book1_Bieu4HTMT" xfId="966"/>
    <cellStyle name="_KT_TG_2_Book1_bo sung von KCH nam 2010 va Du an tre kho khan" xfId="967"/>
    <cellStyle name="_KT_TG_2_Book1_Book1" xfId="968"/>
    <cellStyle name="_KT_TG_2_Book1_danh muc chuan bi dau tu 2011 ngay 07-6-2011" xfId="969"/>
    <cellStyle name="_KT_TG_2_Book1_Danh muc pbo nguon von XSKT, XDCB nam 2009 chuyen qua nam 2010" xfId="970"/>
    <cellStyle name="_KT_TG_2_Book1_dieu chinh KH 2011 ngay 26-5-2011111" xfId="971"/>
    <cellStyle name="_KT_TG_2_Book1_DS KCH PHAN BO VON NSDP NAM 2010" xfId="972"/>
    <cellStyle name="_KT_TG_2_Book1_giao KH 2011 ngay 10-12-2010" xfId="973"/>
    <cellStyle name="_KT_TG_2_Book1_Luy ke von ung nam 2011 -Thoa gui ngay 12-8-2012" xfId="974"/>
    <cellStyle name="_KT_TG_2_CAU Khanh Nam(Thi Cong)" xfId="975"/>
    <cellStyle name="_KT_TG_2_ChiHuong_ApGia" xfId="976"/>
    <cellStyle name="_KT_TG_2_CoCauPhi (version 1)" xfId="977"/>
    <cellStyle name="_KT_TG_2_Copy of 05-12  KH trung han 2016-2020 - Liem Thinh edited (1)" xfId="978"/>
    <cellStyle name="_KT_TG_2_danh muc chuan bi dau tu 2011 ngay 07-6-2011" xfId="979"/>
    <cellStyle name="_KT_TG_2_Danh muc pbo nguon von XSKT, XDCB nam 2009 chuyen qua nam 2010" xfId="980"/>
    <cellStyle name="_KT_TG_2_DAU NOI PL-CL TAI PHU LAMHC" xfId="981"/>
    <cellStyle name="_KT_TG_2_dieu chinh KH 2011 ngay 26-5-2011111" xfId="982"/>
    <cellStyle name="_KT_TG_2_DS KCH PHAN BO VON NSDP NAM 2010" xfId="983"/>
    <cellStyle name="_KT_TG_2_DTCDT MR.2N110.HOCMON.TDTOAN.CCUNG" xfId="984"/>
    <cellStyle name="_KT_TG_2_DU TRU VAT TU" xfId="985"/>
    <cellStyle name="_KT_TG_2_giao KH 2011 ngay 10-12-2010" xfId="986"/>
    <cellStyle name="_KT_TG_2_GTGT 2003" xfId="987"/>
    <cellStyle name="_KT_TG_2_KE KHAI THUE GTGT 2004" xfId="988"/>
    <cellStyle name="_KT_TG_2_KE KHAI THUE GTGT 2004_BCTC2004" xfId="989"/>
    <cellStyle name="_KT_TG_2_KH TPCP 2016-2020 (tong hop)" xfId="990"/>
    <cellStyle name="_KT_TG_2_KH TPCP vung TNB (03-1-2012)" xfId="991"/>
    <cellStyle name="_KT_TG_2_kien giang 2" xfId="992"/>
    <cellStyle name="_KT_TG_2_Lora-tungchau" xfId="993"/>
    <cellStyle name="_KT_TG_2_Luy ke von ung nam 2011 -Thoa gui ngay 12-8-2012" xfId="994"/>
    <cellStyle name="_KT_TG_2_NhanCong" xfId="995"/>
    <cellStyle name="_KT_TG_2_N-X-T-04" xfId="996"/>
    <cellStyle name="_KT_TG_2_PGIA-phieu tham tra Kho bac" xfId="997"/>
    <cellStyle name="_KT_TG_2_phu luc tong ket tinh hinh TH giai doan 03-10 (ngay 30)" xfId="998"/>
    <cellStyle name="_KT_TG_2_PT02-02" xfId="999"/>
    <cellStyle name="_KT_TG_2_PT02-02_Book1" xfId="1000"/>
    <cellStyle name="_KT_TG_2_PT02-03" xfId="1001"/>
    <cellStyle name="_KT_TG_2_PT02-03_Book1" xfId="1002"/>
    <cellStyle name="_KT_TG_2_Qt-HT3PQ1(CauKho)" xfId="1003"/>
    <cellStyle name="_KT_TG_2_Sheet1" xfId="1004"/>
    <cellStyle name="_KT_TG_2_TK152-04" xfId="1005"/>
    <cellStyle name="_KT_TG_2_ÿÿÿÿÿ" xfId="1006"/>
    <cellStyle name="_KT_TG_2_ÿÿÿÿÿ_Bieu mau cong trinh khoi cong moi 3-4" xfId="1007"/>
    <cellStyle name="_KT_TG_2_ÿÿÿÿÿ_Bieu3ODA" xfId="1008"/>
    <cellStyle name="_KT_TG_2_ÿÿÿÿÿ_Bieu4HTMT" xfId="1009"/>
    <cellStyle name="_KT_TG_2_ÿÿÿÿÿ_KH TPCP vung TNB (03-1-2012)" xfId="1010"/>
    <cellStyle name="_KT_TG_2_ÿÿÿÿÿ_kien giang 2" xfId="1011"/>
    <cellStyle name="_KT_TG_3" xfId="1012"/>
    <cellStyle name="_KT_TG_4" xfId="1013"/>
    <cellStyle name="_KT_TG_4 2" xfId="1014"/>
    <cellStyle name="_KT_TG_4_05-12  KH trung han 2016-2020 - Liem Thinh edited" xfId="1015"/>
    <cellStyle name="_KT_TG_4_Copy of 05-12  KH trung han 2016-2020 - Liem Thinh edited (1)" xfId="1016"/>
    <cellStyle name="_KT_TG_4_KH TPCP 2016-2020 (tong hop)" xfId="1017"/>
    <cellStyle name="_KT_TG_4_Lora-tungchau" xfId="1018"/>
    <cellStyle name="_KT_TG_4_Lora-tungchau 2" xfId="1019"/>
    <cellStyle name="_KT_TG_4_Lora-tungchau_05-12  KH trung han 2016-2020 - Liem Thinh edited" xfId="1020"/>
    <cellStyle name="_KT_TG_4_Lora-tungchau_Copy of 05-12  KH trung han 2016-2020 - Liem Thinh edited (1)" xfId="1021"/>
    <cellStyle name="_KT_TG_4_Lora-tungchau_KH TPCP 2016-2020 (tong hop)" xfId="1022"/>
    <cellStyle name="_KT_TG_4_Qt-HT3PQ1(CauKho)" xfId="1023"/>
    <cellStyle name="_Lora-tungchau" xfId="1024"/>
    <cellStyle name="_Lora-tungchau 2" xfId="1025"/>
    <cellStyle name="_Lora-tungchau_05-12  KH trung han 2016-2020 - Liem Thinh edited" xfId="1026"/>
    <cellStyle name="_Lora-tungchau_Copy of 05-12  KH trung han 2016-2020 - Liem Thinh edited (1)" xfId="1027"/>
    <cellStyle name="_Lora-tungchau_KH TPCP 2016-2020 (tong hop)" xfId="1028"/>
    <cellStyle name="_Luy ke von ung nam 2011 -Thoa gui ngay 12-8-2012" xfId="1029"/>
    <cellStyle name="_mau so 3" xfId="1030"/>
    <cellStyle name="_MauThanTKKT-goi7-DonGia2143(vl t7)" xfId="1031"/>
    <cellStyle name="_MauThanTKKT-goi7-DonGia2143(vl t7)_!1 1 bao cao giao KH ve HTCMT vung TNB   12-12-2011" xfId="1032"/>
    <cellStyle name="_MauThanTKKT-goi7-DonGia2143(vl t7)_Bieu4HTMT" xfId="1033"/>
    <cellStyle name="_MauThanTKKT-goi7-DonGia2143(vl t7)_Bieu4HTMT_!1 1 bao cao giao KH ve HTCMT vung TNB   12-12-2011" xfId="1034"/>
    <cellStyle name="_MauThanTKKT-goi7-DonGia2143(vl t7)_Bieu4HTMT_KH TPCP vung TNB (03-1-2012)" xfId="1035"/>
    <cellStyle name="_MauThanTKKT-goi7-DonGia2143(vl t7)_KH TPCP vung TNB (03-1-2012)" xfId="1036"/>
    <cellStyle name="_Nhu cau von ung truoc 2011 Tha h Hoa + Nge An gui TW" xfId="1037"/>
    <cellStyle name="_Nhu cau von ung truoc 2011 Tha h Hoa + Nge An gui TW_!1 1 bao cao giao KH ve HTCMT vung TNB   12-12-2011" xfId="1038"/>
    <cellStyle name="_Nhu cau von ung truoc 2011 Tha h Hoa + Nge An gui TW_Bieu4HTMT" xfId="1039"/>
    <cellStyle name="_Nhu cau von ung truoc 2011 Tha h Hoa + Nge An gui TW_Bieu4HTMT_!1 1 bao cao giao KH ve HTCMT vung TNB   12-12-2011" xfId="1040"/>
    <cellStyle name="_Nhu cau von ung truoc 2011 Tha h Hoa + Nge An gui TW_Bieu4HTMT_KH TPCP vung TNB (03-1-2012)" xfId="1041"/>
    <cellStyle name="_Nhu cau von ung truoc 2011 Tha h Hoa + Nge An gui TW_KH TPCP vung TNB (03-1-2012)" xfId="1042"/>
    <cellStyle name="_N-X-T-04" xfId="1043"/>
    <cellStyle name="_PERSONAL" xfId="1044"/>
    <cellStyle name="_PERSONAL_BC CV 6403 BKHĐT" xfId="1045"/>
    <cellStyle name="_PERSONAL_Bieu mau cong trinh khoi cong moi 3-4" xfId="1046"/>
    <cellStyle name="_PERSONAL_Bieu3ODA" xfId="1047"/>
    <cellStyle name="_PERSONAL_Bieu4HTMT" xfId="1048"/>
    <cellStyle name="_PERSONAL_Book1" xfId="1049"/>
    <cellStyle name="_PERSONAL_Book1 2" xfId="1050"/>
    <cellStyle name="_PERSONAL_HTQ.8 GD1" xfId="1051"/>
    <cellStyle name="_PERSONAL_HTQ.8 GD1_05-12  KH trung han 2016-2020 - Liem Thinh edited" xfId="1052"/>
    <cellStyle name="_PERSONAL_HTQ.8 GD1_Copy of 05-12  KH trung han 2016-2020 - Liem Thinh edited (1)" xfId="1053"/>
    <cellStyle name="_PERSONAL_HTQ.8 GD1_KH TPCP 2016-2020 (tong hop)" xfId="1054"/>
    <cellStyle name="_PERSONAL_Luy ke von ung nam 2011 -Thoa gui ngay 12-8-2012" xfId="1055"/>
    <cellStyle name="_PERSONAL_Tong hop KHCB 2001" xfId="1056"/>
    <cellStyle name="_Phan bo KH 2009 TPCP" xfId="1057"/>
    <cellStyle name="_phong bo mon22" xfId="1058"/>
    <cellStyle name="_phong bo mon22_!1 1 bao cao giao KH ve HTCMT vung TNB   12-12-2011" xfId="1059"/>
    <cellStyle name="_phong bo mon22_KH TPCP vung TNB (03-1-2012)" xfId="1060"/>
    <cellStyle name="_Phu luc 2 (Bieu 2) TH KH 2010" xfId="1061"/>
    <cellStyle name="_phu luc tong ket tinh hinh TH giai doan 03-10 (ngay 30)" xfId="1062"/>
    <cellStyle name="_Phuluckinhphi_DC_lan 4_YL" xfId="1063"/>
    <cellStyle name="_Q TOAN  SCTX QL.62 QUI I ( oanh)" xfId="1064"/>
    <cellStyle name="_Q TOAN  SCTX QL.62 QUI II ( oanh)" xfId="1065"/>
    <cellStyle name="_QT SCTXQL62_QT1 (Cty QL)" xfId="1066"/>
    <cellStyle name="_Qt-HT3PQ1(CauKho)" xfId="1067"/>
    <cellStyle name="_Sheet1" xfId="1068"/>
    <cellStyle name="_Sheet2" xfId="1069"/>
    <cellStyle name="_TG-TH" xfId="1070"/>
    <cellStyle name="_TG-TH_1" xfId="1071"/>
    <cellStyle name="_TG-TH_1 2" xfId="1072"/>
    <cellStyle name="_TG-TH_1_05-12  KH trung han 2016-2020 - Liem Thinh edited" xfId="1073"/>
    <cellStyle name="_TG-TH_1_ApGiaVatTu_cayxanh_latgach" xfId="1074"/>
    <cellStyle name="_TG-TH_1_BANG TONG HOP TINH HINH THANH QUYET TOAN (MOI I)" xfId="1075"/>
    <cellStyle name="_TG-TH_1_BAO CAO KLCT PT2000" xfId="1076"/>
    <cellStyle name="_TG-TH_1_BAO CAO PT2000" xfId="1077"/>
    <cellStyle name="_TG-TH_1_BAO CAO PT2000_Book1" xfId="1078"/>
    <cellStyle name="_TG-TH_1_Bao cao XDCB 2001 - T11 KH dieu chinh 20-11-THAI" xfId="1079"/>
    <cellStyle name="_TG-TH_1_BAO GIA NGAY 24-10-08 (co dam)" xfId="1080"/>
    <cellStyle name="_TG-TH_1_BC  NAM 2007" xfId="1081"/>
    <cellStyle name="_TG-TH_1_BC CV 6403 BKHĐT" xfId="1082"/>
    <cellStyle name="_TG-TH_1_BC NQ11-CP - chinh sua lai" xfId="1083"/>
    <cellStyle name="_TG-TH_1_BC NQ11-CP-Quynh sau bieu so3" xfId="1084"/>
    <cellStyle name="_TG-TH_1_BC_NQ11-CP_-_Thao_sua_lai" xfId="1085"/>
    <cellStyle name="_TG-TH_1_Bieu mau cong trinh khoi cong moi 3-4" xfId="1086"/>
    <cellStyle name="_TG-TH_1_Bieu3ODA" xfId="1087"/>
    <cellStyle name="_TG-TH_1_Bieu3ODA_1" xfId="1088"/>
    <cellStyle name="_TG-TH_1_Bieu4HTMT" xfId="1089"/>
    <cellStyle name="_TG-TH_1_bo sung von KCH nam 2010 va Du an tre kho khan" xfId="1090"/>
    <cellStyle name="_TG-TH_1_Book1" xfId="1091"/>
    <cellStyle name="_TG-TH_1_Book1 2" xfId="1092"/>
    <cellStyle name="_TG-TH_1_Book1_1" xfId="1093"/>
    <cellStyle name="_TG-TH_1_Book1_1 2" xfId="1094"/>
    <cellStyle name="_TG-TH_1_Book1_1_BC CV 6403 BKHĐT" xfId="1095"/>
    <cellStyle name="_TG-TH_1_Book1_1_Bieu mau cong trinh khoi cong moi 3-4" xfId="1096"/>
    <cellStyle name="_TG-TH_1_Book1_1_Bieu3ODA" xfId="1097"/>
    <cellStyle name="_TG-TH_1_Book1_1_Bieu4HTMT" xfId="1098"/>
    <cellStyle name="_TG-TH_1_Book1_1_Book1" xfId="1099"/>
    <cellStyle name="_TG-TH_1_Book1_1_Luy ke von ung nam 2011 -Thoa gui ngay 12-8-2012" xfId="1100"/>
    <cellStyle name="_TG-TH_1_Book1_2" xfId="1101"/>
    <cellStyle name="_TG-TH_1_Book1_2 2" xfId="1102"/>
    <cellStyle name="_TG-TH_1_Book1_2_BC CV 6403 BKHĐT" xfId="1103"/>
    <cellStyle name="_TG-TH_1_Book1_2_Bieu3ODA" xfId="1104"/>
    <cellStyle name="_TG-TH_1_Book1_2_Luy ke von ung nam 2011 -Thoa gui ngay 12-8-2012" xfId="1105"/>
    <cellStyle name="_TG-TH_1_Book1_3" xfId="1106"/>
    <cellStyle name="_TG-TH_1_Book1_4" xfId="1107"/>
    <cellStyle name="_TG-TH_1_Book1_BC CV 6403 BKHĐT" xfId="1108"/>
    <cellStyle name="_TG-TH_1_Book1_BC-QT-WB-dthao" xfId="1109"/>
    <cellStyle name="_TG-TH_1_Book1_Bieu mau cong trinh khoi cong moi 3-4" xfId="1110"/>
    <cellStyle name="_TG-TH_1_Book1_Bieu3ODA" xfId="1111"/>
    <cellStyle name="_TG-TH_1_Book1_Bieu4HTMT" xfId="1112"/>
    <cellStyle name="_TG-TH_1_Book1_bo sung von KCH nam 2010 va Du an tre kho khan" xfId="1113"/>
    <cellStyle name="_TG-TH_1_Book1_Book1" xfId="1114"/>
    <cellStyle name="_TG-TH_1_Book1_danh muc chuan bi dau tu 2011 ngay 07-6-2011" xfId="1115"/>
    <cellStyle name="_TG-TH_1_Book1_Danh muc pbo nguon von XSKT, XDCB nam 2009 chuyen qua nam 2010" xfId="1116"/>
    <cellStyle name="_TG-TH_1_Book1_dieu chinh KH 2011 ngay 26-5-2011111" xfId="1117"/>
    <cellStyle name="_TG-TH_1_Book1_DS KCH PHAN BO VON NSDP NAM 2010" xfId="1118"/>
    <cellStyle name="_TG-TH_1_Book1_giao KH 2011 ngay 10-12-2010" xfId="1119"/>
    <cellStyle name="_TG-TH_1_Book1_Luy ke von ung nam 2011 -Thoa gui ngay 12-8-2012" xfId="1120"/>
    <cellStyle name="_TG-TH_1_CAU Khanh Nam(Thi Cong)" xfId="1121"/>
    <cellStyle name="_TG-TH_1_ChiHuong_ApGia" xfId="1122"/>
    <cellStyle name="_TG-TH_1_CoCauPhi (version 1)" xfId="1123"/>
    <cellStyle name="_TG-TH_1_Copy of 05-12  KH trung han 2016-2020 - Liem Thinh edited (1)" xfId="1124"/>
    <cellStyle name="_TG-TH_1_danh muc chuan bi dau tu 2011 ngay 07-6-2011" xfId="1125"/>
    <cellStyle name="_TG-TH_1_Danh muc pbo nguon von XSKT, XDCB nam 2009 chuyen qua nam 2010" xfId="1126"/>
    <cellStyle name="_TG-TH_1_DAU NOI PL-CL TAI PHU LAMHC" xfId="1127"/>
    <cellStyle name="_TG-TH_1_dieu chinh KH 2011 ngay 26-5-2011111" xfId="1128"/>
    <cellStyle name="_TG-TH_1_DS KCH PHAN BO VON NSDP NAM 2010" xfId="1129"/>
    <cellStyle name="_TG-TH_1_DTCDT MR.2N110.HOCMON.TDTOAN.CCUNG" xfId="1130"/>
    <cellStyle name="_TG-TH_1_DU TRU VAT TU" xfId="1131"/>
    <cellStyle name="_TG-TH_1_giao KH 2011 ngay 10-12-2010" xfId="1132"/>
    <cellStyle name="_TG-TH_1_GTGT 2003" xfId="1133"/>
    <cellStyle name="_TG-TH_1_KE KHAI THUE GTGT 2004" xfId="1134"/>
    <cellStyle name="_TG-TH_1_KE KHAI THUE GTGT 2004_BCTC2004" xfId="1135"/>
    <cellStyle name="_TG-TH_1_KH TPCP 2016-2020 (tong hop)" xfId="1136"/>
    <cellStyle name="_TG-TH_1_KH TPCP vung TNB (03-1-2012)" xfId="1137"/>
    <cellStyle name="_TG-TH_1_kien giang 2" xfId="1138"/>
    <cellStyle name="_TG-TH_1_Lora-tungchau" xfId="1139"/>
    <cellStyle name="_TG-TH_1_Luy ke von ung nam 2011 -Thoa gui ngay 12-8-2012" xfId="1140"/>
    <cellStyle name="_TG-TH_1_NhanCong" xfId="1141"/>
    <cellStyle name="_TG-TH_1_N-X-T-04" xfId="1142"/>
    <cellStyle name="_TG-TH_1_PGIA-phieu tham tra Kho bac" xfId="1143"/>
    <cellStyle name="_TG-TH_1_phu luc tong ket tinh hinh TH giai doan 03-10 (ngay 30)" xfId="1144"/>
    <cellStyle name="_TG-TH_1_PT02-02" xfId="1145"/>
    <cellStyle name="_TG-TH_1_PT02-02_Book1" xfId="1146"/>
    <cellStyle name="_TG-TH_1_PT02-03" xfId="1147"/>
    <cellStyle name="_TG-TH_1_PT02-03_Book1" xfId="1148"/>
    <cellStyle name="_TG-TH_1_Qt-HT3PQ1(CauKho)" xfId="1149"/>
    <cellStyle name="_TG-TH_1_Sheet1" xfId="1150"/>
    <cellStyle name="_TG-TH_1_TK152-04" xfId="1151"/>
    <cellStyle name="_TG-TH_1_ÿÿÿÿÿ" xfId="1152"/>
    <cellStyle name="_TG-TH_1_ÿÿÿÿÿ_Bieu mau cong trinh khoi cong moi 3-4" xfId="1153"/>
    <cellStyle name="_TG-TH_1_ÿÿÿÿÿ_Bieu3ODA" xfId="1154"/>
    <cellStyle name="_TG-TH_1_ÿÿÿÿÿ_Bieu4HTMT" xfId="1155"/>
    <cellStyle name="_TG-TH_1_ÿÿÿÿÿ_KH TPCP vung TNB (03-1-2012)" xfId="1156"/>
    <cellStyle name="_TG-TH_1_ÿÿÿÿÿ_kien giang 2" xfId="1157"/>
    <cellStyle name="_TG-TH_2" xfId="1158"/>
    <cellStyle name="_TG-TH_2 2" xfId="1159"/>
    <cellStyle name="_TG-TH_2_05-12  KH trung han 2016-2020 - Liem Thinh edited" xfId="1160"/>
    <cellStyle name="_TG-TH_2_ApGiaVatTu_cayxanh_latgach" xfId="1161"/>
    <cellStyle name="_TG-TH_2_BANG TONG HOP TINH HINH THANH QUYET TOAN (MOI I)" xfId="1162"/>
    <cellStyle name="_TG-TH_2_BAO CAO KLCT PT2000" xfId="1163"/>
    <cellStyle name="_TG-TH_2_BAO CAO PT2000" xfId="1164"/>
    <cellStyle name="_TG-TH_2_BAO CAO PT2000_Book1" xfId="1165"/>
    <cellStyle name="_TG-TH_2_Bao cao XDCB 2001 - T11 KH dieu chinh 20-11-THAI" xfId="1166"/>
    <cellStyle name="_TG-TH_2_BAO GIA NGAY 24-10-08 (co dam)" xfId="1167"/>
    <cellStyle name="_TG-TH_2_BC  NAM 2007" xfId="1168"/>
    <cellStyle name="_TG-TH_2_BC CV 6403 BKHĐT" xfId="1169"/>
    <cellStyle name="_TG-TH_2_BC NQ11-CP - chinh sua lai" xfId="1170"/>
    <cellStyle name="_TG-TH_2_BC NQ11-CP-Quynh sau bieu so3" xfId="1171"/>
    <cellStyle name="_TG-TH_2_BC_NQ11-CP_-_Thao_sua_lai" xfId="1172"/>
    <cellStyle name="_TG-TH_2_Bieu mau cong trinh khoi cong moi 3-4" xfId="1173"/>
    <cellStyle name="_TG-TH_2_Bieu3ODA" xfId="1174"/>
    <cellStyle name="_TG-TH_2_Bieu3ODA_1" xfId="1175"/>
    <cellStyle name="_TG-TH_2_Bieu4HTMT" xfId="1176"/>
    <cellStyle name="_TG-TH_2_bo sung von KCH nam 2010 va Du an tre kho khan" xfId="1177"/>
    <cellStyle name="_TG-TH_2_Book1" xfId="1178"/>
    <cellStyle name="_TG-TH_2_Book1 2" xfId="1179"/>
    <cellStyle name="_TG-TH_2_Book1_1" xfId="1180"/>
    <cellStyle name="_TG-TH_2_Book1_1 2" xfId="1181"/>
    <cellStyle name="_TG-TH_2_Book1_1_BC CV 6403 BKHĐT" xfId="1182"/>
    <cellStyle name="_TG-TH_2_Book1_1_Bieu mau cong trinh khoi cong moi 3-4" xfId="1183"/>
    <cellStyle name="_TG-TH_2_Book1_1_Bieu3ODA" xfId="1184"/>
    <cellStyle name="_TG-TH_2_Book1_1_Bieu4HTMT" xfId="1185"/>
    <cellStyle name="_TG-TH_2_Book1_1_Book1" xfId="1186"/>
    <cellStyle name="_TG-TH_2_Book1_1_Luy ke von ung nam 2011 -Thoa gui ngay 12-8-2012" xfId="1187"/>
    <cellStyle name="_TG-TH_2_Book1_2" xfId="1188"/>
    <cellStyle name="_TG-TH_2_Book1_2 2" xfId="1189"/>
    <cellStyle name="_TG-TH_2_Book1_2_BC CV 6403 BKHĐT" xfId="1190"/>
    <cellStyle name="_TG-TH_2_Book1_2_Bieu3ODA" xfId="1191"/>
    <cellStyle name="_TG-TH_2_Book1_2_Luy ke von ung nam 2011 -Thoa gui ngay 12-8-2012" xfId="1192"/>
    <cellStyle name="_TG-TH_2_Book1_3" xfId="1193"/>
    <cellStyle name="_TG-TH_2_Book1_3 2" xfId="1194"/>
    <cellStyle name="_TG-TH_2_Book1_4" xfId="1195"/>
    <cellStyle name="_TG-TH_2_Book1_BC CV 6403 BKHĐT" xfId="1196"/>
    <cellStyle name="_TG-TH_2_Book1_Bieu mau cong trinh khoi cong moi 3-4" xfId="1197"/>
    <cellStyle name="_TG-TH_2_Book1_Bieu3ODA" xfId="1198"/>
    <cellStyle name="_TG-TH_2_Book1_Bieu4HTMT" xfId="1199"/>
    <cellStyle name="_TG-TH_2_Book1_bo sung von KCH nam 2010 va Du an tre kho khan" xfId="1200"/>
    <cellStyle name="_TG-TH_2_Book1_Book1" xfId="1201"/>
    <cellStyle name="_TG-TH_2_Book1_danh muc chuan bi dau tu 2011 ngay 07-6-2011" xfId="1202"/>
    <cellStyle name="_TG-TH_2_Book1_Danh muc pbo nguon von XSKT, XDCB nam 2009 chuyen qua nam 2010" xfId="1203"/>
    <cellStyle name="_TG-TH_2_Book1_dieu chinh KH 2011 ngay 26-5-2011111" xfId="1204"/>
    <cellStyle name="_TG-TH_2_Book1_DS KCH PHAN BO VON NSDP NAM 2010" xfId="1205"/>
    <cellStyle name="_TG-TH_2_Book1_giao KH 2011 ngay 10-12-2010" xfId="1206"/>
    <cellStyle name="_TG-TH_2_Book1_Luy ke von ung nam 2011 -Thoa gui ngay 12-8-2012" xfId="1207"/>
    <cellStyle name="_TG-TH_2_CAU Khanh Nam(Thi Cong)" xfId="1208"/>
    <cellStyle name="_TG-TH_2_ChiHuong_ApGia" xfId="1209"/>
    <cellStyle name="_TG-TH_2_CoCauPhi (version 1)" xfId="1210"/>
    <cellStyle name="_TG-TH_2_Copy of 05-12  KH trung han 2016-2020 - Liem Thinh edited (1)" xfId="1211"/>
    <cellStyle name="_TG-TH_2_danh muc chuan bi dau tu 2011 ngay 07-6-2011" xfId="1212"/>
    <cellStyle name="_TG-TH_2_Danh muc pbo nguon von XSKT, XDCB nam 2009 chuyen qua nam 2010" xfId="1213"/>
    <cellStyle name="_TG-TH_2_DAU NOI PL-CL TAI PHU LAMHC" xfId="1214"/>
    <cellStyle name="_TG-TH_2_dieu chinh KH 2011 ngay 26-5-2011111" xfId="1215"/>
    <cellStyle name="_TG-TH_2_DS KCH PHAN BO VON NSDP NAM 2010" xfId="1216"/>
    <cellStyle name="_TG-TH_2_DTCDT MR.2N110.HOCMON.TDTOAN.CCUNG" xfId="1217"/>
    <cellStyle name="_TG-TH_2_DU TRU VAT TU" xfId="1218"/>
    <cellStyle name="_TG-TH_2_giao KH 2011 ngay 10-12-2010" xfId="1219"/>
    <cellStyle name="_TG-TH_2_GTGT 2003" xfId="1220"/>
    <cellStyle name="_TG-TH_2_KE KHAI THUE GTGT 2004" xfId="1221"/>
    <cellStyle name="_TG-TH_2_KE KHAI THUE GTGT 2004_BCTC2004" xfId="1222"/>
    <cellStyle name="_TG-TH_2_KH TPCP 2016-2020 (tong hop)" xfId="1223"/>
    <cellStyle name="_TG-TH_2_KH TPCP vung TNB (03-1-2012)" xfId="1224"/>
    <cellStyle name="_TG-TH_2_kien giang 2" xfId="1225"/>
    <cellStyle name="_TG-TH_2_Lora-tungchau" xfId="1226"/>
    <cellStyle name="_TG-TH_2_Luy ke von ung nam 2011 -Thoa gui ngay 12-8-2012" xfId="1227"/>
    <cellStyle name="_TG-TH_2_NhanCong" xfId="1228"/>
    <cellStyle name="_TG-TH_2_N-X-T-04" xfId="1229"/>
    <cellStyle name="_TG-TH_2_PGIA-phieu tham tra Kho bac" xfId="1230"/>
    <cellStyle name="_TG-TH_2_phu luc tong ket tinh hinh TH giai doan 03-10 (ngay 30)" xfId="1231"/>
    <cellStyle name="_TG-TH_2_PT02-02" xfId="1232"/>
    <cellStyle name="_TG-TH_2_PT02-02_Book1" xfId="1233"/>
    <cellStyle name="_TG-TH_2_PT02-03" xfId="1234"/>
    <cellStyle name="_TG-TH_2_PT02-03_Book1" xfId="1235"/>
    <cellStyle name="_TG-TH_2_Qt-HT3PQ1(CauKho)" xfId="1236"/>
    <cellStyle name="_TG-TH_2_Sheet1" xfId="1237"/>
    <cellStyle name="_TG-TH_2_TK152-04" xfId="1238"/>
    <cellStyle name="_TG-TH_2_ÿÿÿÿÿ" xfId="1239"/>
    <cellStyle name="_TG-TH_2_ÿÿÿÿÿ_Bieu mau cong trinh khoi cong moi 3-4" xfId="1240"/>
    <cellStyle name="_TG-TH_2_ÿÿÿÿÿ_Bieu3ODA" xfId="1241"/>
    <cellStyle name="_TG-TH_2_ÿÿÿÿÿ_Bieu4HTMT" xfId="1242"/>
    <cellStyle name="_TG-TH_2_ÿÿÿÿÿ_KH TPCP vung TNB (03-1-2012)" xfId="1243"/>
    <cellStyle name="_TG-TH_2_ÿÿÿÿÿ_kien giang 2" xfId="1244"/>
    <cellStyle name="_TG-TH_3" xfId="1245"/>
    <cellStyle name="_TG-TH_3 2" xfId="1246"/>
    <cellStyle name="_TG-TH_3_05-12  KH trung han 2016-2020 - Liem Thinh edited" xfId="1247"/>
    <cellStyle name="_TG-TH_3_Copy of 05-12  KH trung han 2016-2020 - Liem Thinh edited (1)" xfId="1248"/>
    <cellStyle name="_TG-TH_3_KH TPCP 2016-2020 (tong hop)" xfId="1249"/>
    <cellStyle name="_TG-TH_3_Lora-tungchau" xfId="1250"/>
    <cellStyle name="_TG-TH_3_Lora-tungchau 2" xfId="1251"/>
    <cellStyle name="_TG-TH_3_Lora-tungchau_05-12  KH trung han 2016-2020 - Liem Thinh edited" xfId="1252"/>
    <cellStyle name="_TG-TH_3_Lora-tungchau_Copy of 05-12  KH trung han 2016-2020 - Liem Thinh edited (1)" xfId="1253"/>
    <cellStyle name="_TG-TH_3_Lora-tungchau_KH TPCP 2016-2020 (tong hop)" xfId="1254"/>
    <cellStyle name="_TG-TH_3_Qt-HT3PQ1(CauKho)" xfId="1255"/>
    <cellStyle name="_TG-TH_4" xfId="1256"/>
    <cellStyle name="_TH KH 2010" xfId="1257"/>
    <cellStyle name="_TK152-04" xfId="1258"/>
    <cellStyle name="_Tong dutoan PP LAHAI" xfId="1259"/>
    <cellStyle name="_TPCP GT-24-5-Mien Nui" xfId="1260"/>
    <cellStyle name="_TPCP GT-24-5-Mien Nui_!1 1 bao cao giao KH ve HTCMT vung TNB   12-12-2011" xfId="1261"/>
    <cellStyle name="_TPCP GT-24-5-Mien Nui_Bieu4HTMT" xfId="1262"/>
    <cellStyle name="_TPCP GT-24-5-Mien Nui_Bieu4HTMT_!1 1 bao cao giao KH ve HTCMT vung TNB   12-12-2011" xfId="1263"/>
    <cellStyle name="_TPCP GT-24-5-Mien Nui_Bieu4HTMT_KH TPCP vung TNB (03-1-2012)" xfId="1264"/>
    <cellStyle name="_TPCP GT-24-5-Mien Nui_KH TPCP vung TNB (03-1-2012)" xfId="1265"/>
    <cellStyle name="_TT209BTC3" xfId="1266"/>
    <cellStyle name="_ung truoc 2011 NSTW Thanh Hoa + Nge An gui Thu 12-5" xfId="1267"/>
    <cellStyle name="_ung truoc 2011 NSTW Thanh Hoa + Nge An gui Thu 12-5_!1 1 bao cao giao KH ve HTCMT vung TNB   12-12-2011" xfId="1268"/>
    <cellStyle name="_ung truoc 2011 NSTW Thanh Hoa + Nge An gui Thu 12-5_Bieu4HTMT" xfId="1269"/>
    <cellStyle name="_ung truoc 2011 NSTW Thanh Hoa + Nge An gui Thu 12-5_Bieu4HTMT_!1 1 bao cao giao KH ve HTCMT vung TNB   12-12-2011" xfId="1270"/>
    <cellStyle name="_ung truoc 2011 NSTW Thanh Hoa + Nge An gui Thu 12-5_Bieu4HTMT_KH TPCP vung TNB (03-1-2012)" xfId="1271"/>
    <cellStyle name="_ung truoc 2011 NSTW Thanh Hoa + Nge An gui Thu 12-5_KH TPCP vung TNB (03-1-2012)" xfId="1272"/>
    <cellStyle name="_ung truoc cua long an (6-5-2010)" xfId="1273"/>
    <cellStyle name="_Ung von nam 2011 vung TNB - Doan Cong tac (12-5-2010)" xfId="1274"/>
    <cellStyle name="_Ung von nam 2011 vung TNB - Doan Cong tac (12-5-2010)_!1 1 bao cao giao KH ve HTCMT vung TNB   12-12-2011" xfId="1275"/>
    <cellStyle name="_Ung von nam 2011 vung TNB - Doan Cong tac (12-5-2010)_Bieu4HTMT" xfId="1276"/>
    <cellStyle name="_Ung von nam 2011 vung TNB - Doan Cong tac (12-5-2010)_Bieu4HTMT_!1 1 bao cao giao KH ve HTCMT vung TNB   12-12-2011" xfId="1277"/>
    <cellStyle name="_Ung von nam 2011 vung TNB - Doan Cong tac (12-5-2010)_Bieu4HTMT_KH TPCP vung TNB (03-1-2012)" xfId="1278"/>
    <cellStyle name="_Ung von nam 2011 vung TNB - Doan Cong tac (12-5-2010)_Chuẩn bị đầu tư 2011 (sep Hung)_KH 2012 (T3-2013)" xfId="1279"/>
    <cellStyle name="_Ung von nam 2011 vung TNB - Doan Cong tac (12-5-2010)_Cong trinh co y kien LD_Dang_NN_2011-Tay nguyen-9-10" xfId="1280"/>
    <cellStyle name="_Ung von nam 2011 vung TNB - Doan Cong tac (12-5-2010)_Cong trinh co y kien LD_Dang_NN_2011-Tay nguyen-9-10_!1 1 bao cao giao KH ve HTCMT vung TNB   12-12-2011" xfId="1281"/>
    <cellStyle name="_Ung von nam 2011 vung TNB - Doan Cong tac (12-5-2010)_Cong trinh co y kien LD_Dang_NN_2011-Tay nguyen-9-10_Bieu4HTMT" xfId="1282"/>
    <cellStyle name="_Ung von nam 2011 vung TNB - Doan Cong tac (12-5-2010)_Cong trinh co y kien LD_Dang_NN_2011-Tay nguyen-9-10_Bieu4HTMT_!1 1 bao cao giao KH ve HTCMT vung TNB   12-12-2011" xfId="1283"/>
    <cellStyle name="_Ung von nam 2011 vung TNB - Doan Cong tac (12-5-2010)_Cong trinh co y kien LD_Dang_NN_2011-Tay nguyen-9-10_Bieu4HTMT_KH TPCP vung TNB (03-1-2012)" xfId="1284"/>
    <cellStyle name="_Ung von nam 2011 vung TNB - Doan Cong tac (12-5-2010)_Cong trinh co y kien LD_Dang_NN_2011-Tay nguyen-9-10_KH TPCP vung TNB (03-1-2012)" xfId="1285"/>
    <cellStyle name="_Ung von nam 2011 vung TNB - Doan Cong tac (12-5-2010)_KH TPCP vung TNB (03-1-2012)" xfId="1286"/>
    <cellStyle name="_Ung von nam 2011 vung TNB - Doan Cong tac (12-5-2010)_TN - Ho tro khac 2011" xfId="1287"/>
    <cellStyle name="_Ung von nam 2011 vung TNB - Doan Cong tac (12-5-2010)_TN - Ho tro khac 2011_!1 1 bao cao giao KH ve HTCMT vung TNB   12-12-2011" xfId="1288"/>
    <cellStyle name="_Ung von nam 2011 vung TNB - Doan Cong tac (12-5-2010)_TN - Ho tro khac 2011_Bieu4HTMT" xfId="1289"/>
    <cellStyle name="_Ung von nam 2011 vung TNB - Doan Cong tac (12-5-2010)_TN - Ho tro khac 2011_Bieu4HTMT_!1 1 bao cao giao KH ve HTCMT vung TNB   12-12-2011" xfId="1290"/>
    <cellStyle name="_Ung von nam 2011 vung TNB - Doan Cong tac (12-5-2010)_TN - Ho tro khac 2011_Bieu4HTMT_KH TPCP vung TNB (03-1-2012)" xfId="1291"/>
    <cellStyle name="_Ung von nam 2011 vung TNB - Doan Cong tac (12-5-2010)_TN - Ho tro khac 2011_KH TPCP vung TNB (03-1-2012)" xfId="1292"/>
    <cellStyle name="_Von dau tu 2006-2020 (TL chien luoc)" xfId="1293"/>
    <cellStyle name="_Von dau tu 2006-2020 (TL chien luoc)_15_10_2013 BC nhu cau von doi ung ODA (2014-2016) ngay 15102013 Sua" xfId="1294"/>
    <cellStyle name="_Von dau tu 2006-2020 (TL chien luoc)_BC nhu cau von doi ung ODA nganh NN (BKH)" xfId="1295"/>
    <cellStyle name="_Von dau tu 2006-2020 (TL chien luoc)_BC nhu cau von doi ung ODA nganh NN (BKH)_05-12  KH trung han 2016-2020 - Liem Thinh edited" xfId="1296"/>
    <cellStyle name="_Von dau tu 2006-2020 (TL chien luoc)_BC nhu cau von doi ung ODA nganh NN (BKH)_Copy of 05-12  KH trung han 2016-2020 - Liem Thinh edited (1)" xfId="1297"/>
    <cellStyle name="_Von dau tu 2006-2020 (TL chien luoc)_BC Tai co cau (bieu TH)" xfId="1298"/>
    <cellStyle name="_Von dau tu 2006-2020 (TL chien luoc)_BC Tai co cau (bieu TH)_05-12  KH trung han 2016-2020 - Liem Thinh edited" xfId="1299"/>
    <cellStyle name="_Von dau tu 2006-2020 (TL chien luoc)_BC Tai co cau (bieu TH)_Copy of 05-12  KH trung han 2016-2020 - Liem Thinh edited (1)" xfId="1300"/>
    <cellStyle name="_Von dau tu 2006-2020 (TL chien luoc)_DK 2014-2015 final" xfId="1301"/>
    <cellStyle name="_Von dau tu 2006-2020 (TL chien luoc)_DK 2014-2015 final_05-12  KH trung han 2016-2020 - Liem Thinh edited" xfId="1302"/>
    <cellStyle name="_Von dau tu 2006-2020 (TL chien luoc)_DK 2014-2015 final_Copy of 05-12  KH trung han 2016-2020 - Liem Thinh edited (1)" xfId="1303"/>
    <cellStyle name="_Von dau tu 2006-2020 (TL chien luoc)_DK 2014-2015 new" xfId="1304"/>
    <cellStyle name="_Von dau tu 2006-2020 (TL chien luoc)_DK 2014-2015 new_05-12  KH trung han 2016-2020 - Liem Thinh edited" xfId="1305"/>
    <cellStyle name="_Von dau tu 2006-2020 (TL chien luoc)_DK 2014-2015 new_Copy of 05-12  KH trung han 2016-2020 - Liem Thinh edited (1)" xfId="1306"/>
    <cellStyle name="_Von dau tu 2006-2020 (TL chien luoc)_DK KH CBDT 2014 11-11-2013" xfId="1307"/>
    <cellStyle name="_Von dau tu 2006-2020 (TL chien luoc)_DK KH CBDT 2014 11-11-2013(1)" xfId="1308"/>
    <cellStyle name="_Von dau tu 2006-2020 (TL chien luoc)_DK KH CBDT 2014 11-11-2013(1)_05-12  KH trung han 2016-2020 - Liem Thinh edited" xfId="1309"/>
    <cellStyle name="_Von dau tu 2006-2020 (TL chien luoc)_DK KH CBDT 2014 11-11-2013(1)_Copy of 05-12  KH trung han 2016-2020 - Liem Thinh edited (1)" xfId="1310"/>
    <cellStyle name="_Von dau tu 2006-2020 (TL chien luoc)_DK KH CBDT 2014 11-11-2013_05-12  KH trung han 2016-2020 - Liem Thinh edited" xfId="1311"/>
    <cellStyle name="_Von dau tu 2006-2020 (TL chien luoc)_DK KH CBDT 2014 11-11-2013_Copy of 05-12  KH trung han 2016-2020 - Liem Thinh edited (1)" xfId="1312"/>
    <cellStyle name="_Von dau tu 2006-2020 (TL chien luoc)_KH 2011-2015" xfId="1313"/>
    <cellStyle name="_Von dau tu 2006-2020 (TL chien luoc)_tai co cau dau tu (tong hop)1" xfId="1314"/>
    <cellStyle name="_x005f_x0001_" xfId="1315"/>
    <cellStyle name="_x005f_x0001__!1 1 bao cao giao KH ve HTCMT vung TNB   12-12-2011" xfId="1316"/>
    <cellStyle name="_x005f_x0001__kien giang 2" xfId="1317"/>
    <cellStyle name="_x005f_x000d__x005f_x000a_JournalTemplate=C:\COMFO\CTALK\JOURSTD.TPL_x005f_x000d__x005f_x000a_LbStateAddress=3 3 0 251 1 89 2 311_x005f_x000d__x005f_x000a_LbStateJou" xfId="1318"/>
    <cellStyle name="_x005f_x005f_x005f_x0001_" xfId="1319"/>
    <cellStyle name="_x005f_x005f_x005f_x0001__!1 1 bao cao giao KH ve HTCMT vung TNB   12-12-2011" xfId="1320"/>
    <cellStyle name="_x005f_x005f_x005f_x0001__kien giang 2" xfId="1321"/>
    <cellStyle name="_x005f_x005f_x005f_x000d__x005f_x005f_x005f_x000a_JournalTemplate=C:\COMFO\CTALK\JOURSTD.TPL_x005f_x005f_x005f_x000d__x005f_x005f_x005f_x000a_LbStateAddress=3 3 0 251 1 89 2 311_x005f_x005f_x005f_x000d__x005f_x005f_x005f_x000a_LbStateJou" xfId="1322"/>
    <cellStyle name="_XDCB thang 12.2010" xfId="1323"/>
    <cellStyle name="_ÿÿÿÿÿ" xfId="1324"/>
    <cellStyle name="_ÿÿÿÿÿ_Bieu mau cong trinh khoi cong moi 3-4" xfId="1325"/>
    <cellStyle name="_ÿÿÿÿÿ_Bieu mau cong trinh khoi cong moi 3-4_!1 1 bao cao giao KH ve HTCMT vung TNB   12-12-2011" xfId="1326"/>
    <cellStyle name="_ÿÿÿÿÿ_Bieu mau cong trinh khoi cong moi 3-4_KH TPCP vung TNB (03-1-2012)" xfId="1327"/>
    <cellStyle name="_ÿÿÿÿÿ_Bieu3ODA" xfId="1328"/>
    <cellStyle name="_ÿÿÿÿÿ_Bieu3ODA_!1 1 bao cao giao KH ve HTCMT vung TNB   12-12-2011" xfId="1329"/>
    <cellStyle name="_ÿÿÿÿÿ_Bieu3ODA_KH TPCP vung TNB (03-1-2012)" xfId="1330"/>
    <cellStyle name="_ÿÿÿÿÿ_Bieu4HTMT" xfId="1331"/>
    <cellStyle name="_ÿÿÿÿÿ_Bieu4HTMT_!1 1 bao cao giao KH ve HTCMT vung TNB   12-12-2011" xfId="1332"/>
    <cellStyle name="_ÿÿÿÿÿ_Bieu4HTMT_KH TPCP vung TNB (03-1-2012)" xfId="1333"/>
    <cellStyle name="_ÿÿÿÿÿ_Kh ql62 (2010) 11-09" xfId="1334"/>
    <cellStyle name="_ÿÿÿÿÿ_KH TPCP vung TNB (03-1-2012)" xfId="1335"/>
    <cellStyle name="_ÿÿÿÿÿ_Khung 2012" xfId="1336"/>
    <cellStyle name="_ÿÿÿÿÿ_kien giang 2" xfId="1337"/>
    <cellStyle name="~1" xfId="1338"/>
    <cellStyle name="~1 2" xfId="1339"/>
    <cellStyle name="’Ê‰Ý [0.00]_laroux" xfId="1340"/>
    <cellStyle name="’Ê‰Ý_laroux" xfId="1341"/>
    <cellStyle name="¤@¯ë_CHI PHI QUAN LY 1-00" xfId="1342"/>
    <cellStyle name="•W?_Format" xfId="1343"/>
    <cellStyle name="•W€_’·Šú‰p•¶" xfId="1344"/>
    <cellStyle name="•W_’·Šú‰p•¶" xfId="1345"/>
    <cellStyle name="W_MARINE" xfId="1346"/>
    <cellStyle name="0" xfId="1347"/>
    <cellStyle name="0 2" xfId="1348"/>
    <cellStyle name="0 2 2" xfId="1349"/>
    <cellStyle name="0 2 3" xfId="1350"/>
    <cellStyle name="0 3" xfId="1351"/>
    <cellStyle name="0 4" xfId="1352"/>
    <cellStyle name="0,0_x000a__x000a_NA_x000a__x000a_" xfId="1353"/>
    <cellStyle name="0,0_x000d__x000a_NA_x000d__x000a_" xfId="1354"/>
    <cellStyle name="0,0_x000d__x000a_NA_x000d__x000a_ 2" xfId="1355"/>
    <cellStyle name="0,0_x000d__x000a_NA_x000d__x000a_ 3" xfId="1356"/>
    <cellStyle name="0,0_x000d__x000a_NA_x000d__x000a_ 4" xfId="1357"/>
    <cellStyle name="0,0_x000d__x000a_NA_x000d__x000a__Phu luc so 2 - NSTW " xfId="1358"/>
    <cellStyle name="0,0_x005f_x000d__x005f_x000a_NA_x005f_x000d__x005f_x000a_" xfId="1359"/>
    <cellStyle name="0.0" xfId="1360"/>
    <cellStyle name="0.0 2" xfId="1361"/>
    <cellStyle name="0.0 2 2" xfId="1362"/>
    <cellStyle name="0.0 2 3" xfId="1363"/>
    <cellStyle name="0.0 3" xfId="1364"/>
    <cellStyle name="0.0 4" xfId="1365"/>
    <cellStyle name="0.00" xfId="1366"/>
    <cellStyle name="0.00 2" xfId="1367"/>
    <cellStyle name="0.00 2 2" xfId="1368"/>
    <cellStyle name="0.00 2 3" xfId="1369"/>
    <cellStyle name="0.00 3" xfId="1370"/>
    <cellStyle name="0.00 4" xfId="1371"/>
    <cellStyle name="1" xfId="1372"/>
    <cellStyle name="1 2" xfId="1373"/>
    <cellStyle name="1_!1 1 bao cao giao KH ve HTCMT vung TNB   12-12-2011" xfId="1374"/>
    <cellStyle name="1_BAO GIA NGAY 24-10-08 (co dam)" xfId="1375"/>
    <cellStyle name="1_Bieu4HTMT" xfId="1376"/>
    <cellStyle name="1_Book1" xfId="1377"/>
    <cellStyle name="1_Book1_1" xfId="1378"/>
    <cellStyle name="1_Book1_1_!1 1 bao cao giao KH ve HTCMT vung TNB   12-12-2011" xfId="1379"/>
    <cellStyle name="1_Book1_1_Bieu4HTMT" xfId="1380"/>
    <cellStyle name="1_Book1_1_Bieu4HTMT_!1 1 bao cao giao KH ve HTCMT vung TNB   12-12-2011" xfId="1381"/>
    <cellStyle name="1_Book1_1_Bieu4HTMT_KH TPCP vung TNB (03-1-2012)" xfId="1382"/>
    <cellStyle name="1_Book1_1_KH TPCP vung TNB (03-1-2012)" xfId="1383"/>
    <cellStyle name="1_Cau thuy dien Ban La (Cu Anh)" xfId="1384"/>
    <cellStyle name="1_Cau thuy dien Ban La (Cu Anh)_!1 1 bao cao giao KH ve HTCMT vung TNB   12-12-2011" xfId="1385"/>
    <cellStyle name="1_Cau thuy dien Ban La (Cu Anh)_Bieu4HTMT" xfId="1386"/>
    <cellStyle name="1_Cau thuy dien Ban La (Cu Anh)_Bieu4HTMT_!1 1 bao cao giao KH ve HTCMT vung TNB   12-12-2011" xfId="1387"/>
    <cellStyle name="1_Cau thuy dien Ban La (Cu Anh)_Bieu4HTMT_KH TPCP vung TNB (03-1-2012)" xfId="1388"/>
    <cellStyle name="1_Cau thuy dien Ban La (Cu Anh)_KH TPCP vung TNB (03-1-2012)" xfId="1389"/>
    <cellStyle name="1_Cong trinh co y kien LD_Dang_NN_2011-Tay nguyen-9-10" xfId="1390"/>
    <cellStyle name="1_Du toan 558 (Km17+508.12 - Km 22)" xfId="1391"/>
    <cellStyle name="1_Du toan 558 (Km17+508.12 - Km 22)_!1 1 bao cao giao KH ve HTCMT vung TNB   12-12-2011" xfId="1392"/>
    <cellStyle name="1_Du toan 558 (Km17+508.12 - Km 22)_Bieu4HTMT" xfId="1393"/>
    <cellStyle name="1_Du toan 558 (Km17+508.12 - Km 22)_Bieu4HTMT_!1 1 bao cao giao KH ve HTCMT vung TNB   12-12-2011" xfId="1394"/>
    <cellStyle name="1_Du toan 558 (Km17+508.12 - Km 22)_Bieu4HTMT_KH TPCP vung TNB (03-1-2012)" xfId="1395"/>
    <cellStyle name="1_Du toan 558 (Km17+508.12 - Km 22)_KH TPCP vung TNB (03-1-2012)" xfId="1396"/>
    <cellStyle name="1_Gia_VLQL48_duyet " xfId="1397"/>
    <cellStyle name="1_Gia_VLQL48_duyet _!1 1 bao cao giao KH ve HTCMT vung TNB   12-12-2011" xfId="1398"/>
    <cellStyle name="1_Gia_VLQL48_duyet _Bieu4HTMT" xfId="1399"/>
    <cellStyle name="1_Gia_VLQL48_duyet _Bieu4HTMT_!1 1 bao cao giao KH ve HTCMT vung TNB   12-12-2011" xfId="1400"/>
    <cellStyle name="1_Gia_VLQL48_duyet _Bieu4HTMT_KH TPCP vung TNB (03-1-2012)" xfId="1401"/>
    <cellStyle name="1_Gia_VLQL48_duyet _KH TPCP vung TNB (03-1-2012)" xfId="1402"/>
    <cellStyle name="1_Kh ql62 (2010) 11-09" xfId="1403"/>
    <cellStyle name="1_KH TPCP vung TNB (03-1-2012)" xfId="1404"/>
    <cellStyle name="1_Khung 2012" xfId="1405"/>
    <cellStyle name="1_KlQdinhduyet" xfId="1406"/>
    <cellStyle name="1_KlQdinhduyet_!1 1 bao cao giao KH ve HTCMT vung TNB   12-12-2011" xfId="1407"/>
    <cellStyle name="1_KlQdinhduyet_Bieu4HTMT" xfId="1408"/>
    <cellStyle name="1_KlQdinhduyet_Bieu4HTMT_!1 1 bao cao giao KH ve HTCMT vung TNB   12-12-2011" xfId="1409"/>
    <cellStyle name="1_KlQdinhduyet_Bieu4HTMT_KH TPCP vung TNB (03-1-2012)" xfId="1410"/>
    <cellStyle name="1_KlQdinhduyet_KH TPCP vung TNB (03-1-2012)" xfId="1411"/>
    <cellStyle name="1_TN - Ho tro khac 2011" xfId="1412"/>
    <cellStyle name="1_TRUNG PMU 5" xfId="1413"/>
    <cellStyle name="1_ÿÿÿÿÿ" xfId="1414"/>
    <cellStyle name="1_ÿÿÿÿÿ_Bieu tong hop nhu cau ung 2011 da chon loc -Mien nui" xfId="1415"/>
    <cellStyle name="1_ÿÿÿÿÿ_Bieu tong hop nhu cau ung 2011 da chon loc -Mien nui 2" xfId="1416"/>
    <cellStyle name="1_ÿÿÿÿÿ_Bieu tong hop nhu cau ung 2011 da chon loc -Mien nui 2 2" xfId="1417"/>
    <cellStyle name="1_ÿÿÿÿÿ_Bieu tong hop nhu cau ung 2011 da chon loc -Mien nui 2 3" xfId="1418"/>
    <cellStyle name="1_ÿÿÿÿÿ_Bieu tong hop nhu cau ung 2011 da chon loc -Mien nui 3" xfId="1419"/>
    <cellStyle name="1_ÿÿÿÿÿ_Bieu tong hop nhu cau ung 2011 da chon loc -Mien nui 4" xfId="1420"/>
    <cellStyle name="1_ÿÿÿÿÿ_Kh ql62 (2010) 11-09" xfId="1421"/>
    <cellStyle name="1_ÿÿÿÿÿ_Khung 2012" xfId="1422"/>
    <cellStyle name="15" xfId="1423"/>
    <cellStyle name="18" xfId="1424"/>
    <cellStyle name="¹éºÐÀ²_      " xfId="1425"/>
    <cellStyle name="2" xfId="1426"/>
    <cellStyle name="2_Book1" xfId="1427"/>
    <cellStyle name="2_Book1_1" xfId="1428"/>
    <cellStyle name="2_Book1_1_!1 1 bao cao giao KH ve HTCMT vung TNB   12-12-2011" xfId="1429"/>
    <cellStyle name="2_Book1_1_Bieu4HTMT" xfId="1430"/>
    <cellStyle name="2_Book1_1_Bieu4HTMT_!1 1 bao cao giao KH ve HTCMT vung TNB   12-12-2011" xfId="1431"/>
    <cellStyle name="2_Book1_1_Bieu4HTMT_KH TPCP vung TNB (03-1-2012)" xfId="1432"/>
    <cellStyle name="2_Book1_1_KH TPCP vung TNB (03-1-2012)" xfId="1433"/>
    <cellStyle name="2_Cau thuy dien Ban La (Cu Anh)" xfId="1434"/>
    <cellStyle name="2_Cau thuy dien Ban La (Cu Anh)_!1 1 bao cao giao KH ve HTCMT vung TNB   12-12-2011" xfId="1435"/>
    <cellStyle name="2_Cau thuy dien Ban La (Cu Anh)_Bieu4HTMT" xfId="1436"/>
    <cellStyle name="2_Cau thuy dien Ban La (Cu Anh)_Bieu4HTMT_!1 1 bao cao giao KH ve HTCMT vung TNB   12-12-2011" xfId="1437"/>
    <cellStyle name="2_Cau thuy dien Ban La (Cu Anh)_Bieu4HTMT_KH TPCP vung TNB (03-1-2012)" xfId="1438"/>
    <cellStyle name="2_Cau thuy dien Ban La (Cu Anh)_KH TPCP vung TNB (03-1-2012)" xfId="1439"/>
    <cellStyle name="2_Du toan 558 (Km17+508.12 - Km 22)" xfId="1440"/>
    <cellStyle name="2_Du toan 558 (Km17+508.12 - Km 22)_!1 1 bao cao giao KH ve HTCMT vung TNB   12-12-2011" xfId="1441"/>
    <cellStyle name="2_Du toan 558 (Km17+508.12 - Km 22)_Bieu4HTMT" xfId="1442"/>
    <cellStyle name="2_Du toan 558 (Km17+508.12 - Km 22)_Bieu4HTMT_!1 1 bao cao giao KH ve HTCMT vung TNB   12-12-2011" xfId="1443"/>
    <cellStyle name="2_Du toan 558 (Km17+508.12 - Km 22)_Bieu4HTMT_KH TPCP vung TNB (03-1-2012)" xfId="1444"/>
    <cellStyle name="2_Du toan 558 (Km17+508.12 - Km 22)_KH TPCP vung TNB (03-1-2012)" xfId="1445"/>
    <cellStyle name="2_Gia_VLQL48_duyet " xfId="1446"/>
    <cellStyle name="2_Gia_VLQL48_duyet _!1 1 bao cao giao KH ve HTCMT vung TNB   12-12-2011" xfId="1447"/>
    <cellStyle name="2_Gia_VLQL48_duyet _Bieu4HTMT" xfId="1448"/>
    <cellStyle name="2_Gia_VLQL48_duyet _Bieu4HTMT_!1 1 bao cao giao KH ve HTCMT vung TNB   12-12-2011" xfId="1449"/>
    <cellStyle name="2_Gia_VLQL48_duyet _Bieu4HTMT_KH TPCP vung TNB (03-1-2012)" xfId="1450"/>
    <cellStyle name="2_Gia_VLQL48_duyet _KH TPCP vung TNB (03-1-2012)" xfId="1451"/>
    <cellStyle name="2_KlQdinhduyet" xfId="1452"/>
    <cellStyle name="2_KlQdinhduyet_!1 1 bao cao giao KH ve HTCMT vung TNB   12-12-2011" xfId="1453"/>
    <cellStyle name="2_KlQdinhduyet_Bieu4HTMT" xfId="1454"/>
    <cellStyle name="2_KlQdinhduyet_Bieu4HTMT_!1 1 bao cao giao KH ve HTCMT vung TNB   12-12-2011" xfId="1455"/>
    <cellStyle name="2_KlQdinhduyet_Bieu4HTMT_KH TPCP vung TNB (03-1-2012)" xfId="1456"/>
    <cellStyle name="2_KlQdinhduyet_KH TPCP vung TNB (03-1-2012)" xfId="1457"/>
    <cellStyle name="2_TRUNG PMU 5" xfId="1458"/>
    <cellStyle name="2_ÿÿÿÿÿ" xfId="1459"/>
    <cellStyle name="2_ÿÿÿÿÿ_Bieu tong hop nhu cau ung 2011 da chon loc -Mien nui" xfId="1460"/>
    <cellStyle name="2_ÿÿÿÿÿ_Bieu tong hop nhu cau ung 2011 da chon loc -Mien nui 2" xfId="1461"/>
    <cellStyle name="2_ÿÿÿÿÿ_Bieu tong hop nhu cau ung 2011 da chon loc -Mien nui 2 2" xfId="1462"/>
    <cellStyle name="2_ÿÿÿÿÿ_Bieu tong hop nhu cau ung 2011 da chon loc -Mien nui 2 3" xfId="1463"/>
    <cellStyle name="2_ÿÿÿÿÿ_Bieu tong hop nhu cau ung 2011 da chon loc -Mien nui 3" xfId="1464"/>
    <cellStyle name="2_ÿÿÿÿÿ_Bieu tong hop nhu cau ung 2011 da chon loc -Mien nui 4" xfId="1465"/>
    <cellStyle name="20" xfId="1466"/>
    <cellStyle name="20% - Accent1 2" xfId="19"/>
    <cellStyle name="20% - Accent2 2" xfId="20"/>
    <cellStyle name="20% - Accent3 2" xfId="21"/>
    <cellStyle name="20% - Accent4 2" xfId="22"/>
    <cellStyle name="20% - Accent5 2" xfId="23"/>
    <cellStyle name="20% - Accent6 2" xfId="24"/>
    <cellStyle name="-2001" xfId="1467"/>
    <cellStyle name="3" xfId="1468"/>
    <cellStyle name="3_Book1" xfId="1469"/>
    <cellStyle name="3_Book1_1" xfId="1470"/>
    <cellStyle name="3_Book1_1_!1 1 bao cao giao KH ve HTCMT vung TNB   12-12-2011" xfId="1471"/>
    <cellStyle name="3_Book1_1_Bieu4HTMT" xfId="1472"/>
    <cellStyle name="3_Book1_1_Bieu4HTMT_!1 1 bao cao giao KH ve HTCMT vung TNB   12-12-2011" xfId="1473"/>
    <cellStyle name="3_Book1_1_Bieu4HTMT_KH TPCP vung TNB (03-1-2012)" xfId="1474"/>
    <cellStyle name="3_Book1_1_KH TPCP vung TNB (03-1-2012)" xfId="1475"/>
    <cellStyle name="3_Cau thuy dien Ban La (Cu Anh)" xfId="1476"/>
    <cellStyle name="3_Cau thuy dien Ban La (Cu Anh)_!1 1 bao cao giao KH ve HTCMT vung TNB   12-12-2011" xfId="1477"/>
    <cellStyle name="3_Cau thuy dien Ban La (Cu Anh)_Bieu4HTMT" xfId="1478"/>
    <cellStyle name="3_Cau thuy dien Ban La (Cu Anh)_Bieu4HTMT_!1 1 bao cao giao KH ve HTCMT vung TNB   12-12-2011" xfId="1479"/>
    <cellStyle name="3_Cau thuy dien Ban La (Cu Anh)_Bieu4HTMT_KH TPCP vung TNB (03-1-2012)" xfId="1480"/>
    <cellStyle name="3_Cau thuy dien Ban La (Cu Anh)_KH TPCP vung TNB (03-1-2012)" xfId="1481"/>
    <cellStyle name="3_Du toan 558 (Km17+508.12 - Km 22)" xfId="1482"/>
    <cellStyle name="3_Du toan 558 (Km17+508.12 - Km 22)_!1 1 bao cao giao KH ve HTCMT vung TNB   12-12-2011" xfId="1483"/>
    <cellStyle name="3_Du toan 558 (Km17+508.12 - Km 22)_Bieu4HTMT" xfId="1484"/>
    <cellStyle name="3_Du toan 558 (Km17+508.12 - Km 22)_Bieu4HTMT_!1 1 bao cao giao KH ve HTCMT vung TNB   12-12-2011" xfId="1485"/>
    <cellStyle name="3_Du toan 558 (Km17+508.12 - Km 22)_Bieu4HTMT_KH TPCP vung TNB (03-1-2012)" xfId="1486"/>
    <cellStyle name="3_Du toan 558 (Km17+508.12 - Km 22)_KH TPCP vung TNB (03-1-2012)" xfId="1487"/>
    <cellStyle name="3_Gia_VLQL48_duyet " xfId="1488"/>
    <cellStyle name="3_Gia_VLQL48_duyet _!1 1 bao cao giao KH ve HTCMT vung TNB   12-12-2011" xfId="1489"/>
    <cellStyle name="3_Gia_VLQL48_duyet _Bieu4HTMT" xfId="1490"/>
    <cellStyle name="3_Gia_VLQL48_duyet _Bieu4HTMT_!1 1 bao cao giao KH ve HTCMT vung TNB   12-12-2011" xfId="1491"/>
    <cellStyle name="3_Gia_VLQL48_duyet _Bieu4HTMT_KH TPCP vung TNB (03-1-2012)" xfId="1492"/>
    <cellStyle name="3_Gia_VLQL48_duyet _KH TPCP vung TNB (03-1-2012)" xfId="1493"/>
    <cellStyle name="3_KlQdinhduyet" xfId="1494"/>
    <cellStyle name="3_KlQdinhduyet_!1 1 bao cao giao KH ve HTCMT vung TNB   12-12-2011" xfId="1495"/>
    <cellStyle name="3_KlQdinhduyet_Bieu4HTMT" xfId="1496"/>
    <cellStyle name="3_KlQdinhduyet_Bieu4HTMT_!1 1 bao cao giao KH ve HTCMT vung TNB   12-12-2011" xfId="1497"/>
    <cellStyle name="3_KlQdinhduyet_Bieu4HTMT_KH TPCP vung TNB (03-1-2012)" xfId="1498"/>
    <cellStyle name="3_KlQdinhduyet_KH TPCP vung TNB (03-1-2012)" xfId="1499"/>
    <cellStyle name="3_ÿÿÿÿÿ" xfId="1500"/>
    <cellStyle name="4" xfId="1501"/>
    <cellStyle name="4_Book1" xfId="1502"/>
    <cellStyle name="4_Book1_1" xfId="1503"/>
    <cellStyle name="4_Book1_1_!1 1 bao cao giao KH ve HTCMT vung TNB   12-12-2011" xfId="1504"/>
    <cellStyle name="4_Book1_1_Bieu4HTMT" xfId="1505"/>
    <cellStyle name="4_Book1_1_Bieu4HTMT_!1 1 bao cao giao KH ve HTCMT vung TNB   12-12-2011" xfId="1506"/>
    <cellStyle name="4_Book1_1_Bieu4HTMT_KH TPCP vung TNB (03-1-2012)" xfId="1507"/>
    <cellStyle name="4_Book1_1_KH TPCP vung TNB (03-1-2012)" xfId="1508"/>
    <cellStyle name="4_Cau thuy dien Ban La (Cu Anh)" xfId="1509"/>
    <cellStyle name="4_Cau thuy dien Ban La (Cu Anh)_!1 1 bao cao giao KH ve HTCMT vung TNB   12-12-2011" xfId="1510"/>
    <cellStyle name="4_Cau thuy dien Ban La (Cu Anh)_Bieu4HTMT" xfId="1511"/>
    <cellStyle name="4_Cau thuy dien Ban La (Cu Anh)_Bieu4HTMT_!1 1 bao cao giao KH ve HTCMT vung TNB   12-12-2011" xfId="1512"/>
    <cellStyle name="4_Cau thuy dien Ban La (Cu Anh)_Bieu4HTMT_KH TPCP vung TNB (03-1-2012)" xfId="1513"/>
    <cellStyle name="4_Cau thuy dien Ban La (Cu Anh)_KH TPCP vung TNB (03-1-2012)" xfId="1514"/>
    <cellStyle name="4_Du toan 558 (Km17+508.12 - Km 22)" xfId="1515"/>
    <cellStyle name="4_Du toan 558 (Km17+508.12 - Km 22)_!1 1 bao cao giao KH ve HTCMT vung TNB   12-12-2011" xfId="1516"/>
    <cellStyle name="4_Du toan 558 (Km17+508.12 - Km 22)_Bieu4HTMT" xfId="1517"/>
    <cellStyle name="4_Du toan 558 (Km17+508.12 - Km 22)_Bieu4HTMT_!1 1 bao cao giao KH ve HTCMT vung TNB   12-12-2011" xfId="1518"/>
    <cellStyle name="4_Du toan 558 (Km17+508.12 - Km 22)_Bieu4HTMT_KH TPCP vung TNB (03-1-2012)" xfId="1519"/>
    <cellStyle name="4_Du toan 558 (Km17+508.12 - Km 22)_KH TPCP vung TNB (03-1-2012)" xfId="1520"/>
    <cellStyle name="4_Gia_VLQL48_duyet " xfId="1521"/>
    <cellStyle name="4_Gia_VLQL48_duyet _!1 1 bao cao giao KH ve HTCMT vung TNB   12-12-2011" xfId="1522"/>
    <cellStyle name="4_Gia_VLQL48_duyet _Bieu4HTMT" xfId="1523"/>
    <cellStyle name="4_Gia_VLQL48_duyet _Bieu4HTMT_!1 1 bao cao giao KH ve HTCMT vung TNB   12-12-2011" xfId="1524"/>
    <cellStyle name="4_Gia_VLQL48_duyet _Bieu4HTMT_KH TPCP vung TNB (03-1-2012)" xfId="1525"/>
    <cellStyle name="4_Gia_VLQL48_duyet _KH TPCP vung TNB (03-1-2012)" xfId="1526"/>
    <cellStyle name="4_KlQdinhduyet" xfId="1527"/>
    <cellStyle name="4_KlQdinhduyet_!1 1 bao cao giao KH ve HTCMT vung TNB   12-12-2011" xfId="1528"/>
    <cellStyle name="4_KlQdinhduyet_Bieu4HTMT" xfId="1529"/>
    <cellStyle name="4_KlQdinhduyet_Bieu4HTMT_!1 1 bao cao giao KH ve HTCMT vung TNB   12-12-2011" xfId="1530"/>
    <cellStyle name="4_KlQdinhduyet_Bieu4HTMT_KH TPCP vung TNB (03-1-2012)" xfId="1531"/>
    <cellStyle name="4_KlQdinhduyet_KH TPCP vung TNB (03-1-2012)" xfId="1532"/>
    <cellStyle name="4_ÿÿÿÿÿ" xfId="1533"/>
    <cellStyle name="40% - Accent1 2" xfId="25"/>
    <cellStyle name="40% - Accent2 2" xfId="26"/>
    <cellStyle name="40% - Accent3 2" xfId="27"/>
    <cellStyle name="40% - Accent4 2" xfId="28"/>
    <cellStyle name="40% - Accent5 2" xfId="29"/>
    <cellStyle name="40% - Accent6 2" xfId="30"/>
    <cellStyle name="52" xfId="1534"/>
    <cellStyle name="6" xfId="1535"/>
    <cellStyle name="6_15_10_2013 BC nhu cau von doi ung ODA (2014-2016) ngay 15102013 Sua" xfId="1536"/>
    <cellStyle name="6_BC nhu cau von doi ung ODA nganh NN (BKH)" xfId="1537"/>
    <cellStyle name="6_BC nhu cau von doi ung ODA nganh NN (BKH)_05-12  KH trung han 2016-2020 - Liem Thinh edited" xfId="1538"/>
    <cellStyle name="6_BC nhu cau von doi ung ODA nganh NN (BKH)_Copy of 05-12  KH trung han 2016-2020 - Liem Thinh edited (1)" xfId="1539"/>
    <cellStyle name="6_BC Tai co cau (bieu TH)" xfId="1540"/>
    <cellStyle name="6_BC Tai co cau (bieu TH)_05-12  KH trung han 2016-2020 - Liem Thinh edited" xfId="1541"/>
    <cellStyle name="6_BC Tai co cau (bieu TH)_Copy of 05-12  KH trung han 2016-2020 - Liem Thinh edited (1)" xfId="1542"/>
    <cellStyle name="6_Cong trinh co y kien LD_Dang_NN_2011-Tay nguyen-9-10" xfId="1543"/>
    <cellStyle name="6_Cong trinh co y kien LD_Dang_NN_2011-Tay nguyen-9-10_!1 1 bao cao giao KH ve HTCMT vung TNB   12-12-2011" xfId="1544"/>
    <cellStyle name="6_Cong trinh co y kien LD_Dang_NN_2011-Tay nguyen-9-10_Bieu4HTMT" xfId="1545"/>
    <cellStyle name="6_Cong trinh co y kien LD_Dang_NN_2011-Tay nguyen-9-10_Bieu4HTMT_!1 1 bao cao giao KH ve HTCMT vung TNB   12-12-2011" xfId="1546"/>
    <cellStyle name="6_Cong trinh co y kien LD_Dang_NN_2011-Tay nguyen-9-10_Bieu4HTMT_KH TPCP vung TNB (03-1-2012)" xfId="1547"/>
    <cellStyle name="6_Cong trinh co y kien LD_Dang_NN_2011-Tay nguyen-9-10_KH TPCP vung TNB (03-1-2012)" xfId="1548"/>
    <cellStyle name="6_DK 2014-2015 final" xfId="1549"/>
    <cellStyle name="6_DK 2014-2015 final_05-12  KH trung han 2016-2020 - Liem Thinh edited" xfId="1550"/>
    <cellStyle name="6_DK 2014-2015 final_Copy of 05-12  KH trung han 2016-2020 - Liem Thinh edited (1)" xfId="1551"/>
    <cellStyle name="6_DK 2014-2015 new" xfId="1552"/>
    <cellStyle name="6_DK 2014-2015 new_05-12  KH trung han 2016-2020 - Liem Thinh edited" xfId="1553"/>
    <cellStyle name="6_DK 2014-2015 new_Copy of 05-12  KH trung han 2016-2020 - Liem Thinh edited (1)" xfId="1554"/>
    <cellStyle name="6_DK KH CBDT 2014 11-11-2013" xfId="1555"/>
    <cellStyle name="6_DK KH CBDT 2014 11-11-2013(1)" xfId="1556"/>
    <cellStyle name="6_DK KH CBDT 2014 11-11-2013(1)_05-12  KH trung han 2016-2020 - Liem Thinh edited" xfId="1557"/>
    <cellStyle name="6_DK KH CBDT 2014 11-11-2013(1)_Copy of 05-12  KH trung han 2016-2020 - Liem Thinh edited (1)" xfId="1558"/>
    <cellStyle name="6_DK KH CBDT 2014 11-11-2013_05-12  KH trung han 2016-2020 - Liem Thinh edited" xfId="1559"/>
    <cellStyle name="6_DK KH CBDT 2014 11-11-2013_Copy of 05-12  KH trung han 2016-2020 - Liem Thinh edited (1)" xfId="1560"/>
    <cellStyle name="6_KH 2011-2015" xfId="1561"/>
    <cellStyle name="6_tai co cau dau tu (tong hop)1" xfId="1562"/>
    <cellStyle name="6_TN - Ho tro khac 2011" xfId="1563"/>
    <cellStyle name="6_TN - Ho tro khac 2011_!1 1 bao cao giao KH ve HTCMT vung TNB   12-12-2011" xfId="1564"/>
    <cellStyle name="6_TN - Ho tro khac 2011_Bieu4HTMT" xfId="1565"/>
    <cellStyle name="6_TN - Ho tro khac 2011_Bieu4HTMT_!1 1 bao cao giao KH ve HTCMT vung TNB   12-12-2011" xfId="1566"/>
    <cellStyle name="6_TN - Ho tro khac 2011_Bieu4HTMT_KH TPCP vung TNB (03-1-2012)" xfId="1567"/>
    <cellStyle name="6_TN - Ho tro khac 2011_KH TPCP vung TNB (03-1-2012)" xfId="1568"/>
    <cellStyle name="60% - Accent1 2" xfId="31"/>
    <cellStyle name="60% - Accent2 2" xfId="32"/>
    <cellStyle name="60% - Accent3 2" xfId="33"/>
    <cellStyle name="60% - Accent4 2" xfId="34"/>
    <cellStyle name="60% - Accent5 2" xfId="35"/>
    <cellStyle name="60% - Accent6 2" xfId="36"/>
    <cellStyle name="9" xfId="1569"/>
    <cellStyle name="9_!1 1 bao cao giao KH ve HTCMT vung TNB   12-12-2011" xfId="1570"/>
    <cellStyle name="9_Bieu4HTMT" xfId="1571"/>
    <cellStyle name="9_Bieu4HTMT_!1 1 bao cao giao KH ve HTCMT vung TNB   12-12-2011" xfId="1572"/>
    <cellStyle name="9_Bieu4HTMT_KH TPCP vung TNB (03-1-2012)" xfId="1573"/>
    <cellStyle name="9_KH TPCP vung TNB (03-1-2012)" xfId="1574"/>
    <cellStyle name="Accent1 2" xfId="37"/>
    <cellStyle name="Accent2 2" xfId="38"/>
    <cellStyle name="Accent3 2" xfId="39"/>
    <cellStyle name="Accent4 2" xfId="40"/>
    <cellStyle name="Accent5 2" xfId="41"/>
    <cellStyle name="Accent6 2" xfId="42"/>
    <cellStyle name="ÅëÈ­ [0]_      " xfId="1575"/>
    <cellStyle name="AeE­ [0]_INQUIRY ¿?¾÷AßAø " xfId="1576"/>
    <cellStyle name="ÅëÈ­ [0]_L601CPT" xfId="1577"/>
    <cellStyle name="ÅëÈ­_      " xfId="1578"/>
    <cellStyle name="AeE­_INQUIRY ¿?¾÷AßAø " xfId="1579"/>
    <cellStyle name="ÅëÈ­_L601CPT" xfId="1580"/>
    <cellStyle name="args.style" xfId="1581"/>
    <cellStyle name="args.style 2" xfId="1582"/>
    <cellStyle name="at" xfId="1583"/>
    <cellStyle name="ÄÞ¸¶ [0]_      " xfId="1584"/>
    <cellStyle name="AÞ¸¶ [0]_INQUIRY ¿?¾÷AßAø " xfId="43"/>
    <cellStyle name="ÄÞ¸¶ [0]_L601CPT" xfId="1585"/>
    <cellStyle name="ÄÞ¸¶_      " xfId="1586"/>
    <cellStyle name="AÞ¸¶_INQUIRY ¿?¾÷AßAø " xfId="44"/>
    <cellStyle name="ÄÞ¸¶_L601CPT" xfId="1587"/>
    <cellStyle name="AutoFormat Options" xfId="1588"/>
    <cellStyle name="AutoFormat Options 2" xfId="1589"/>
    <cellStyle name="Bad 2" xfId="45"/>
    <cellStyle name="Bangchu" xfId="1590"/>
    <cellStyle name="Body" xfId="1591"/>
    <cellStyle name="C?AØ_¿?¾÷CoE² " xfId="46"/>
    <cellStyle name="C~1" xfId="1592"/>
    <cellStyle name="Ç¥ÁØ_      " xfId="1593"/>
    <cellStyle name="C￥AØ_¿μ¾÷CoE² " xfId="47"/>
    <cellStyle name="Ç¥ÁØ_±¸¹Ì´ëÃ¥" xfId="1594"/>
    <cellStyle name="C￥AØ_Sheet1_¿μ¾÷CoE² " xfId="1595"/>
    <cellStyle name="Ç¥ÁØ_ÿÿÿÿÿÿ_4_ÃÑÇÕ°è " xfId="1596"/>
    <cellStyle name="Calc Currency (0)" xfId="1597"/>
    <cellStyle name="Calc Currency (0) 2" xfId="1598"/>
    <cellStyle name="Calc Currency (2)" xfId="1599"/>
    <cellStyle name="Calc Currency (2) 10" xfId="1600"/>
    <cellStyle name="Calc Currency (2) 11" xfId="1601"/>
    <cellStyle name="Calc Currency (2) 12" xfId="1602"/>
    <cellStyle name="Calc Currency (2) 13" xfId="1603"/>
    <cellStyle name="Calc Currency (2) 14" xfId="1604"/>
    <cellStyle name="Calc Currency (2) 15" xfId="1605"/>
    <cellStyle name="Calc Currency (2) 16" xfId="1606"/>
    <cellStyle name="Calc Currency (2) 2" xfId="1607"/>
    <cellStyle name="Calc Currency (2) 3" xfId="1608"/>
    <cellStyle name="Calc Currency (2) 4" xfId="1609"/>
    <cellStyle name="Calc Currency (2) 5" xfId="1610"/>
    <cellStyle name="Calc Currency (2) 6" xfId="1611"/>
    <cellStyle name="Calc Currency (2) 7" xfId="1612"/>
    <cellStyle name="Calc Currency (2) 8" xfId="1613"/>
    <cellStyle name="Calc Currency (2) 9" xfId="1614"/>
    <cellStyle name="Calc Percent (0)" xfId="1615"/>
    <cellStyle name="Calc Percent (0) 10" xfId="1616"/>
    <cellStyle name="Calc Percent (0) 11" xfId="1617"/>
    <cellStyle name="Calc Percent (0) 12" xfId="1618"/>
    <cellStyle name="Calc Percent (0) 13" xfId="1619"/>
    <cellStyle name="Calc Percent (0) 14" xfId="1620"/>
    <cellStyle name="Calc Percent (0) 15" xfId="1621"/>
    <cellStyle name="Calc Percent (0) 16" xfId="1622"/>
    <cellStyle name="Calc Percent (0) 2" xfId="1623"/>
    <cellStyle name="Calc Percent (0) 3" xfId="1624"/>
    <cellStyle name="Calc Percent (0) 4" xfId="1625"/>
    <cellStyle name="Calc Percent (0) 5" xfId="1626"/>
    <cellStyle name="Calc Percent (0) 6" xfId="1627"/>
    <cellStyle name="Calc Percent (0) 7" xfId="1628"/>
    <cellStyle name="Calc Percent (0) 8" xfId="1629"/>
    <cellStyle name="Calc Percent (0) 9" xfId="1630"/>
    <cellStyle name="Calc Percent (1)" xfId="1631"/>
    <cellStyle name="Calc Percent (1) 10" xfId="1632"/>
    <cellStyle name="Calc Percent (1) 11" xfId="1633"/>
    <cellStyle name="Calc Percent (1) 12" xfId="1634"/>
    <cellStyle name="Calc Percent (1) 13" xfId="1635"/>
    <cellStyle name="Calc Percent (1) 14" xfId="1636"/>
    <cellStyle name="Calc Percent (1) 15" xfId="1637"/>
    <cellStyle name="Calc Percent (1) 16" xfId="1638"/>
    <cellStyle name="Calc Percent (1) 2" xfId="1639"/>
    <cellStyle name="Calc Percent (1) 3" xfId="1640"/>
    <cellStyle name="Calc Percent (1) 4" xfId="1641"/>
    <cellStyle name="Calc Percent (1) 5" xfId="1642"/>
    <cellStyle name="Calc Percent (1) 6" xfId="1643"/>
    <cellStyle name="Calc Percent (1) 7" xfId="1644"/>
    <cellStyle name="Calc Percent (1) 8" xfId="1645"/>
    <cellStyle name="Calc Percent (1) 9" xfId="1646"/>
    <cellStyle name="Calc Percent (2)" xfId="1647"/>
    <cellStyle name="Calc Percent (2) 10" xfId="1648"/>
    <cellStyle name="Calc Percent (2) 11" xfId="1649"/>
    <cellStyle name="Calc Percent (2) 12" xfId="1650"/>
    <cellStyle name="Calc Percent (2) 13" xfId="1651"/>
    <cellStyle name="Calc Percent (2) 14" xfId="1652"/>
    <cellStyle name="Calc Percent (2) 15" xfId="1653"/>
    <cellStyle name="Calc Percent (2) 16" xfId="1654"/>
    <cellStyle name="Calc Percent (2) 2" xfId="1655"/>
    <cellStyle name="Calc Percent (2) 3" xfId="1656"/>
    <cellStyle name="Calc Percent (2) 4" xfId="1657"/>
    <cellStyle name="Calc Percent (2) 5" xfId="1658"/>
    <cellStyle name="Calc Percent (2) 6" xfId="1659"/>
    <cellStyle name="Calc Percent (2) 7" xfId="1660"/>
    <cellStyle name="Calc Percent (2) 8" xfId="1661"/>
    <cellStyle name="Calc Percent (2) 9" xfId="1662"/>
    <cellStyle name="Calc Units (0)" xfId="1663"/>
    <cellStyle name="Calc Units (0) 10" xfId="1664"/>
    <cellStyle name="Calc Units (0) 11" xfId="1665"/>
    <cellStyle name="Calc Units (0) 12" xfId="1666"/>
    <cellStyle name="Calc Units (0) 13" xfId="1667"/>
    <cellStyle name="Calc Units (0) 14" xfId="1668"/>
    <cellStyle name="Calc Units (0) 15" xfId="1669"/>
    <cellStyle name="Calc Units (0) 16" xfId="1670"/>
    <cellStyle name="Calc Units (0) 2" xfId="1671"/>
    <cellStyle name="Calc Units (0) 3" xfId="1672"/>
    <cellStyle name="Calc Units (0) 4" xfId="1673"/>
    <cellStyle name="Calc Units (0) 5" xfId="1674"/>
    <cellStyle name="Calc Units (0) 6" xfId="1675"/>
    <cellStyle name="Calc Units (0) 7" xfId="1676"/>
    <cellStyle name="Calc Units (0) 8" xfId="1677"/>
    <cellStyle name="Calc Units (0) 9" xfId="1678"/>
    <cellStyle name="Calc Units (1)" xfId="1679"/>
    <cellStyle name="Calc Units (1) 10" xfId="1680"/>
    <cellStyle name="Calc Units (1) 11" xfId="1681"/>
    <cellStyle name="Calc Units (1) 12" xfId="1682"/>
    <cellStyle name="Calc Units (1) 13" xfId="1683"/>
    <cellStyle name="Calc Units (1) 14" xfId="1684"/>
    <cellStyle name="Calc Units (1) 15" xfId="1685"/>
    <cellStyle name="Calc Units (1) 16" xfId="1686"/>
    <cellStyle name="Calc Units (1) 2" xfId="1687"/>
    <cellStyle name="Calc Units (1) 3" xfId="1688"/>
    <cellStyle name="Calc Units (1) 4" xfId="1689"/>
    <cellStyle name="Calc Units (1) 5" xfId="1690"/>
    <cellStyle name="Calc Units (1) 6" xfId="1691"/>
    <cellStyle name="Calc Units (1) 7" xfId="1692"/>
    <cellStyle name="Calc Units (1) 8" xfId="1693"/>
    <cellStyle name="Calc Units (1) 9" xfId="1694"/>
    <cellStyle name="Calc Units (2)" xfId="1695"/>
    <cellStyle name="Calc Units (2) 10" xfId="1696"/>
    <cellStyle name="Calc Units (2) 11" xfId="1697"/>
    <cellStyle name="Calc Units (2) 12" xfId="1698"/>
    <cellStyle name="Calc Units (2) 13" xfId="1699"/>
    <cellStyle name="Calc Units (2) 14" xfId="1700"/>
    <cellStyle name="Calc Units (2) 15" xfId="1701"/>
    <cellStyle name="Calc Units (2) 16" xfId="1702"/>
    <cellStyle name="Calc Units (2) 2" xfId="1703"/>
    <cellStyle name="Calc Units (2) 3" xfId="1704"/>
    <cellStyle name="Calc Units (2) 4" xfId="1705"/>
    <cellStyle name="Calc Units (2) 5" xfId="1706"/>
    <cellStyle name="Calc Units (2) 6" xfId="1707"/>
    <cellStyle name="Calc Units (2) 7" xfId="1708"/>
    <cellStyle name="Calc Units (2) 8" xfId="1709"/>
    <cellStyle name="Calc Units (2) 9" xfId="1710"/>
    <cellStyle name="Calculation 2" xfId="48"/>
    <cellStyle name="Calculation 2 2" xfId="156"/>
    <cellStyle name="category" xfId="49"/>
    <cellStyle name="category 2" xfId="1711"/>
    <cellStyle name="Centered Heading" xfId="1712"/>
    <cellStyle name="Cerrency_Sheet2_XANGDAU" xfId="1713"/>
    <cellStyle name="Check Cell 2" xfId="50"/>
    <cellStyle name="Check Cell 2 2" xfId="1714"/>
    <cellStyle name="Chi phÝ kh¸c_Book1" xfId="1715"/>
    <cellStyle name="CHUONG" xfId="1716"/>
    <cellStyle name="Column_Title" xfId="1717"/>
    <cellStyle name="Comma" xfId="1" builtinId="3"/>
    <cellStyle name="Comma  - Style1" xfId="1718"/>
    <cellStyle name="Comma  - Style2" xfId="1719"/>
    <cellStyle name="Comma  - Style3" xfId="1720"/>
    <cellStyle name="Comma  - Style4" xfId="1721"/>
    <cellStyle name="Comma  - Style5" xfId="1722"/>
    <cellStyle name="Comma  - Style6" xfId="1723"/>
    <cellStyle name="Comma  - Style7" xfId="1724"/>
    <cellStyle name="Comma  - Style8" xfId="1725"/>
    <cellStyle name="Comma %" xfId="1726"/>
    <cellStyle name="Comma % 10" xfId="1727"/>
    <cellStyle name="Comma % 11" xfId="1728"/>
    <cellStyle name="Comma % 12" xfId="1729"/>
    <cellStyle name="Comma % 13" xfId="1730"/>
    <cellStyle name="Comma % 14" xfId="1731"/>
    <cellStyle name="Comma % 15" xfId="1732"/>
    <cellStyle name="Comma % 2" xfId="1733"/>
    <cellStyle name="Comma % 3" xfId="1734"/>
    <cellStyle name="Comma % 4" xfId="1735"/>
    <cellStyle name="Comma % 5" xfId="1736"/>
    <cellStyle name="Comma % 6" xfId="1737"/>
    <cellStyle name="Comma % 7" xfId="1738"/>
    <cellStyle name="Comma % 8" xfId="1739"/>
    <cellStyle name="Comma % 9" xfId="1740"/>
    <cellStyle name="Comma [ ,]" xfId="51"/>
    <cellStyle name="Comma [ ,] 2" xfId="157"/>
    <cellStyle name="Comma [0] 10" xfId="1741"/>
    <cellStyle name="Comma [0] 11" xfId="1742"/>
    <cellStyle name="Comma [0] 11 2" xfId="1743"/>
    <cellStyle name="Comma [0] 12" xfId="1744"/>
    <cellStyle name="Comma [0] 12 2" xfId="1745"/>
    <cellStyle name="Comma [0] 2" xfId="1746"/>
    <cellStyle name="Comma [0] 2 10" xfId="1747"/>
    <cellStyle name="Comma [0] 2 11" xfId="1748"/>
    <cellStyle name="Comma [0] 2 12" xfId="1749"/>
    <cellStyle name="Comma [0] 2 13" xfId="1750"/>
    <cellStyle name="Comma [0] 2 14" xfId="1751"/>
    <cellStyle name="Comma [0] 2 15" xfId="1752"/>
    <cellStyle name="Comma [0] 2 16" xfId="1753"/>
    <cellStyle name="Comma [0] 2 17" xfId="1754"/>
    <cellStyle name="Comma [0] 2 18" xfId="1755"/>
    <cellStyle name="Comma [0] 2 19" xfId="1756"/>
    <cellStyle name="Comma [0] 2 2" xfId="1757"/>
    <cellStyle name="Comma [0] 2 2 2" xfId="1758"/>
    <cellStyle name="Comma [0] 2 2 3" xfId="1759"/>
    <cellStyle name="Comma [0] 2 2 3 2" xfId="1760"/>
    <cellStyle name="Comma [0] 2 2 3 2 2" xfId="1761"/>
    <cellStyle name="Comma [0] 2 2 3 2 2 2" xfId="1762"/>
    <cellStyle name="Comma [0] 2 2 3 2 2 3" xfId="1763"/>
    <cellStyle name="Comma [0] 2 2 3 2 3" xfId="1764"/>
    <cellStyle name="Comma [0] 2 2 3 2 4" xfId="1765"/>
    <cellStyle name="Comma [0] 2 2 3 3" xfId="1766"/>
    <cellStyle name="Comma [0] 2 2 3 3 2" xfId="1767"/>
    <cellStyle name="Comma [0] 2 2 3 3 3" xfId="1768"/>
    <cellStyle name="Comma [0] 2 2 3 4" xfId="1769"/>
    <cellStyle name="Comma [0] 2 2 3 5" xfId="1770"/>
    <cellStyle name="Comma [0] 2 2 4" xfId="1771"/>
    <cellStyle name="Comma [0] 2 2 4 2" xfId="1772"/>
    <cellStyle name="Comma [0] 2 2 4 2 2" xfId="1773"/>
    <cellStyle name="Comma [0] 2 2 4 2 3" xfId="1774"/>
    <cellStyle name="Comma [0] 2 2 4 3" xfId="1775"/>
    <cellStyle name="Comma [0] 2 2 4 4" xfId="1776"/>
    <cellStyle name="Comma [0] 2 20" xfId="1777"/>
    <cellStyle name="Comma [0] 2 21" xfId="1778"/>
    <cellStyle name="Comma [0] 2 22" xfId="1779"/>
    <cellStyle name="Comma [0] 2 23" xfId="1780"/>
    <cellStyle name="Comma [0] 2 24" xfId="1781"/>
    <cellStyle name="Comma [0] 2 25" xfId="1782"/>
    <cellStyle name="Comma [0] 2 26" xfId="1783"/>
    <cellStyle name="Comma [0] 2 3" xfId="1784"/>
    <cellStyle name="Comma [0] 2 4" xfId="1785"/>
    <cellStyle name="Comma [0] 2 5" xfId="1786"/>
    <cellStyle name="Comma [0] 2 6" xfId="1787"/>
    <cellStyle name="Comma [0] 2 7" xfId="1788"/>
    <cellStyle name="Comma [0] 2 8" xfId="1789"/>
    <cellStyle name="Comma [0] 2 9" xfId="1790"/>
    <cellStyle name="Comma [0] 2_05-12  KH trung han 2016-2020 - Liem Thinh edited" xfId="1791"/>
    <cellStyle name="Comma [0] 3" xfId="1792"/>
    <cellStyle name="Comma [0] 3 2" xfId="1793"/>
    <cellStyle name="Comma [0] 3 2 2" xfId="1794"/>
    <cellStyle name="Comma [0] 3 3" xfId="1795"/>
    <cellStyle name="Comma [0] 4" xfId="1796"/>
    <cellStyle name="Comma [0] 5" xfId="1797"/>
    <cellStyle name="Comma [0] 6" xfId="1798"/>
    <cellStyle name="Comma [0] 7" xfId="1799"/>
    <cellStyle name="Comma [0] 8" xfId="1800"/>
    <cellStyle name="Comma [0] 9" xfId="1801"/>
    <cellStyle name="Comma [00]" xfId="1802"/>
    <cellStyle name="Comma [00] 10" xfId="1803"/>
    <cellStyle name="Comma [00] 11" xfId="1804"/>
    <cellStyle name="Comma [00] 12" xfId="1805"/>
    <cellStyle name="Comma [00] 13" xfId="1806"/>
    <cellStyle name="Comma [00] 14" xfId="1807"/>
    <cellStyle name="Comma [00] 15" xfId="1808"/>
    <cellStyle name="Comma [00] 16" xfId="1809"/>
    <cellStyle name="Comma [00] 2" xfId="1810"/>
    <cellStyle name="Comma [00] 3" xfId="1811"/>
    <cellStyle name="Comma [00] 4" xfId="1812"/>
    <cellStyle name="Comma [00] 5" xfId="1813"/>
    <cellStyle name="Comma [00] 6" xfId="1814"/>
    <cellStyle name="Comma [00] 7" xfId="1815"/>
    <cellStyle name="Comma [00] 8" xfId="1816"/>
    <cellStyle name="Comma [00] 9" xfId="1817"/>
    <cellStyle name="Comma 0.0" xfId="1818"/>
    <cellStyle name="Comma 0.0%" xfId="1819"/>
    <cellStyle name="Comma 0.00" xfId="1820"/>
    <cellStyle name="Comma 0.00%" xfId="1821"/>
    <cellStyle name="Comma 0.000" xfId="1822"/>
    <cellStyle name="Comma 0.000%" xfId="1823"/>
    <cellStyle name="Comma 10" xfId="182"/>
    <cellStyle name="Comma 10 10" xfId="1824"/>
    <cellStyle name="Comma 10 10 10" xfId="1825"/>
    <cellStyle name="Comma 10 10 2" xfId="1826"/>
    <cellStyle name="Comma 10 10 2 2" xfId="1827"/>
    <cellStyle name="Comma 10 10 2 3" xfId="1828"/>
    <cellStyle name="Comma 10 10 2 4" xfId="1829"/>
    <cellStyle name="Comma 10 10 3" xfId="1830"/>
    <cellStyle name="Comma 10 10 4" xfId="1831"/>
    <cellStyle name="Comma 10 2" xfId="52"/>
    <cellStyle name="Comma 10 2 2" xfId="1832"/>
    <cellStyle name="Comma 10 3" xfId="1833"/>
    <cellStyle name="Comma 10 3 2" xfId="1834"/>
    <cellStyle name="Comma 10 3 3 2" xfId="1835"/>
    <cellStyle name="Comma 10 4" xfId="1836"/>
    <cellStyle name="Comma 11" xfId="189"/>
    <cellStyle name="Comma 11 2" xfId="1837"/>
    <cellStyle name="Comma 11 3" xfId="1838"/>
    <cellStyle name="Comma 11 4" xfId="1839"/>
    <cellStyle name="Comma 12" xfId="1840"/>
    <cellStyle name="Comma 12 2" xfId="1841"/>
    <cellStyle name="Comma 12 2 2" xfId="1842"/>
    <cellStyle name="Comma 12 3" xfId="1843"/>
    <cellStyle name="Comma 13" xfId="150"/>
    <cellStyle name="Comma 13 2" xfId="1844"/>
    <cellStyle name="Comma 13 2 2" xfId="1845"/>
    <cellStyle name="Comma 13 2 2 2" xfId="1846"/>
    <cellStyle name="Comma 13 2 2 2 2 2 4" xfId="1847"/>
    <cellStyle name="Comma 13 2 2 3" xfId="1848"/>
    <cellStyle name="Comma 13 2 2 4" xfId="1849"/>
    <cellStyle name="Comma 13 2 2 4 2" xfId="1850"/>
    <cellStyle name="Comma 13 2 3" xfId="1851"/>
    <cellStyle name="Comma 13 2 3 2" xfId="1852"/>
    <cellStyle name="Comma 13 2 4" xfId="1853"/>
    <cellStyle name="Comma 13 2 5" xfId="1854"/>
    <cellStyle name="Comma 13 3" xfId="1855"/>
    <cellStyle name="Comma 13 4" xfId="1856"/>
    <cellStyle name="Comma 14" xfId="1857"/>
    <cellStyle name="Comma 14 2" xfId="1858"/>
    <cellStyle name="Comma 14 2 2" xfId="1859"/>
    <cellStyle name="Comma 14 3" xfId="1860"/>
    <cellStyle name="Comma 15" xfId="1861"/>
    <cellStyle name="Comma 15 2" xfId="1862"/>
    <cellStyle name="Comma 15 3" xfId="1863"/>
    <cellStyle name="Comma 16" xfId="1864"/>
    <cellStyle name="Comma 16 2" xfId="1865"/>
    <cellStyle name="Comma 16 3" xfId="1866"/>
    <cellStyle name="Comma 16 3 2" xfId="1867"/>
    <cellStyle name="Comma 16 3 2 2" xfId="1868"/>
    <cellStyle name="Comma 16 3 2 2 2" xfId="1869"/>
    <cellStyle name="Comma 16 3 2 2 2 2" xfId="1870"/>
    <cellStyle name="Comma 16 3 2 2 2 3" xfId="1871"/>
    <cellStyle name="Comma 16 3 2 2 3" xfId="1872"/>
    <cellStyle name="Comma 16 3 2 2 4" xfId="1873"/>
    <cellStyle name="Comma 16 3 2 3" xfId="1874"/>
    <cellStyle name="Comma 16 3 2 3 2" xfId="1875"/>
    <cellStyle name="Comma 16 3 2 3 3" xfId="1876"/>
    <cellStyle name="Comma 16 3 2 4" xfId="1877"/>
    <cellStyle name="Comma 16 3 2 5" xfId="1878"/>
    <cellStyle name="Comma 16 3 2 6 2 2 2" xfId="1879"/>
    <cellStyle name="Comma 16 3 2 6 2 2 2 2" xfId="1880"/>
    <cellStyle name="Comma 16 3 3" xfId="1881"/>
    <cellStyle name="Comma 16 3 3 2" xfId="1882"/>
    <cellStyle name="Comma 16 3 3 2 2" xfId="1883"/>
    <cellStyle name="Comma 16 3 3 2 2 2" xfId="1884"/>
    <cellStyle name="Comma 16 3 3 2 2 3" xfId="1885"/>
    <cellStyle name="Comma 16 3 3 2 3" xfId="1886"/>
    <cellStyle name="Comma 16 3 3 2 4" xfId="1887"/>
    <cellStyle name="Comma 16 3 3 3" xfId="1888"/>
    <cellStyle name="Comma 16 3 3 3 2" xfId="1889"/>
    <cellStyle name="Comma 16 3 3 3 3" xfId="1890"/>
    <cellStyle name="Comma 16 3 3 4" xfId="1891"/>
    <cellStyle name="Comma 16 3 3 5" xfId="1892"/>
    <cellStyle name="Comma 16 3 4" xfId="1893"/>
    <cellStyle name="Comma 16 3 4 2" xfId="1894"/>
    <cellStyle name="Comma 16 3 4 2 2" xfId="1895"/>
    <cellStyle name="Comma 16 3 4 2 3" xfId="1896"/>
    <cellStyle name="Comma 16 3 4 3" xfId="1897"/>
    <cellStyle name="Comma 16 3 4 4" xfId="1898"/>
    <cellStyle name="Comma 16 3 5" xfId="1899"/>
    <cellStyle name="Comma 16 3 5 2" xfId="1900"/>
    <cellStyle name="Comma 16 3 5 3" xfId="1901"/>
    <cellStyle name="Comma 16 3 6" xfId="1902"/>
    <cellStyle name="Comma 16 3 7" xfId="1903"/>
    <cellStyle name="Comma 17" xfId="1904"/>
    <cellStyle name="Comma 17 2" xfId="1905"/>
    <cellStyle name="Comma 17 3" xfId="1906"/>
    <cellStyle name="Comma 17 4" xfId="1907"/>
    <cellStyle name="Comma 18" xfId="1908"/>
    <cellStyle name="Comma 18 2" xfId="1909"/>
    <cellStyle name="Comma 18 3" xfId="1910"/>
    <cellStyle name="Comma 19" xfId="1911"/>
    <cellStyle name="Comma 19 2" xfId="1912"/>
    <cellStyle name="Comma 2" xfId="7"/>
    <cellStyle name="Comma 2 10" xfId="1913"/>
    <cellStyle name="Comma 2 11" xfId="1914"/>
    <cellStyle name="Comma 2 12" xfId="1915"/>
    <cellStyle name="Comma 2 13" xfId="1916"/>
    <cellStyle name="Comma 2 14" xfId="1917"/>
    <cellStyle name="Comma 2 15" xfId="1918"/>
    <cellStyle name="Comma 2 16" xfId="1919"/>
    <cellStyle name="Comma 2 17" xfId="1920"/>
    <cellStyle name="Comma 2 18" xfId="1921"/>
    <cellStyle name="Comma 2 19" xfId="1922"/>
    <cellStyle name="Comma 2 2" xfId="10"/>
    <cellStyle name="Comma 2 2 10" xfId="1923"/>
    <cellStyle name="Comma 2 2 11" xfId="1924"/>
    <cellStyle name="Comma 2 2 12" xfId="1925"/>
    <cellStyle name="Comma 2 2 13" xfId="1926"/>
    <cellStyle name="Comma 2 2 14" xfId="1927"/>
    <cellStyle name="Comma 2 2 15" xfId="1928"/>
    <cellStyle name="Comma 2 2 16" xfId="1929"/>
    <cellStyle name="Comma 2 2 17" xfId="1930"/>
    <cellStyle name="Comma 2 2 18" xfId="1931"/>
    <cellStyle name="Comma 2 2 19" xfId="1932"/>
    <cellStyle name="Comma 2 2 2" xfId="176"/>
    <cellStyle name="Comma 2 2 2 10" xfId="1933"/>
    <cellStyle name="Comma 2 2 2 11" xfId="1934"/>
    <cellStyle name="Comma 2 2 2 12" xfId="1935"/>
    <cellStyle name="Comma 2 2 2 13" xfId="1936"/>
    <cellStyle name="Comma 2 2 2 14" xfId="1937"/>
    <cellStyle name="Comma 2 2 2 15" xfId="1938"/>
    <cellStyle name="Comma 2 2 2 16" xfId="1939"/>
    <cellStyle name="Comma 2 2 2 17" xfId="1940"/>
    <cellStyle name="Comma 2 2 2 18" xfId="1941"/>
    <cellStyle name="Comma 2 2 2 19" xfId="1942"/>
    <cellStyle name="Comma 2 2 2 2" xfId="1943"/>
    <cellStyle name="Comma 2 2 2 2 2 2" xfId="1944"/>
    <cellStyle name="Comma 2 2 2 20" xfId="1945"/>
    <cellStyle name="Comma 2 2 2 21" xfId="1946"/>
    <cellStyle name="Comma 2 2 2 22" xfId="1947"/>
    <cellStyle name="Comma 2 2 2 23" xfId="1948"/>
    <cellStyle name="Comma 2 2 2 24" xfId="1949"/>
    <cellStyle name="Comma 2 2 2 3" xfId="1950"/>
    <cellStyle name="Comma 2 2 2 4" xfId="1951"/>
    <cellStyle name="Comma 2 2 2 5" xfId="1952"/>
    <cellStyle name="Comma 2 2 2 6" xfId="1953"/>
    <cellStyle name="Comma 2 2 2 7" xfId="1954"/>
    <cellStyle name="Comma 2 2 2 8" xfId="1955"/>
    <cellStyle name="Comma 2 2 2 9" xfId="1956"/>
    <cellStyle name="Comma 2 2 20" xfId="1957"/>
    <cellStyle name="Comma 2 2 21" xfId="1958"/>
    <cellStyle name="Comma 2 2 22" xfId="1959"/>
    <cellStyle name="Comma 2 2 23" xfId="1960"/>
    <cellStyle name="Comma 2 2 24" xfId="1961"/>
    <cellStyle name="Comma 2 2 25" xfId="1962"/>
    <cellStyle name="Comma 2 2 26" xfId="1963"/>
    <cellStyle name="Comma 2 2 3" xfId="183"/>
    <cellStyle name="Comma 2 2 4" xfId="1964"/>
    <cellStyle name="Comma 2 2 5" xfId="1965"/>
    <cellStyle name="Comma 2 2 6" xfId="1966"/>
    <cellStyle name="Comma 2 2 7" xfId="1967"/>
    <cellStyle name="Comma 2 2 8" xfId="1968"/>
    <cellStyle name="Comma 2 2 9" xfId="1969"/>
    <cellStyle name="Comma 2 2_05-12  KH trung han 2016-2020 - Liem Thinh edited" xfId="1970"/>
    <cellStyle name="Comma 2 20" xfId="1971"/>
    <cellStyle name="Comma 2 21" xfId="1972"/>
    <cellStyle name="Comma 2 22" xfId="1973"/>
    <cellStyle name="Comma 2 23" xfId="1974"/>
    <cellStyle name="Comma 2 24" xfId="1975"/>
    <cellStyle name="Comma 2 25" xfId="1976"/>
    <cellStyle name="Comma 2 26" xfId="1977"/>
    <cellStyle name="Comma 2 27" xfId="1978"/>
    <cellStyle name="Comma 2 28" xfId="1979"/>
    <cellStyle name="Comma 2 3" xfId="53"/>
    <cellStyle name="Comma 2 3 2" xfId="1980"/>
    <cellStyle name="Comma 2 3 2 11 5" xfId="1981"/>
    <cellStyle name="Comma 2 3 2 2" xfId="1982"/>
    <cellStyle name="Comma 2 3 2 3" xfId="1983"/>
    <cellStyle name="Comma 2 3 2 7 9" xfId="1984"/>
    <cellStyle name="Comma 2 3 3" xfId="1985"/>
    <cellStyle name="Comma 2 3 4" xfId="1986"/>
    <cellStyle name="Comma 2 4" xfId="54"/>
    <cellStyle name="Comma 2 4 2" xfId="1987"/>
    <cellStyle name="Comma 2 4 3" xfId="1988"/>
    <cellStyle name="Comma 2 5" xfId="55"/>
    <cellStyle name="Comma 2 5 2" xfId="1989"/>
    <cellStyle name="Comma 2 5 3" xfId="1990"/>
    <cellStyle name="Comma 2 6" xfId="56"/>
    <cellStyle name="Comma 2 7" xfId="169"/>
    <cellStyle name="Comma 2 8" xfId="1991"/>
    <cellStyle name="Comma 2 9" xfId="1992"/>
    <cellStyle name="Comma 2_05-12  KH trung han 2016-2020 - Liem Thinh edited" xfId="1993"/>
    <cellStyle name="Comma 20" xfId="1994"/>
    <cellStyle name="Comma 20 2" xfId="1995"/>
    <cellStyle name="Comma 20 3" xfId="1996"/>
    <cellStyle name="Comma 21" xfId="1997"/>
    <cellStyle name="Comma 21 2" xfId="1998"/>
    <cellStyle name="Comma 21 3" xfId="1999"/>
    <cellStyle name="Comma 22" xfId="2000"/>
    <cellStyle name="Comma 22 2" xfId="2001"/>
    <cellStyle name="Comma 22 3" xfId="2002"/>
    <cellStyle name="Comma 23" xfId="57"/>
    <cellStyle name="Comma 23 2" xfId="58"/>
    <cellStyle name="Comma 23 3" xfId="2003"/>
    <cellStyle name="Comma 24" xfId="2004"/>
    <cellStyle name="Comma 24 2" xfId="2005"/>
    <cellStyle name="Comma 24 3" xfId="2006"/>
    <cellStyle name="Comma 25" xfId="2007"/>
    <cellStyle name="Comma 25 2" xfId="2008"/>
    <cellStyle name="Comma 26" xfId="2009"/>
    <cellStyle name="Comma 26 2" xfId="2010"/>
    <cellStyle name="Comma 26 2 2" xfId="2011"/>
    <cellStyle name="Comma 27" xfId="59"/>
    <cellStyle name="Comma 27 2" xfId="2012"/>
    <cellStyle name="Comma 28" xfId="60"/>
    <cellStyle name="Comma 28 2" xfId="2013"/>
    <cellStyle name="Comma 28 2 2 4 2" xfId="2014"/>
    <cellStyle name="Comma 28 2 2 9" xfId="2015"/>
    <cellStyle name="Comma 29" xfId="2016"/>
    <cellStyle name="Comma 29 2" xfId="2017"/>
    <cellStyle name="Comma 3" xfId="4"/>
    <cellStyle name="Comma 3 2" xfId="177"/>
    <cellStyle name="Comma 3 2 10" xfId="2018"/>
    <cellStyle name="Comma 3 2 11" xfId="2019"/>
    <cellStyle name="Comma 3 2 12" xfId="2020"/>
    <cellStyle name="Comma 3 2 13" xfId="2021"/>
    <cellStyle name="Comma 3 2 14" xfId="2022"/>
    <cellStyle name="Comma 3 2 15" xfId="2023"/>
    <cellStyle name="Comma 3 2 2" xfId="2024"/>
    <cellStyle name="Comma 3 2 2 2" xfId="2025"/>
    <cellStyle name="Comma 3 2 2 3" xfId="2026"/>
    <cellStyle name="Comma 3 2 3" xfId="2027"/>
    <cellStyle name="Comma 3 2 3 2" xfId="2028"/>
    <cellStyle name="Comma 3 2 3 3" xfId="2029"/>
    <cellStyle name="Comma 3 2 4" xfId="2030"/>
    <cellStyle name="Comma 3 2 5" xfId="2031"/>
    <cellStyle name="Comma 3 2 6" xfId="2032"/>
    <cellStyle name="Comma 3 2 7" xfId="2033"/>
    <cellStyle name="Comma 3 2 8" xfId="2034"/>
    <cellStyle name="Comma 3 2 9" xfId="2035"/>
    <cellStyle name="Comma 3 3" xfId="184"/>
    <cellStyle name="Comma 3 3 2" xfId="2036"/>
    <cellStyle name="Comma 3 3 3" xfId="2037"/>
    <cellStyle name="Comma 3 4" xfId="188"/>
    <cellStyle name="Comma 3 4 2" xfId="2038"/>
    <cellStyle name="Comma 3 4 3" xfId="2039"/>
    <cellStyle name="Comma 3 5" xfId="2040"/>
    <cellStyle name="Comma 3 5 2" xfId="2041"/>
    <cellStyle name="Comma 3 6" xfId="2042"/>
    <cellStyle name="Comma 3 6 2" xfId="2043"/>
    <cellStyle name="Comma 3 7" xfId="2044"/>
    <cellStyle name="Comma 3 7 2" xfId="2045"/>
    <cellStyle name="Comma 3 8" xfId="2046"/>
    <cellStyle name="Comma 3 9" xfId="2047"/>
    <cellStyle name="Comma 30" xfId="2048"/>
    <cellStyle name="Comma 30 2" xfId="2049"/>
    <cellStyle name="Comma 30 3" xfId="2050"/>
    <cellStyle name="Comma 31" xfId="2051"/>
    <cellStyle name="Comma 31 2" xfId="2052"/>
    <cellStyle name="Comma 32" xfId="2053"/>
    <cellStyle name="Comma 32 2" xfId="2054"/>
    <cellStyle name="Comma 32 2 2" xfId="2055"/>
    <cellStyle name="Comma 32 3" xfId="2056"/>
    <cellStyle name="Comma 33" xfId="2057"/>
    <cellStyle name="Comma 33 2" xfId="2058"/>
    <cellStyle name="Comma 34" xfId="2059"/>
    <cellStyle name="Comma 34 2" xfId="2060"/>
    <cellStyle name="Comma 34 3" xfId="2061"/>
    <cellStyle name="Comma 35" xfId="2062"/>
    <cellStyle name="Comma 35 2" xfId="2063"/>
    <cellStyle name="Comma 35 3" xfId="2064"/>
    <cellStyle name="Comma 35 3 2" xfId="2065"/>
    <cellStyle name="Comma 35 3 2 2" xfId="2066"/>
    <cellStyle name="Comma 35 3 2 2 2" xfId="2067"/>
    <cellStyle name="Comma 35 3 2 2 3" xfId="2068"/>
    <cellStyle name="Comma 35 3 2 3" xfId="2069"/>
    <cellStyle name="Comma 35 3 2 4" xfId="2070"/>
    <cellStyle name="Comma 35 3 3" xfId="2071"/>
    <cellStyle name="Comma 35 3 3 2" xfId="2072"/>
    <cellStyle name="Comma 35 3 3 3" xfId="2073"/>
    <cellStyle name="Comma 35 3 4" xfId="2074"/>
    <cellStyle name="Comma 35 3 5" xfId="2075"/>
    <cellStyle name="Comma 35 4" xfId="2076"/>
    <cellStyle name="Comma 35 4 2" xfId="2077"/>
    <cellStyle name="Comma 35 4 2 2" xfId="2078"/>
    <cellStyle name="Comma 35 4 2 2 2" xfId="2079"/>
    <cellStyle name="Comma 35 4 2 2 3" xfId="2080"/>
    <cellStyle name="Comma 35 4 2 3" xfId="2081"/>
    <cellStyle name="Comma 35 4 2 4" xfId="2082"/>
    <cellStyle name="Comma 35 4 3" xfId="2083"/>
    <cellStyle name="Comma 35 4 3 2" xfId="2084"/>
    <cellStyle name="Comma 35 4 3 3" xfId="2085"/>
    <cellStyle name="Comma 35 4 4" xfId="2086"/>
    <cellStyle name="Comma 35 4 5" xfId="2087"/>
    <cellStyle name="Comma 35 5" xfId="2088"/>
    <cellStyle name="Comma 35 5 2" xfId="2089"/>
    <cellStyle name="Comma 35 5 2 2" xfId="2090"/>
    <cellStyle name="Comma 36" xfId="2091"/>
    <cellStyle name="Comma 36 2" xfId="2092"/>
    <cellStyle name="Comma 37" xfId="2093"/>
    <cellStyle name="Comma 37 2" xfId="2094"/>
    <cellStyle name="Comma 38" xfId="2095"/>
    <cellStyle name="Comma 39" xfId="2096"/>
    <cellStyle name="Comma 39 2" xfId="2097"/>
    <cellStyle name="Comma 4" xfId="61"/>
    <cellStyle name="Comma 4 10" xfId="2098"/>
    <cellStyle name="Comma 4 10 2" xfId="2099"/>
    <cellStyle name="Comma 4 11" xfId="2100"/>
    <cellStyle name="Comma 4 12" xfId="2101"/>
    <cellStyle name="Comma 4 13" xfId="2102"/>
    <cellStyle name="Comma 4 14" xfId="2103"/>
    <cellStyle name="Comma 4 15" xfId="2104"/>
    <cellStyle name="Comma 4 16" xfId="2105"/>
    <cellStyle name="Comma 4 17" xfId="2106"/>
    <cellStyle name="Comma 4 18" xfId="2107"/>
    <cellStyle name="Comma 4 19" xfId="2108"/>
    <cellStyle name="Comma 4 2" xfId="179"/>
    <cellStyle name="Comma 4 2 2" xfId="2109"/>
    <cellStyle name="Comma 4 2 2 3" xfId="2110"/>
    <cellStyle name="Comma 4 2 3" xfId="2111"/>
    <cellStyle name="Comma 4 2 3 2" xfId="2112"/>
    <cellStyle name="Comma 4 20" xfId="2113"/>
    <cellStyle name="Comma 4 21" xfId="2114"/>
    <cellStyle name="Comma 4 3" xfId="185"/>
    <cellStyle name="Comma 4 3 2" xfId="2115"/>
    <cellStyle name="Comma 4 3 2 2" xfId="2116"/>
    <cellStyle name="Comma 4 3 3" xfId="2117"/>
    <cellStyle name="Comma 4 3 4" xfId="2118"/>
    <cellStyle name="Comma 4 4" xfId="2119"/>
    <cellStyle name="Comma 4 4 2" xfId="2120"/>
    <cellStyle name="Comma 4 4 3" xfId="2121"/>
    <cellStyle name="Comma 4 4 4" xfId="2122"/>
    <cellStyle name="Comma 4 5" xfId="2123"/>
    <cellStyle name="Comma 4 6" xfId="2124"/>
    <cellStyle name="Comma 4 7" xfId="2125"/>
    <cellStyle name="Comma 4 8" xfId="2126"/>
    <cellStyle name="Comma 4 9" xfId="2127"/>
    <cellStyle name="Comma 4_THEO DOI THUC HIEN (GỐC 1)" xfId="2128"/>
    <cellStyle name="Comma 40" xfId="2129"/>
    <cellStyle name="Comma 40 2" xfId="2130"/>
    <cellStyle name="Comma 41" xfId="2131"/>
    <cellStyle name="Comma 42" xfId="2132"/>
    <cellStyle name="Comma 43" xfId="2133"/>
    <cellStyle name="Comma 44" xfId="2134"/>
    <cellStyle name="Comma 45" xfId="2135"/>
    <cellStyle name="Comma 46" xfId="2136"/>
    <cellStyle name="Comma 47" xfId="2137"/>
    <cellStyle name="Comma 48" xfId="2138"/>
    <cellStyle name="Comma 49" xfId="2139"/>
    <cellStyle name="Comma 5" xfId="62"/>
    <cellStyle name="Comma 5 10" xfId="2140"/>
    <cellStyle name="Comma 5 11" xfId="2141"/>
    <cellStyle name="Comma 5 12" xfId="2142"/>
    <cellStyle name="Comma 5 13" xfId="2143"/>
    <cellStyle name="Comma 5 14" xfId="2144"/>
    <cellStyle name="Comma 5 15" xfId="2145"/>
    <cellStyle name="Comma 5 16" xfId="2146"/>
    <cellStyle name="Comma 5 17" xfId="2147"/>
    <cellStyle name="Comma 5 17 2" xfId="2148"/>
    <cellStyle name="Comma 5 17 3" xfId="2149"/>
    <cellStyle name="Comma 5 18" xfId="2150"/>
    <cellStyle name="Comma 5 19" xfId="2151"/>
    <cellStyle name="Comma 5 2" xfId="186"/>
    <cellStyle name="Comma 5 20" xfId="2152"/>
    <cellStyle name="Comma 5 21" xfId="2153"/>
    <cellStyle name="Comma 5 21 2" xfId="2154"/>
    <cellStyle name="Comma 5 21 2 2" xfId="2155"/>
    <cellStyle name="Comma 5 21 2 2 2" xfId="2156"/>
    <cellStyle name="Comma 5 21 2 2 3" xfId="2157"/>
    <cellStyle name="Comma 5 21 2 3" xfId="2158"/>
    <cellStyle name="Comma 5 21 2 3 2" xfId="2159"/>
    <cellStyle name="Comma 5 21 2 3 3" xfId="2160"/>
    <cellStyle name="Comma 5 21 2 4" xfId="2161"/>
    <cellStyle name="Comma 5 21 2 5" xfId="2162"/>
    <cellStyle name="Comma 5 21 3" xfId="2163"/>
    <cellStyle name="Comma 5 21 3 2" xfId="2164"/>
    <cellStyle name="Comma 5 21 3 2 2" xfId="2165"/>
    <cellStyle name="Comma 5 21 3 2 3" xfId="2166"/>
    <cellStyle name="Comma 5 21 3 3" xfId="2167"/>
    <cellStyle name="Comma 5 21 3 4" xfId="2168"/>
    <cellStyle name="Comma 5 21 4" xfId="2169"/>
    <cellStyle name="Comma 5 21 4 2" xfId="2170"/>
    <cellStyle name="Comma 5 21 4 3" xfId="2171"/>
    <cellStyle name="Comma 5 21 5" xfId="2172"/>
    <cellStyle name="Comma 5 21 6" xfId="2173"/>
    <cellStyle name="Comma 5 22" xfId="2174"/>
    <cellStyle name="Comma 5 22 2" xfId="2175"/>
    <cellStyle name="Comma 5 22 2 2" xfId="2176"/>
    <cellStyle name="Comma 5 22 2 3" xfId="2177"/>
    <cellStyle name="Comma 5 22 3" xfId="2178"/>
    <cellStyle name="Comma 5 22 4" xfId="2179"/>
    <cellStyle name="Comma 5 23" xfId="2180"/>
    <cellStyle name="Comma 5 3" xfId="2181"/>
    <cellStyle name="Comma 5 3 2" xfId="2182"/>
    <cellStyle name="Comma 5 4" xfId="2183"/>
    <cellStyle name="Comma 5 4 2" xfId="2184"/>
    <cellStyle name="Comma 5 5" xfId="2185"/>
    <cellStyle name="Comma 5 5 2" xfId="2186"/>
    <cellStyle name="Comma 5 5 2 2" xfId="2187"/>
    <cellStyle name="Comma 5 5 3" xfId="2188"/>
    <cellStyle name="Comma 5 5 4" xfId="2189"/>
    <cellStyle name="Comma 5 6" xfId="2190"/>
    <cellStyle name="Comma 5 7" xfId="2191"/>
    <cellStyle name="Comma 5 8" xfId="2192"/>
    <cellStyle name="Comma 5 9" xfId="2193"/>
    <cellStyle name="Comma 5_05-12  KH trung han 2016-2020 - Liem Thinh edited" xfId="2194"/>
    <cellStyle name="Comma 50" xfId="2195"/>
    <cellStyle name="Comma 50 2" xfId="2196"/>
    <cellStyle name="Comma 50 2 2" xfId="2197"/>
    <cellStyle name="Comma 50 2 2 2" xfId="2198"/>
    <cellStyle name="Comma 50 2 2 3" xfId="2199"/>
    <cellStyle name="Comma 50 2 3" xfId="2200"/>
    <cellStyle name="Comma 50 2 4" xfId="2201"/>
    <cellStyle name="Comma 50 3" xfId="2202"/>
    <cellStyle name="Comma 50 3 2" xfId="2203"/>
    <cellStyle name="Comma 50 3 3" xfId="2204"/>
    <cellStyle name="Comma 50 4" xfId="2205"/>
    <cellStyle name="Comma 50 5" xfId="2206"/>
    <cellStyle name="Comma 51" xfId="2207"/>
    <cellStyle name="Comma 51 2" xfId="2208"/>
    <cellStyle name="Comma 51 2 2" xfId="2209"/>
    <cellStyle name="Comma 51 2 2 2" xfId="2210"/>
    <cellStyle name="Comma 51 2 2 3" xfId="2211"/>
    <cellStyle name="Comma 51 2 3" xfId="2212"/>
    <cellStyle name="Comma 51 2 4" xfId="2213"/>
    <cellStyle name="Comma 51 3" xfId="2214"/>
    <cellStyle name="Comma 51 3 2" xfId="2215"/>
    <cellStyle name="Comma 51 3 3" xfId="2216"/>
    <cellStyle name="Comma 51 4" xfId="2217"/>
    <cellStyle name="Comma 51 5" xfId="2218"/>
    <cellStyle name="Comma 52" xfId="2219"/>
    <cellStyle name="Comma 52 2" xfId="2220"/>
    <cellStyle name="Comma 53" xfId="2221"/>
    <cellStyle name="Comma 53 2" xfId="2222"/>
    <cellStyle name="Comma 53 2 2" xfId="2223"/>
    <cellStyle name="Comma 53 2 3" xfId="2224"/>
    <cellStyle name="Comma 53 3" xfId="2225"/>
    <cellStyle name="Comma 53 4" xfId="2226"/>
    <cellStyle name="Comma 54" xfId="2227"/>
    <cellStyle name="Comma 54 2" xfId="2228"/>
    <cellStyle name="Comma 55" xfId="2229"/>
    <cellStyle name="Comma 55 2" xfId="2230"/>
    <cellStyle name="Comma 55 3" xfId="2231"/>
    <cellStyle name="Comma 56" xfId="2232"/>
    <cellStyle name="Comma 57" xfId="2233"/>
    <cellStyle name="Comma 57 2" xfId="2234"/>
    <cellStyle name="Comma 57 4" xfId="2235"/>
    <cellStyle name="Comma 58" xfId="2236"/>
    <cellStyle name="Comma 59" xfId="2237"/>
    <cellStyle name="Comma 6" xfId="63"/>
    <cellStyle name="Comma 6 2" xfId="2238"/>
    <cellStyle name="Comma 6 2 2" xfId="2239"/>
    <cellStyle name="Comma 6 3" xfId="2240"/>
    <cellStyle name="Comma 6 4" xfId="2241"/>
    <cellStyle name="Comma 60" xfId="2242"/>
    <cellStyle name="Comma 61" xfId="2243"/>
    <cellStyle name="Comma 62" xfId="2244"/>
    <cellStyle name="Comma 63" xfId="2245"/>
    <cellStyle name="Comma 64" xfId="2246"/>
    <cellStyle name="Comma 65" xfId="2247"/>
    <cellStyle name="Comma 66" xfId="2248"/>
    <cellStyle name="Comma 67" xfId="2249"/>
    <cellStyle name="Comma 68" xfId="2250"/>
    <cellStyle name="Comma 69" xfId="2251"/>
    <cellStyle name="Comma 7" xfId="170"/>
    <cellStyle name="Comma 7 2" xfId="2252"/>
    <cellStyle name="Comma 7 3" xfId="2253"/>
    <cellStyle name="Comma 7 3 2" xfId="2254"/>
    <cellStyle name="Comma 7 4" xfId="2255"/>
    <cellStyle name="Comma 7 5" xfId="2256"/>
    <cellStyle name="Comma 7_20131129 Nhu cau 2014_TPCP ODA (co hoan ung)" xfId="2257"/>
    <cellStyle name="Comma 70" xfId="2258"/>
    <cellStyle name="Comma 71" xfId="2259"/>
    <cellStyle name="Comma 72" xfId="2260"/>
    <cellStyle name="Comma 73" xfId="2261"/>
    <cellStyle name="Comma 74" xfId="2262"/>
    <cellStyle name="Comma 75" xfId="2263"/>
    <cellStyle name="Comma 76" xfId="2264"/>
    <cellStyle name="Comma 78" xfId="2265"/>
    <cellStyle name="Comma 8" xfId="171"/>
    <cellStyle name="Comma 8 2" xfId="2266"/>
    <cellStyle name="Comma 8 2 2" xfId="2267"/>
    <cellStyle name="Comma 8 3" xfId="2268"/>
    <cellStyle name="Comma 8 4" xfId="2269"/>
    <cellStyle name="Comma 8 5" xfId="2270"/>
    <cellStyle name="Comma 9" xfId="175"/>
    <cellStyle name="Comma 9 2" xfId="64"/>
    <cellStyle name="Comma 9 2 2" xfId="2271"/>
    <cellStyle name="Comma 9 2 3" xfId="2272"/>
    <cellStyle name="Comma 9 3" xfId="2273"/>
    <cellStyle name="Comma 9 3 2" xfId="2274"/>
    <cellStyle name="Comma 9 3 3" xfId="2275"/>
    <cellStyle name="Comma 9 4" xfId="2276"/>
    <cellStyle name="Comma 9 5" xfId="2277"/>
    <cellStyle name="Comma 9 6" xfId="2278"/>
    <cellStyle name="comma zerodec" xfId="2279"/>
    <cellStyle name="Comma0" xfId="65"/>
    <cellStyle name="Comma0 10" xfId="2280"/>
    <cellStyle name="Comma0 11" xfId="2281"/>
    <cellStyle name="Comma0 12" xfId="2282"/>
    <cellStyle name="Comma0 13" xfId="2283"/>
    <cellStyle name="Comma0 14" xfId="2284"/>
    <cellStyle name="Comma0 15" xfId="2285"/>
    <cellStyle name="Comma0 16" xfId="2286"/>
    <cellStyle name="Comma0 2" xfId="2287"/>
    <cellStyle name="Comma0 2 2" xfId="2288"/>
    <cellStyle name="Comma0 3" xfId="2289"/>
    <cellStyle name="Comma0 4" xfId="2290"/>
    <cellStyle name="Comma0 5" xfId="2291"/>
    <cellStyle name="Comma0 6" xfId="2292"/>
    <cellStyle name="Comma0 7" xfId="2293"/>
    <cellStyle name="Comma0 8" xfId="2294"/>
    <cellStyle name="Comma0 9" xfId="2295"/>
    <cellStyle name="Company Name" xfId="2296"/>
    <cellStyle name="cong" xfId="2297"/>
    <cellStyle name="Copied" xfId="2298"/>
    <cellStyle name="Co聭ma_Sheet1" xfId="2299"/>
    <cellStyle name="CR Comma" xfId="2300"/>
    <cellStyle name="CR Currency" xfId="2301"/>
    <cellStyle name="Credit" xfId="2302"/>
    <cellStyle name="Credit subtotal" xfId="2303"/>
    <cellStyle name="Credit subtotal 2" xfId="2304"/>
    <cellStyle name="Credit subtotal 3" xfId="2305"/>
    <cellStyle name="Credit Total" xfId="2306"/>
    <cellStyle name="Cࡵrrency_Sheet1_PRODUCTĠ" xfId="2307"/>
    <cellStyle name="ct xuyen a" xfId="66"/>
    <cellStyle name="Curråncy [0]_FCST_RESULTS" xfId="2308"/>
    <cellStyle name="Currency %" xfId="2309"/>
    <cellStyle name="Currency % 10" xfId="2310"/>
    <cellStyle name="Currency % 11" xfId="2311"/>
    <cellStyle name="Currency % 12" xfId="2312"/>
    <cellStyle name="Currency % 13" xfId="2313"/>
    <cellStyle name="Currency % 14" xfId="2314"/>
    <cellStyle name="Currency % 15" xfId="2315"/>
    <cellStyle name="Currency % 2" xfId="2316"/>
    <cellStyle name="Currency % 3" xfId="2317"/>
    <cellStyle name="Currency % 4" xfId="2318"/>
    <cellStyle name="Currency % 5" xfId="2319"/>
    <cellStyle name="Currency % 6" xfId="2320"/>
    <cellStyle name="Currency % 7" xfId="2321"/>
    <cellStyle name="Currency % 8" xfId="2322"/>
    <cellStyle name="Currency % 9" xfId="2323"/>
    <cellStyle name="Currency %_05-12  KH trung han 2016-2020 - Liem Thinh edited" xfId="2324"/>
    <cellStyle name="Currency [0] 2" xfId="2325"/>
    <cellStyle name="Currency [0] 2 2" xfId="2326"/>
    <cellStyle name="Currency [0]ßmud plant bolted_RESULTS" xfId="2327"/>
    <cellStyle name="Currency [00]" xfId="2328"/>
    <cellStyle name="Currency [00] 10" xfId="2329"/>
    <cellStyle name="Currency [00] 11" xfId="2330"/>
    <cellStyle name="Currency [00] 12" xfId="2331"/>
    <cellStyle name="Currency [00] 13" xfId="2332"/>
    <cellStyle name="Currency [00] 14" xfId="2333"/>
    <cellStyle name="Currency [00] 15" xfId="2334"/>
    <cellStyle name="Currency [00] 16" xfId="2335"/>
    <cellStyle name="Currency [00] 2" xfId="2336"/>
    <cellStyle name="Currency [00] 3" xfId="2337"/>
    <cellStyle name="Currency [00] 4" xfId="2338"/>
    <cellStyle name="Currency [00] 5" xfId="2339"/>
    <cellStyle name="Currency [00] 6" xfId="2340"/>
    <cellStyle name="Currency [00] 7" xfId="2341"/>
    <cellStyle name="Currency [00] 8" xfId="2342"/>
    <cellStyle name="Currency [00] 9" xfId="2343"/>
    <cellStyle name="Currency 0.0" xfId="2344"/>
    <cellStyle name="Currency 0.0%" xfId="2345"/>
    <cellStyle name="Currency 0.0_05-12  KH trung han 2016-2020 - Liem Thinh edited" xfId="2346"/>
    <cellStyle name="Currency 0.00" xfId="2347"/>
    <cellStyle name="Currency 0.00%" xfId="2348"/>
    <cellStyle name="Currency 0.00_05-12  KH trung han 2016-2020 - Liem Thinh edited" xfId="2349"/>
    <cellStyle name="Currency 0.000" xfId="2350"/>
    <cellStyle name="Currency 0.000%" xfId="2351"/>
    <cellStyle name="Currency 0.000_05-12  KH trung han 2016-2020 - Liem Thinh edited" xfId="2352"/>
    <cellStyle name="Currency 2" xfId="2353"/>
    <cellStyle name="Currency 2 10" xfId="2354"/>
    <cellStyle name="Currency 2 11" xfId="2355"/>
    <cellStyle name="Currency 2 12" xfId="2356"/>
    <cellStyle name="Currency 2 13" xfId="2357"/>
    <cellStyle name="Currency 2 14" xfId="2358"/>
    <cellStyle name="Currency 2 15" xfId="2359"/>
    <cellStyle name="Currency 2 16" xfId="2360"/>
    <cellStyle name="Currency 2 2" xfId="2361"/>
    <cellStyle name="Currency 2 3" xfId="2362"/>
    <cellStyle name="Currency 2 4" xfId="2363"/>
    <cellStyle name="Currency 2 5" xfId="2364"/>
    <cellStyle name="Currency 2 6" xfId="2365"/>
    <cellStyle name="Currency 2 7" xfId="2366"/>
    <cellStyle name="Currency 2 8" xfId="2367"/>
    <cellStyle name="Currency 2 9" xfId="2368"/>
    <cellStyle name="Currency 3" xfId="2369"/>
    <cellStyle name="Currency 3 2" xfId="2370"/>
    <cellStyle name="Currency![0]_FCSt (2)" xfId="2371"/>
    <cellStyle name="Currency0" xfId="67"/>
    <cellStyle name="Currency0 10" xfId="2372"/>
    <cellStyle name="Currency0 11" xfId="2373"/>
    <cellStyle name="Currency0 12" xfId="2374"/>
    <cellStyle name="Currency0 13" xfId="2375"/>
    <cellStyle name="Currency0 14" xfId="2376"/>
    <cellStyle name="Currency0 15" xfId="2377"/>
    <cellStyle name="Currency0 16" xfId="2378"/>
    <cellStyle name="Currency0 17" xfId="2379"/>
    <cellStyle name="Currency0 2" xfId="2380"/>
    <cellStyle name="Currency0 2 2" xfId="2381"/>
    <cellStyle name="Currency0 3" xfId="2382"/>
    <cellStyle name="Currency0 4" xfId="2383"/>
    <cellStyle name="Currency0 5" xfId="2384"/>
    <cellStyle name="Currency0 6" xfId="2385"/>
    <cellStyle name="Currency0 7" xfId="2386"/>
    <cellStyle name="Currency0 8" xfId="2387"/>
    <cellStyle name="Currency0 9" xfId="2388"/>
    <cellStyle name="Currency1" xfId="2389"/>
    <cellStyle name="Currency1 10" xfId="2390"/>
    <cellStyle name="Currency1 11" xfId="2391"/>
    <cellStyle name="Currency1 12" xfId="2392"/>
    <cellStyle name="Currency1 13" xfId="2393"/>
    <cellStyle name="Currency1 14" xfId="2394"/>
    <cellStyle name="Currency1 15" xfId="2395"/>
    <cellStyle name="Currency1 16" xfId="2396"/>
    <cellStyle name="Currency1 2" xfId="2397"/>
    <cellStyle name="Currency1 2 2" xfId="2398"/>
    <cellStyle name="Currency1 3" xfId="2399"/>
    <cellStyle name="Currency1 4" xfId="2400"/>
    <cellStyle name="Currency1 5" xfId="2401"/>
    <cellStyle name="Currency1 6" xfId="2402"/>
    <cellStyle name="Currency1 7" xfId="2403"/>
    <cellStyle name="Currency1 8" xfId="2404"/>
    <cellStyle name="Currency1 9" xfId="2405"/>
    <cellStyle name="D1" xfId="2406"/>
    <cellStyle name="Date" xfId="68"/>
    <cellStyle name="Date 10" xfId="2407"/>
    <cellStyle name="Date 11" xfId="2408"/>
    <cellStyle name="Date 12" xfId="2409"/>
    <cellStyle name="Date 13" xfId="2410"/>
    <cellStyle name="Date 14" xfId="2411"/>
    <cellStyle name="Date 15" xfId="2412"/>
    <cellStyle name="Date 16" xfId="2413"/>
    <cellStyle name="Date 2" xfId="2414"/>
    <cellStyle name="Date 2 2" xfId="2415"/>
    <cellStyle name="Date 3" xfId="2416"/>
    <cellStyle name="Date 4" xfId="2417"/>
    <cellStyle name="Date 5" xfId="2418"/>
    <cellStyle name="Date 6" xfId="2419"/>
    <cellStyle name="Date 7" xfId="2420"/>
    <cellStyle name="Date 8" xfId="2421"/>
    <cellStyle name="Date 9" xfId="2422"/>
    <cellStyle name="Date Short" xfId="2423"/>
    <cellStyle name="Date Short 2" xfId="2424"/>
    <cellStyle name="Date_Book1" xfId="2425"/>
    <cellStyle name="Dấu_phảy 2" xfId="2426"/>
    <cellStyle name="DAUDE" xfId="2427"/>
    <cellStyle name="Debit" xfId="2428"/>
    <cellStyle name="Debit subtotal" xfId="2429"/>
    <cellStyle name="Debit subtotal 2" xfId="2430"/>
    <cellStyle name="Debit subtotal 3" xfId="2431"/>
    <cellStyle name="Debit Total" xfId="2432"/>
    <cellStyle name="DELTA" xfId="2433"/>
    <cellStyle name="DELTA 10" xfId="2434"/>
    <cellStyle name="DELTA 11" xfId="2435"/>
    <cellStyle name="DELTA 12" xfId="2436"/>
    <cellStyle name="DELTA 13" xfId="2437"/>
    <cellStyle name="DELTA 14" xfId="2438"/>
    <cellStyle name="DELTA 15" xfId="2439"/>
    <cellStyle name="DELTA 2" xfId="2440"/>
    <cellStyle name="DELTA 3" xfId="2441"/>
    <cellStyle name="DELTA 4" xfId="2442"/>
    <cellStyle name="DELTA 5" xfId="2443"/>
    <cellStyle name="DELTA 6" xfId="2444"/>
    <cellStyle name="DELTA 7" xfId="2445"/>
    <cellStyle name="DELTA 8" xfId="2446"/>
    <cellStyle name="DELTA 9" xfId="2447"/>
    <cellStyle name="Dezimal [0]_35ERI8T2gbIEMixb4v26icuOo" xfId="2448"/>
    <cellStyle name="Dezimal_35ERI8T2gbIEMixb4v26icuOo" xfId="2449"/>
    <cellStyle name="Dg" xfId="2450"/>
    <cellStyle name="Dgia" xfId="2451"/>
    <cellStyle name="Dgia 2" xfId="2452"/>
    <cellStyle name="Dollar (zero dec)" xfId="2453"/>
    <cellStyle name="Dollar (zero dec) 10" xfId="2454"/>
    <cellStyle name="Dollar (zero dec) 11" xfId="2455"/>
    <cellStyle name="Dollar (zero dec) 12" xfId="2456"/>
    <cellStyle name="Dollar (zero dec) 13" xfId="2457"/>
    <cellStyle name="Dollar (zero dec) 14" xfId="2458"/>
    <cellStyle name="Dollar (zero dec) 15" xfId="2459"/>
    <cellStyle name="Dollar (zero dec) 16" xfId="2460"/>
    <cellStyle name="Dollar (zero dec) 2" xfId="2461"/>
    <cellStyle name="Dollar (zero dec) 2 2" xfId="2462"/>
    <cellStyle name="Dollar (zero dec) 3" xfId="2463"/>
    <cellStyle name="Dollar (zero dec) 4" xfId="2464"/>
    <cellStyle name="Dollar (zero dec) 5" xfId="2465"/>
    <cellStyle name="Dollar (zero dec) 6" xfId="2466"/>
    <cellStyle name="Dollar (zero dec) 7" xfId="2467"/>
    <cellStyle name="Dollar (zero dec) 8" xfId="2468"/>
    <cellStyle name="Dollar (zero dec) 9" xfId="2469"/>
    <cellStyle name="Don gia" xfId="2470"/>
    <cellStyle name="Dziesi?tny [0]_Invoices2001Slovakia" xfId="2471"/>
    <cellStyle name="Dziesi?tny_Invoices2001Slovakia" xfId="2472"/>
    <cellStyle name="Dziesietny [0]_Invoices2001Slovakia" xfId="2473"/>
    <cellStyle name="Dziesiętny [0]_Invoices2001Slovakia" xfId="2474"/>
    <cellStyle name="Dziesietny [0]_Invoices2001Slovakia 2" xfId="2475"/>
    <cellStyle name="Dziesiętny [0]_Invoices2001Slovakia 2" xfId="2476"/>
    <cellStyle name="Dziesietny [0]_Invoices2001Slovakia 3" xfId="2477"/>
    <cellStyle name="Dziesiętny [0]_Invoices2001Slovakia 3" xfId="2478"/>
    <cellStyle name="Dziesietny [0]_Invoices2001Slovakia 4" xfId="2479"/>
    <cellStyle name="Dziesiętny [0]_Invoices2001Slovakia 4" xfId="2480"/>
    <cellStyle name="Dziesietny [0]_Invoices2001Slovakia 5" xfId="2481"/>
    <cellStyle name="Dziesiętny [0]_Invoices2001Slovakia 5" xfId="2482"/>
    <cellStyle name="Dziesietny [0]_Invoices2001Slovakia 6" xfId="2483"/>
    <cellStyle name="Dziesiętny [0]_Invoices2001Slovakia 6" xfId="2484"/>
    <cellStyle name="Dziesietny [0]_Invoices2001Slovakia 7" xfId="2485"/>
    <cellStyle name="Dziesiętny [0]_Invoices2001Slovakia 7" xfId="2486"/>
    <cellStyle name="Dziesietny [0]_Invoices2001Slovakia_01_Nha so 1_Dien" xfId="2487"/>
    <cellStyle name="Dziesiętny [0]_Invoices2001Slovakia_01_Nha so 1_Dien" xfId="2488"/>
    <cellStyle name="Dziesietny [0]_Invoices2001Slovakia_05-12  KH trung han 2016-2020 - Liem Thinh edited" xfId="2489"/>
    <cellStyle name="Dziesiętny [0]_Invoices2001Slovakia_05-12  KH trung han 2016-2020 - Liem Thinh edited" xfId="2490"/>
    <cellStyle name="Dziesietny [0]_Invoices2001Slovakia_10_Nha so 10_Dien1" xfId="2491"/>
    <cellStyle name="Dziesiętny [0]_Invoices2001Slovakia_10_Nha so 10_Dien1" xfId="2492"/>
    <cellStyle name="Dziesietny [0]_Invoices2001Slovakia_Book1" xfId="2493"/>
    <cellStyle name="Dziesiętny [0]_Invoices2001Slovakia_Book1" xfId="2494"/>
    <cellStyle name="Dziesietny [0]_Invoices2001Slovakia_Book1_1" xfId="2495"/>
    <cellStyle name="Dziesiętny [0]_Invoices2001Slovakia_Book1_1" xfId="2496"/>
    <cellStyle name="Dziesietny [0]_Invoices2001Slovakia_Book1_1_Book1" xfId="2497"/>
    <cellStyle name="Dziesiętny [0]_Invoices2001Slovakia_Book1_1_Book1" xfId="2498"/>
    <cellStyle name="Dziesietny [0]_Invoices2001Slovakia_Book1_2" xfId="2499"/>
    <cellStyle name="Dziesiętny [0]_Invoices2001Slovakia_Book1_2" xfId="2500"/>
    <cellStyle name="Dziesietny [0]_Invoices2001Slovakia_Book1_Nhu cau von ung truoc 2011 Tha h Hoa + Nge An gui TW" xfId="2501"/>
    <cellStyle name="Dziesiętny [0]_Invoices2001Slovakia_Book1_Nhu cau von ung truoc 2011 Tha h Hoa + Nge An gui TW" xfId="2502"/>
    <cellStyle name="Dziesietny [0]_Invoices2001Slovakia_Book1_Tong hop Cac tuyen(9-1-06)" xfId="2503"/>
    <cellStyle name="Dziesiętny [0]_Invoices2001Slovakia_Book1_Tong hop Cac tuyen(9-1-06)" xfId="2504"/>
    <cellStyle name="Dziesietny [0]_Invoices2001Slovakia_Book1_ung truoc 2011 NSTW Thanh Hoa + Nge An gui Thu 12-5" xfId="2505"/>
    <cellStyle name="Dziesiętny [0]_Invoices2001Slovakia_Book1_ung truoc 2011 NSTW Thanh Hoa + Nge An gui Thu 12-5" xfId="2506"/>
    <cellStyle name="Dziesietny [0]_Invoices2001Slovakia_Copy of 05-12  KH trung han 2016-2020 - Liem Thinh edited (1)" xfId="2507"/>
    <cellStyle name="Dziesiętny [0]_Invoices2001Slovakia_Copy of 05-12  KH trung han 2016-2020 - Liem Thinh edited (1)" xfId="2508"/>
    <cellStyle name="Dziesietny [0]_Invoices2001Slovakia_d-uong+TDT" xfId="2509"/>
    <cellStyle name="Dziesiętny [0]_Invoices2001Slovakia_KH TPCP 2016-2020 (tong hop)" xfId="2510"/>
    <cellStyle name="Dziesietny [0]_Invoices2001Slovakia_Nha bao ve(28-7-05)" xfId="2511"/>
    <cellStyle name="Dziesiętny [0]_Invoices2001Slovakia_Nha bao ve(28-7-05)" xfId="2512"/>
    <cellStyle name="Dziesietny [0]_Invoices2001Slovakia_NHA de xe nguyen du" xfId="2513"/>
    <cellStyle name="Dziesiętny [0]_Invoices2001Slovakia_NHA de xe nguyen du" xfId="2514"/>
    <cellStyle name="Dziesietny [0]_Invoices2001Slovakia_Nhalamviec VTC(25-1-05)" xfId="2515"/>
    <cellStyle name="Dziesiętny [0]_Invoices2001Slovakia_Nhalamviec VTC(25-1-05)" xfId="2516"/>
    <cellStyle name="Dziesietny [0]_Invoices2001Slovakia_Nhu cau von ung truoc 2011 Tha h Hoa + Nge An gui TW" xfId="2517"/>
    <cellStyle name="Dziesiętny [0]_Invoices2001Slovakia_TDT KHANH HOA" xfId="2518"/>
    <cellStyle name="Dziesietny [0]_Invoices2001Slovakia_TDT KHANH HOA_Tong hop Cac tuyen(9-1-06)" xfId="2519"/>
    <cellStyle name="Dziesiętny [0]_Invoices2001Slovakia_TDT KHANH HOA_Tong hop Cac tuyen(9-1-06)" xfId="2520"/>
    <cellStyle name="Dziesietny [0]_Invoices2001Slovakia_TDT quangngai" xfId="2521"/>
    <cellStyle name="Dziesiętny [0]_Invoices2001Slovakia_TDT quangngai" xfId="2522"/>
    <cellStyle name="Dziesietny [0]_Invoices2001Slovakia_TMDT(10-5-06)" xfId="2523"/>
    <cellStyle name="Dziesietny_Invoices2001Slovakia" xfId="2524"/>
    <cellStyle name="Dziesiętny_Invoices2001Slovakia" xfId="2525"/>
    <cellStyle name="Dziesietny_Invoices2001Slovakia 2" xfId="2526"/>
    <cellStyle name="Dziesiętny_Invoices2001Slovakia 2" xfId="2527"/>
    <cellStyle name="Dziesietny_Invoices2001Slovakia 3" xfId="2528"/>
    <cellStyle name="Dziesiętny_Invoices2001Slovakia 3" xfId="2529"/>
    <cellStyle name="Dziesietny_Invoices2001Slovakia 4" xfId="2530"/>
    <cellStyle name="Dziesiętny_Invoices2001Slovakia 4" xfId="2531"/>
    <cellStyle name="Dziesietny_Invoices2001Slovakia 5" xfId="2532"/>
    <cellStyle name="Dziesiętny_Invoices2001Slovakia 5" xfId="2533"/>
    <cellStyle name="Dziesietny_Invoices2001Slovakia 6" xfId="2534"/>
    <cellStyle name="Dziesiętny_Invoices2001Slovakia 6" xfId="2535"/>
    <cellStyle name="Dziesietny_Invoices2001Slovakia 7" xfId="2536"/>
    <cellStyle name="Dziesiętny_Invoices2001Slovakia 7" xfId="2537"/>
    <cellStyle name="Dziesietny_Invoices2001Slovakia_01_Nha so 1_Dien" xfId="2538"/>
    <cellStyle name="Dziesiętny_Invoices2001Slovakia_01_Nha so 1_Dien" xfId="2539"/>
    <cellStyle name="Dziesietny_Invoices2001Slovakia_05-12  KH trung han 2016-2020 - Liem Thinh edited" xfId="2540"/>
    <cellStyle name="Dziesiętny_Invoices2001Slovakia_05-12  KH trung han 2016-2020 - Liem Thinh edited" xfId="2541"/>
    <cellStyle name="Dziesietny_Invoices2001Slovakia_10_Nha so 10_Dien1" xfId="2542"/>
    <cellStyle name="Dziesiętny_Invoices2001Slovakia_10_Nha so 10_Dien1" xfId="2543"/>
    <cellStyle name="Dziesietny_Invoices2001Slovakia_Book1" xfId="2544"/>
    <cellStyle name="Dziesiętny_Invoices2001Slovakia_Book1" xfId="2545"/>
    <cellStyle name="Dziesietny_Invoices2001Slovakia_Book1_1" xfId="2546"/>
    <cellStyle name="Dziesiętny_Invoices2001Slovakia_Book1_1" xfId="2547"/>
    <cellStyle name="Dziesietny_Invoices2001Slovakia_Book1_1_Book1" xfId="2548"/>
    <cellStyle name="Dziesiętny_Invoices2001Slovakia_Book1_1_Book1" xfId="2549"/>
    <cellStyle name="Dziesietny_Invoices2001Slovakia_Book1_2" xfId="2550"/>
    <cellStyle name="Dziesiętny_Invoices2001Slovakia_Book1_2" xfId="2551"/>
    <cellStyle name="Dziesietny_Invoices2001Slovakia_Book1_Nhu cau von ung truoc 2011 Tha h Hoa + Nge An gui TW" xfId="2552"/>
    <cellStyle name="Dziesiętny_Invoices2001Slovakia_Book1_Nhu cau von ung truoc 2011 Tha h Hoa + Nge An gui TW" xfId="2553"/>
    <cellStyle name="Dziesietny_Invoices2001Slovakia_Book1_Tong hop Cac tuyen(9-1-06)" xfId="2554"/>
    <cellStyle name="Dziesiętny_Invoices2001Slovakia_Book1_Tong hop Cac tuyen(9-1-06)" xfId="2555"/>
    <cellStyle name="Dziesietny_Invoices2001Slovakia_Book1_ung truoc 2011 NSTW Thanh Hoa + Nge An gui Thu 12-5" xfId="2556"/>
    <cellStyle name="Dziesiętny_Invoices2001Slovakia_Book1_ung truoc 2011 NSTW Thanh Hoa + Nge An gui Thu 12-5" xfId="2557"/>
    <cellStyle name="Dziesietny_Invoices2001Slovakia_Copy of 05-12  KH trung han 2016-2020 - Liem Thinh edited (1)" xfId="2558"/>
    <cellStyle name="Dziesiętny_Invoices2001Slovakia_Copy of 05-12  KH trung han 2016-2020 - Liem Thinh edited (1)" xfId="2559"/>
    <cellStyle name="Dziesietny_Invoices2001Slovakia_d-uong+TDT" xfId="2560"/>
    <cellStyle name="Dziesiętny_Invoices2001Slovakia_KH TPCP 2016-2020 (tong hop)" xfId="2561"/>
    <cellStyle name="Dziesietny_Invoices2001Slovakia_Nha bao ve(28-7-05)" xfId="2562"/>
    <cellStyle name="Dziesiętny_Invoices2001Slovakia_Nha bao ve(28-7-05)" xfId="2563"/>
    <cellStyle name="Dziesietny_Invoices2001Slovakia_NHA de xe nguyen du" xfId="2564"/>
    <cellStyle name="Dziesiętny_Invoices2001Slovakia_NHA de xe nguyen du" xfId="2565"/>
    <cellStyle name="Dziesietny_Invoices2001Slovakia_Nhalamviec VTC(25-1-05)" xfId="2566"/>
    <cellStyle name="Dziesiętny_Invoices2001Slovakia_Nhalamviec VTC(25-1-05)" xfId="2567"/>
    <cellStyle name="Dziesietny_Invoices2001Slovakia_Nhu cau von ung truoc 2011 Tha h Hoa + Nge An gui TW" xfId="2568"/>
    <cellStyle name="Dziesiętny_Invoices2001Slovakia_TDT KHANH HOA" xfId="2569"/>
    <cellStyle name="Dziesietny_Invoices2001Slovakia_TDT KHANH HOA_Tong hop Cac tuyen(9-1-06)" xfId="2570"/>
    <cellStyle name="Dziesiętny_Invoices2001Slovakia_TDT KHANH HOA_Tong hop Cac tuyen(9-1-06)" xfId="2571"/>
    <cellStyle name="Dziesietny_Invoices2001Slovakia_TDT quangngai" xfId="2572"/>
    <cellStyle name="Dziesiętny_Invoices2001Slovakia_TDT quangngai" xfId="2573"/>
    <cellStyle name="Dziesietny_Invoices2001Slovakia_TMDT(10-5-06)" xfId="2574"/>
    <cellStyle name="e" xfId="2575"/>
    <cellStyle name="Enter Currency (0)" xfId="2576"/>
    <cellStyle name="Enter Currency (0) 10" xfId="2577"/>
    <cellStyle name="Enter Currency (0) 11" xfId="2578"/>
    <cellStyle name="Enter Currency (0) 12" xfId="2579"/>
    <cellStyle name="Enter Currency (0) 13" xfId="2580"/>
    <cellStyle name="Enter Currency (0) 14" xfId="2581"/>
    <cellStyle name="Enter Currency (0) 15" xfId="2582"/>
    <cellStyle name="Enter Currency (0) 16" xfId="2583"/>
    <cellStyle name="Enter Currency (0) 2" xfId="2584"/>
    <cellStyle name="Enter Currency (0) 3" xfId="2585"/>
    <cellStyle name="Enter Currency (0) 4" xfId="2586"/>
    <cellStyle name="Enter Currency (0) 5" xfId="2587"/>
    <cellStyle name="Enter Currency (0) 6" xfId="2588"/>
    <cellStyle name="Enter Currency (0) 7" xfId="2589"/>
    <cellStyle name="Enter Currency (0) 8" xfId="2590"/>
    <cellStyle name="Enter Currency (0) 9" xfId="2591"/>
    <cellStyle name="Enter Currency (2)" xfId="2592"/>
    <cellStyle name="Enter Currency (2) 10" xfId="2593"/>
    <cellStyle name="Enter Currency (2) 11" xfId="2594"/>
    <cellStyle name="Enter Currency (2) 12" xfId="2595"/>
    <cellStyle name="Enter Currency (2) 13" xfId="2596"/>
    <cellStyle name="Enter Currency (2) 14" xfId="2597"/>
    <cellStyle name="Enter Currency (2) 15" xfId="2598"/>
    <cellStyle name="Enter Currency (2) 16" xfId="2599"/>
    <cellStyle name="Enter Currency (2) 2" xfId="2600"/>
    <cellStyle name="Enter Currency (2) 3" xfId="2601"/>
    <cellStyle name="Enter Currency (2) 4" xfId="2602"/>
    <cellStyle name="Enter Currency (2) 5" xfId="2603"/>
    <cellStyle name="Enter Currency (2) 6" xfId="2604"/>
    <cellStyle name="Enter Currency (2) 7" xfId="2605"/>
    <cellStyle name="Enter Currency (2) 8" xfId="2606"/>
    <cellStyle name="Enter Currency (2) 9" xfId="2607"/>
    <cellStyle name="Enter Units (0)" xfId="2608"/>
    <cellStyle name="Enter Units (0) 10" xfId="2609"/>
    <cellStyle name="Enter Units (0) 11" xfId="2610"/>
    <cellStyle name="Enter Units (0) 12" xfId="2611"/>
    <cellStyle name="Enter Units (0) 13" xfId="2612"/>
    <cellStyle name="Enter Units (0) 14" xfId="2613"/>
    <cellStyle name="Enter Units (0) 15" xfId="2614"/>
    <cellStyle name="Enter Units (0) 16" xfId="2615"/>
    <cellStyle name="Enter Units (0) 2" xfId="2616"/>
    <cellStyle name="Enter Units (0) 3" xfId="2617"/>
    <cellStyle name="Enter Units (0) 4" xfId="2618"/>
    <cellStyle name="Enter Units (0) 5" xfId="2619"/>
    <cellStyle name="Enter Units (0) 6" xfId="2620"/>
    <cellStyle name="Enter Units (0) 7" xfId="2621"/>
    <cellStyle name="Enter Units (0) 8" xfId="2622"/>
    <cellStyle name="Enter Units (0) 9" xfId="2623"/>
    <cellStyle name="Enter Units (1)" xfId="2624"/>
    <cellStyle name="Enter Units (1) 10" xfId="2625"/>
    <cellStyle name="Enter Units (1) 11" xfId="2626"/>
    <cellStyle name="Enter Units (1) 12" xfId="2627"/>
    <cellStyle name="Enter Units (1) 13" xfId="2628"/>
    <cellStyle name="Enter Units (1) 14" xfId="2629"/>
    <cellStyle name="Enter Units (1) 15" xfId="2630"/>
    <cellStyle name="Enter Units (1) 16" xfId="2631"/>
    <cellStyle name="Enter Units (1) 2" xfId="2632"/>
    <cellStyle name="Enter Units (1) 3" xfId="2633"/>
    <cellStyle name="Enter Units (1) 4" xfId="2634"/>
    <cellStyle name="Enter Units (1) 5" xfId="2635"/>
    <cellStyle name="Enter Units (1) 6" xfId="2636"/>
    <cellStyle name="Enter Units (1) 7" xfId="2637"/>
    <cellStyle name="Enter Units (1) 8" xfId="2638"/>
    <cellStyle name="Enter Units (1) 9" xfId="2639"/>
    <cellStyle name="Enter Units (2)" xfId="2640"/>
    <cellStyle name="Enter Units (2) 10" xfId="2641"/>
    <cellStyle name="Enter Units (2) 11" xfId="2642"/>
    <cellStyle name="Enter Units (2) 12" xfId="2643"/>
    <cellStyle name="Enter Units (2) 13" xfId="2644"/>
    <cellStyle name="Enter Units (2) 14" xfId="2645"/>
    <cellStyle name="Enter Units (2) 15" xfId="2646"/>
    <cellStyle name="Enter Units (2) 16" xfId="2647"/>
    <cellStyle name="Enter Units (2) 2" xfId="2648"/>
    <cellStyle name="Enter Units (2) 3" xfId="2649"/>
    <cellStyle name="Enter Units (2) 4" xfId="2650"/>
    <cellStyle name="Enter Units (2) 5" xfId="2651"/>
    <cellStyle name="Enter Units (2) 6" xfId="2652"/>
    <cellStyle name="Enter Units (2) 7" xfId="2653"/>
    <cellStyle name="Enter Units (2) 8" xfId="2654"/>
    <cellStyle name="Enter Units (2) 9" xfId="2655"/>
    <cellStyle name="Entered" xfId="2656"/>
    <cellStyle name="Euro" xfId="2657"/>
    <cellStyle name="Euro 10" xfId="2658"/>
    <cellStyle name="Euro 11" xfId="2659"/>
    <cellStyle name="Euro 12" xfId="2660"/>
    <cellStyle name="Euro 13" xfId="2661"/>
    <cellStyle name="Euro 14" xfId="2662"/>
    <cellStyle name="Euro 15" xfId="2663"/>
    <cellStyle name="Euro 16" xfId="2664"/>
    <cellStyle name="Euro 2" xfId="2665"/>
    <cellStyle name="Euro 3" xfId="2666"/>
    <cellStyle name="Euro 4" xfId="2667"/>
    <cellStyle name="Euro 5" xfId="2668"/>
    <cellStyle name="Euro 6" xfId="2669"/>
    <cellStyle name="Euro 7" xfId="2670"/>
    <cellStyle name="Euro 8" xfId="2671"/>
    <cellStyle name="Euro 9" xfId="2672"/>
    <cellStyle name="Excel Built-in Normal" xfId="2673"/>
    <cellStyle name="Explanatory Text 2" xfId="69"/>
    <cellStyle name="f" xfId="2674"/>
    <cellStyle name="f_Danhmuc_Quyhoach2009" xfId="2675"/>
    <cellStyle name="f_Danhmuc_Quyhoach2009 2" xfId="2676"/>
    <cellStyle name="f_Danhmuc_Quyhoach2009 2 2" xfId="2677"/>
    <cellStyle name="Fixed" xfId="70"/>
    <cellStyle name="Fixed 10" xfId="2678"/>
    <cellStyle name="Fixed 11" xfId="2679"/>
    <cellStyle name="Fixed 12" xfId="2680"/>
    <cellStyle name="Fixed 13" xfId="2681"/>
    <cellStyle name="Fixed 14" xfId="2682"/>
    <cellStyle name="Fixed 15" xfId="2683"/>
    <cellStyle name="Fixed 16" xfId="2684"/>
    <cellStyle name="Fixed 2" xfId="2685"/>
    <cellStyle name="Fixed 2 2" xfId="2686"/>
    <cellStyle name="Fixed 3" xfId="2687"/>
    <cellStyle name="Fixed 4" xfId="2688"/>
    <cellStyle name="Fixed 5" xfId="2689"/>
    <cellStyle name="Fixed 6" xfId="2690"/>
    <cellStyle name="Fixed 7" xfId="2691"/>
    <cellStyle name="Fixed 8" xfId="2692"/>
    <cellStyle name="Fixed 9" xfId="2693"/>
    <cellStyle name="Font Britannic16" xfId="2694"/>
    <cellStyle name="Font Britannic18" xfId="2695"/>
    <cellStyle name="Font CenturyCond 18" xfId="2696"/>
    <cellStyle name="Font Cond20" xfId="2697"/>
    <cellStyle name="Font LucidaSans16" xfId="2698"/>
    <cellStyle name="Font NewCenturyCond18" xfId="2699"/>
    <cellStyle name="Font Ottawa14" xfId="2700"/>
    <cellStyle name="Font Ottawa16" xfId="2701"/>
    <cellStyle name="gia" xfId="2702"/>
    <cellStyle name="GIA-MOI" xfId="2703"/>
    <cellStyle name="Good 2" xfId="71"/>
    <cellStyle name="Grey" xfId="72"/>
    <cellStyle name="Grey 10" xfId="2704"/>
    <cellStyle name="Grey 11" xfId="2705"/>
    <cellStyle name="Grey 12" xfId="2706"/>
    <cellStyle name="Grey 13" xfId="2707"/>
    <cellStyle name="Grey 14" xfId="2708"/>
    <cellStyle name="Grey 15" xfId="2709"/>
    <cellStyle name="Grey 16" xfId="2710"/>
    <cellStyle name="Grey 2" xfId="2711"/>
    <cellStyle name="Grey 3" xfId="2712"/>
    <cellStyle name="Grey 4" xfId="2713"/>
    <cellStyle name="Grey 5" xfId="2714"/>
    <cellStyle name="Grey 6" xfId="2715"/>
    <cellStyle name="Grey 7" xfId="2716"/>
    <cellStyle name="Grey 8" xfId="2717"/>
    <cellStyle name="Grey 9" xfId="2718"/>
    <cellStyle name="Grey_KH TPCP 2016-2020 (tong hop)" xfId="2719"/>
    <cellStyle name="Group" xfId="2720"/>
    <cellStyle name="H" xfId="2721"/>
    <cellStyle name="ha" xfId="2722"/>
    <cellStyle name="HAI" xfId="73"/>
    <cellStyle name="Head 1" xfId="2723"/>
    <cellStyle name="HEADER" xfId="74"/>
    <cellStyle name="HEADER 2" xfId="2724"/>
    <cellStyle name="Header1" xfId="75"/>
    <cellStyle name="Header1 2" xfId="2725"/>
    <cellStyle name="Header2" xfId="76"/>
    <cellStyle name="Header2 2" xfId="158"/>
    <cellStyle name="Header2 2 2" xfId="2726"/>
    <cellStyle name="Header2 2 2 2" xfId="2727"/>
    <cellStyle name="Header2 2 2 3" xfId="2728"/>
    <cellStyle name="Header2 2 2 4" xfId="2729"/>
    <cellStyle name="Header2 2 3" xfId="2730"/>
    <cellStyle name="Header2 2 4" xfId="2731"/>
    <cellStyle name="Header2 2 5" xfId="2732"/>
    <cellStyle name="Header2 3" xfId="2733"/>
    <cellStyle name="Header2 3 2" xfId="2734"/>
    <cellStyle name="Header2 3 3" xfId="2735"/>
    <cellStyle name="Header2 3 4" xfId="2736"/>
    <cellStyle name="Header2 4" xfId="2737"/>
    <cellStyle name="Header2 5" xfId="2738"/>
    <cellStyle name="Header2 6" xfId="2739"/>
    <cellStyle name="Heading" xfId="2740"/>
    <cellStyle name="Heading 1 2" xfId="77"/>
    <cellStyle name="Heading 2 2" xfId="78"/>
    <cellStyle name="Heading 3 2" xfId="79"/>
    <cellStyle name="Heading 4 2" xfId="80"/>
    <cellStyle name="Heading No Underline" xfId="2741"/>
    <cellStyle name="Heading With Underline" xfId="2742"/>
    <cellStyle name="Heading1" xfId="81"/>
    <cellStyle name="Heading2" xfId="82"/>
    <cellStyle name="HEADINGS" xfId="2743"/>
    <cellStyle name="HEADINGSTOP" xfId="2744"/>
    <cellStyle name="headoption" xfId="2745"/>
    <cellStyle name="headoption 2" xfId="2746"/>
    <cellStyle name="headoption 3" xfId="2747"/>
    <cellStyle name="Hoa-Scholl" xfId="2748"/>
    <cellStyle name="Hoa-Scholl 2" xfId="2749"/>
    <cellStyle name="HUY" xfId="2750"/>
    <cellStyle name="Hyperlink 2" xfId="2751"/>
    <cellStyle name="i phÝ kh¸c_B¶ng 2" xfId="2752"/>
    <cellStyle name="I.3" xfId="2753"/>
    <cellStyle name="i·0" xfId="2754"/>
    <cellStyle name="i·0 2" xfId="2755"/>
    <cellStyle name="ï-¾È»ê_BiÓu TB" xfId="2756"/>
    <cellStyle name="Input [yellow]" xfId="83"/>
    <cellStyle name="Input [yellow] 10" xfId="2757"/>
    <cellStyle name="Input [yellow] 11" xfId="2758"/>
    <cellStyle name="Input [yellow] 12" xfId="2759"/>
    <cellStyle name="Input [yellow] 13" xfId="2760"/>
    <cellStyle name="Input [yellow] 14" xfId="2761"/>
    <cellStyle name="Input [yellow] 15" xfId="2762"/>
    <cellStyle name="Input [yellow] 16" xfId="2763"/>
    <cellStyle name="Input [yellow] 2" xfId="159"/>
    <cellStyle name="Input [yellow] 2 2" xfId="2764"/>
    <cellStyle name="Input [yellow] 3" xfId="2765"/>
    <cellStyle name="Input [yellow] 4" xfId="2766"/>
    <cellStyle name="Input [yellow] 5" xfId="2767"/>
    <cellStyle name="Input [yellow] 6" xfId="2768"/>
    <cellStyle name="Input [yellow] 7" xfId="2769"/>
    <cellStyle name="Input [yellow] 8" xfId="2770"/>
    <cellStyle name="Input [yellow] 9" xfId="2771"/>
    <cellStyle name="Input [yellow]_KH TPCP 2016-2020 (tong hop)" xfId="2772"/>
    <cellStyle name="Input 2" xfId="84"/>
    <cellStyle name="Input 2 2" xfId="160"/>
    <cellStyle name="Input 3" xfId="2773"/>
    <cellStyle name="Input 3 2" xfId="2774"/>
    <cellStyle name="Input 4" xfId="2775"/>
    <cellStyle name="Input 4 2" xfId="2776"/>
    <cellStyle name="Input 5" xfId="2777"/>
    <cellStyle name="Input 5 2" xfId="2778"/>
    <cellStyle name="Input 6" xfId="2779"/>
    <cellStyle name="Input 6 2" xfId="2780"/>
    <cellStyle name="Input 7" xfId="2781"/>
    <cellStyle name="Input 7 2" xfId="2782"/>
    <cellStyle name="k_TONG HOP KINH PHI" xfId="2783"/>
    <cellStyle name="k_TONG HOP KINH PHI_!1 1 bao cao giao KH ve HTCMT vung TNB   12-12-2011" xfId="2784"/>
    <cellStyle name="k_TONG HOP KINH PHI_Bieu4HTMT" xfId="2785"/>
    <cellStyle name="k_TONG HOP KINH PHI_Bieu4HTMT_!1 1 bao cao giao KH ve HTCMT vung TNB   12-12-2011" xfId="2786"/>
    <cellStyle name="k_TONG HOP KINH PHI_Bieu4HTMT_KH TPCP vung TNB (03-1-2012)" xfId="2787"/>
    <cellStyle name="k_TONG HOP KINH PHI_KH TPCP vung TNB (03-1-2012)" xfId="2788"/>
    <cellStyle name="k_ÿÿÿÿÿ" xfId="2789"/>
    <cellStyle name="k_ÿÿÿÿÿ_!1 1 bao cao giao KH ve HTCMT vung TNB   12-12-2011" xfId="2790"/>
    <cellStyle name="k_ÿÿÿÿÿ_1" xfId="2791"/>
    <cellStyle name="k_ÿÿÿÿÿ_2" xfId="2792"/>
    <cellStyle name="k_ÿÿÿÿÿ_2_!1 1 bao cao giao KH ve HTCMT vung TNB   12-12-2011" xfId="2793"/>
    <cellStyle name="k_ÿÿÿÿÿ_2_Bieu4HTMT" xfId="2794"/>
    <cellStyle name="k_ÿÿÿÿÿ_2_Bieu4HTMT_!1 1 bao cao giao KH ve HTCMT vung TNB   12-12-2011" xfId="2795"/>
    <cellStyle name="k_ÿÿÿÿÿ_2_Bieu4HTMT_KH TPCP vung TNB (03-1-2012)" xfId="2796"/>
    <cellStyle name="k_ÿÿÿÿÿ_2_KH TPCP vung TNB (03-1-2012)" xfId="2797"/>
    <cellStyle name="k_ÿÿÿÿÿ_Bieu4HTMT" xfId="2798"/>
    <cellStyle name="k_ÿÿÿÿÿ_Bieu4HTMT_!1 1 bao cao giao KH ve HTCMT vung TNB   12-12-2011" xfId="2799"/>
    <cellStyle name="k_ÿÿÿÿÿ_Bieu4HTMT_KH TPCP vung TNB (03-1-2012)" xfId="2800"/>
    <cellStyle name="k_ÿÿÿÿÿ_KH TPCP vung TNB (03-1-2012)" xfId="2801"/>
    <cellStyle name="kh¸c_Bang Chi tieu" xfId="2802"/>
    <cellStyle name="khanh" xfId="2803"/>
    <cellStyle name="khung" xfId="2804"/>
    <cellStyle name="khung 2" xfId="2805"/>
    <cellStyle name="KLBXUNG" xfId="2806"/>
    <cellStyle name="Ledger 17 x 11 in" xfId="2807"/>
    <cellStyle name="Ledger 17 x 11 in 2" xfId="2808"/>
    <cellStyle name="Ledger 17 x 11 in 2 2" xfId="2809"/>
    <cellStyle name="Ledger 17 x 11 in 3" xfId="2810"/>
    <cellStyle name="Ledger 17 x 11 in 4" xfId="2811"/>
    <cellStyle name="left" xfId="2812"/>
    <cellStyle name="Line" xfId="2813"/>
    <cellStyle name="Link Currency (0)" xfId="2814"/>
    <cellStyle name="Link Currency (0) 10" xfId="2815"/>
    <cellStyle name="Link Currency (0) 11" xfId="2816"/>
    <cellStyle name="Link Currency (0) 12" xfId="2817"/>
    <cellStyle name="Link Currency (0) 13" xfId="2818"/>
    <cellStyle name="Link Currency (0) 14" xfId="2819"/>
    <cellStyle name="Link Currency (0) 15" xfId="2820"/>
    <cellStyle name="Link Currency (0) 16" xfId="2821"/>
    <cellStyle name="Link Currency (0) 2" xfId="2822"/>
    <cellStyle name="Link Currency (0) 3" xfId="2823"/>
    <cellStyle name="Link Currency (0) 4" xfId="2824"/>
    <cellStyle name="Link Currency (0) 5" xfId="2825"/>
    <cellStyle name="Link Currency (0) 6" xfId="2826"/>
    <cellStyle name="Link Currency (0) 7" xfId="2827"/>
    <cellStyle name="Link Currency (0) 8" xfId="2828"/>
    <cellStyle name="Link Currency (0) 9" xfId="2829"/>
    <cellStyle name="Link Currency (2)" xfId="2830"/>
    <cellStyle name="Link Currency (2) 10" xfId="2831"/>
    <cellStyle name="Link Currency (2) 11" xfId="2832"/>
    <cellStyle name="Link Currency (2) 12" xfId="2833"/>
    <cellStyle name="Link Currency (2) 13" xfId="2834"/>
    <cellStyle name="Link Currency (2) 14" xfId="2835"/>
    <cellStyle name="Link Currency (2) 15" xfId="2836"/>
    <cellStyle name="Link Currency (2) 16" xfId="2837"/>
    <cellStyle name="Link Currency (2) 2" xfId="2838"/>
    <cellStyle name="Link Currency (2) 3" xfId="2839"/>
    <cellStyle name="Link Currency (2) 4" xfId="2840"/>
    <cellStyle name="Link Currency (2) 5" xfId="2841"/>
    <cellStyle name="Link Currency (2) 6" xfId="2842"/>
    <cellStyle name="Link Currency (2) 7" xfId="2843"/>
    <cellStyle name="Link Currency (2) 8" xfId="2844"/>
    <cellStyle name="Link Currency (2) 9" xfId="2845"/>
    <cellStyle name="Link Units (0)" xfId="2846"/>
    <cellStyle name="Link Units (0) 10" xfId="2847"/>
    <cellStyle name="Link Units (0) 11" xfId="2848"/>
    <cellStyle name="Link Units (0) 12" xfId="2849"/>
    <cellStyle name="Link Units (0) 13" xfId="2850"/>
    <cellStyle name="Link Units (0) 14" xfId="2851"/>
    <cellStyle name="Link Units (0) 15" xfId="2852"/>
    <cellStyle name="Link Units (0) 16" xfId="2853"/>
    <cellStyle name="Link Units (0) 2" xfId="2854"/>
    <cellStyle name="Link Units (0) 3" xfId="2855"/>
    <cellStyle name="Link Units (0) 4" xfId="2856"/>
    <cellStyle name="Link Units (0) 5" xfId="2857"/>
    <cellStyle name="Link Units (0) 6" xfId="2858"/>
    <cellStyle name="Link Units (0) 7" xfId="2859"/>
    <cellStyle name="Link Units (0) 8" xfId="2860"/>
    <cellStyle name="Link Units (0) 9" xfId="2861"/>
    <cellStyle name="Link Units (1)" xfId="2862"/>
    <cellStyle name="Link Units (1) 10" xfId="2863"/>
    <cellStyle name="Link Units (1) 11" xfId="2864"/>
    <cellStyle name="Link Units (1) 12" xfId="2865"/>
    <cellStyle name="Link Units (1) 13" xfId="2866"/>
    <cellStyle name="Link Units (1) 14" xfId="2867"/>
    <cellStyle name="Link Units (1) 15" xfId="2868"/>
    <cellStyle name="Link Units (1) 16" xfId="2869"/>
    <cellStyle name="Link Units (1) 2" xfId="2870"/>
    <cellStyle name="Link Units (1) 3" xfId="2871"/>
    <cellStyle name="Link Units (1) 4" xfId="2872"/>
    <cellStyle name="Link Units (1) 5" xfId="2873"/>
    <cellStyle name="Link Units (1) 6" xfId="2874"/>
    <cellStyle name="Link Units (1) 7" xfId="2875"/>
    <cellStyle name="Link Units (1) 8" xfId="2876"/>
    <cellStyle name="Link Units (1) 9" xfId="2877"/>
    <cellStyle name="Link Units (2)" xfId="2878"/>
    <cellStyle name="Link Units (2) 10" xfId="2879"/>
    <cellStyle name="Link Units (2) 11" xfId="2880"/>
    <cellStyle name="Link Units (2) 12" xfId="2881"/>
    <cellStyle name="Link Units (2) 13" xfId="2882"/>
    <cellStyle name="Link Units (2) 14" xfId="2883"/>
    <cellStyle name="Link Units (2) 15" xfId="2884"/>
    <cellStyle name="Link Units (2) 16" xfId="2885"/>
    <cellStyle name="Link Units (2) 2" xfId="2886"/>
    <cellStyle name="Link Units (2) 3" xfId="2887"/>
    <cellStyle name="Link Units (2) 4" xfId="2888"/>
    <cellStyle name="Link Units (2) 5" xfId="2889"/>
    <cellStyle name="Link Units (2) 6" xfId="2890"/>
    <cellStyle name="Link Units (2) 7" xfId="2891"/>
    <cellStyle name="Link Units (2) 8" xfId="2892"/>
    <cellStyle name="Link Units (2) 9" xfId="2893"/>
    <cellStyle name="Linked Cell 2" xfId="85"/>
    <cellStyle name="Loai CBDT" xfId="2894"/>
    <cellStyle name="Loai CT" xfId="2895"/>
    <cellStyle name="Loai GD" xfId="2896"/>
    <cellStyle name="MAU" xfId="2897"/>
    <cellStyle name="MAU 2" xfId="2898"/>
    <cellStyle name="Migliaia (0)_CALPREZZ" xfId="2899"/>
    <cellStyle name="Migliaia_ PESO ELETTR." xfId="2900"/>
    <cellStyle name="Millares [0]_Well Timing" xfId="86"/>
    <cellStyle name="Millares_Well Timing" xfId="87"/>
    <cellStyle name="Milliers [0]_      " xfId="2901"/>
    <cellStyle name="Milliers_      " xfId="2902"/>
    <cellStyle name="Model" xfId="88"/>
    <cellStyle name="Model 2" xfId="2903"/>
    <cellStyle name="moi" xfId="2904"/>
    <cellStyle name="moi 2" xfId="2905"/>
    <cellStyle name="moi 3" xfId="2906"/>
    <cellStyle name="Moneda [0]_Well Timing" xfId="89"/>
    <cellStyle name="Moneda_Well Timing" xfId="90"/>
    <cellStyle name="Monétaire [0]_      " xfId="2907"/>
    <cellStyle name="Monétaire_      " xfId="2908"/>
    <cellStyle name="n" xfId="91"/>
    <cellStyle name="n_Book1_Bieu du thao QD von ho tro co MT 3 2" xfId="2909"/>
    <cellStyle name="Neutral 2" xfId="92"/>
    <cellStyle name="New" xfId="2910"/>
    <cellStyle name="New Times Roman" xfId="2911"/>
    <cellStyle name="nga" xfId="2912"/>
    <cellStyle name="no dec" xfId="2913"/>
    <cellStyle name="no dec 2" xfId="2914"/>
    <cellStyle name="no dec 2 2" xfId="2915"/>
    <cellStyle name="ÑONVÒ" xfId="2916"/>
    <cellStyle name="ÑONVÒ 2" xfId="2917"/>
    <cellStyle name="Normal" xfId="0" builtinId="0"/>
    <cellStyle name="Normal - Style1" xfId="93"/>
    <cellStyle name="Normal - Style1 2" xfId="2918"/>
    <cellStyle name="Normal - Style1 2 2" xfId="2919"/>
    <cellStyle name="Normal - Style1 3" xfId="2920"/>
    <cellStyle name="Normal - Style1_KH TPCP 2016-2020 (tong hop)" xfId="2921"/>
    <cellStyle name="Normal - 유형1" xfId="2922"/>
    <cellStyle name="Normal 10" xfId="167"/>
    <cellStyle name="Normal 10 2" xfId="94"/>
    <cellStyle name="Normal 10 2 2" xfId="2923"/>
    <cellStyle name="Normal 10 2 24" xfId="2924"/>
    <cellStyle name="Normal 10 2 28" xfId="2925"/>
    <cellStyle name="Normal 10 2 3" xfId="2926"/>
    <cellStyle name="Normal 10 2 4" xfId="2927"/>
    <cellStyle name="Normal 10 3" xfId="187"/>
    <cellStyle name="Normal 10 3 2" xfId="2928"/>
    <cellStyle name="Normal 10 3 3" xfId="2929"/>
    <cellStyle name="Normal 10 3 3 2" xfId="2930"/>
    <cellStyle name="Normal 10 4" xfId="2931"/>
    <cellStyle name="Normal 10 5" xfId="2932"/>
    <cellStyle name="Normal 10 6" xfId="2933"/>
    <cellStyle name="Normal 10 7" xfId="2934"/>
    <cellStyle name="Normal 10 7 2" xfId="2935"/>
    <cellStyle name="Normal 10 7 3" xfId="2936"/>
    <cellStyle name="Normal 10 7 3 2" xfId="2937"/>
    <cellStyle name="Normal 10 7 3 2 2" xfId="2938"/>
    <cellStyle name="Normal 10 7 3 3" xfId="2939"/>
    <cellStyle name="Normal 10 7 4" xfId="2940"/>
    <cellStyle name="Normal 10 7 4 2" xfId="2941"/>
    <cellStyle name="Normal 10 8" xfId="2942"/>
    <cellStyle name="Normal 10 9" xfId="2943"/>
    <cellStyle name="Normal 10_05-12  KH trung han 2016-2020 - Liem Thinh edited" xfId="2944"/>
    <cellStyle name="Normal 100" xfId="2945"/>
    <cellStyle name="Normal 11" xfId="174"/>
    <cellStyle name="Normal 11 2" xfId="95"/>
    <cellStyle name="Normal 11 2 2" xfId="96"/>
    <cellStyle name="Normal 11 3" xfId="97"/>
    <cellStyle name="Normal 11 3 2" xfId="2946"/>
    <cellStyle name="Normal 11 3 2 2" xfId="2947"/>
    <cellStyle name="Normal 11 3 2 2 2" xfId="2948"/>
    <cellStyle name="Normal 11 3 2 3" xfId="2949"/>
    <cellStyle name="Normal 11 3 3" xfId="2950"/>
    <cellStyle name="Normal 11 3 3 2" xfId="2951"/>
    <cellStyle name="Normal 11 3 3 2 2" xfId="2952"/>
    <cellStyle name="Normal 11 3 3 2 2 2" xfId="2953"/>
    <cellStyle name="Normal 11 3 3 2 3" xfId="2954"/>
    <cellStyle name="Normal 11 3 3 3" xfId="2955"/>
    <cellStyle name="Normal 11 3 3 3 2" xfId="2956"/>
    <cellStyle name="Normal 11 3 3 4" xfId="2957"/>
    <cellStyle name="Normal 11 3 4" xfId="2958"/>
    <cellStyle name="Normal 11 3 4 2" xfId="2959"/>
    <cellStyle name="Normal 11 3 4 2 2" xfId="2960"/>
    <cellStyle name="Normal 11 3 4 2 2 2" xfId="2961"/>
    <cellStyle name="Normal 11 3 4 2 2 2 2" xfId="2962"/>
    <cellStyle name="Normal 11 3 4 2 2 2 2 2" xfId="2963"/>
    <cellStyle name="Normal 11 3 4 2 2 2 3" xfId="2964"/>
    <cellStyle name="Normal 11 3 4 2 2 3" xfId="2965"/>
    <cellStyle name="Normal 11 3 4 2 2 3 2" xfId="2966"/>
    <cellStyle name="Normal 11 3 4 2 2 4" xfId="2967"/>
    <cellStyle name="Normal 11 3 4 2 3" xfId="2968"/>
    <cellStyle name="Normal 11 3 4 2 3 2" xfId="2969"/>
    <cellStyle name="Normal 11 3 4 2 3 2 2" xfId="2970"/>
    <cellStyle name="Normal 11 3 4 2 3 3" xfId="2971"/>
    <cellStyle name="Normal 11 3 4 2 4" xfId="2972"/>
    <cellStyle name="Normal 11 3 4 2 4 2" xfId="2973"/>
    <cellStyle name="Normal 11 3 4 2 5" xfId="2974"/>
    <cellStyle name="Normal 11 3 4 3" xfId="2975"/>
    <cellStyle name="Normal 11 3 4 3 2" xfId="2976"/>
    <cellStyle name="Normal 11 3 4 3 2 2" xfId="2977"/>
    <cellStyle name="Normal 11 3 4 3 2 2 2" xfId="2978"/>
    <cellStyle name="Normal 11 3 4 3 2 2 2 2" xfId="2979"/>
    <cellStyle name="Normal 11 3 4 3 2 2 3" xfId="2980"/>
    <cellStyle name="Normal 11 3 4 3 2 3" xfId="2981"/>
    <cellStyle name="Normal 11 3 4 3 2 3 2" xfId="2982"/>
    <cellStyle name="Normal 11 3 4 3 2 4" xfId="2983"/>
    <cellStyle name="Normal 11 3 4 3 3" xfId="2984"/>
    <cellStyle name="Normal 11 3 4 3 3 2" xfId="2985"/>
    <cellStyle name="Normal 11 3 4 3 3 2 2" xfId="2986"/>
    <cellStyle name="Normal 11 3 4 3 3 3" xfId="2987"/>
    <cellStyle name="Normal 11 3 4 3 4" xfId="2988"/>
    <cellStyle name="Normal 11 3 4 3 4 2" xfId="2989"/>
    <cellStyle name="Normal 11 3 4 3 5" xfId="2990"/>
    <cellStyle name="Normal 11 3 4 4" xfId="2991"/>
    <cellStyle name="Normal 11 3 4 4 2" xfId="2992"/>
    <cellStyle name="Normal 11 3 4 4 2 2" xfId="2993"/>
    <cellStyle name="Normal 11 3 4 4 3" xfId="2994"/>
    <cellStyle name="Normal 11 3 4 5" xfId="2995"/>
    <cellStyle name="Normal 11 3 4 5 2" xfId="2996"/>
    <cellStyle name="Normal 11 3 4 6" xfId="2997"/>
    <cellStyle name="Normal 11 3 4 6 2" xfId="2998"/>
    <cellStyle name="Normal 11 3 4 7" xfId="2999"/>
    <cellStyle name="Normal 11 3 5" xfId="3000"/>
    <cellStyle name="Normal 11 3 5 2" xfId="3001"/>
    <cellStyle name="Normal 11 3 6" xfId="3002"/>
    <cellStyle name="Normal 11 3 7" xfId="3003"/>
    <cellStyle name="Normal 12" xfId="180"/>
    <cellStyle name="Normal 12 2" xfId="3004"/>
    <cellStyle name="Normal 12 3" xfId="3005"/>
    <cellStyle name="Normal 13" xfId="98"/>
    <cellStyle name="Normal 13 2" xfId="3006"/>
    <cellStyle name="Normal 13 3" xfId="3007"/>
    <cellStyle name="Normal 14" xfId="195"/>
    <cellStyle name="Normal 14 2" xfId="3008"/>
    <cellStyle name="Normal 14 3" xfId="3009"/>
    <cellStyle name="Normal 15" xfId="3010"/>
    <cellStyle name="Normal 15 2" xfId="3011"/>
    <cellStyle name="Normal 15 3" xfId="3012"/>
    <cellStyle name="Normal 15 4" xfId="3013"/>
    <cellStyle name="Normal 16" xfId="99"/>
    <cellStyle name="Normal 16 2" xfId="3014"/>
    <cellStyle name="Normal 16 2 2" xfId="3015"/>
    <cellStyle name="Normal 16 2 2 2" xfId="3016"/>
    <cellStyle name="Normal 16 2 2 2 2" xfId="3017"/>
    <cellStyle name="Normal 16 2 2 2 2 2" xfId="3018"/>
    <cellStyle name="Normal 16 2 2 2 3" xfId="3019"/>
    <cellStyle name="Normal 16 2 2 3" xfId="3020"/>
    <cellStyle name="Normal 16 2 2 4" xfId="3021"/>
    <cellStyle name="Normal 16 2 2 4 2" xfId="3022"/>
    <cellStyle name="Normal 16 2 2 5" xfId="3023"/>
    <cellStyle name="Normal 16 2 3" xfId="3024"/>
    <cellStyle name="Normal 16 2 3 2" xfId="3025"/>
    <cellStyle name="Normal 16 2 3 2 2" xfId="3026"/>
    <cellStyle name="Normal 16 2 3 2 2 2" xfId="3027"/>
    <cellStyle name="Normal 16 2 3 2 3" xfId="3028"/>
    <cellStyle name="Normal 16 2 3 3" xfId="3029"/>
    <cellStyle name="Normal 16 2 3 3 2" xfId="3030"/>
    <cellStyle name="Normal 16 2 3 4" xfId="3031"/>
    <cellStyle name="Normal 16 2 4" xfId="3032"/>
    <cellStyle name="Normal 16 3" xfId="3033"/>
    <cellStyle name="Normal 16 4" xfId="3034"/>
    <cellStyle name="Normal 16 4 2" xfId="3035"/>
    <cellStyle name="Normal 16 4 2 2" xfId="3036"/>
    <cellStyle name="Normal 16 4 2 2 2" xfId="3037"/>
    <cellStyle name="Normal 16 4 2 3" xfId="3038"/>
    <cellStyle name="Normal 16 4 3" xfId="3039"/>
    <cellStyle name="Normal 16 4 3 2" xfId="3040"/>
    <cellStyle name="Normal 16 4 4" xfId="3041"/>
    <cellStyle name="Normal 16 5" xfId="3042"/>
    <cellStyle name="Normal 16 5 2" xfId="3043"/>
    <cellStyle name="Normal 16 5 2 2" xfId="3044"/>
    <cellStyle name="Normal 16 5 2 2 2" xfId="3045"/>
    <cellStyle name="Normal 16 5 2 3" xfId="3046"/>
    <cellStyle name="Normal 16 5 3" xfId="3047"/>
    <cellStyle name="Normal 16 5 3 2" xfId="3048"/>
    <cellStyle name="Normal 16 5 4" xfId="3049"/>
    <cellStyle name="Normal 16 6" xfId="3050"/>
    <cellStyle name="Normal 17" xfId="3051"/>
    <cellStyle name="Normal 17 2" xfId="3052"/>
    <cellStyle name="Normal 17 3 2" xfId="3053"/>
    <cellStyle name="Normal 17 3 2 2" xfId="3054"/>
    <cellStyle name="Normal 17 3 2 2 2" xfId="3055"/>
    <cellStyle name="Normal 17 3 2 2 2 2" xfId="3056"/>
    <cellStyle name="Normal 17 3 2 2 2 2 2" xfId="3057"/>
    <cellStyle name="Normal 17 3 2 2 2 3" xfId="3058"/>
    <cellStyle name="Normal 17 3 2 2 3" xfId="3059"/>
    <cellStyle name="Normal 17 3 2 2 3 2" xfId="3060"/>
    <cellStyle name="Normal 17 3 2 2 4" xfId="3061"/>
    <cellStyle name="Normal 17 3 2 3" xfId="3062"/>
    <cellStyle name="Normal 17 3 2 3 2" xfId="3063"/>
    <cellStyle name="Normal 17 3 2 3 2 2" xfId="3064"/>
    <cellStyle name="Normal 17 3 2 3 2 2 2" xfId="3065"/>
    <cellStyle name="Normal 17 3 2 3 2 3" xfId="3066"/>
    <cellStyle name="Normal 17 3 2 3 3" xfId="3067"/>
    <cellStyle name="Normal 17 3 2 3 3 2" xfId="3068"/>
    <cellStyle name="Normal 17 3 2 3 4" xfId="3069"/>
    <cellStyle name="Normal 17 3 2 4" xfId="3070"/>
    <cellStyle name="Normal 17 3 2 4 2" xfId="3071"/>
    <cellStyle name="Normal 17 3 2 4 2 2" xfId="3072"/>
    <cellStyle name="Normal 17 3 2 4 3" xfId="3073"/>
    <cellStyle name="Normal 17 3 2 5" xfId="3074"/>
    <cellStyle name="Normal 17 3 2 5 2" xfId="3075"/>
    <cellStyle name="Normal 17 3 2 6" xfId="3076"/>
    <cellStyle name="Normal 18" xfId="3077"/>
    <cellStyle name="Normal 18 2" xfId="3078"/>
    <cellStyle name="Normal 18 2 2" xfId="3079"/>
    <cellStyle name="Normal 18 3" xfId="3080"/>
    <cellStyle name="Normal 18_05-12  KH trung han 2016-2020 - Liem Thinh edited" xfId="3081"/>
    <cellStyle name="Normal 19" xfId="100"/>
    <cellStyle name="Normal 19 2" xfId="3082"/>
    <cellStyle name="Normal 19 2 2" xfId="3083"/>
    <cellStyle name="Normal 19 3" xfId="3084"/>
    <cellStyle name="Normal 2" xfId="5"/>
    <cellStyle name="Normal 2 10" xfId="3085"/>
    <cellStyle name="Normal 2 10 2" xfId="3086"/>
    <cellStyle name="Normal 2 11" xfId="3087"/>
    <cellStyle name="Normal 2 11 2" xfId="3088"/>
    <cellStyle name="Normal 2 12" xfId="3089"/>
    <cellStyle name="Normal 2 12 2" xfId="3090"/>
    <cellStyle name="Normal 2 13" xfId="3091"/>
    <cellStyle name="Normal 2 13 2" xfId="3092"/>
    <cellStyle name="Normal 2 14" xfId="3093"/>
    <cellStyle name="Normal 2 14 2" xfId="3094"/>
    <cellStyle name="Normal 2 15" xfId="3095"/>
    <cellStyle name="Normal 2 16" xfId="3096"/>
    <cellStyle name="Normal 2 17" xfId="3097"/>
    <cellStyle name="Normal 2 18" xfId="3098"/>
    <cellStyle name="Normal 2 19" xfId="3099"/>
    <cellStyle name="Normal 2 2" xfId="101"/>
    <cellStyle name="Normal 2 2 10" xfId="3100"/>
    <cellStyle name="Normal 2 2 10 2" xfId="3101"/>
    <cellStyle name="Normal 2 2 11" xfId="3102"/>
    <cellStyle name="Normal 2 2 12" xfId="3103"/>
    <cellStyle name="Normal 2 2 13" xfId="3104"/>
    <cellStyle name="Normal 2 2 14" xfId="3105"/>
    <cellStyle name="Normal 2 2 15" xfId="3106"/>
    <cellStyle name="Normal 2 2 16" xfId="3107"/>
    <cellStyle name="Normal 2 2 17" xfId="3108"/>
    <cellStyle name="Normal 2 2 2" xfId="11"/>
    <cellStyle name="Normal 2 2 2 2" xfId="3109"/>
    <cellStyle name="Normal 2 2 2 2 2" xfId="3110"/>
    <cellStyle name="Normal 2 2 2 3" xfId="3111"/>
    <cellStyle name="Normal 2 2 3" xfId="3112"/>
    <cellStyle name="Normal 2 2 33 4" xfId="3113"/>
    <cellStyle name="Normal 2 2 33 4 2" xfId="3114"/>
    <cellStyle name="Normal 2 2 33 4 2 2" xfId="3115"/>
    <cellStyle name="Normal 2 2 33 4 2 2 2" xfId="3116"/>
    <cellStyle name="Normal 2 2 33 4 2 2 2 2" xfId="3117"/>
    <cellStyle name="Normal 2 2 33 4 2 2 3" xfId="3118"/>
    <cellStyle name="Normal 2 2 33 4 2 3" xfId="3119"/>
    <cellStyle name="Normal 2 2 33 4 2 3 2" xfId="3120"/>
    <cellStyle name="Normal 2 2 33 4 2 4" xfId="3121"/>
    <cellStyle name="Normal 2 2 33 4 3" xfId="3122"/>
    <cellStyle name="Normal 2 2 33 4 3 2" xfId="3123"/>
    <cellStyle name="Normal 2 2 33 4 3 2 2" xfId="3124"/>
    <cellStyle name="Normal 2 2 33 4 3 3" xfId="3125"/>
    <cellStyle name="Normal 2 2 33 4 4" xfId="3126"/>
    <cellStyle name="Normal 2 2 33 4 4 2" xfId="3127"/>
    <cellStyle name="Normal 2 2 33 4 5" xfId="3128"/>
    <cellStyle name="Normal 2 2 4" xfId="3129"/>
    <cellStyle name="Normal 2 2 4 2" xfId="3130"/>
    <cellStyle name="Normal 2 2 4 3" xfId="3131"/>
    <cellStyle name="Normal 2 2 5" xfId="3132"/>
    <cellStyle name="Normal 2 2 6" xfId="3133"/>
    <cellStyle name="Normal 2 2 7" xfId="3134"/>
    <cellStyle name="Normal 2 2 8" xfId="3135"/>
    <cellStyle name="Normal 2 2 9" xfId="3136"/>
    <cellStyle name="Normal 2 2_Biểu 17 - Ứng trước NSTW chưa thu hồi" xfId="3137"/>
    <cellStyle name="Normal 2 20" xfId="3138"/>
    <cellStyle name="Normal 2 21" xfId="3139"/>
    <cellStyle name="Normal 2 22" xfId="3140"/>
    <cellStyle name="Normal 2 23" xfId="3141"/>
    <cellStyle name="Normal 2 24" xfId="3142"/>
    <cellStyle name="Normal 2 25" xfId="3143"/>
    <cellStyle name="Normal 2 26" xfId="3144"/>
    <cellStyle name="Normal 2 26 2" xfId="3145"/>
    <cellStyle name="Normal 2 27" xfId="3146"/>
    <cellStyle name="Normal 2 28" xfId="3147"/>
    <cellStyle name="Normal 2 28 2" xfId="3148"/>
    <cellStyle name="Normal 2 28 2 2" xfId="3149"/>
    <cellStyle name="Normal 2 28 2 2 2" xfId="3150"/>
    <cellStyle name="Normal 2 28 2 3" xfId="3151"/>
    <cellStyle name="Normal 2 28 3" xfId="3152"/>
    <cellStyle name="Normal 2 28 3 2" xfId="3153"/>
    <cellStyle name="Normal 2 28 4" xfId="3154"/>
    <cellStyle name="Normal 2 29" xfId="3155"/>
    <cellStyle name="Normal 2 29 2" xfId="3156"/>
    <cellStyle name="Normal 2 29 2 2" xfId="3157"/>
    <cellStyle name="Normal 2 29 3" xfId="3158"/>
    <cellStyle name="Normal 2 3" xfId="102"/>
    <cellStyle name="Normal 2 3 2" xfId="103"/>
    <cellStyle name="Normal 2 3 2 2" xfId="104"/>
    <cellStyle name="Normal 2 3 3" xfId="153"/>
    <cellStyle name="Normal 2 3 4" xfId="3159"/>
    <cellStyle name="Normal 2 3_12-09-2014 thinh (luat dau tu  cong) bao cao von CTMT  Bieu Mau THien KH 2011-2015 va XDung KH DTu Cong Trung han 2016-2020" xfId="3160"/>
    <cellStyle name="Normal 2 30" xfId="3161"/>
    <cellStyle name="Normal 2 31" xfId="3162"/>
    <cellStyle name="Normal 2 32" xfId="3163"/>
    <cellStyle name="Normal 2 33" xfId="3164"/>
    <cellStyle name="Normal 2 34" xfId="3165"/>
    <cellStyle name="Normal 2 35" xfId="3166"/>
    <cellStyle name="Normal 2 35 2" xfId="3167"/>
    <cellStyle name="Normal 2 36" xfId="3168"/>
    <cellStyle name="Normal 2 37" xfId="3169"/>
    <cellStyle name="Normal 2 38" xfId="3170"/>
    <cellStyle name="Normal 2 39" xfId="3171"/>
    <cellStyle name="Normal 2 4" xfId="105"/>
    <cellStyle name="Normal 2 4 2" xfId="3172"/>
    <cellStyle name="Normal 2 4 2 2" xfId="3173"/>
    <cellStyle name="Normal 2 4 2 3" xfId="3174"/>
    <cellStyle name="Normal 2 4 3" xfId="3175"/>
    <cellStyle name="Normal 2 4 3 2" xfId="3176"/>
    <cellStyle name="Normal 2 4 4" xfId="3177"/>
    <cellStyle name="Normal 2 4 5" xfId="3178"/>
    <cellStyle name="Normal 2 4 6" xfId="3179"/>
    <cellStyle name="Normal 2 40" xfId="3180"/>
    <cellStyle name="Normal 2 41" xfId="3181"/>
    <cellStyle name="Normal 2 42" xfId="3182"/>
    <cellStyle name="Normal 2 43" xfId="3183"/>
    <cellStyle name="Normal 2 44" xfId="3184"/>
    <cellStyle name="Normal 2 45" xfId="3185"/>
    <cellStyle name="Normal 2 46" xfId="3186"/>
    <cellStyle name="Normal 2 47" xfId="3187"/>
    <cellStyle name="Normal 2 48" xfId="3188"/>
    <cellStyle name="Normal 2 49" xfId="3189"/>
    <cellStyle name="Normal 2 5" xfId="106"/>
    <cellStyle name="Normal 2 5 2" xfId="190"/>
    <cellStyle name="Normal 2 5 2 2" xfId="3190"/>
    <cellStyle name="Normal 2 50" xfId="3191"/>
    <cellStyle name="Normal 2 51" xfId="3192"/>
    <cellStyle name="Normal 2 6" xfId="3193"/>
    <cellStyle name="Normal 2 6 2" xfId="3194"/>
    <cellStyle name="Normal 2 6 2 2" xfId="3195"/>
    <cellStyle name="Normal 2 7" xfId="3196"/>
    <cellStyle name="Normal 2 7 2" xfId="3197"/>
    <cellStyle name="Normal 2 7 2 2" xfId="3198"/>
    <cellStyle name="Normal 2 8" xfId="3199"/>
    <cellStyle name="Normal 2 8 2" xfId="3200"/>
    <cellStyle name="Normal 2 8 2 2" xfId="3201"/>
    <cellStyle name="Normal 2 9" xfId="3202"/>
    <cellStyle name="Normal 2 9 2" xfId="3203"/>
    <cellStyle name="Normal 2_05-12  KH trung han 2016-2020 - Liem Thinh edited" xfId="3204"/>
    <cellStyle name="Normal 20" xfId="3205"/>
    <cellStyle name="Normal 20 2" xfId="3206"/>
    <cellStyle name="Normal 20 3" xfId="3207"/>
    <cellStyle name="Normal 21" xfId="3208"/>
    <cellStyle name="Normal 21 2" xfId="3209"/>
    <cellStyle name="Normal 22" xfId="3210"/>
    <cellStyle name="Normal 22 2" xfId="3211"/>
    <cellStyle name="Normal 23" xfId="3212"/>
    <cellStyle name="Normal 23 2" xfId="3213"/>
    <cellStyle name="Normal 23 3" xfId="3214"/>
    <cellStyle name="Normal 24" xfId="3215"/>
    <cellStyle name="Normal 24 2" xfId="3216"/>
    <cellStyle name="Normal 24 2 2" xfId="3217"/>
    <cellStyle name="Normal 25" xfId="3218"/>
    <cellStyle name="Normal 25 2" xfId="3219"/>
    <cellStyle name="Normal 25 3" xfId="3220"/>
    <cellStyle name="Normal 26" xfId="3221"/>
    <cellStyle name="Normal 26 2" xfId="3222"/>
    <cellStyle name="Normal 27" xfId="3223"/>
    <cellStyle name="Normal 27 2" xfId="3224"/>
    <cellStyle name="Normal 28" xfId="3225"/>
    <cellStyle name="Normal 28 2" xfId="3226"/>
    <cellStyle name="Normal 29" xfId="3227"/>
    <cellStyle name="Normal 29 2" xfId="3228"/>
    <cellStyle name="Normal 3" xfId="3"/>
    <cellStyle name="Normal 3 10" xfId="3229"/>
    <cellStyle name="Normal 3 11" xfId="3230"/>
    <cellStyle name="Normal 3 12" xfId="3231"/>
    <cellStyle name="Normal 3 13" xfId="3232"/>
    <cellStyle name="Normal 3 14" xfId="3233"/>
    <cellStyle name="Normal 3 15" xfId="3234"/>
    <cellStyle name="Normal 3 16" xfId="3235"/>
    <cellStyle name="Normal 3 17" xfId="3236"/>
    <cellStyle name="Normal 3 18" xfId="3237"/>
    <cellStyle name="Normal 3 2" xfId="107"/>
    <cellStyle name="Normal 3 2 10" xfId="3238"/>
    <cellStyle name="Normal 3 2 11" xfId="3239"/>
    <cellStyle name="Normal 3 2 2" xfId="3240"/>
    <cellStyle name="Normal 3 2 2 2" xfId="3241"/>
    <cellStyle name="Normal 3 2 3" xfId="3242"/>
    <cellStyle name="Normal 3 2 3 2" xfId="3243"/>
    <cellStyle name="Normal 3 2 4" xfId="3244"/>
    <cellStyle name="Normal 3 2 5" xfId="3245"/>
    <cellStyle name="Normal 3 2 5 2" xfId="3246"/>
    <cellStyle name="Normal 3 2 5 2 2" xfId="3247"/>
    <cellStyle name="Normal 3 2 5 2 2 2" xfId="3248"/>
    <cellStyle name="Normal 3 2 5 2 3" xfId="3249"/>
    <cellStyle name="Normal 3 2 5 3" xfId="3250"/>
    <cellStyle name="Normal 3 2 5 3 2" xfId="3251"/>
    <cellStyle name="Normal 3 2 5 4" xfId="3252"/>
    <cellStyle name="Normal 3 2 6" xfId="3253"/>
    <cellStyle name="Normal 3 2 6 2" xfId="3254"/>
    <cellStyle name="Normal 3 2 6 2 2" xfId="3255"/>
    <cellStyle name="Normal 3 2 6 2 2 2" xfId="3256"/>
    <cellStyle name="Normal 3 2 6 2 3" xfId="3257"/>
    <cellStyle name="Normal 3 2 6 3" xfId="3258"/>
    <cellStyle name="Normal 3 2 6 3 2" xfId="3259"/>
    <cellStyle name="Normal 3 2 6 4" xfId="3260"/>
    <cellStyle name="Normal 3 2 7" xfId="3261"/>
    <cellStyle name="Normal 3 2 7 2" xfId="3262"/>
    <cellStyle name="Normal 3 2 7 2 2" xfId="3263"/>
    <cellStyle name="Normal 3 2 7 3" xfId="3264"/>
    <cellStyle name="Normal 3 2 8" xfId="3265"/>
    <cellStyle name="Normal 3 2 8 2" xfId="3266"/>
    <cellStyle name="Normal 3 2 8 2 2" xfId="3267"/>
    <cellStyle name="Normal 3 2 8 3" xfId="3268"/>
    <cellStyle name="Normal 3 2 9" xfId="3269"/>
    <cellStyle name="Normal 3 2 9 2" xfId="3270"/>
    <cellStyle name="Normal 3 3" xfId="108"/>
    <cellStyle name="Normal 3 3 2" xfId="3271"/>
    <cellStyle name="Normal 3 4" xfId="109"/>
    <cellStyle name="Normal 3 4 2" xfId="3272"/>
    <cellStyle name="Normal 3 5" xfId="178"/>
    <cellStyle name="Normal 3 6" xfId="191"/>
    <cellStyle name="Normal 3 7" xfId="3273"/>
    <cellStyle name="Normal 3 8" xfId="3274"/>
    <cellStyle name="Normal 3 9" xfId="3275"/>
    <cellStyle name="Normal 3_Bieu TH TPCP Vung TNB ngay 4-1-2012" xfId="3276"/>
    <cellStyle name="Normal 30" xfId="3277"/>
    <cellStyle name="Normal 30 2" xfId="3278"/>
    <cellStyle name="Normal 30 2 2" xfId="3279"/>
    <cellStyle name="Normal 30 2 2 2" xfId="3280"/>
    <cellStyle name="Normal 30 2 2 2 2" xfId="3281"/>
    <cellStyle name="Normal 30 2 2 3" xfId="3282"/>
    <cellStyle name="Normal 30 2 3" xfId="3283"/>
    <cellStyle name="Normal 30 2 3 2" xfId="3284"/>
    <cellStyle name="Normal 30 2 4" xfId="3285"/>
    <cellStyle name="Normal 30 3" xfId="3286"/>
    <cellStyle name="Normal 30 3 2" xfId="3287"/>
    <cellStyle name="Normal 30 3 2 2" xfId="3288"/>
    <cellStyle name="Normal 30 3 2 2 2" xfId="3289"/>
    <cellStyle name="Normal 30 3 2 3" xfId="3290"/>
    <cellStyle name="Normal 30 3 3" xfId="3291"/>
    <cellStyle name="Normal 30 3 3 2" xfId="3292"/>
    <cellStyle name="Normal 30 3 4" xfId="3293"/>
    <cellStyle name="Normal 30 4" xfId="3294"/>
    <cellStyle name="Normal 30 4 2" xfId="3295"/>
    <cellStyle name="Normal 30 4 2 2" xfId="3296"/>
    <cellStyle name="Normal 30 4 3" xfId="3297"/>
    <cellStyle name="Normal 30 5" xfId="3298"/>
    <cellStyle name="Normal 30 5 2" xfId="3299"/>
    <cellStyle name="Normal 30 6" xfId="3300"/>
    <cellStyle name="Normal 30 6 2" xfId="3301"/>
    <cellStyle name="Normal 30 7" xfId="3302"/>
    <cellStyle name="Normal 31" xfId="3303"/>
    <cellStyle name="Normal 31 2" xfId="3304"/>
    <cellStyle name="Normal 31 2 2" xfId="3305"/>
    <cellStyle name="Normal 31 2 2 2" xfId="3306"/>
    <cellStyle name="Normal 31 2 2 2 2" xfId="3307"/>
    <cellStyle name="Normal 31 2 2 3" xfId="3308"/>
    <cellStyle name="Normal 31 2 3" xfId="3309"/>
    <cellStyle name="Normal 31 2 3 2" xfId="3310"/>
    <cellStyle name="Normal 31 2 3 2 2" xfId="3311"/>
    <cellStyle name="Normal 31 2 3 3" xfId="3312"/>
    <cellStyle name="Normal 31 2 3 3 2" xfId="3313"/>
    <cellStyle name="Normal 31 2 4" xfId="3314"/>
    <cellStyle name="Normal 31 3" xfId="3315"/>
    <cellStyle name="Normal 31 3 2" xfId="3316"/>
    <cellStyle name="Normal 31 3 2 2" xfId="3317"/>
    <cellStyle name="Normal 31 3 2 2 2" xfId="3318"/>
    <cellStyle name="Normal 31 3 2 3" xfId="3319"/>
    <cellStyle name="Normal 31 3 3" xfId="3320"/>
    <cellStyle name="Normal 31 3 3 2" xfId="3321"/>
    <cellStyle name="Normal 31 3 4" xfId="3322"/>
    <cellStyle name="Normal 31 4" xfId="3323"/>
    <cellStyle name="Normal 31 4 2" xfId="3324"/>
    <cellStyle name="Normal 31 4 2 2" xfId="3325"/>
    <cellStyle name="Normal 31 4 3" xfId="3326"/>
    <cellStyle name="Normal 31 5" xfId="3327"/>
    <cellStyle name="Normal 31 5 2" xfId="3328"/>
    <cellStyle name="Normal 31 6" xfId="3329"/>
    <cellStyle name="Normal 32" xfId="3330"/>
    <cellStyle name="Normal 32 2" xfId="3331"/>
    <cellStyle name="Normal 32 2 2" xfId="3332"/>
    <cellStyle name="Normal 32 2 2 2" xfId="3333"/>
    <cellStyle name="Normal 32 2 2 2 2" xfId="3334"/>
    <cellStyle name="Normal 32 2 2 3" xfId="3335"/>
    <cellStyle name="Normal 32 2 3" xfId="3336"/>
    <cellStyle name="Normal 32 2 3 2" xfId="3337"/>
    <cellStyle name="Normal 32 2 4" xfId="3338"/>
    <cellStyle name="Normal 33" xfId="3339"/>
    <cellStyle name="Normal 33 2" xfId="3340"/>
    <cellStyle name="Normal 34" xfId="3341"/>
    <cellStyle name="Normal 35" xfId="3342"/>
    <cellStyle name="Normal 36" xfId="3343"/>
    <cellStyle name="Normal 37" xfId="3344"/>
    <cellStyle name="Normal 37 2" xfId="3345"/>
    <cellStyle name="Normal 37 2 2" xfId="3346"/>
    <cellStyle name="Normal 37 2 3" xfId="3347"/>
    <cellStyle name="Normal 37 3" xfId="3348"/>
    <cellStyle name="Normal 37 3 2" xfId="3349"/>
    <cellStyle name="Normal 37 4" xfId="3350"/>
    <cellStyle name="Normal 38" xfId="3351"/>
    <cellStyle name="Normal 38 2" xfId="3352"/>
    <cellStyle name="Normal 38 2 2" xfId="3353"/>
    <cellStyle name="Normal 39" xfId="3354"/>
    <cellStyle name="Normal 39 2" xfId="3355"/>
    <cellStyle name="Normal 39 2 2" xfId="3356"/>
    <cellStyle name="Normal 39 2 2 2" xfId="3357"/>
    <cellStyle name="Normal 39 2 2 2 2" xfId="3358"/>
    <cellStyle name="Normal 39 2 2 3" xfId="3359"/>
    <cellStyle name="Normal 39 2 3" xfId="3360"/>
    <cellStyle name="Normal 39 2 3 2" xfId="3361"/>
    <cellStyle name="Normal 39 2 4" xfId="3362"/>
    <cellStyle name="Normal 39 3" xfId="3363"/>
    <cellStyle name="Normal 39 3 2" xfId="3364"/>
    <cellStyle name="Normal 39 3 2 2" xfId="3365"/>
    <cellStyle name="Normal 39 3 2 2 2" xfId="3366"/>
    <cellStyle name="Normal 39 3 2 3" xfId="3367"/>
    <cellStyle name="Normal 39 3 3" xfId="3368"/>
    <cellStyle name="Normal 39 3 3 2" xfId="3369"/>
    <cellStyle name="Normal 39 3 4" xfId="3370"/>
    <cellStyle name="Normal 4" xfId="8"/>
    <cellStyle name="Normal 4 10" xfId="3371"/>
    <cellStyle name="Normal 4 11" xfId="3372"/>
    <cellStyle name="Normal 4 12" xfId="3373"/>
    <cellStyle name="Normal 4 13" xfId="3374"/>
    <cellStyle name="Normal 4 14" xfId="3375"/>
    <cellStyle name="Normal 4 15" xfId="3376"/>
    <cellStyle name="Normal 4 16" xfId="3377"/>
    <cellStyle name="Normal 4 17" xfId="3378"/>
    <cellStyle name="Normal 4 2" xfId="110"/>
    <cellStyle name="Normal 4 2 2" xfId="3379"/>
    <cellStyle name="Normal 4 2 2 2" xfId="3380"/>
    <cellStyle name="Normal 4 3" xfId="152"/>
    <cellStyle name="Normal 4 4" xfId="3381"/>
    <cellStyle name="Normal 4 5" xfId="3382"/>
    <cellStyle name="Normal 4 6" xfId="3383"/>
    <cellStyle name="Normal 4 7" xfId="3384"/>
    <cellStyle name="Normal 4 8" xfId="3385"/>
    <cellStyle name="Normal 4 9" xfId="3386"/>
    <cellStyle name="Normal 4_Bang bieu" xfId="3387"/>
    <cellStyle name="Normal 40" xfId="3388"/>
    <cellStyle name="Normal 41" xfId="3389"/>
    <cellStyle name="Normal 42" xfId="3390"/>
    <cellStyle name="Normal 43" xfId="3391"/>
    <cellStyle name="Normal 44" xfId="3392"/>
    <cellStyle name="Normal 45" xfId="3393"/>
    <cellStyle name="Normal 46" xfId="3394"/>
    <cellStyle name="Normal 46 2" xfId="3395"/>
    <cellStyle name="Normal 46 2 2" xfId="3396"/>
    <cellStyle name="Normal 46 2 2 2" xfId="3397"/>
    <cellStyle name="Normal 46 2 3" xfId="3398"/>
    <cellStyle name="Normal 46 3" xfId="3399"/>
    <cellStyle name="Normal 46 3 2" xfId="3400"/>
    <cellStyle name="Normal 46 4" xfId="3401"/>
    <cellStyle name="Normal 47" xfId="3402"/>
    <cellStyle name="Normal 48" xfId="3403"/>
    <cellStyle name="Normal 49" xfId="3404"/>
    <cellStyle name="Normal 5" xfId="111"/>
    <cellStyle name="Normal 5 2" xfId="112"/>
    <cellStyle name="Normal 5 2 2" xfId="3405"/>
    <cellStyle name="Normal 5 3" xfId="166"/>
    <cellStyle name="Normal 5 3 2" xfId="3406"/>
    <cellStyle name="Normal 5 4" xfId="192"/>
    <cellStyle name="Normal 50" xfId="3407"/>
    <cellStyle name="Normal 51" xfId="3408"/>
    <cellStyle name="Normal 52" xfId="3409"/>
    <cellStyle name="Normal 52 2" xfId="3410"/>
    <cellStyle name="Normal 52 2 2" xfId="3411"/>
    <cellStyle name="Normal 52 2 3" xfId="3412"/>
    <cellStyle name="Normal 52 2 3 2" xfId="3413"/>
    <cellStyle name="Normal 52 3" xfId="3414"/>
    <cellStyle name="Normal 52 5 2 2 2" xfId="3415"/>
    <cellStyle name="Normal 52 5 2 2 2 2" xfId="3416"/>
    <cellStyle name="Normal 53" xfId="3417"/>
    <cellStyle name="Normal 53 2" xfId="3418"/>
    <cellStyle name="Normal 53 2 2" xfId="3419"/>
    <cellStyle name="Normal 53 3" xfId="3420"/>
    <cellStyle name="Normal 54" xfId="3421"/>
    <cellStyle name="Normal 54 2" xfId="3422"/>
    <cellStyle name="Normal 54 2 2" xfId="3423"/>
    <cellStyle name="Normal 54 3" xfId="3424"/>
    <cellStyle name="Normal 54 4" xfId="3425"/>
    <cellStyle name="Normal 55" xfId="3426"/>
    <cellStyle name="Normal 55 2" xfId="3427"/>
    <cellStyle name="Normal 55 2 2" xfId="3428"/>
    <cellStyle name="Normal 55 2 2 2" xfId="3429"/>
    <cellStyle name="Normal 55 2 3" xfId="3430"/>
    <cellStyle name="Normal 55 3" xfId="3431"/>
    <cellStyle name="Normal 55 3 2" xfId="3432"/>
    <cellStyle name="Normal 55 4" xfId="3433"/>
    <cellStyle name="Normal 56" xfId="3434"/>
    <cellStyle name="Normal 56 2" xfId="3435"/>
    <cellStyle name="Normal 56 2 2" xfId="3436"/>
    <cellStyle name="Normal 56 2 2 2" xfId="3437"/>
    <cellStyle name="Normal 56 2 2 2 2" xfId="3438"/>
    <cellStyle name="Normal 56 2 2 3" xfId="3439"/>
    <cellStyle name="Normal 56 2 3" xfId="3440"/>
    <cellStyle name="Normal 56 2 3 2" xfId="3441"/>
    <cellStyle name="Normal 56 2 4" xfId="3442"/>
    <cellStyle name="Normal 56 3" xfId="3443"/>
    <cellStyle name="Normal 56 3 2" xfId="3444"/>
    <cellStyle name="Normal 56 3 2 2" xfId="3445"/>
    <cellStyle name="Normal 56 3 3" xfId="3446"/>
    <cellStyle name="Normal 56 4" xfId="3447"/>
    <cellStyle name="Normal 56 4 2" xfId="3448"/>
    <cellStyle name="Normal 56 5" xfId="3449"/>
    <cellStyle name="Normal 57" xfId="3450"/>
    <cellStyle name="Normal 57 2" xfId="3451"/>
    <cellStyle name="Normal 57 2 2" xfId="3452"/>
    <cellStyle name="Normal 57 3" xfId="3453"/>
    <cellStyle name="Normal 58" xfId="3454"/>
    <cellStyle name="Normal 58 2" xfId="3455"/>
    <cellStyle name="Normal 59" xfId="3456"/>
    <cellStyle name="Normal 6" xfId="113"/>
    <cellStyle name="Normal 6 10" xfId="3457"/>
    <cellStyle name="Normal 6 11" xfId="3458"/>
    <cellStyle name="Normal 6 12" xfId="3459"/>
    <cellStyle name="Normal 6 13" xfId="3460"/>
    <cellStyle name="Normal 6 14" xfId="3461"/>
    <cellStyle name="Normal 6 15" xfId="3462"/>
    <cellStyle name="Normal 6 16" xfId="3463"/>
    <cellStyle name="Normal 6 17" xfId="3464"/>
    <cellStyle name="Normal 6 2" xfId="154"/>
    <cellStyle name="Normal 6 2 2" xfId="3465"/>
    <cellStyle name="Normal 6 3" xfId="3466"/>
    <cellStyle name="Normal 6 4" xfId="3467"/>
    <cellStyle name="Normal 6 4 2" xfId="3468"/>
    <cellStyle name="Normal 6 5" xfId="3469"/>
    <cellStyle name="Normal 6 6" xfId="3470"/>
    <cellStyle name="Normal 6 7" xfId="3471"/>
    <cellStyle name="Normal 6 8" xfId="3472"/>
    <cellStyle name="Normal 6 9" xfId="3473"/>
    <cellStyle name="Normal 6_TPCP trinh UBND ngay 27-12" xfId="3474"/>
    <cellStyle name="Normal 60" xfId="3475"/>
    <cellStyle name="Normal 60 2" xfId="3476"/>
    <cellStyle name="Normal 61" xfId="3477"/>
    <cellStyle name="Normal 62" xfId="3478"/>
    <cellStyle name="Normal 63" xfId="3479"/>
    <cellStyle name="Normal 64" xfId="3480"/>
    <cellStyle name="Normal 65" xfId="3481"/>
    <cellStyle name="Normal 66" xfId="3482"/>
    <cellStyle name="Normal 67" xfId="3483"/>
    <cellStyle name="Normal 68" xfId="196"/>
    <cellStyle name="Normal 69" xfId="3484"/>
    <cellStyle name="Normal 7" xfId="114"/>
    <cellStyle name="Normal 7 2" xfId="3485"/>
    <cellStyle name="Normal 7 2 3" xfId="3486"/>
    <cellStyle name="Normal 7 3" xfId="3487"/>
    <cellStyle name="Normal 7 3 2" xfId="3488"/>
    <cellStyle name="Normal 7 3 2 2" xfId="3489"/>
    <cellStyle name="Normal 7 3 3" xfId="3490"/>
    <cellStyle name="Normal 7_!1 1 bao cao giao KH ve HTCMT vung TNB   12-12-2011" xfId="3491"/>
    <cellStyle name="Normal 70" xfId="198"/>
    <cellStyle name="Normal 71" xfId="3492"/>
    <cellStyle name="Normal 72" xfId="200"/>
    <cellStyle name="Normal 73" xfId="3493"/>
    <cellStyle name="Normal 74" xfId="3494"/>
    <cellStyle name="Normal 75" xfId="201"/>
    <cellStyle name="Normal 76" xfId="3495"/>
    <cellStyle name="Normal 77" xfId="3496"/>
    <cellStyle name="Normal 78" xfId="3497"/>
    <cellStyle name="Normal 79" xfId="3498"/>
    <cellStyle name="Normal 79 2" xfId="3499"/>
    <cellStyle name="Normal 79 2 2" xfId="3500"/>
    <cellStyle name="Normal 79 2 2 2" xfId="3501"/>
    <cellStyle name="Normal 79 2 2 2 2" xfId="3502"/>
    <cellStyle name="Normal 79 2 2 3" xfId="3503"/>
    <cellStyle name="Normal 79 2 3" xfId="3504"/>
    <cellStyle name="Normal 79 2 3 2" xfId="3505"/>
    <cellStyle name="Normal 79 2 4" xfId="3506"/>
    <cellStyle name="Normal 79 3" xfId="3507"/>
    <cellStyle name="Normal 79 3 2" xfId="3508"/>
    <cellStyle name="Normal 79 3 2 2" xfId="3509"/>
    <cellStyle name="Normal 79 3 3" xfId="3510"/>
    <cellStyle name="Normal 79 4" xfId="3511"/>
    <cellStyle name="Normal 79 4 2" xfId="3512"/>
    <cellStyle name="Normal 79 5" xfId="3513"/>
    <cellStyle name="Normal 8" xfId="115"/>
    <cellStyle name="Normal 8 2" xfId="3514"/>
    <cellStyle name="Normal 8 2 2" xfId="3515"/>
    <cellStyle name="Normal 8 2 2 2" xfId="3516"/>
    <cellStyle name="Normal 8 2 3" xfId="3517"/>
    <cellStyle name="Normal 8 3" xfId="3518"/>
    <cellStyle name="Normal 8_21.3.2012Tong hop von ung nam 2012(banBCa.Hong)" xfId="3519"/>
    <cellStyle name="Normal 80" xfId="3520"/>
    <cellStyle name="Normal 81" xfId="3521"/>
    <cellStyle name="Normal 82" xfId="3522"/>
    <cellStyle name="Normal 821" xfId="3523"/>
    <cellStyle name="Normal 9" xfId="147"/>
    <cellStyle name="Normal 9 2" xfId="3524"/>
    <cellStyle name="Normal 9 3" xfId="3525"/>
    <cellStyle name="Normal 9 4" xfId="3526"/>
    <cellStyle name="Normal 9 4 2" xfId="3527"/>
    <cellStyle name="Normal 9_Bieu KH trung han BKH TW" xfId="3528"/>
    <cellStyle name="Normal_Bieu 01" xfId="151"/>
    <cellStyle name="Normal_Bieu mau (CV )" xfId="197"/>
    <cellStyle name="Normal_Bieu so 2(DPsua)" xfId="6"/>
    <cellStyle name="Normal_Chi NSTW NSDP 2002 - PL" xfId="155"/>
    <cellStyle name="Normal_Dmuc DA theo NQ 15 HDND tinh" xfId="199"/>
    <cellStyle name="Normal_In brief" xfId="2"/>
    <cellStyle name="Normal_Mau bieu dia phuong hien hanh" xfId="148"/>
    <cellStyle name="Normal_Sheet1" xfId="149"/>
    <cellStyle name="Normal_Sheet1 2" xfId="168"/>
    <cellStyle name="Normal1" xfId="3529"/>
    <cellStyle name="Normal8" xfId="3530"/>
    <cellStyle name="Normale_ PESO ELETTR." xfId="3531"/>
    <cellStyle name="Normalny_Cennik obowiazuje od 06-08-2001 r (1)" xfId="3532"/>
    <cellStyle name="Note 2" xfId="116"/>
    <cellStyle name="Note 2 2" xfId="161"/>
    <cellStyle name="Note 2 2 2" xfId="3533"/>
    <cellStyle name="Note 2 3" xfId="3534"/>
    <cellStyle name="Note 3" xfId="3535"/>
    <cellStyle name="Note 3 2" xfId="3536"/>
    <cellStyle name="Note 3 2 2" xfId="3537"/>
    <cellStyle name="Note 3 3" xfId="3538"/>
    <cellStyle name="Note 4" xfId="3539"/>
    <cellStyle name="Note 4 2" xfId="3540"/>
    <cellStyle name="Note 4 2 2" xfId="3541"/>
    <cellStyle name="Note 4 3" xfId="3542"/>
    <cellStyle name="Note 5" xfId="3543"/>
    <cellStyle name="Note 5 2" xfId="3544"/>
    <cellStyle name="Note 6" xfId="3545"/>
    <cellStyle name="Note 6 2" xfId="3546"/>
    <cellStyle name="NWM" xfId="3547"/>
    <cellStyle name="Ò_x000d_Normal_123569" xfId="3548"/>
    <cellStyle name="Ò_x005f_x000d_Normal_123569" xfId="3549"/>
    <cellStyle name="Ò_x005f_x005f_x005f_x000d_Normal_123569" xfId="3550"/>
    <cellStyle name="Œ…‹æØ‚è [0.00]_ÆÂ¹²" xfId="3551"/>
    <cellStyle name="Œ…‹æØ‚è_laroux" xfId="3552"/>
    <cellStyle name="oft Excel]_x000a__x000a_Comment=open=/f ‚ðw’è‚·‚é‚ÆAƒ†[ƒU[’è‹`ŠÖ”‚ðŠÖ”“\‚è•t‚¯‚Ìˆê——‚É“o˜^‚·‚é‚±‚Æ‚ª‚Å‚«‚Ü‚·B_x000a__x000a_Maximized" xfId="3553"/>
    <cellStyle name="oft Excel]_x000a__x000a_Comment=The open=/f lines load custom functions into the Paste Function list._x000a__x000a_Maximized=2_x000a__x000a_Basics=1_x000a__x000a_A" xfId="3554"/>
    <cellStyle name="oft Excel]_x000a__x000a_Comment=The open=/f lines load custom functions into the Paste Function list._x000a__x000a_Maximized=3_x000a__x000a_Basics=1_x000a__x000a_A" xfId="3555"/>
    <cellStyle name="oft Excel]_x000d__x000a_Comment=open=/f ‚ðw’è‚·‚é‚ÆAƒ†[ƒU[’è‹`ŠÖ”‚ðŠÖ”“\‚è•t‚¯‚Ìˆê——‚É“o˜^‚·‚é‚±‚Æ‚ª‚Å‚«‚Ü‚·B_x000d__x000a_Maximized" xfId="3556"/>
    <cellStyle name="oft Excel]_x000d__x000a_Comment=open=/f ‚ðŽw’è‚·‚é‚ÆAƒ†[ƒU[’è‹`ŠÖ”‚ðŠÖ”“\‚è•t‚¯‚Ìˆê——‚É“o˜^‚·‚é‚±‚Æ‚ª‚Å‚«‚Ü‚·B_x000d__x000a_Maximized" xfId="3557"/>
    <cellStyle name="oft Excel]_x000d__x000a_Comment=The open=/f lines load custom functions into the Paste Function list._x000d__x000a_Maximized=2_x000d__x000a_Basics=1_x000d__x000a_A" xfId="3558"/>
    <cellStyle name="oft Excel]_x000d__x000a_Comment=The open=/f lines load custom functions into the Paste Function list._x000d__x000a_Maximized=3_x000d__x000a_Basics=1_x000d__x000a_A" xfId="3559"/>
    <cellStyle name="oft Excel]_x005f_x000d__x005f_x000a_Comment=open=/f ‚ðw’è‚·‚é‚ÆAƒ†[ƒU[’è‹`ŠÖ”‚ðŠÖ”“\‚è•t‚¯‚Ìˆê——‚É“o˜^‚·‚é‚±‚Æ‚ª‚Å‚«‚Ü‚·B_x005f_x000d__x005f_x000a_Maximized" xfId="3560"/>
    <cellStyle name="omma [0]_Mktg Prog" xfId="117"/>
    <cellStyle name="ormal_Sheet1_1" xfId="118"/>
    <cellStyle name="Output 2" xfId="119"/>
    <cellStyle name="Output 2 2" xfId="162"/>
    <cellStyle name="Output 2 3" xfId="3561"/>
    <cellStyle name="p" xfId="3562"/>
    <cellStyle name="paint" xfId="3563"/>
    <cellStyle name="paint 2" xfId="3564"/>
    <cellStyle name="paint 2 2" xfId="3565"/>
    <cellStyle name="paint_05-12  KH trung han 2016-2020 - Liem Thinh edited" xfId="3566"/>
    <cellStyle name="Pattern" xfId="3567"/>
    <cellStyle name="Pattern 10" xfId="3568"/>
    <cellStyle name="Pattern 11" xfId="3569"/>
    <cellStyle name="Pattern 12" xfId="3570"/>
    <cellStyle name="Pattern 13" xfId="3571"/>
    <cellStyle name="Pattern 14" xfId="3572"/>
    <cellStyle name="Pattern 15" xfId="3573"/>
    <cellStyle name="Pattern 16" xfId="3574"/>
    <cellStyle name="Pattern 2" xfId="3575"/>
    <cellStyle name="Pattern 3" xfId="3576"/>
    <cellStyle name="Pattern 4" xfId="3577"/>
    <cellStyle name="Pattern 5" xfId="3578"/>
    <cellStyle name="Pattern 6" xfId="3579"/>
    <cellStyle name="Pattern 7" xfId="3580"/>
    <cellStyle name="Pattern 8" xfId="3581"/>
    <cellStyle name="Pattern 9" xfId="3582"/>
    <cellStyle name="per.style" xfId="3583"/>
    <cellStyle name="per.style 2" xfId="3584"/>
    <cellStyle name="Percent %" xfId="3585"/>
    <cellStyle name="Percent % Long Underline" xfId="3586"/>
    <cellStyle name="Percent %_Worksheet in  US Financial Statements Ref. Workbook - Single Co" xfId="3587"/>
    <cellStyle name="Percent (0)" xfId="3588"/>
    <cellStyle name="Percent (0) 10" xfId="3589"/>
    <cellStyle name="Percent (0) 11" xfId="3590"/>
    <cellStyle name="Percent (0) 12" xfId="3591"/>
    <cellStyle name="Percent (0) 13" xfId="3592"/>
    <cellStyle name="Percent (0) 14" xfId="3593"/>
    <cellStyle name="Percent (0) 15" xfId="3594"/>
    <cellStyle name="Percent (0) 2" xfId="3595"/>
    <cellStyle name="Percent (0) 3" xfId="3596"/>
    <cellStyle name="Percent (0) 4" xfId="3597"/>
    <cellStyle name="Percent (0) 5" xfId="3598"/>
    <cellStyle name="Percent (0) 6" xfId="3599"/>
    <cellStyle name="Percent (0) 7" xfId="3600"/>
    <cellStyle name="Percent (0) 8" xfId="3601"/>
    <cellStyle name="Percent (0) 9" xfId="3602"/>
    <cellStyle name="Percent [0]" xfId="3603"/>
    <cellStyle name="Percent [0] 10" xfId="3604"/>
    <cellStyle name="Percent [0] 11" xfId="3605"/>
    <cellStyle name="Percent [0] 12" xfId="3606"/>
    <cellStyle name="Percent [0] 13" xfId="3607"/>
    <cellStyle name="Percent [0] 14" xfId="3608"/>
    <cellStyle name="Percent [0] 15" xfId="3609"/>
    <cellStyle name="Percent [0] 16" xfId="3610"/>
    <cellStyle name="Percent [0] 2" xfId="3611"/>
    <cellStyle name="Percent [0] 3" xfId="3612"/>
    <cellStyle name="Percent [0] 4" xfId="3613"/>
    <cellStyle name="Percent [0] 5" xfId="3614"/>
    <cellStyle name="Percent [0] 6" xfId="3615"/>
    <cellStyle name="Percent [0] 7" xfId="3616"/>
    <cellStyle name="Percent [0] 8" xfId="3617"/>
    <cellStyle name="Percent [0] 9" xfId="3618"/>
    <cellStyle name="Percent [00]" xfId="3619"/>
    <cellStyle name="Percent [00] 10" xfId="3620"/>
    <cellStyle name="Percent [00] 11" xfId="3621"/>
    <cellStyle name="Percent [00] 12" xfId="3622"/>
    <cellStyle name="Percent [00] 13" xfId="3623"/>
    <cellStyle name="Percent [00] 14" xfId="3624"/>
    <cellStyle name="Percent [00] 15" xfId="3625"/>
    <cellStyle name="Percent [00] 16" xfId="3626"/>
    <cellStyle name="Percent [00] 2" xfId="3627"/>
    <cellStyle name="Percent [00] 3" xfId="3628"/>
    <cellStyle name="Percent [00] 4" xfId="3629"/>
    <cellStyle name="Percent [00] 5" xfId="3630"/>
    <cellStyle name="Percent [00] 6" xfId="3631"/>
    <cellStyle name="Percent [00] 7" xfId="3632"/>
    <cellStyle name="Percent [00] 8" xfId="3633"/>
    <cellStyle name="Percent [00] 9" xfId="3634"/>
    <cellStyle name="Percent [2]" xfId="120"/>
    <cellStyle name="Percent [2] 10" xfId="3635"/>
    <cellStyle name="Percent [2] 11" xfId="3636"/>
    <cellStyle name="Percent [2] 12" xfId="3637"/>
    <cellStyle name="Percent [2] 13" xfId="3638"/>
    <cellStyle name="Percent [2] 14" xfId="3639"/>
    <cellStyle name="Percent [2] 15" xfId="3640"/>
    <cellStyle name="Percent [2] 16" xfId="3641"/>
    <cellStyle name="Percent [2] 2" xfId="3642"/>
    <cellStyle name="Percent [2] 2 2" xfId="3643"/>
    <cellStyle name="Percent [2] 3" xfId="3644"/>
    <cellStyle name="Percent [2] 4" xfId="3645"/>
    <cellStyle name="Percent [2] 5" xfId="3646"/>
    <cellStyle name="Percent [2] 6" xfId="3647"/>
    <cellStyle name="Percent [2] 7" xfId="3648"/>
    <cellStyle name="Percent [2] 8" xfId="3649"/>
    <cellStyle name="Percent [2] 9" xfId="3650"/>
    <cellStyle name="Percent 0.0%" xfId="3651"/>
    <cellStyle name="Percent 0.0% Long Underline" xfId="3652"/>
    <cellStyle name="Percent 0.00%" xfId="3653"/>
    <cellStyle name="Percent 0.00% Long Underline" xfId="3654"/>
    <cellStyle name="Percent 0.000%" xfId="3655"/>
    <cellStyle name="Percent 0.000% Long Underline" xfId="3656"/>
    <cellStyle name="Percent 10" xfId="3657"/>
    <cellStyle name="Percent 10 2" xfId="3658"/>
    <cellStyle name="Percent 11" xfId="3659"/>
    <cellStyle name="Percent 11 2" xfId="3660"/>
    <cellStyle name="Percent 12" xfId="3661"/>
    <cellStyle name="Percent 12 2" xfId="3662"/>
    <cellStyle name="Percent 13" xfId="3663"/>
    <cellStyle name="Percent 13 2" xfId="3664"/>
    <cellStyle name="Percent 14" xfId="3665"/>
    <cellStyle name="Percent 14 2" xfId="3666"/>
    <cellStyle name="Percent 15" xfId="3667"/>
    <cellStyle name="Percent 16" xfId="3668"/>
    <cellStyle name="Percent 17" xfId="3669"/>
    <cellStyle name="Percent 18" xfId="3670"/>
    <cellStyle name="Percent 19" xfId="3671"/>
    <cellStyle name="Percent 19 2" xfId="3672"/>
    <cellStyle name="Percent 2" xfId="9"/>
    <cellStyle name="Percent 2 2" xfId="121"/>
    <cellStyle name="Percent 2 2 2" xfId="3673"/>
    <cellStyle name="Percent 2 2 3" xfId="3674"/>
    <cellStyle name="Percent 2 3" xfId="194"/>
    <cellStyle name="Percent 2 4" xfId="3675"/>
    <cellStyle name="Percent 20" xfId="3676"/>
    <cellStyle name="Percent 20 2" xfId="3677"/>
    <cellStyle name="Percent 21" xfId="3678"/>
    <cellStyle name="Percent 22" xfId="3679"/>
    <cellStyle name="Percent 23" xfId="3680"/>
    <cellStyle name="Percent 24" xfId="3681"/>
    <cellStyle name="Percent 24 2" xfId="3682"/>
    <cellStyle name="Percent 25" xfId="3683"/>
    <cellStyle name="Percent 3" xfId="172"/>
    <cellStyle name="Percent 3 2" xfId="3684"/>
    <cellStyle name="Percent 3 3" xfId="3685"/>
    <cellStyle name="Percent 3 3 2" xfId="3686"/>
    <cellStyle name="Percent 4" xfId="193"/>
    <cellStyle name="Percent 5" xfId="181"/>
    <cellStyle name="Percent 5 2" xfId="3687"/>
    <cellStyle name="Percent 6" xfId="3688"/>
    <cellStyle name="Percent 6 2" xfId="3689"/>
    <cellStyle name="Percent 7" xfId="3690"/>
    <cellStyle name="Percent 7 2" xfId="3691"/>
    <cellStyle name="Percent 8" xfId="3692"/>
    <cellStyle name="Percent 8 2" xfId="3693"/>
    <cellStyle name="Percent 9" xfId="3694"/>
    <cellStyle name="Percent 9 2" xfId="3695"/>
    <cellStyle name="PERCENTAGE" xfId="3696"/>
    <cellStyle name="PERCENTAGE 2" xfId="3697"/>
    <cellStyle name="PrePop Currency (0)" xfId="3698"/>
    <cellStyle name="PrePop Currency (0) 10" xfId="3699"/>
    <cellStyle name="PrePop Currency (0) 11" xfId="3700"/>
    <cellStyle name="PrePop Currency (0) 12" xfId="3701"/>
    <cellStyle name="PrePop Currency (0) 13" xfId="3702"/>
    <cellStyle name="PrePop Currency (0) 14" xfId="3703"/>
    <cellStyle name="PrePop Currency (0) 15" xfId="3704"/>
    <cellStyle name="PrePop Currency (0) 16" xfId="3705"/>
    <cellStyle name="PrePop Currency (0) 2" xfId="3706"/>
    <cellStyle name="PrePop Currency (0) 3" xfId="3707"/>
    <cellStyle name="PrePop Currency (0) 4" xfId="3708"/>
    <cellStyle name="PrePop Currency (0) 5" xfId="3709"/>
    <cellStyle name="PrePop Currency (0) 6" xfId="3710"/>
    <cellStyle name="PrePop Currency (0) 7" xfId="3711"/>
    <cellStyle name="PrePop Currency (0) 8" xfId="3712"/>
    <cellStyle name="PrePop Currency (0) 9" xfId="3713"/>
    <cellStyle name="PrePop Currency (2)" xfId="3714"/>
    <cellStyle name="PrePop Currency (2) 10" xfId="3715"/>
    <cellStyle name="PrePop Currency (2) 11" xfId="3716"/>
    <cellStyle name="PrePop Currency (2) 12" xfId="3717"/>
    <cellStyle name="PrePop Currency (2) 13" xfId="3718"/>
    <cellStyle name="PrePop Currency (2) 14" xfId="3719"/>
    <cellStyle name="PrePop Currency (2) 15" xfId="3720"/>
    <cellStyle name="PrePop Currency (2) 16" xfId="3721"/>
    <cellStyle name="PrePop Currency (2) 2" xfId="3722"/>
    <cellStyle name="PrePop Currency (2) 3" xfId="3723"/>
    <cellStyle name="PrePop Currency (2) 4" xfId="3724"/>
    <cellStyle name="PrePop Currency (2) 5" xfId="3725"/>
    <cellStyle name="PrePop Currency (2) 6" xfId="3726"/>
    <cellStyle name="PrePop Currency (2) 7" xfId="3727"/>
    <cellStyle name="PrePop Currency (2) 8" xfId="3728"/>
    <cellStyle name="PrePop Currency (2) 9" xfId="3729"/>
    <cellStyle name="PrePop Units (0)" xfId="3730"/>
    <cellStyle name="PrePop Units (0) 10" xfId="3731"/>
    <cellStyle name="PrePop Units (0) 11" xfId="3732"/>
    <cellStyle name="PrePop Units (0) 12" xfId="3733"/>
    <cellStyle name="PrePop Units (0) 13" xfId="3734"/>
    <cellStyle name="PrePop Units (0) 14" xfId="3735"/>
    <cellStyle name="PrePop Units (0) 15" xfId="3736"/>
    <cellStyle name="PrePop Units (0) 16" xfId="3737"/>
    <cellStyle name="PrePop Units (0) 2" xfId="3738"/>
    <cellStyle name="PrePop Units (0) 3" xfId="3739"/>
    <cellStyle name="PrePop Units (0) 4" xfId="3740"/>
    <cellStyle name="PrePop Units (0) 5" xfId="3741"/>
    <cellStyle name="PrePop Units (0) 6" xfId="3742"/>
    <cellStyle name="PrePop Units (0) 7" xfId="3743"/>
    <cellStyle name="PrePop Units (0) 8" xfId="3744"/>
    <cellStyle name="PrePop Units (0) 9" xfId="3745"/>
    <cellStyle name="PrePop Units (1)" xfId="3746"/>
    <cellStyle name="PrePop Units (1) 10" xfId="3747"/>
    <cellStyle name="PrePop Units (1) 11" xfId="3748"/>
    <cellStyle name="PrePop Units (1) 12" xfId="3749"/>
    <cellStyle name="PrePop Units (1) 13" xfId="3750"/>
    <cellStyle name="PrePop Units (1) 14" xfId="3751"/>
    <cellStyle name="PrePop Units (1) 15" xfId="3752"/>
    <cellStyle name="PrePop Units (1) 16" xfId="3753"/>
    <cellStyle name="PrePop Units (1) 2" xfId="3754"/>
    <cellStyle name="PrePop Units (1) 3" xfId="3755"/>
    <cellStyle name="PrePop Units (1) 4" xfId="3756"/>
    <cellStyle name="PrePop Units (1) 5" xfId="3757"/>
    <cellStyle name="PrePop Units (1) 6" xfId="3758"/>
    <cellStyle name="PrePop Units (1) 7" xfId="3759"/>
    <cellStyle name="PrePop Units (1) 8" xfId="3760"/>
    <cellStyle name="PrePop Units (1) 9" xfId="3761"/>
    <cellStyle name="PrePop Units (2)" xfId="3762"/>
    <cellStyle name="PrePop Units (2) 10" xfId="3763"/>
    <cellStyle name="PrePop Units (2) 11" xfId="3764"/>
    <cellStyle name="PrePop Units (2) 12" xfId="3765"/>
    <cellStyle name="PrePop Units (2) 13" xfId="3766"/>
    <cellStyle name="PrePop Units (2) 14" xfId="3767"/>
    <cellStyle name="PrePop Units (2) 15" xfId="3768"/>
    <cellStyle name="PrePop Units (2) 16" xfId="3769"/>
    <cellStyle name="PrePop Units (2) 2" xfId="3770"/>
    <cellStyle name="PrePop Units (2) 3" xfId="3771"/>
    <cellStyle name="PrePop Units (2) 4" xfId="3772"/>
    <cellStyle name="PrePop Units (2) 5" xfId="3773"/>
    <cellStyle name="PrePop Units (2) 6" xfId="3774"/>
    <cellStyle name="PrePop Units (2) 7" xfId="3775"/>
    <cellStyle name="PrePop Units (2) 8" xfId="3776"/>
    <cellStyle name="PrePop Units (2) 9" xfId="3777"/>
    <cellStyle name="pricing" xfId="3778"/>
    <cellStyle name="pricing 2" xfId="3779"/>
    <cellStyle name="PSChar" xfId="3780"/>
    <cellStyle name="PSHeading" xfId="3781"/>
    <cellStyle name="Quantity" xfId="3782"/>
    <cellStyle name="regstoresfromspecstores" xfId="3783"/>
    <cellStyle name="regstoresfromspecstores 2" xfId="3784"/>
    <cellStyle name="RevList" xfId="3785"/>
    <cellStyle name="rlink_tiªn l­în_x005f_x001b_Hyperlink_TONG HOP KINH PHI" xfId="3786"/>
    <cellStyle name="rmal_ADAdot" xfId="3787"/>
    <cellStyle name="S—_x0008_" xfId="3788"/>
    <cellStyle name="S—_x0008_ 2" xfId="3789"/>
    <cellStyle name="s]_x000a__x000a_spooler=yes_x000a__x000a_load=_x000a__x000a_Beep=yes_x000a__x000a_NullPort=None_x000a__x000a_BorderWidth=3_x000a__x000a_CursorBlinkRate=1200_x000a__x000a_DoubleClickSpeed=452_x000a__x000a_Programs=co" xfId="3790"/>
    <cellStyle name="s]_x000d__x000a_spooler=yes_x000d__x000a_load=_x000d__x000a_Beep=yes_x000d__x000a_NullPort=None_x000d__x000a_BorderWidth=3_x000d__x000a_CursorBlinkRate=1200_x000d__x000a_DoubleClickSpeed=452_x000d__x000a_Programs=co" xfId="3791"/>
    <cellStyle name="s]_x005f_x000d__x005f_x000a_spooler=yes_x005f_x000d__x005f_x000a_load=_x005f_x000d__x005f_x000a_Beep=yes_x005f_x000d__x005f_x000a_NullPort=None_x005f_x000d__x005f_x000a_BorderWidth=3_x005f_x000d__x005f_x000a_CursorBlinkRate=1200_x005f_x000d__x005f_x000a_DoubleClickSpeed=452_x005f_x000d__x005f_x000a_Programs=co" xfId="3792"/>
    <cellStyle name="S—_x0008__KH TPCP vung TNB (03-1-2012)" xfId="3793"/>
    <cellStyle name="S—_x005f_x0008_" xfId="3794"/>
    <cellStyle name="s1" xfId="122"/>
    <cellStyle name="SAPBEXaggData" xfId="3795"/>
    <cellStyle name="SAPBEXaggData 2" xfId="3796"/>
    <cellStyle name="SAPBEXaggData 2 2" xfId="3797"/>
    <cellStyle name="SAPBEXaggData 3" xfId="3798"/>
    <cellStyle name="SAPBEXaggDataEmph" xfId="3799"/>
    <cellStyle name="SAPBEXaggDataEmph 2" xfId="3800"/>
    <cellStyle name="SAPBEXaggDataEmph 2 2" xfId="3801"/>
    <cellStyle name="SAPBEXaggDataEmph 3" xfId="3802"/>
    <cellStyle name="SAPBEXaggItem" xfId="3803"/>
    <cellStyle name="SAPBEXaggItem 2" xfId="3804"/>
    <cellStyle name="SAPBEXaggItem 2 2" xfId="3805"/>
    <cellStyle name="SAPBEXaggItem 3" xfId="3806"/>
    <cellStyle name="SAPBEXchaText" xfId="3807"/>
    <cellStyle name="SAPBEXchaText 2" xfId="3808"/>
    <cellStyle name="SAPBEXexcBad7" xfId="3809"/>
    <cellStyle name="SAPBEXexcBad7 2" xfId="3810"/>
    <cellStyle name="SAPBEXexcBad7 2 2" xfId="3811"/>
    <cellStyle name="SAPBEXexcBad7 3" xfId="3812"/>
    <cellStyle name="SAPBEXexcBad8" xfId="3813"/>
    <cellStyle name="SAPBEXexcBad8 2" xfId="3814"/>
    <cellStyle name="SAPBEXexcBad8 2 2" xfId="3815"/>
    <cellStyle name="SAPBEXexcBad8 3" xfId="3816"/>
    <cellStyle name="SAPBEXexcBad9" xfId="3817"/>
    <cellStyle name="SAPBEXexcBad9 2" xfId="3818"/>
    <cellStyle name="SAPBEXexcBad9 2 2" xfId="3819"/>
    <cellStyle name="SAPBEXexcBad9 3" xfId="3820"/>
    <cellStyle name="SAPBEXexcCritical4" xfId="3821"/>
    <cellStyle name="SAPBEXexcCritical4 2" xfId="3822"/>
    <cellStyle name="SAPBEXexcCritical4 2 2" xfId="3823"/>
    <cellStyle name="SAPBEXexcCritical4 3" xfId="3824"/>
    <cellStyle name="SAPBEXexcCritical5" xfId="3825"/>
    <cellStyle name="SAPBEXexcCritical5 2" xfId="3826"/>
    <cellStyle name="SAPBEXexcCritical5 2 2" xfId="3827"/>
    <cellStyle name="SAPBEXexcCritical5 3" xfId="3828"/>
    <cellStyle name="SAPBEXexcCritical6" xfId="3829"/>
    <cellStyle name="SAPBEXexcCritical6 2" xfId="3830"/>
    <cellStyle name="SAPBEXexcCritical6 2 2" xfId="3831"/>
    <cellStyle name="SAPBEXexcCritical6 3" xfId="3832"/>
    <cellStyle name="SAPBEXexcGood1" xfId="3833"/>
    <cellStyle name="SAPBEXexcGood1 2" xfId="3834"/>
    <cellStyle name="SAPBEXexcGood1 2 2" xfId="3835"/>
    <cellStyle name="SAPBEXexcGood1 3" xfId="3836"/>
    <cellStyle name="SAPBEXexcGood2" xfId="3837"/>
    <cellStyle name="SAPBEXexcGood2 2" xfId="3838"/>
    <cellStyle name="SAPBEXexcGood2 2 2" xfId="3839"/>
    <cellStyle name="SAPBEXexcGood2 3" xfId="3840"/>
    <cellStyle name="SAPBEXexcGood3" xfId="3841"/>
    <cellStyle name="SAPBEXexcGood3 2" xfId="3842"/>
    <cellStyle name="SAPBEXexcGood3 2 2" xfId="3843"/>
    <cellStyle name="SAPBEXexcGood3 3" xfId="3844"/>
    <cellStyle name="SAPBEXfilterDrill" xfId="3845"/>
    <cellStyle name="SAPBEXfilterDrill 2" xfId="3846"/>
    <cellStyle name="SAPBEXfilterItem" xfId="3847"/>
    <cellStyle name="SAPBEXfilterItem 2" xfId="3848"/>
    <cellStyle name="SAPBEXfilterText" xfId="3849"/>
    <cellStyle name="SAPBEXfilterText 2" xfId="3850"/>
    <cellStyle name="SAPBEXformats" xfId="3851"/>
    <cellStyle name="SAPBEXformats 2" xfId="3852"/>
    <cellStyle name="SAPBEXformats 2 2" xfId="3853"/>
    <cellStyle name="SAPBEXformats 3" xfId="3854"/>
    <cellStyle name="SAPBEXheaderItem" xfId="3855"/>
    <cellStyle name="SAPBEXheaderItem 2" xfId="3856"/>
    <cellStyle name="SAPBEXheaderText" xfId="3857"/>
    <cellStyle name="SAPBEXheaderText 2" xfId="3858"/>
    <cellStyle name="SAPBEXresData" xfId="3859"/>
    <cellStyle name="SAPBEXresData 2" xfId="3860"/>
    <cellStyle name="SAPBEXresData 2 2" xfId="3861"/>
    <cellStyle name="SAPBEXresData 3" xfId="3862"/>
    <cellStyle name="SAPBEXresDataEmph" xfId="3863"/>
    <cellStyle name="SAPBEXresDataEmph 2" xfId="3864"/>
    <cellStyle name="SAPBEXresDataEmph 2 2" xfId="3865"/>
    <cellStyle name="SAPBEXresDataEmph 3" xfId="3866"/>
    <cellStyle name="SAPBEXresItem" xfId="3867"/>
    <cellStyle name="SAPBEXresItem 2" xfId="3868"/>
    <cellStyle name="SAPBEXresItem 2 2" xfId="3869"/>
    <cellStyle name="SAPBEXresItem 3" xfId="3870"/>
    <cellStyle name="SAPBEXstdData" xfId="3871"/>
    <cellStyle name="SAPBEXstdData 2" xfId="3872"/>
    <cellStyle name="SAPBEXstdData 2 2" xfId="3873"/>
    <cellStyle name="SAPBEXstdData 3" xfId="3874"/>
    <cellStyle name="SAPBEXstdDataEmph" xfId="3875"/>
    <cellStyle name="SAPBEXstdDataEmph 2" xfId="3876"/>
    <cellStyle name="SAPBEXstdDataEmph 2 2" xfId="3877"/>
    <cellStyle name="SAPBEXstdDataEmph 3" xfId="3878"/>
    <cellStyle name="SAPBEXstdItem" xfId="3879"/>
    <cellStyle name="SAPBEXstdItem 2" xfId="3880"/>
    <cellStyle name="SAPBEXstdItem 2 2" xfId="3881"/>
    <cellStyle name="SAPBEXstdItem 3" xfId="3882"/>
    <cellStyle name="SAPBEXtitle" xfId="3883"/>
    <cellStyle name="SAPBEXtitle 2" xfId="3884"/>
    <cellStyle name="SAPBEXtitle 2 2" xfId="3885"/>
    <cellStyle name="SAPBEXtitle 3" xfId="3886"/>
    <cellStyle name="SAPBEXundefined" xfId="3887"/>
    <cellStyle name="SAPBEXundefined 2" xfId="3888"/>
    <cellStyle name="SAPBEXundefined 2 2" xfId="3889"/>
    <cellStyle name="SAPBEXundefined 3" xfId="3890"/>
    <cellStyle name="serJet 1200 Series PCL 6" xfId="3891"/>
    <cellStyle name="SHADEDSTORES" xfId="3892"/>
    <cellStyle name="SHADEDSTORES 2" xfId="3893"/>
    <cellStyle name="SHADEDSTORES 2 2" xfId="3894"/>
    <cellStyle name="SHADEDSTORES 2 2 2" xfId="3895"/>
    <cellStyle name="SHADEDSTORES 2 3" xfId="3896"/>
    <cellStyle name="SHADEDSTORES 3" xfId="3897"/>
    <cellStyle name="SHADEDSTORES 3 2" xfId="3898"/>
    <cellStyle name="SHADEDSTORES 4" xfId="3899"/>
    <cellStyle name="songuyen" xfId="3900"/>
    <cellStyle name="specstores" xfId="3901"/>
    <cellStyle name="Standard_AAbgleich" xfId="3902"/>
    <cellStyle name="STTDG" xfId="3903"/>
    <cellStyle name="style" xfId="3904"/>
    <cellStyle name="Style 1" xfId="3905"/>
    <cellStyle name="Style 1 2" xfId="3906"/>
    <cellStyle name="Style 1 2 2" xfId="3907"/>
    <cellStyle name="Style 1 3" xfId="3908"/>
    <cellStyle name="Style 1 3 2" xfId="3909"/>
    <cellStyle name="Style 1 4" xfId="3910"/>
    <cellStyle name="Style 1 5" xfId="3911"/>
    <cellStyle name="Style 10" xfId="3912"/>
    <cellStyle name="Style 10 2" xfId="3913"/>
    <cellStyle name="Style 100" xfId="3914"/>
    <cellStyle name="Style 101" xfId="3915"/>
    <cellStyle name="Style 102" xfId="3916"/>
    <cellStyle name="Style 103" xfId="3917"/>
    <cellStyle name="Style 104" xfId="3918"/>
    <cellStyle name="Style 105" xfId="3919"/>
    <cellStyle name="Style 106" xfId="3920"/>
    <cellStyle name="Style 107" xfId="3921"/>
    <cellStyle name="Style 108" xfId="3922"/>
    <cellStyle name="Style 109" xfId="3923"/>
    <cellStyle name="Style 11" xfId="3924"/>
    <cellStyle name="Style 11 2" xfId="3925"/>
    <cellStyle name="Style 110" xfId="3926"/>
    <cellStyle name="Style 111" xfId="3927"/>
    <cellStyle name="Style 112" xfId="3928"/>
    <cellStyle name="Style 113" xfId="3929"/>
    <cellStyle name="Style 114" xfId="3930"/>
    <cellStyle name="Style 115" xfId="3931"/>
    <cellStyle name="Style 116" xfId="3932"/>
    <cellStyle name="Style 117" xfId="3933"/>
    <cellStyle name="Style 118" xfId="3934"/>
    <cellStyle name="Style 119" xfId="3935"/>
    <cellStyle name="Style 12" xfId="3936"/>
    <cellStyle name="Style 12 2" xfId="3937"/>
    <cellStyle name="Style 120" xfId="3938"/>
    <cellStyle name="Style 121" xfId="3939"/>
    <cellStyle name="Style 122" xfId="3940"/>
    <cellStyle name="Style 123" xfId="3941"/>
    <cellStyle name="Style 124" xfId="3942"/>
    <cellStyle name="Style 125" xfId="3943"/>
    <cellStyle name="Style 126" xfId="3944"/>
    <cellStyle name="Style 127" xfId="3945"/>
    <cellStyle name="Style 128" xfId="3946"/>
    <cellStyle name="Style 129" xfId="3947"/>
    <cellStyle name="Style 13" xfId="3948"/>
    <cellStyle name="Style 13 2" xfId="3949"/>
    <cellStyle name="Style 130" xfId="3950"/>
    <cellStyle name="Style 131" xfId="3951"/>
    <cellStyle name="Style 132" xfId="3952"/>
    <cellStyle name="Style 133" xfId="3953"/>
    <cellStyle name="Style 134" xfId="3954"/>
    <cellStyle name="Style 135" xfId="3955"/>
    <cellStyle name="Style 136" xfId="3956"/>
    <cellStyle name="Style 137" xfId="3957"/>
    <cellStyle name="Style 138" xfId="3958"/>
    <cellStyle name="Style 139" xfId="3959"/>
    <cellStyle name="Style 14" xfId="3960"/>
    <cellStyle name="Style 14 2" xfId="3961"/>
    <cellStyle name="Style 140" xfId="3962"/>
    <cellStyle name="Style 141" xfId="3963"/>
    <cellStyle name="Style 142" xfId="3964"/>
    <cellStyle name="Style 143" xfId="3965"/>
    <cellStyle name="Style 144" xfId="3966"/>
    <cellStyle name="Style 145" xfId="3967"/>
    <cellStyle name="Style 146" xfId="3968"/>
    <cellStyle name="Style 147" xfId="3969"/>
    <cellStyle name="Style 148" xfId="3970"/>
    <cellStyle name="Style 149" xfId="3971"/>
    <cellStyle name="Style 15" xfId="3972"/>
    <cellStyle name="Style 15 2" xfId="3973"/>
    <cellStyle name="Style 150" xfId="3974"/>
    <cellStyle name="Style 151" xfId="3975"/>
    <cellStyle name="Style 152" xfId="3976"/>
    <cellStyle name="Style 153" xfId="3977"/>
    <cellStyle name="Style 154" xfId="3978"/>
    <cellStyle name="Style 155" xfId="3979"/>
    <cellStyle name="Style 16" xfId="3980"/>
    <cellStyle name="Style 16 2" xfId="3981"/>
    <cellStyle name="Style 17" xfId="3982"/>
    <cellStyle name="Style 17 2" xfId="3983"/>
    <cellStyle name="Style 18" xfId="3984"/>
    <cellStyle name="Style 18 2" xfId="3985"/>
    <cellStyle name="Style 19" xfId="3986"/>
    <cellStyle name="Style 19 2" xfId="3987"/>
    <cellStyle name="Style 2" xfId="3988"/>
    <cellStyle name="Style 2 2" xfId="3989"/>
    <cellStyle name="Style 20" xfId="3990"/>
    <cellStyle name="Style 20 2" xfId="3991"/>
    <cellStyle name="Style 21" xfId="3992"/>
    <cellStyle name="Style 21 2" xfId="3993"/>
    <cellStyle name="Style 22" xfId="3994"/>
    <cellStyle name="Style 22 2" xfId="3995"/>
    <cellStyle name="Style 23" xfId="3996"/>
    <cellStyle name="Style 23 2" xfId="3997"/>
    <cellStyle name="Style 24" xfId="3998"/>
    <cellStyle name="Style 24 2" xfId="3999"/>
    <cellStyle name="Style 25" xfId="4000"/>
    <cellStyle name="Style 25 2" xfId="4001"/>
    <cellStyle name="Style 26" xfId="4002"/>
    <cellStyle name="Style 26 2" xfId="4003"/>
    <cellStyle name="Style 27" xfId="4004"/>
    <cellStyle name="Style 27 2" xfId="4005"/>
    <cellStyle name="Style 28" xfId="4006"/>
    <cellStyle name="Style 28 2" xfId="4007"/>
    <cellStyle name="Style 29" xfId="4008"/>
    <cellStyle name="Style 29 2" xfId="4009"/>
    <cellStyle name="Style 3" xfId="4010"/>
    <cellStyle name="Style 3 2" xfId="4011"/>
    <cellStyle name="Style 30" xfId="4012"/>
    <cellStyle name="Style 30 2" xfId="4013"/>
    <cellStyle name="Style 31" xfId="4014"/>
    <cellStyle name="Style 31 2" xfId="4015"/>
    <cellStyle name="Style 32" xfId="4016"/>
    <cellStyle name="Style 32 2" xfId="4017"/>
    <cellStyle name="Style 33" xfId="4018"/>
    <cellStyle name="Style 33 2" xfId="4019"/>
    <cellStyle name="Style 34" xfId="4020"/>
    <cellStyle name="Style 34 2" xfId="4021"/>
    <cellStyle name="Style 35" xfId="4022"/>
    <cellStyle name="Style 35 2" xfId="4023"/>
    <cellStyle name="Style 36" xfId="4024"/>
    <cellStyle name="Style 37" xfId="4025"/>
    <cellStyle name="Style 37 2" xfId="4026"/>
    <cellStyle name="Style 38" xfId="4027"/>
    <cellStyle name="Style 38 2" xfId="4028"/>
    <cellStyle name="Style 39" xfId="4029"/>
    <cellStyle name="Style 39 2" xfId="4030"/>
    <cellStyle name="Style 4" xfId="4031"/>
    <cellStyle name="Style 4 2" xfId="4032"/>
    <cellStyle name="Style 40" xfId="4033"/>
    <cellStyle name="Style 40 2" xfId="4034"/>
    <cellStyle name="Style 41" xfId="4035"/>
    <cellStyle name="Style 41 2" xfId="4036"/>
    <cellStyle name="Style 42" xfId="4037"/>
    <cellStyle name="Style 42 2" xfId="4038"/>
    <cellStyle name="Style 43" xfId="4039"/>
    <cellStyle name="Style 43 2" xfId="4040"/>
    <cellStyle name="Style 44" xfId="4041"/>
    <cellStyle name="Style 44 2" xfId="4042"/>
    <cellStyle name="Style 45" xfId="4043"/>
    <cellStyle name="Style 45 2" xfId="4044"/>
    <cellStyle name="Style 46" xfId="4045"/>
    <cellStyle name="Style 46 2" xfId="4046"/>
    <cellStyle name="Style 47" xfId="4047"/>
    <cellStyle name="Style 47 2" xfId="4048"/>
    <cellStyle name="Style 48" xfId="4049"/>
    <cellStyle name="Style 48 2" xfId="4050"/>
    <cellStyle name="Style 49" xfId="4051"/>
    <cellStyle name="Style 49 2" xfId="4052"/>
    <cellStyle name="Style 5" xfId="4053"/>
    <cellStyle name="Style 50" xfId="4054"/>
    <cellStyle name="Style 50 2" xfId="4055"/>
    <cellStyle name="Style 51" xfId="4056"/>
    <cellStyle name="Style 51 2" xfId="4057"/>
    <cellStyle name="Style 52" xfId="4058"/>
    <cellStyle name="Style 52 2" xfId="4059"/>
    <cellStyle name="Style 53" xfId="4060"/>
    <cellStyle name="Style 53 2" xfId="4061"/>
    <cellStyle name="Style 54" xfId="4062"/>
    <cellStyle name="Style 54 2" xfId="4063"/>
    <cellStyle name="Style 55" xfId="4064"/>
    <cellStyle name="Style 55 2" xfId="4065"/>
    <cellStyle name="Style 56" xfId="4066"/>
    <cellStyle name="Style 57" xfId="4067"/>
    <cellStyle name="Style 58" xfId="4068"/>
    <cellStyle name="Style 59" xfId="4069"/>
    <cellStyle name="Style 6" xfId="4070"/>
    <cellStyle name="Style 6 2" xfId="4071"/>
    <cellStyle name="Style 60" xfId="4072"/>
    <cellStyle name="Style 61" xfId="4073"/>
    <cellStyle name="Style 62" xfId="4074"/>
    <cellStyle name="Style 63" xfId="4075"/>
    <cellStyle name="Style 64" xfId="4076"/>
    <cellStyle name="Style 65" xfId="4077"/>
    <cellStyle name="Style 66" xfId="4078"/>
    <cellStyle name="Style 67" xfId="4079"/>
    <cellStyle name="Style 68" xfId="4080"/>
    <cellStyle name="Style 69" xfId="4081"/>
    <cellStyle name="Style 7" xfId="4082"/>
    <cellStyle name="Style 7 2" xfId="4083"/>
    <cellStyle name="Style 70" xfId="4084"/>
    <cellStyle name="Style 71" xfId="4085"/>
    <cellStyle name="Style 72" xfId="4086"/>
    <cellStyle name="Style 73" xfId="4087"/>
    <cellStyle name="Style 74" xfId="4088"/>
    <cellStyle name="Style 75" xfId="4089"/>
    <cellStyle name="Style 76" xfId="4090"/>
    <cellStyle name="Style 77" xfId="4091"/>
    <cellStyle name="Style 78" xfId="4092"/>
    <cellStyle name="Style 79" xfId="4093"/>
    <cellStyle name="Style 8" xfId="4094"/>
    <cellStyle name="Style 8 2" xfId="4095"/>
    <cellStyle name="Style 80" xfId="4096"/>
    <cellStyle name="Style 81" xfId="4097"/>
    <cellStyle name="Style 82" xfId="4098"/>
    <cellStyle name="Style 83" xfId="4099"/>
    <cellStyle name="Style 84" xfId="4100"/>
    <cellStyle name="Style 85" xfId="4101"/>
    <cellStyle name="Style 86" xfId="4102"/>
    <cellStyle name="Style 87" xfId="4103"/>
    <cellStyle name="Style 88" xfId="4104"/>
    <cellStyle name="Style 89" xfId="4105"/>
    <cellStyle name="Style 9" xfId="4106"/>
    <cellStyle name="Style 9 2" xfId="4107"/>
    <cellStyle name="Style 90" xfId="4108"/>
    <cellStyle name="Style 91" xfId="4109"/>
    <cellStyle name="Style 92" xfId="4110"/>
    <cellStyle name="Style 93" xfId="4111"/>
    <cellStyle name="Style 94" xfId="4112"/>
    <cellStyle name="Style 95" xfId="4113"/>
    <cellStyle name="Style 96" xfId="4114"/>
    <cellStyle name="Style 97" xfId="4115"/>
    <cellStyle name="Style 98" xfId="4116"/>
    <cellStyle name="Style 99" xfId="4117"/>
    <cellStyle name="Style Date" xfId="4118"/>
    <cellStyle name="style_1" xfId="4119"/>
    <cellStyle name="subhead" xfId="123"/>
    <cellStyle name="subhead 2" xfId="4120"/>
    <cellStyle name="Subtotal" xfId="4121"/>
    <cellStyle name="symbol" xfId="4122"/>
    <cellStyle name="T" xfId="124"/>
    <cellStyle name="T 2" xfId="163"/>
    <cellStyle name="T_15_10_2013 BC nhu cau von doi ung ODA (2014-2016) ngay 15102013 Sua" xfId="4123"/>
    <cellStyle name="T_bao cao" xfId="4124"/>
    <cellStyle name="T_bao cao 2" xfId="4125"/>
    <cellStyle name="T_bao cao phan bo KHDT 2011(final)" xfId="4126"/>
    <cellStyle name="T_Bao cao so lieu kiem toan nam 2007 sua" xfId="4127"/>
    <cellStyle name="T_Bao cao so lieu kiem toan nam 2007 sua 2" xfId="4128"/>
    <cellStyle name="T_Bao cao so lieu kiem toan nam 2007 sua_!1 1 bao cao giao KH ve HTCMT vung TNB   12-12-2011" xfId="4129"/>
    <cellStyle name="T_Bao cao so lieu kiem toan nam 2007 sua_!1 1 bao cao giao KH ve HTCMT vung TNB   12-12-2011 2" xfId="4130"/>
    <cellStyle name="T_Bao cao so lieu kiem toan nam 2007 sua_KH TPCP vung TNB (03-1-2012)" xfId="4131"/>
    <cellStyle name="T_Bao cao so lieu kiem toan nam 2007 sua_KH TPCP vung TNB (03-1-2012) 2" xfId="4132"/>
    <cellStyle name="T_bao cao_!1 1 bao cao giao KH ve HTCMT vung TNB   12-12-2011" xfId="4133"/>
    <cellStyle name="T_bao cao_!1 1 bao cao giao KH ve HTCMT vung TNB   12-12-2011 2" xfId="4134"/>
    <cellStyle name="T_bao cao_Bieu4HTMT" xfId="4135"/>
    <cellStyle name="T_bao cao_Bieu4HTMT 2" xfId="4136"/>
    <cellStyle name="T_bao cao_Bieu4HTMT_!1 1 bao cao giao KH ve HTCMT vung TNB   12-12-2011" xfId="4137"/>
    <cellStyle name="T_bao cao_Bieu4HTMT_!1 1 bao cao giao KH ve HTCMT vung TNB   12-12-2011 2" xfId="4138"/>
    <cellStyle name="T_bao cao_Bieu4HTMT_KH TPCP vung TNB (03-1-2012)" xfId="4139"/>
    <cellStyle name="T_bao cao_Bieu4HTMT_KH TPCP vung TNB (03-1-2012) 2" xfId="4140"/>
    <cellStyle name="T_bao cao_KH TPCP vung TNB (03-1-2012)" xfId="4141"/>
    <cellStyle name="T_bao cao_KH TPCP vung TNB (03-1-2012) 2" xfId="4142"/>
    <cellStyle name="T_BBTNG-06" xfId="4143"/>
    <cellStyle name="T_BBTNG-06 2" xfId="4144"/>
    <cellStyle name="T_BBTNG-06_!1 1 bao cao giao KH ve HTCMT vung TNB   12-12-2011" xfId="4145"/>
    <cellStyle name="T_BBTNG-06_!1 1 bao cao giao KH ve HTCMT vung TNB   12-12-2011 2" xfId="4146"/>
    <cellStyle name="T_BBTNG-06_Bieu4HTMT" xfId="4147"/>
    <cellStyle name="T_BBTNG-06_Bieu4HTMT 2" xfId="4148"/>
    <cellStyle name="T_BBTNG-06_Bieu4HTMT_!1 1 bao cao giao KH ve HTCMT vung TNB   12-12-2011" xfId="4149"/>
    <cellStyle name="T_BBTNG-06_Bieu4HTMT_!1 1 bao cao giao KH ve HTCMT vung TNB   12-12-2011 2" xfId="4150"/>
    <cellStyle name="T_BBTNG-06_Bieu4HTMT_KH TPCP vung TNB (03-1-2012)" xfId="4151"/>
    <cellStyle name="T_BBTNG-06_Bieu4HTMT_KH TPCP vung TNB (03-1-2012) 2" xfId="4152"/>
    <cellStyle name="T_BBTNG-06_KH TPCP vung TNB (03-1-2012)" xfId="4153"/>
    <cellStyle name="T_BBTNG-06_KH TPCP vung TNB (03-1-2012) 2" xfId="4154"/>
    <cellStyle name="T_BC  NAM 2007" xfId="4155"/>
    <cellStyle name="T_BC  NAM 2007 2" xfId="4156"/>
    <cellStyle name="T_BC CTMT-2008 Ttinh" xfId="4157"/>
    <cellStyle name="T_BC CTMT-2008 Ttinh 2" xfId="4158"/>
    <cellStyle name="T_BC CTMT-2008 Ttinh_!1 1 bao cao giao KH ve HTCMT vung TNB   12-12-2011" xfId="4159"/>
    <cellStyle name="T_BC CTMT-2008 Ttinh_!1 1 bao cao giao KH ve HTCMT vung TNB   12-12-2011 2" xfId="4160"/>
    <cellStyle name="T_BC CTMT-2008 Ttinh_KH TPCP vung TNB (03-1-2012)" xfId="4161"/>
    <cellStyle name="T_BC CTMT-2008 Ttinh_KH TPCP vung TNB (03-1-2012) 2" xfId="4162"/>
    <cellStyle name="T_BC nhu cau von doi ung ODA nganh NN (BKH)" xfId="4163"/>
    <cellStyle name="T_BC nhu cau von doi ung ODA nganh NN (BKH)_05-12  KH trung han 2016-2020 - Liem Thinh edited" xfId="4164"/>
    <cellStyle name="T_BC nhu cau von doi ung ODA nganh NN (BKH)_Copy of 05-12  KH trung han 2016-2020 - Liem Thinh edited (1)" xfId="4165"/>
    <cellStyle name="T_BC Tai co cau (bieu TH)" xfId="4166"/>
    <cellStyle name="T_BC Tai co cau (bieu TH)_05-12  KH trung han 2016-2020 - Liem Thinh edited" xfId="4167"/>
    <cellStyle name="T_BC Tai co cau (bieu TH)_Copy of 05-12  KH trung han 2016-2020 - Liem Thinh edited (1)" xfId="4168"/>
    <cellStyle name="T_Bieu 4.2 A, B KHCTgiong 2011" xfId="4169"/>
    <cellStyle name="T_Bieu 4.2 A, B KHCTgiong 2011 10" xfId="4170"/>
    <cellStyle name="T_Bieu 4.2 A, B KHCTgiong 2011 11" xfId="4171"/>
    <cellStyle name="T_Bieu 4.2 A, B KHCTgiong 2011 12" xfId="4172"/>
    <cellStyle name="T_Bieu 4.2 A, B KHCTgiong 2011 13" xfId="4173"/>
    <cellStyle name="T_Bieu 4.2 A, B KHCTgiong 2011 14" xfId="4174"/>
    <cellStyle name="T_Bieu 4.2 A, B KHCTgiong 2011 15" xfId="4175"/>
    <cellStyle name="T_Bieu 4.2 A, B KHCTgiong 2011 2" xfId="4176"/>
    <cellStyle name="T_Bieu 4.2 A, B KHCTgiong 2011 3" xfId="4177"/>
    <cellStyle name="T_Bieu 4.2 A, B KHCTgiong 2011 4" xfId="4178"/>
    <cellStyle name="T_Bieu 4.2 A, B KHCTgiong 2011 5" xfId="4179"/>
    <cellStyle name="T_Bieu 4.2 A, B KHCTgiong 2011 6" xfId="4180"/>
    <cellStyle name="T_Bieu 4.2 A, B KHCTgiong 2011 7" xfId="4181"/>
    <cellStyle name="T_Bieu 4.2 A, B KHCTgiong 2011 8" xfId="4182"/>
    <cellStyle name="T_Bieu 4.2 A, B KHCTgiong 2011 9" xfId="4183"/>
    <cellStyle name="T_Bieu mau cong trinh khoi cong moi 3-4" xfId="4184"/>
    <cellStyle name="T_Bieu mau cong trinh khoi cong moi 3-4 2" xfId="4185"/>
    <cellStyle name="T_Bieu mau cong trinh khoi cong moi 3-4_!1 1 bao cao giao KH ve HTCMT vung TNB   12-12-2011" xfId="4186"/>
    <cellStyle name="T_Bieu mau cong trinh khoi cong moi 3-4_!1 1 bao cao giao KH ve HTCMT vung TNB   12-12-2011 2" xfId="4187"/>
    <cellStyle name="T_Bieu mau cong trinh khoi cong moi 3-4_KH TPCP vung TNB (03-1-2012)" xfId="4188"/>
    <cellStyle name="T_Bieu mau cong trinh khoi cong moi 3-4_KH TPCP vung TNB (03-1-2012) 2" xfId="4189"/>
    <cellStyle name="T_Bieu mau danh muc du an thuoc CTMTQG nam 2008" xfId="4190"/>
    <cellStyle name="T_Bieu mau danh muc du an thuoc CTMTQG nam 2008 2" xfId="4191"/>
    <cellStyle name="T_Bieu mau danh muc du an thuoc CTMTQG nam 2008_!1 1 bao cao giao KH ve HTCMT vung TNB   12-12-2011" xfId="4192"/>
    <cellStyle name="T_Bieu mau danh muc du an thuoc CTMTQG nam 2008_!1 1 bao cao giao KH ve HTCMT vung TNB   12-12-2011 2" xfId="4193"/>
    <cellStyle name="T_Bieu mau danh muc du an thuoc CTMTQG nam 2008_KH TPCP vung TNB (03-1-2012)" xfId="4194"/>
    <cellStyle name="T_Bieu mau danh muc du an thuoc CTMTQG nam 2008_KH TPCP vung TNB (03-1-2012) 2" xfId="4195"/>
    <cellStyle name="T_Bieu tong hop nhu cau ung 2011 da chon loc -Mien nui" xfId="4196"/>
    <cellStyle name="T_Bieu tong hop nhu cau ung 2011 da chon loc -Mien nui 2" xfId="4197"/>
    <cellStyle name="T_Bieu tong hop nhu cau ung 2011 da chon loc -Mien nui_!1 1 bao cao giao KH ve HTCMT vung TNB   12-12-2011" xfId="4198"/>
    <cellStyle name="T_Bieu tong hop nhu cau ung 2011 da chon loc -Mien nui_!1 1 bao cao giao KH ve HTCMT vung TNB   12-12-2011 2" xfId="4199"/>
    <cellStyle name="T_Bieu tong hop nhu cau ung 2011 da chon loc -Mien nui_KH TPCP vung TNB (03-1-2012)" xfId="4200"/>
    <cellStyle name="T_Bieu tong hop nhu cau ung 2011 da chon loc -Mien nui_KH TPCP vung TNB (03-1-2012) 2" xfId="4201"/>
    <cellStyle name="T_Bieu3ODA" xfId="4202"/>
    <cellStyle name="T_Bieu3ODA 2" xfId="4203"/>
    <cellStyle name="T_Bieu3ODA_!1 1 bao cao giao KH ve HTCMT vung TNB   12-12-2011" xfId="4204"/>
    <cellStyle name="T_Bieu3ODA_!1 1 bao cao giao KH ve HTCMT vung TNB   12-12-2011 2" xfId="4205"/>
    <cellStyle name="T_Bieu3ODA_1" xfId="4206"/>
    <cellStyle name="T_Bieu3ODA_1 2" xfId="4207"/>
    <cellStyle name="T_Bieu3ODA_1_!1 1 bao cao giao KH ve HTCMT vung TNB   12-12-2011" xfId="4208"/>
    <cellStyle name="T_Bieu3ODA_1_!1 1 bao cao giao KH ve HTCMT vung TNB   12-12-2011 2" xfId="4209"/>
    <cellStyle name="T_Bieu3ODA_1_KH TPCP vung TNB (03-1-2012)" xfId="4210"/>
    <cellStyle name="T_Bieu3ODA_1_KH TPCP vung TNB (03-1-2012) 2" xfId="4211"/>
    <cellStyle name="T_Bieu3ODA_KH TPCP vung TNB (03-1-2012)" xfId="4212"/>
    <cellStyle name="T_Bieu3ODA_KH TPCP vung TNB (03-1-2012) 2" xfId="4213"/>
    <cellStyle name="T_Bieu4HTMT" xfId="4214"/>
    <cellStyle name="T_Bieu4HTMT 2" xfId="4215"/>
    <cellStyle name="T_Bieu4HTMT_!1 1 bao cao giao KH ve HTCMT vung TNB   12-12-2011" xfId="4216"/>
    <cellStyle name="T_Bieu4HTMT_!1 1 bao cao giao KH ve HTCMT vung TNB   12-12-2011 2" xfId="4217"/>
    <cellStyle name="T_Bieu4HTMT_KH TPCP vung TNB (03-1-2012)" xfId="4218"/>
    <cellStyle name="T_Bieu4HTMT_KH TPCP vung TNB (03-1-2012) 2" xfId="4219"/>
    <cellStyle name="T_bo sung von KCH nam 2010 va Du an tre kho khan" xfId="4220"/>
    <cellStyle name="T_bo sung von KCH nam 2010 va Du an tre kho khan 2" xfId="4221"/>
    <cellStyle name="T_bo sung von KCH nam 2010 va Du an tre kho khan_!1 1 bao cao giao KH ve HTCMT vung TNB   12-12-2011" xfId="4222"/>
    <cellStyle name="T_bo sung von KCH nam 2010 va Du an tre kho khan_!1 1 bao cao giao KH ve HTCMT vung TNB   12-12-2011 2" xfId="4223"/>
    <cellStyle name="T_bo sung von KCH nam 2010 va Du an tre kho khan_KH TPCP vung TNB (03-1-2012)" xfId="4224"/>
    <cellStyle name="T_bo sung von KCH nam 2010 va Du an tre kho khan_KH TPCP vung TNB (03-1-2012) 2" xfId="4225"/>
    <cellStyle name="T_Book1" xfId="4226"/>
    <cellStyle name="T_Book1 2" xfId="4227"/>
    <cellStyle name="T_Book1 3" xfId="4228"/>
    <cellStyle name="T_Book1_!1 1 bao cao giao KH ve HTCMT vung TNB   12-12-2011" xfId="4229"/>
    <cellStyle name="T_Book1_!1 1 bao cao giao KH ve HTCMT vung TNB   12-12-2011 2" xfId="4230"/>
    <cellStyle name="T_Book1_1" xfId="4231"/>
    <cellStyle name="T_Book1_1 2" xfId="4232"/>
    <cellStyle name="T_Book1_1_Bieu tong hop nhu cau ung 2011 da chon loc -Mien nui" xfId="4233"/>
    <cellStyle name="T_Book1_1_Bieu tong hop nhu cau ung 2011 da chon loc -Mien nui 2" xfId="4234"/>
    <cellStyle name="T_Book1_1_Bieu tong hop nhu cau ung 2011 da chon loc -Mien nui_!1 1 bao cao giao KH ve HTCMT vung TNB   12-12-2011" xfId="4235"/>
    <cellStyle name="T_Book1_1_Bieu tong hop nhu cau ung 2011 da chon loc -Mien nui_!1 1 bao cao giao KH ve HTCMT vung TNB   12-12-2011 2" xfId="4236"/>
    <cellStyle name="T_Book1_1_Bieu tong hop nhu cau ung 2011 da chon loc -Mien nui_KH TPCP vung TNB (03-1-2012)" xfId="4237"/>
    <cellStyle name="T_Book1_1_Bieu tong hop nhu cau ung 2011 da chon loc -Mien nui_KH TPCP vung TNB (03-1-2012) 2" xfId="4238"/>
    <cellStyle name="T_Book1_1_Bieu3ODA" xfId="4239"/>
    <cellStyle name="T_Book1_1_Bieu3ODA 2" xfId="4240"/>
    <cellStyle name="T_Book1_1_Bieu3ODA_!1 1 bao cao giao KH ve HTCMT vung TNB   12-12-2011" xfId="4241"/>
    <cellStyle name="T_Book1_1_Bieu3ODA_!1 1 bao cao giao KH ve HTCMT vung TNB   12-12-2011 2" xfId="4242"/>
    <cellStyle name="T_Book1_1_Bieu3ODA_KH TPCP vung TNB (03-1-2012)" xfId="4243"/>
    <cellStyle name="T_Book1_1_Bieu3ODA_KH TPCP vung TNB (03-1-2012) 2" xfId="4244"/>
    <cellStyle name="T_Book1_1_CPK" xfId="4245"/>
    <cellStyle name="T_Book1_1_CPK 2" xfId="4246"/>
    <cellStyle name="T_Book1_1_CPK_!1 1 bao cao giao KH ve HTCMT vung TNB   12-12-2011" xfId="4247"/>
    <cellStyle name="T_Book1_1_CPK_!1 1 bao cao giao KH ve HTCMT vung TNB   12-12-2011 2" xfId="4248"/>
    <cellStyle name="T_Book1_1_CPK_Bieu4HTMT" xfId="4249"/>
    <cellStyle name="T_Book1_1_CPK_Bieu4HTMT 2" xfId="4250"/>
    <cellStyle name="T_Book1_1_CPK_Bieu4HTMT_!1 1 bao cao giao KH ve HTCMT vung TNB   12-12-2011" xfId="4251"/>
    <cellStyle name="T_Book1_1_CPK_Bieu4HTMT_!1 1 bao cao giao KH ve HTCMT vung TNB   12-12-2011 2" xfId="4252"/>
    <cellStyle name="T_Book1_1_CPK_Bieu4HTMT_KH TPCP vung TNB (03-1-2012)" xfId="4253"/>
    <cellStyle name="T_Book1_1_CPK_Bieu4HTMT_KH TPCP vung TNB (03-1-2012) 2" xfId="4254"/>
    <cellStyle name="T_Book1_1_CPK_KH TPCP vung TNB (03-1-2012)" xfId="4255"/>
    <cellStyle name="T_Book1_1_CPK_KH TPCP vung TNB (03-1-2012) 2" xfId="4256"/>
    <cellStyle name="T_Book1_1_KH TPCP vung TNB (03-1-2012)" xfId="4257"/>
    <cellStyle name="T_Book1_1_KH TPCP vung TNB (03-1-2012) 2" xfId="4258"/>
    <cellStyle name="T_Book1_1_kien giang 2" xfId="4259"/>
    <cellStyle name="T_Book1_1_kien giang 2 2" xfId="4260"/>
    <cellStyle name="T_Book1_1_Luy ke von ung nam 2011 -Thoa gui ngay 12-8-2012" xfId="4261"/>
    <cellStyle name="T_Book1_1_Luy ke von ung nam 2011 -Thoa gui ngay 12-8-2012 2" xfId="4262"/>
    <cellStyle name="T_Book1_1_Luy ke von ung nam 2011 -Thoa gui ngay 12-8-2012_!1 1 bao cao giao KH ve HTCMT vung TNB   12-12-2011" xfId="4263"/>
    <cellStyle name="T_Book1_1_Luy ke von ung nam 2011 -Thoa gui ngay 12-8-2012_!1 1 bao cao giao KH ve HTCMT vung TNB   12-12-2011 2" xfId="4264"/>
    <cellStyle name="T_Book1_1_Luy ke von ung nam 2011 -Thoa gui ngay 12-8-2012_KH TPCP vung TNB (03-1-2012)" xfId="4265"/>
    <cellStyle name="T_Book1_1_Luy ke von ung nam 2011 -Thoa gui ngay 12-8-2012_KH TPCP vung TNB (03-1-2012) 2" xfId="4266"/>
    <cellStyle name="T_Book1_1_Thiet bi" xfId="4267"/>
    <cellStyle name="T_Book1_1_Thiet bi 2" xfId="4268"/>
    <cellStyle name="T_Book1_1_Thiet bi_!1 1 bao cao giao KH ve HTCMT vung TNB   12-12-2011" xfId="4269"/>
    <cellStyle name="T_Book1_1_Thiet bi_!1 1 bao cao giao KH ve HTCMT vung TNB   12-12-2011 2" xfId="4270"/>
    <cellStyle name="T_Book1_1_Thiet bi_Bieu4HTMT" xfId="4271"/>
    <cellStyle name="T_Book1_1_Thiet bi_Bieu4HTMT 2" xfId="4272"/>
    <cellStyle name="T_Book1_1_Thiet bi_Bieu4HTMT_!1 1 bao cao giao KH ve HTCMT vung TNB   12-12-2011" xfId="4273"/>
    <cellStyle name="T_Book1_1_Thiet bi_Bieu4HTMT_!1 1 bao cao giao KH ve HTCMT vung TNB   12-12-2011 2" xfId="4274"/>
    <cellStyle name="T_Book1_1_Thiet bi_Bieu4HTMT_KH TPCP vung TNB (03-1-2012)" xfId="4275"/>
    <cellStyle name="T_Book1_1_Thiet bi_Bieu4HTMT_KH TPCP vung TNB (03-1-2012) 2" xfId="4276"/>
    <cellStyle name="T_Book1_1_Thiet bi_KH TPCP vung TNB (03-1-2012)" xfId="4277"/>
    <cellStyle name="T_Book1_1_Thiet bi_KH TPCP vung TNB (03-1-2012) 2" xfId="4278"/>
    <cellStyle name="T_Book1_15_10_2013 BC nhu cau von doi ung ODA (2014-2016) ngay 15102013 Sua" xfId="4279"/>
    <cellStyle name="T_Book1_bao cao phan bo KHDT 2011(final)" xfId="4280"/>
    <cellStyle name="T_Book1_bao cao phan bo KHDT 2011(final)_BC nhu cau von doi ung ODA nganh NN (BKH)" xfId="4281"/>
    <cellStyle name="T_Book1_bao cao phan bo KHDT 2011(final)_BC Tai co cau (bieu TH)" xfId="4282"/>
    <cellStyle name="T_Book1_bao cao phan bo KHDT 2011(final)_DK 2014-2015 final" xfId="4283"/>
    <cellStyle name="T_Book1_bao cao phan bo KHDT 2011(final)_DK 2014-2015 new" xfId="4284"/>
    <cellStyle name="T_Book1_bao cao phan bo KHDT 2011(final)_DK KH CBDT 2014 11-11-2013" xfId="4285"/>
    <cellStyle name="T_Book1_bao cao phan bo KHDT 2011(final)_DK KH CBDT 2014 11-11-2013(1)" xfId="4286"/>
    <cellStyle name="T_Book1_bao cao phan bo KHDT 2011(final)_KH 2011-2015" xfId="4287"/>
    <cellStyle name="T_Book1_bao cao phan bo KHDT 2011(final)_tai co cau dau tu (tong hop)1" xfId="4288"/>
    <cellStyle name="T_Book1_BC nhu cau von doi ung ODA nganh NN (BKH)" xfId="4289"/>
    <cellStyle name="T_Book1_BC nhu cau von doi ung ODA nganh NN (BKH)_05-12  KH trung han 2016-2020 - Liem Thinh edited" xfId="4290"/>
    <cellStyle name="T_Book1_BC nhu cau von doi ung ODA nganh NN (BKH)_Copy of 05-12  KH trung han 2016-2020 - Liem Thinh edited (1)" xfId="4291"/>
    <cellStyle name="T_Book1_BC NQ11-CP - chinh sua lai" xfId="4292"/>
    <cellStyle name="T_Book1_BC NQ11-CP - chinh sua lai 2" xfId="4293"/>
    <cellStyle name="T_Book1_BC NQ11-CP-Quynh sau bieu so3" xfId="4294"/>
    <cellStyle name="T_Book1_BC NQ11-CP-Quynh sau bieu so3 2" xfId="4295"/>
    <cellStyle name="T_Book1_BC Tai co cau (bieu TH)" xfId="4296"/>
    <cellStyle name="T_Book1_BC Tai co cau (bieu TH)_05-12  KH trung han 2016-2020 - Liem Thinh edited" xfId="4297"/>
    <cellStyle name="T_Book1_BC Tai co cau (bieu TH)_Copy of 05-12  KH trung han 2016-2020 - Liem Thinh edited (1)" xfId="4298"/>
    <cellStyle name="T_Book1_BC_NQ11-CP_-_Thao_sua_lai" xfId="4299"/>
    <cellStyle name="T_Book1_BC_NQ11-CP_-_Thao_sua_lai 2" xfId="4300"/>
    <cellStyle name="T_Book1_Bieu mau cong trinh khoi cong moi 3-4" xfId="4301"/>
    <cellStyle name="T_Book1_Bieu mau cong trinh khoi cong moi 3-4 2" xfId="4302"/>
    <cellStyle name="T_Book1_Bieu mau cong trinh khoi cong moi 3-4_!1 1 bao cao giao KH ve HTCMT vung TNB   12-12-2011" xfId="4303"/>
    <cellStyle name="T_Book1_Bieu mau cong trinh khoi cong moi 3-4_!1 1 bao cao giao KH ve HTCMT vung TNB   12-12-2011 2" xfId="4304"/>
    <cellStyle name="T_Book1_Bieu mau cong trinh khoi cong moi 3-4_KH TPCP vung TNB (03-1-2012)" xfId="4305"/>
    <cellStyle name="T_Book1_Bieu mau cong trinh khoi cong moi 3-4_KH TPCP vung TNB (03-1-2012) 2" xfId="4306"/>
    <cellStyle name="T_Book1_Bieu mau danh muc du an thuoc CTMTQG nam 2008" xfId="4307"/>
    <cellStyle name="T_Book1_Bieu mau danh muc du an thuoc CTMTQG nam 2008 2" xfId="4308"/>
    <cellStyle name="T_Book1_Bieu mau danh muc du an thuoc CTMTQG nam 2008_!1 1 bao cao giao KH ve HTCMT vung TNB   12-12-2011" xfId="4309"/>
    <cellStyle name="T_Book1_Bieu mau danh muc du an thuoc CTMTQG nam 2008_!1 1 bao cao giao KH ve HTCMT vung TNB   12-12-2011 2" xfId="4310"/>
    <cellStyle name="T_Book1_Bieu mau danh muc du an thuoc CTMTQG nam 2008_KH TPCP vung TNB (03-1-2012)" xfId="4311"/>
    <cellStyle name="T_Book1_Bieu mau danh muc du an thuoc CTMTQG nam 2008_KH TPCP vung TNB (03-1-2012) 2" xfId="4312"/>
    <cellStyle name="T_Book1_Bieu tong hop nhu cau ung 2011 da chon loc -Mien nui" xfId="4313"/>
    <cellStyle name="T_Book1_Bieu tong hop nhu cau ung 2011 da chon loc -Mien nui 2" xfId="4314"/>
    <cellStyle name="T_Book1_Bieu tong hop nhu cau ung 2011 da chon loc -Mien nui_!1 1 bao cao giao KH ve HTCMT vung TNB   12-12-2011" xfId="4315"/>
    <cellStyle name="T_Book1_Bieu tong hop nhu cau ung 2011 da chon loc -Mien nui_!1 1 bao cao giao KH ve HTCMT vung TNB   12-12-2011 2" xfId="4316"/>
    <cellStyle name="T_Book1_Bieu tong hop nhu cau ung 2011 da chon loc -Mien nui_KH TPCP vung TNB (03-1-2012)" xfId="4317"/>
    <cellStyle name="T_Book1_Bieu tong hop nhu cau ung 2011 da chon loc -Mien nui_KH TPCP vung TNB (03-1-2012) 2" xfId="4318"/>
    <cellStyle name="T_Book1_Bieu3ODA" xfId="4319"/>
    <cellStyle name="T_Book1_Bieu3ODA 2" xfId="4320"/>
    <cellStyle name="T_Book1_Bieu3ODA_!1 1 bao cao giao KH ve HTCMT vung TNB   12-12-2011" xfId="4321"/>
    <cellStyle name="T_Book1_Bieu3ODA_!1 1 bao cao giao KH ve HTCMT vung TNB   12-12-2011 2" xfId="4322"/>
    <cellStyle name="T_Book1_Bieu3ODA_1" xfId="4323"/>
    <cellStyle name="T_Book1_Bieu3ODA_1 2" xfId="4324"/>
    <cellStyle name="T_Book1_Bieu3ODA_1_!1 1 bao cao giao KH ve HTCMT vung TNB   12-12-2011" xfId="4325"/>
    <cellStyle name="T_Book1_Bieu3ODA_1_!1 1 bao cao giao KH ve HTCMT vung TNB   12-12-2011 2" xfId="4326"/>
    <cellStyle name="T_Book1_Bieu3ODA_1_KH TPCP vung TNB (03-1-2012)" xfId="4327"/>
    <cellStyle name="T_Book1_Bieu3ODA_1_KH TPCP vung TNB (03-1-2012) 2" xfId="4328"/>
    <cellStyle name="T_Book1_Bieu3ODA_KH TPCP vung TNB (03-1-2012)" xfId="4329"/>
    <cellStyle name="T_Book1_Bieu3ODA_KH TPCP vung TNB (03-1-2012) 2" xfId="4330"/>
    <cellStyle name="T_Book1_Bieu4HTMT" xfId="4331"/>
    <cellStyle name="T_Book1_Bieu4HTMT 2" xfId="4332"/>
    <cellStyle name="T_Book1_Bieu4HTMT_!1 1 bao cao giao KH ve HTCMT vung TNB   12-12-2011" xfId="4333"/>
    <cellStyle name="T_Book1_Bieu4HTMT_!1 1 bao cao giao KH ve HTCMT vung TNB   12-12-2011 2" xfId="4334"/>
    <cellStyle name="T_Book1_Bieu4HTMT_KH TPCP vung TNB (03-1-2012)" xfId="4335"/>
    <cellStyle name="T_Book1_Bieu4HTMT_KH TPCP vung TNB (03-1-2012) 2" xfId="4336"/>
    <cellStyle name="T_Book1_Book1" xfId="4337"/>
    <cellStyle name="T_Book1_Book1 2" xfId="4338"/>
    <cellStyle name="T_Book1_Cong trinh co y kien LD_Dang_NN_2011-Tay nguyen-9-10" xfId="4339"/>
    <cellStyle name="T_Book1_Cong trinh co y kien LD_Dang_NN_2011-Tay nguyen-9-10 2" xfId="4340"/>
    <cellStyle name="T_Book1_Cong trinh co y kien LD_Dang_NN_2011-Tay nguyen-9-10_!1 1 bao cao giao KH ve HTCMT vung TNB   12-12-2011" xfId="4341"/>
    <cellStyle name="T_Book1_Cong trinh co y kien LD_Dang_NN_2011-Tay nguyen-9-10_!1 1 bao cao giao KH ve HTCMT vung TNB   12-12-2011 2" xfId="4342"/>
    <cellStyle name="T_Book1_Cong trinh co y kien LD_Dang_NN_2011-Tay nguyen-9-10_Bieu4HTMT" xfId="4343"/>
    <cellStyle name="T_Book1_Cong trinh co y kien LD_Dang_NN_2011-Tay nguyen-9-10_Bieu4HTMT 2" xfId="4344"/>
    <cellStyle name="T_Book1_Cong trinh co y kien LD_Dang_NN_2011-Tay nguyen-9-10_KH TPCP vung TNB (03-1-2012)" xfId="4345"/>
    <cellStyle name="T_Book1_Cong trinh co y kien LD_Dang_NN_2011-Tay nguyen-9-10_KH TPCP vung TNB (03-1-2012) 2" xfId="4346"/>
    <cellStyle name="T_Book1_CPK" xfId="4347"/>
    <cellStyle name="T_Book1_CPK 2" xfId="4348"/>
    <cellStyle name="T_Book1_danh muc chuan bi dau tu 2011 ngay 07-6-2011" xfId="4349"/>
    <cellStyle name="T_Book1_danh muc chuan bi dau tu 2011 ngay 07-6-2011 2" xfId="4350"/>
    <cellStyle name="T_Book1_dieu chinh KH 2011 ngay 26-5-2011111" xfId="4351"/>
    <cellStyle name="T_Book1_dieu chinh KH 2011 ngay 26-5-2011111 2" xfId="4352"/>
    <cellStyle name="T_Book1_DK 2014-2015 final" xfId="4353"/>
    <cellStyle name="T_Book1_DK 2014-2015 final_05-12  KH trung han 2016-2020 - Liem Thinh edited" xfId="4354"/>
    <cellStyle name="T_Book1_DK 2014-2015 final_Copy of 05-12  KH trung han 2016-2020 - Liem Thinh edited (1)" xfId="4355"/>
    <cellStyle name="T_Book1_DK 2014-2015 new" xfId="4356"/>
    <cellStyle name="T_Book1_DK 2014-2015 new_05-12  KH trung han 2016-2020 - Liem Thinh edited" xfId="4357"/>
    <cellStyle name="T_Book1_DK 2014-2015 new_Copy of 05-12  KH trung han 2016-2020 - Liem Thinh edited (1)" xfId="4358"/>
    <cellStyle name="T_Book1_DK KH CBDT 2014 11-11-2013" xfId="4359"/>
    <cellStyle name="T_Book1_DK KH CBDT 2014 11-11-2013(1)" xfId="4360"/>
    <cellStyle name="T_Book1_DK KH CBDT 2014 11-11-2013(1)_05-12  KH trung han 2016-2020 - Liem Thinh edited" xfId="4361"/>
    <cellStyle name="T_Book1_DK KH CBDT 2014 11-11-2013(1)_Copy of 05-12  KH trung han 2016-2020 - Liem Thinh edited (1)" xfId="4362"/>
    <cellStyle name="T_Book1_DK KH CBDT 2014 11-11-2013_05-12  KH trung han 2016-2020 - Liem Thinh edited" xfId="4363"/>
    <cellStyle name="T_Book1_DK KH CBDT 2014 11-11-2013_Copy of 05-12  KH trung han 2016-2020 - Liem Thinh edited (1)" xfId="4364"/>
    <cellStyle name="T_Book1_Du an khoi cong moi nam 2010" xfId="4365"/>
    <cellStyle name="T_Book1_Du an khoi cong moi nam 2010 2" xfId="4366"/>
    <cellStyle name="T_Book1_Du an khoi cong moi nam 2010_!1 1 bao cao giao KH ve HTCMT vung TNB   12-12-2011" xfId="4367"/>
    <cellStyle name="T_Book1_Du an khoi cong moi nam 2010_!1 1 bao cao giao KH ve HTCMT vung TNB   12-12-2011 2" xfId="4368"/>
    <cellStyle name="T_Book1_Du an khoi cong moi nam 2010_KH TPCP vung TNB (03-1-2012)" xfId="4369"/>
    <cellStyle name="T_Book1_Du an khoi cong moi nam 2010_KH TPCP vung TNB (03-1-2012) 2" xfId="4370"/>
    <cellStyle name="T_Book1_giao KH 2011 ngay 10-12-2010" xfId="4371"/>
    <cellStyle name="T_Book1_giao KH 2011 ngay 10-12-2010 2" xfId="4372"/>
    <cellStyle name="T_Book1_Hang Tom goi9 9-07(Cau 12 sua)" xfId="4373"/>
    <cellStyle name="T_Book1_Hang Tom goi9 9-07(Cau 12 sua) 2" xfId="4374"/>
    <cellStyle name="T_Book1_Ket qua phan bo von nam 2008" xfId="4375"/>
    <cellStyle name="T_Book1_Ket qua phan bo von nam 2008 2" xfId="4376"/>
    <cellStyle name="T_Book1_Ket qua phan bo von nam 2008_!1 1 bao cao giao KH ve HTCMT vung TNB   12-12-2011" xfId="4377"/>
    <cellStyle name="T_Book1_Ket qua phan bo von nam 2008_!1 1 bao cao giao KH ve HTCMT vung TNB   12-12-2011 2" xfId="4378"/>
    <cellStyle name="T_Book1_Ket qua phan bo von nam 2008_KH TPCP vung TNB (03-1-2012)" xfId="4379"/>
    <cellStyle name="T_Book1_Ket qua phan bo von nam 2008_KH TPCP vung TNB (03-1-2012) 2" xfId="4380"/>
    <cellStyle name="T_Book1_KH TPCP vung TNB (03-1-2012)" xfId="4381"/>
    <cellStyle name="T_Book1_KH TPCP vung TNB (03-1-2012) 2" xfId="4382"/>
    <cellStyle name="T_Book1_KH XDCB_2008 lan 2 sua ngay 10-11" xfId="4383"/>
    <cellStyle name="T_Book1_KH XDCB_2008 lan 2 sua ngay 10-11 2" xfId="4384"/>
    <cellStyle name="T_Book1_KH XDCB_2008 lan 2 sua ngay 10-11_!1 1 bao cao giao KH ve HTCMT vung TNB   12-12-2011" xfId="4385"/>
    <cellStyle name="T_Book1_KH XDCB_2008 lan 2 sua ngay 10-11_!1 1 bao cao giao KH ve HTCMT vung TNB   12-12-2011 2" xfId="4386"/>
    <cellStyle name="T_Book1_KH XDCB_2008 lan 2 sua ngay 10-11_KH TPCP vung TNB (03-1-2012)" xfId="4387"/>
    <cellStyle name="T_Book1_KH XDCB_2008 lan 2 sua ngay 10-11_KH TPCP vung TNB (03-1-2012) 2" xfId="4388"/>
    <cellStyle name="T_Book1_Khoi luong chinh Hang Tom" xfId="4389"/>
    <cellStyle name="T_Book1_Khoi luong chinh Hang Tom 2" xfId="4390"/>
    <cellStyle name="T_Book1_kien giang 2" xfId="4391"/>
    <cellStyle name="T_Book1_kien giang 2 2" xfId="4392"/>
    <cellStyle name="T_Book1_Luy ke von ung nam 2011 -Thoa gui ngay 12-8-2012" xfId="4393"/>
    <cellStyle name="T_Book1_Luy ke von ung nam 2011 -Thoa gui ngay 12-8-2012 2" xfId="4394"/>
    <cellStyle name="T_Book1_Luy ke von ung nam 2011 -Thoa gui ngay 12-8-2012_!1 1 bao cao giao KH ve HTCMT vung TNB   12-12-2011" xfId="4395"/>
    <cellStyle name="T_Book1_Luy ke von ung nam 2011 -Thoa gui ngay 12-8-2012_!1 1 bao cao giao KH ve HTCMT vung TNB   12-12-2011 2" xfId="4396"/>
    <cellStyle name="T_Book1_Luy ke von ung nam 2011 -Thoa gui ngay 12-8-2012_KH TPCP vung TNB (03-1-2012)" xfId="4397"/>
    <cellStyle name="T_Book1_Luy ke von ung nam 2011 -Thoa gui ngay 12-8-2012_KH TPCP vung TNB (03-1-2012) 2" xfId="4398"/>
    <cellStyle name="T_Book1_Nhu cau von ung truoc 2011 Tha h Hoa + Nge An gui TW" xfId="4399"/>
    <cellStyle name="T_Book1_Nhu cau von ung truoc 2011 Tha h Hoa + Nge An gui TW 2" xfId="4400"/>
    <cellStyle name="T_Book1_Nhu cau von ung truoc 2011 Tha h Hoa + Nge An gui TW_!1 1 bao cao giao KH ve HTCMT vung TNB   12-12-2011" xfId="4401"/>
    <cellStyle name="T_Book1_Nhu cau von ung truoc 2011 Tha h Hoa + Nge An gui TW_!1 1 bao cao giao KH ve HTCMT vung TNB   12-12-2011 2" xfId="4402"/>
    <cellStyle name="T_Book1_Nhu cau von ung truoc 2011 Tha h Hoa + Nge An gui TW_Bieu4HTMT" xfId="4403"/>
    <cellStyle name="T_Book1_Nhu cau von ung truoc 2011 Tha h Hoa + Nge An gui TW_Bieu4HTMT 2" xfId="4404"/>
    <cellStyle name="T_Book1_Nhu cau von ung truoc 2011 Tha h Hoa + Nge An gui TW_Bieu4HTMT_!1 1 bao cao giao KH ve HTCMT vung TNB   12-12-2011" xfId="4405"/>
    <cellStyle name="T_Book1_Nhu cau von ung truoc 2011 Tha h Hoa + Nge An gui TW_Bieu4HTMT_!1 1 bao cao giao KH ve HTCMT vung TNB   12-12-2011 2" xfId="4406"/>
    <cellStyle name="T_Book1_Nhu cau von ung truoc 2011 Tha h Hoa + Nge An gui TW_Bieu4HTMT_KH TPCP vung TNB (03-1-2012)" xfId="4407"/>
    <cellStyle name="T_Book1_Nhu cau von ung truoc 2011 Tha h Hoa + Nge An gui TW_Bieu4HTMT_KH TPCP vung TNB (03-1-2012) 2" xfId="4408"/>
    <cellStyle name="T_Book1_Nhu cau von ung truoc 2011 Tha h Hoa + Nge An gui TW_KH TPCP vung TNB (03-1-2012)" xfId="4409"/>
    <cellStyle name="T_Book1_Nhu cau von ung truoc 2011 Tha h Hoa + Nge An gui TW_KH TPCP vung TNB (03-1-2012) 2" xfId="4410"/>
    <cellStyle name="T_Book1_phu luc tong ket tinh hinh TH giai doan 03-10 (ngay 30)" xfId="4411"/>
    <cellStyle name="T_Book1_phu luc tong ket tinh hinh TH giai doan 03-10 (ngay 30) 2" xfId="4412"/>
    <cellStyle name="T_Book1_phu luc tong ket tinh hinh TH giai doan 03-10 (ngay 30)_!1 1 bao cao giao KH ve HTCMT vung TNB   12-12-2011" xfId="4413"/>
    <cellStyle name="T_Book1_phu luc tong ket tinh hinh TH giai doan 03-10 (ngay 30)_!1 1 bao cao giao KH ve HTCMT vung TNB   12-12-2011 2" xfId="4414"/>
    <cellStyle name="T_Book1_phu luc tong ket tinh hinh TH giai doan 03-10 (ngay 30)_KH TPCP vung TNB (03-1-2012)" xfId="4415"/>
    <cellStyle name="T_Book1_phu luc tong ket tinh hinh TH giai doan 03-10 (ngay 30)_KH TPCP vung TNB (03-1-2012) 2" xfId="4416"/>
    <cellStyle name="T_Book1_TH ung tren 70%-Ra soat phap ly-8-6 (dung de chuyen vao vu TH)" xfId="4417"/>
    <cellStyle name="T_Book1_TH ung tren 70%-Ra soat phap ly-8-6 (dung de chuyen vao vu TH) 2" xfId="4418"/>
    <cellStyle name="T_Book1_TH ung tren 70%-Ra soat phap ly-8-6 (dung de chuyen vao vu TH)_!1 1 bao cao giao KH ve HTCMT vung TNB   12-12-2011" xfId="4419"/>
    <cellStyle name="T_Book1_TH ung tren 70%-Ra soat phap ly-8-6 (dung de chuyen vao vu TH)_!1 1 bao cao giao KH ve HTCMT vung TNB   12-12-2011 2" xfId="4420"/>
    <cellStyle name="T_Book1_TH ung tren 70%-Ra soat phap ly-8-6 (dung de chuyen vao vu TH)_Bieu4HTMT" xfId="4421"/>
    <cellStyle name="T_Book1_TH ung tren 70%-Ra soat phap ly-8-6 (dung de chuyen vao vu TH)_Bieu4HTMT 2" xfId="4422"/>
    <cellStyle name="T_Book1_TH ung tren 70%-Ra soat phap ly-8-6 (dung de chuyen vao vu TH)_KH TPCP vung TNB (03-1-2012)" xfId="4423"/>
    <cellStyle name="T_Book1_TH ung tren 70%-Ra soat phap ly-8-6 (dung de chuyen vao vu TH)_KH TPCP vung TNB (03-1-2012) 2" xfId="4424"/>
    <cellStyle name="T_Book1_TH y kien LD_KH 2010 Ca Nuoc 22-9-2011-Gui ca Vu" xfId="4425"/>
    <cellStyle name="T_Book1_TH y kien LD_KH 2010 Ca Nuoc 22-9-2011-Gui ca Vu 2" xfId="4426"/>
    <cellStyle name="T_Book1_TH y kien LD_KH 2010 Ca Nuoc 22-9-2011-Gui ca Vu_!1 1 bao cao giao KH ve HTCMT vung TNB   12-12-2011" xfId="4427"/>
    <cellStyle name="T_Book1_TH y kien LD_KH 2010 Ca Nuoc 22-9-2011-Gui ca Vu_!1 1 bao cao giao KH ve HTCMT vung TNB   12-12-2011 2" xfId="4428"/>
    <cellStyle name="T_Book1_TH y kien LD_KH 2010 Ca Nuoc 22-9-2011-Gui ca Vu_Bieu4HTMT" xfId="4429"/>
    <cellStyle name="T_Book1_TH y kien LD_KH 2010 Ca Nuoc 22-9-2011-Gui ca Vu_Bieu4HTMT 2" xfId="4430"/>
    <cellStyle name="T_Book1_TH y kien LD_KH 2010 Ca Nuoc 22-9-2011-Gui ca Vu_KH TPCP vung TNB (03-1-2012)" xfId="4431"/>
    <cellStyle name="T_Book1_TH y kien LD_KH 2010 Ca Nuoc 22-9-2011-Gui ca Vu_KH TPCP vung TNB (03-1-2012) 2" xfId="4432"/>
    <cellStyle name="T_Book1_Thiet bi" xfId="4433"/>
    <cellStyle name="T_Book1_Thiet bi 2" xfId="4434"/>
    <cellStyle name="T_Book1_TN - Ho tro khac 2011" xfId="4435"/>
    <cellStyle name="T_Book1_TN - Ho tro khac 2011 2" xfId="4436"/>
    <cellStyle name="T_Book1_TN - Ho tro khac 2011_!1 1 bao cao giao KH ve HTCMT vung TNB   12-12-2011" xfId="4437"/>
    <cellStyle name="T_Book1_TN - Ho tro khac 2011_!1 1 bao cao giao KH ve HTCMT vung TNB   12-12-2011 2" xfId="4438"/>
    <cellStyle name="T_Book1_TN - Ho tro khac 2011_Bieu4HTMT" xfId="4439"/>
    <cellStyle name="T_Book1_TN - Ho tro khac 2011_Bieu4HTMT 2" xfId="4440"/>
    <cellStyle name="T_Book1_TN - Ho tro khac 2011_KH TPCP vung TNB (03-1-2012)" xfId="4441"/>
    <cellStyle name="T_Book1_TN - Ho tro khac 2011_KH TPCP vung TNB (03-1-2012) 2" xfId="4442"/>
    <cellStyle name="T_Book1_ung truoc 2011 NSTW Thanh Hoa + Nge An gui Thu 12-5" xfId="4443"/>
    <cellStyle name="T_Book1_ung truoc 2011 NSTW Thanh Hoa + Nge An gui Thu 12-5 2" xfId="4444"/>
    <cellStyle name="T_Book1_ung truoc 2011 NSTW Thanh Hoa + Nge An gui Thu 12-5_!1 1 bao cao giao KH ve HTCMT vung TNB   12-12-2011" xfId="4445"/>
    <cellStyle name="T_Book1_ung truoc 2011 NSTW Thanh Hoa + Nge An gui Thu 12-5_!1 1 bao cao giao KH ve HTCMT vung TNB   12-12-2011 2" xfId="4446"/>
    <cellStyle name="T_Book1_ung truoc 2011 NSTW Thanh Hoa + Nge An gui Thu 12-5_Bieu4HTMT" xfId="4447"/>
    <cellStyle name="T_Book1_ung truoc 2011 NSTW Thanh Hoa + Nge An gui Thu 12-5_Bieu4HTMT 2" xfId="4448"/>
    <cellStyle name="T_Book1_ung truoc 2011 NSTW Thanh Hoa + Nge An gui Thu 12-5_Bieu4HTMT_!1 1 bao cao giao KH ve HTCMT vung TNB   12-12-2011" xfId="4449"/>
    <cellStyle name="T_Book1_ung truoc 2011 NSTW Thanh Hoa + Nge An gui Thu 12-5_Bieu4HTMT_!1 1 bao cao giao KH ve HTCMT vung TNB   12-12-2011 2" xfId="4450"/>
    <cellStyle name="T_Book1_ung truoc 2011 NSTW Thanh Hoa + Nge An gui Thu 12-5_Bieu4HTMT_KH TPCP vung TNB (03-1-2012)" xfId="4451"/>
    <cellStyle name="T_Book1_ung truoc 2011 NSTW Thanh Hoa + Nge An gui Thu 12-5_Bieu4HTMT_KH TPCP vung TNB (03-1-2012) 2" xfId="4452"/>
    <cellStyle name="T_Book1_ung truoc 2011 NSTW Thanh Hoa + Nge An gui Thu 12-5_KH TPCP vung TNB (03-1-2012)" xfId="4453"/>
    <cellStyle name="T_Book1_ung truoc 2011 NSTW Thanh Hoa + Nge An gui Thu 12-5_KH TPCP vung TNB (03-1-2012) 2" xfId="4454"/>
    <cellStyle name="T_Book1_ÿÿÿÿÿ" xfId="4455"/>
    <cellStyle name="T_Book1_ÿÿÿÿÿ 2" xfId="4456"/>
    <cellStyle name="T_Chuan bi dau tu nam 2008" xfId="4457"/>
    <cellStyle name="T_Chuan bi dau tu nam 2008 2" xfId="4458"/>
    <cellStyle name="T_Chuan bi dau tu nam 2008_!1 1 bao cao giao KH ve HTCMT vung TNB   12-12-2011" xfId="4459"/>
    <cellStyle name="T_Chuan bi dau tu nam 2008_!1 1 bao cao giao KH ve HTCMT vung TNB   12-12-2011 2" xfId="4460"/>
    <cellStyle name="T_Chuan bi dau tu nam 2008_KH TPCP vung TNB (03-1-2012)" xfId="4461"/>
    <cellStyle name="T_Chuan bi dau tu nam 2008_KH TPCP vung TNB (03-1-2012) 2" xfId="4462"/>
    <cellStyle name="T_Copy of Bao cao  XDCB 7 thang nam 2008_So KH&amp;DT SUA" xfId="4463"/>
    <cellStyle name="T_Copy of Bao cao  XDCB 7 thang nam 2008_So KH&amp;DT SUA 2" xfId="4464"/>
    <cellStyle name="T_Copy of Bao cao  XDCB 7 thang nam 2008_So KH&amp;DT SUA_!1 1 bao cao giao KH ve HTCMT vung TNB   12-12-2011" xfId="4465"/>
    <cellStyle name="T_Copy of Bao cao  XDCB 7 thang nam 2008_So KH&amp;DT SUA_!1 1 bao cao giao KH ve HTCMT vung TNB   12-12-2011 2" xfId="4466"/>
    <cellStyle name="T_Copy of Bao cao  XDCB 7 thang nam 2008_So KH&amp;DT SUA_KH TPCP vung TNB (03-1-2012)" xfId="4467"/>
    <cellStyle name="T_Copy of Bao cao  XDCB 7 thang nam 2008_So KH&amp;DT SUA_KH TPCP vung TNB (03-1-2012) 2" xfId="4468"/>
    <cellStyle name="T_CPK" xfId="4469"/>
    <cellStyle name="T_CPK 2" xfId="4470"/>
    <cellStyle name="T_CPK_!1 1 bao cao giao KH ve HTCMT vung TNB   12-12-2011" xfId="4471"/>
    <cellStyle name="T_CPK_!1 1 bao cao giao KH ve HTCMT vung TNB   12-12-2011 2" xfId="4472"/>
    <cellStyle name="T_CPK_Bieu4HTMT" xfId="4473"/>
    <cellStyle name="T_CPK_Bieu4HTMT 2" xfId="4474"/>
    <cellStyle name="T_CPK_Bieu4HTMT_!1 1 bao cao giao KH ve HTCMT vung TNB   12-12-2011" xfId="4475"/>
    <cellStyle name="T_CPK_Bieu4HTMT_!1 1 bao cao giao KH ve HTCMT vung TNB   12-12-2011 2" xfId="4476"/>
    <cellStyle name="T_CPK_Bieu4HTMT_KH TPCP vung TNB (03-1-2012)" xfId="4477"/>
    <cellStyle name="T_CPK_Bieu4HTMT_KH TPCP vung TNB (03-1-2012) 2" xfId="4478"/>
    <cellStyle name="T_CPK_KH TPCP vung TNB (03-1-2012)" xfId="4479"/>
    <cellStyle name="T_CPK_KH TPCP vung TNB (03-1-2012) 2" xfId="4480"/>
    <cellStyle name="T_CTMTQG 2008" xfId="4481"/>
    <cellStyle name="T_CTMTQG 2008 2" xfId="4482"/>
    <cellStyle name="T_CTMTQG 2008_!1 1 bao cao giao KH ve HTCMT vung TNB   12-12-2011" xfId="4483"/>
    <cellStyle name="T_CTMTQG 2008_!1 1 bao cao giao KH ve HTCMT vung TNB   12-12-2011 2" xfId="4484"/>
    <cellStyle name="T_CTMTQG 2008_Bieu mau danh muc du an thuoc CTMTQG nam 2008" xfId="4485"/>
    <cellStyle name="T_CTMTQG 2008_Bieu mau danh muc du an thuoc CTMTQG nam 2008 2" xfId="4486"/>
    <cellStyle name="T_CTMTQG 2008_Bieu mau danh muc du an thuoc CTMTQG nam 2008_!1 1 bao cao giao KH ve HTCMT vung TNB   12-12-2011" xfId="4487"/>
    <cellStyle name="T_CTMTQG 2008_Bieu mau danh muc du an thuoc CTMTQG nam 2008_!1 1 bao cao giao KH ve HTCMT vung TNB   12-12-2011 2" xfId="4488"/>
    <cellStyle name="T_CTMTQG 2008_Bieu mau danh muc du an thuoc CTMTQG nam 2008_KH TPCP vung TNB (03-1-2012)" xfId="4489"/>
    <cellStyle name="T_CTMTQG 2008_Bieu mau danh muc du an thuoc CTMTQG nam 2008_KH TPCP vung TNB (03-1-2012) 2" xfId="4490"/>
    <cellStyle name="T_CTMTQG 2008_Hi-Tong hop KQ phan bo KH nam 08- LD fong giao 15-11-08" xfId="4491"/>
    <cellStyle name="T_CTMTQG 2008_Hi-Tong hop KQ phan bo KH nam 08- LD fong giao 15-11-08 2" xfId="4492"/>
    <cellStyle name="T_CTMTQG 2008_Hi-Tong hop KQ phan bo KH nam 08- LD fong giao 15-11-08_!1 1 bao cao giao KH ve HTCMT vung TNB   12-12-2011" xfId="4493"/>
    <cellStyle name="T_CTMTQG 2008_Hi-Tong hop KQ phan bo KH nam 08- LD fong giao 15-11-08_!1 1 bao cao giao KH ve HTCMT vung TNB   12-12-2011 2" xfId="4494"/>
    <cellStyle name="T_CTMTQG 2008_Hi-Tong hop KQ phan bo KH nam 08- LD fong giao 15-11-08_KH TPCP vung TNB (03-1-2012)" xfId="4495"/>
    <cellStyle name="T_CTMTQG 2008_Hi-Tong hop KQ phan bo KH nam 08- LD fong giao 15-11-08_KH TPCP vung TNB (03-1-2012) 2" xfId="4496"/>
    <cellStyle name="T_CTMTQG 2008_Ket qua thuc hien nam 2008" xfId="4497"/>
    <cellStyle name="T_CTMTQG 2008_Ket qua thuc hien nam 2008 2" xfId="4498"/>
    <cellStyle name="T_CTMTQG 2008_Ket qua thuc hien nam 2008_!1 1 bao cao giao KH ve HTCMT vung TNB   12-12-2011" xfId="4499"/>
    <cellStyle name="T_CTMTQG 2008_Ket qua thuc hien nam 2008_!1 1 bao cao giao KH ve HTCMT vung TNB   12-12-2011 2" xfId="4500"/>
    <cellStyle name="T_CTMTQG 2008_Ket qua thuc hien nam 2008_KH TPCP vung TNB (03-1-2012)" xfId="4501"/>
    <cellStyle name="T_CTMTQG 2008_Ket qua thuc hien nam 2008_KH TPCP vung TNB (03-1-2012) 2" xfId="4502"/>
    <cellStyle name="T_CTMTQG 2008_KH TPCP vung TNB (03-1-2012)" xfId="4503"/>
    <cellStyle name="T_CTMTQG 2008_KH TPCP vung TNB (03-1-2012) 2" xfId="4504"/>
    <cellStyle name="T_CTMTQG 2008_KH XDCB_2008 lan 1" xfId="4505"/>
    <cellStyle name="T_CTMTQG 2008_KH XDCB_2008 lan 1 2" xfId="4506"/>
    <cellStyle name="T_CTMTQG 2008_KH XDCB_2008 lan 1 sua ngay 27-10" xfId="4507"/>
    <cellStyle name="T_CTMTQG 2008_KH XDCB_2008 lan 1 sua ngay 27-10 2" xfId="4508"/>
    <cellStyle name="T_CTMTQG 2008_KH XDCB_2008 lan 1 sua ngay 27-10_!1 1 bao cao giao KH ve HTCMT vung TNB   12-12-2011" xfId="4509"/>
    <cellStyle name="T_CTMTQG 2008_KH XDCB_2008 lan 1 sua ngay 27-10_!1 1 bao cao giao KH ve HTCMT vung TNB   12-12-2011 2" xfId="4510"/>
    <cellStyle name="T_CTMTQG 2008_KH XDCB_2008 lan 1 sua ngay 27-10_KH TPCP vung TNB (03-1-2012)" xfId="4511"/>
    <cellStyle name="T_CTMTQG 2008_KH XDCB_2008 lan 1 sua ngay 27-10_KH TPCP vung TNB (03-1-2012) 2" xfId="4512"/>
    <cellStyle name="T_CTMTQG 2008_KH XDCB_2008 lan 1_!1 1 bao cao giao KH ve HTCMT vung TNB   12-12-2011" xfId="4513"/>
    <cellStyle name="T_CTMTQG 2008_KH XDCB_2008 lan 1_!1 1 bao cao giao KH ve HTCMT vung TNB   12-12-2011 2" xfId="4514"/>
    <cellStyle name="T_CTMTQG 2008_KH XDCB_2008 lan 1_KH TPCP vung TNB (03-1-2012)" xfId="4515"/>
    <cellStyle name="T_CTMTQG 2008_KH XDCB_2008 lan 1_KH TPCP vung TNB (03-1-2012) 2" xfId="4516"/>
    <cellStyle name="T_CTMTQG 2008_KH XDCB_2008 lan 2 sua ngay 10-11" xfId="4517"/>
    <cellStyle name="T_CTMTQG 2008_KH XDCB_2008 lan 2 sua ngay 10-11 2" xfId="4518"/>
    <cellStyle name="T_CTMTQG 2008_KH XDCB_2008 lan 2 sua ngay 10-11_!1 1 bao cao giao KH ve HTCMT vung TNB   12-12-2011" xfId="4519"/>
    <cellStyle name="T_CTMTQG 2008_KH XDCB_2008 lan 2 sua ngay 10-11_!1 1 bao cao giao KH ve HTCMT vung TNB   12-12-2011 2" xfId="4520"/>
    <cellStyle name="T_CTMTQG 2008_KH XDCB_2008 lan 2 sua ngay 10-11_KH TPCP vung TNB (03-1-2012)" xfId="4521"/>
    <cellStyle name="T_CTMTQG 2008_KH XDCB_2008 lan 2 sua ngay 10-11_KH TPCP vung TNB (03-1-2012) 2" xfId="4522"/>
    <cellStyle name="T_danh muc chuan bi dau tu 2011 ngay 07-6-2011" xfId="4523"/>
    <cellStyle name="T_danh muc chuan bi dau tu 2011 ngay 07-6-2011 2" xfId="4524"/>
    <cellStyle name="T_danh muc chuan bi dau tu 2011 ngay 07-6-2011_!1 1 bao cao giao KH ve HTCMT vung TNB   12-12-2011" xfId="4525"/>
    <cellStyle name="T_danh muc chuan bi dau tu 2011 ngay 07-6-2011_!1 1 bao cao giao KH ve HTCMT vung TNB   12-12-2011 2" xfId="4526"/>
    <cellStyle name="T_danh muc chuan bi dau tu 2011 ngay 07-6-2011_KH TPCP vung TNB (03-1-2012)" xfId="4527"/>
    <cellStyle name="T_danh muc chuan bi dau tu 2011 ngay 07-6-2011_KH TPCP vung TNB (03-1-2012) 2" xfId="4528"/>
    <cellStyle name="T_Danh muc pbo nguon von XSKT, XDCB nam 2009 chuyen qua nam 2010" xfId="4529"/>
    <cellStyle name="T_Danh muc pbo nguon von XSKT, XDCB nam 2009 chuyen qua nam 2010 2" xfId="4530"/>
    <cellStyle name="T_Danh muc pbo nguon von XSKT, XDCB nam 2009 chuyen qua nam 2010_!1 1 bao cao giao KH ve HTCMT vung TNB   12-12-2011" xfId="4531"/>
    <cellStyle name="T_Danh muc pbo nguon von XSKT, XDCB nam 2009 chuyen qua nam 2010_!1 1 bao cao giao KH ve HTCMT vung TNB   12-12-2011 2" xfId="4532"/>
    <cellStyle name="T_Danh muc pbo nguon von XSKT, XDCB nam 2009 chuyen qua nam 2010_KH TPCP vung TNB (03-1-2012)" xfId="4533"/>
    <cellStyle name="T_Danh muc pbo nguon von XSKT, XDCB nam 2009 chuyen qua nam 2010_KH TPCP vung TNB (03-1-2012) 2" xfId="4534"/>
    <cellStyle name="T_dieu chinh KH 2011 ngay 26-5-2011111" xfId="4535"/>
    <cellStyle name="T_dieu chinh KH 2011 ngay 26-5-2011111 2" xfId="4536"/>
    <cellStyle name="T_dieu chinh KH 2011 ngay 26-5-2011111_!1 1 bao cao giao KH ve HTCMT vung TNB   12-12-2011" xfId="4537"/>
    <cellStyle name="T_dieu chinh KH 2011 ngay 26-5-2011111_!1 1 bao cao giao KH ve HTCMT vung TNB   12-12-2011 2" xfId="4538"/>
    <cellStyle name="T_dieu chinh KH 2011 ngay 26-5-2011111_KH TPCP vung TNB (03-1-2012)" xfId="4539"/>
    <cellStyle name="T_dieu chinh KH 2011 ngay 26-5-2011111_KH TPCP vung TNB (03-1-2012) 2" xfId="4540"/>
    <cellStyle name="T_DK 2014-2015 final" xfId="4541"/>
    <cellStyle name="T_DK 2014-2015 final_05-12  KH trung han 2016-2020 - Liem Thinh edited" xfId="4542"/>
    <cellStyle name="T_DK 2014-2015 final_Copy of 05-12  KH trung han 2016-2020 - Liem Thinh edited (1)" xfId="4543"/>
    <cellStyle name="T_DK 2014-2015 new" xfId="4544"/>
    <cellStyle name="T_DK 2014-2015 new_05-12  KH trung han 2016-2020 - Liem Thinh edited" xfId="4545"/>
    <cellStyle name="T_DK 2014-2015 new_Copy of 05-12  KH trung han 2016-2020 - Liem Thinh edited (1)" xfId="4546"/>
    <cellStyle name="T_DK KH CBDT 2014 11-11-2013" xfId="4547"/>
    <cellStyle name="T_DK KH CBDT 2014 11-11-2013(1)" xfId="4548"/>
    <cellStyle name="T_DK KH CBDT 2014 11-11-2013(1)_05-12  KH trung han 2016-2020 - Liem Thinh edited" xfId="4549"/>
    <cellStyle name="T_DK KH CBDT 2014 11-11-2013(1)_Copy of 05-12  KH trung han 2016-2020 - Liem Thinh edited (1)" xfId="4550"/>
    <cellStyle name="T_DK KH CBDT 2014 11-11-2013_05-12  KH trung han 2016-2020 - Liem Thinh edited" xfId="4551"/>
    <cellStyle name="T_DK KH CBDT 2014 11-11-2013_Copy of 05-12  KH trung han 2016-2020 - Liem Thinh edited (1)" xfId="4552"/>
    <cellStyle name="T_DS KCH PHAN BO VON NSDP NAM 2010" xfId="4553"/>
    <cellStyle name="T_DS KCH PHAN BO VON NSDP NAM 2010 2" xfId="4554"/>
    <cellStyle name="T_DS KCH PHAN BO VON NSDP NAM 2010_!1 1 bao cao giao KH ve HTCMT vung TNB   12-12-2011" xfId="4555"/>
    <cellStyle name="T_DS KCH PHAN BO VON NSDP NAM 2010_!1 1 bao cao giao KH ve HTCMT vung TNB   12-12-2011 2" xfId="4556"/>
    <cellStyle name="T_DS KCH PHAN BO VON NSDP NAM 2010_KH TPCP vung TNB (03-1-2012)" xfId="4557"/>
    <cellStyle name="T_DS KCH PHAN BO VON NSDP NAM 2010_KH TPCP vung TNB (03-1-2012) 2" xfId="4558"/>
    <cellStyle name="T_Du an khoi cong moi nam 2010" xfId="4559"/>
    <cellStyle name="T_Du an khoi cong moi nam 2010 2" xfId="4560"/>
    <cellStyle name="T_Du an khoi cong moi nam 2010_!1 1 bao cao giao KH ve HTCMT vung TNB   12-12-2011" xfId="4561"/>
    <cellStyle name="T_Du an khoi cong moi nam 2010_!1 1 bao cao giao KH ve HTCMT vung TNB   12-12-2011 2" xfId="4562"/>
    <cellStyle name="T_Du an khoi cong moi nam 2010_KH TPCP vung TNB (03-1-2012)" xfId="4563"/>
    <cellStyle name="T_Du an khoi cong moi nam 2010_KH TPCP vung TNB (03-1-2012) 2" xfId="4564"/>
    <cellStyle name="T_DU AN TKQH VA CHUAN BI DAU TU NAM 2007 sua ngay 9-11" xfId="4565"/>
    <cellStyle name="T_DU AN TKQH VA CHUAN BI DAU TU NAM 2007 sua ngay 9-11 2" xfId="4566"/>
    <cellStyle name="T_DU AN TKQH VA CHUAN BI DAU TU NAM 2007 sua ngay 9-11_!1 1 bao cao giao KH ve HTCMT vung TNB   12-12-2011" xfId="4567"/>
    <cellStyle name="T_DU AN TKQH VA CHUAN BI DAU TU NAM 2007 sua ngay 9-11_!1 1 bao cao giao KH ve HTCMT vung TNB   12-12-2011 2" xfId="4568"/>
    <cellStyle name="T_DU AN TKQH VA CHUAN BI DAU TU NAM 2007 sua ngay 9-11_Bieu mau danh muc du an thuoc CTMTQG nam 2008" xfId="4569"/>
    <cellStyle name="T_DU AN TKQH VA CHUAN BI DAU TU NAM 2007 sua ngay 9-11_Bieu mau danh muc du an thuoc CTMTQG nam 2008 2" xfId="4570"/>
    <cellStyle name="T_DU AN TKQH VA CHUAN BI DAU TU NAM 2007 sua ngay 9-11_Bieu mau danh muc du an thuoc CTMTQG nam 2008_!1 1 bao cao giao KH ve HTCMT vung TNB   12-12-2011" xfId="4571"/>
    <cellStyle name="T_DU AN TKQH VA CHUAN BI DAU TU NAM 2007 sua ngay 9-11_Bieu mau danh muc du an thuoc CTMTQG nam 2008_!1 1 bao cao giao KH ve HTCMT vung TNB   12-12-2011 2" xfId="4572"/>
    <cellStyle name="T_DU AN TKQH VA CHUAN BI DAU TU NAM 2007 sua ngay 9-11_Bieu mau danh muc du an thuoc CTMTQG nam 2008_KH TPCP vung TNB (03-1-2012)" xfId="4573"/>
    <cellStyle name="T_DU AN TKQH VA CHUAN BI DAU TU NAM 2007 sua ngay 9-11_Bieu mau danh muc du an thuoc CTMTQG nam 2008_KH TPCP vung TNB (03-1-2012) 2" xfId="4574"/>
    <cellStyle name="T_DU AN TKQH VA CHUAN BI DAU TU NAM 2007 sua ngay 9-11_Du an khoi cong moi nam 2010" xfId="4575"/>
    <cellStyle name="T_DU AN TKQH VA CHUAN BI DAU TU NAM 2007 sua ngay 9-11_Du an khoi cong moi nam 2010 2" xfId="4576"/>
    <cellStyle name="T_DU AN TKQH VA CHUAN BI DAU TU NAM 2007 sua ngay 9-11_Du an khoi cong moi nam 2010_!1 1 bao cao giao KH ve HTCMT vung TNB   12-12-2011" xfId="4577"/>
    <cellStyle name="T_DU AN TKQH VA CHUAN BI DAU TU NAM 2007 sua ngay 9-11_Du an khoi cong moi nam 2010_!1 1 bao cao giao KH ve HTCMT vung TNB   12-12-2011 2" xfId="4578"/>
    <cellStyle name="T_DU AN TKQH VA CHUAN BI DAU TU NAM 2007 sua ngay 9-11_Du an khoi cong moi nam 2010_KH TPCP vung TNB (03-1-2012)" xfId="4579"/>
    <cellStyle name="T_DU AN TKQH VA CHUAN BI DAU TU NAM 2007 sua ngay 9-11_Du an khoi cong moi nam 2010_KH TPCP vung TNB (03-1-2012) 2" xfId="4580"/>
    <cellStyle name="T_DU AN TKQH VA CHUAN BI DAU TU NAM 2007 sua ngay 9-11_Ket qua phan bo von nam 2008" xfId="4581"/>
    <cellStyle name="T_DU AN TKQH VA CHUAN BI DAU TU NAM 2007 sua ngay 9-11_Ket qua phan bo von nam 2008 2" xfId="4582"/>
    <cellStyle name="T_DU AN TKQH VA CHUAN BI DAU TU NAM 2007 sua ngay 9-11_Ket qua phan bo von nam 2008_!1 1 bao cao giao KH ve HTCMT vung TNB   12-12-2011" xfId="4583"/>
    <cellStyle name="T_DU AN TKQH VA CHUAN BI DAU TU NAM 2007 sua ngay 9-11_Ket qua phan bo von nam 2008_!1 1 bao cao giao KH ve HTCMT vung TNB   12-12-2011 2" xfId="4584"/>
    <cellStyle name="T_DU AN TKQH VA CHUAN BI DAU TU NAM 2007 sua ngay 9-11_Ket qua phan bo von nam 2008_!1 1 bao cao giao KH ve HTCMT vung TNB   12-12-2011 2 2" xfId="4585"/>
    <cellStyle name="T_DU AN TKQH VA CHUAN BI DAU TU NAM 2007 sua ngay 9-11_Ket qua phan bo von nam 2008_!1 1 bao cao giao KH ve HTCMT vung TNB   12-12-2011 3" xfId="4586"/>
    <cellStyle name="T_DU AN TKQH VA CHUAN BI DAU TU NAM 2007 sua ngay 9-11_Ket qua phan bo von nam 2008_KH TPCP vung TNB (03-1-2012)" xfId="4587"/>
    <cellStyle name="T_DU AN TKQH VA CHUAN BI DAU TU NAM 2007 sua ngay 9-11_Ket qua phan bo von nam 2008_KH TPCP vung TNB (03-1-2012) 2" xfId="4588"/>
    <cellStyle name="T_DU AN TKQH VA CHUAN BI DAU TU NAM 2007 sua ngay 9-11_Ket qua phan bo von nam 2008_KH TPCP vung TNB (03-1-2012) 2 2" xfId="4589"/>
    <cellStyle name="T_DU AN TKQH VA CHUAN BI DAU TU NAM 2007 sua ngay 9-11_Ket qua phan bo von nam 2008_KH TPCP vung TNB (03-1-2012) 3" xfId="4590"/>
    <cellStyle name="T_DU AN TKQH VA CHUAN BI DAU TU NAM 2007 sua ngay 9-11_KH TPCP vung TNB (03-1-2012)" xfId="4591"/>
    <cellStyle name="T_DU AN TKQH VA CHUAN BI DAU TU NAM 2007 sua ngay 9-11_KH TPCP vung TNB (03-1-2012) 2" xfId="4592"/>
    <cellStyle name="T_DU AN TKQH VA CHUAN BI DAU TU NAM 2007 sua ngay 9-11_KH TPCP vung TNB (03-1-2012) 2 2" xfId="4593"/>
    <cellStyle name="T_DU AN TKQH VA CHUAN BI DAU TU NAM 2007 sua ngay 9-11_KH TPCP vung TNB (03-1-2012) 3" xfId="4594"/>
    <cellStyle name="T_DU AN TKQH VA CHUAN BI DAU TU NAM 2007 sua ngay 9-11_KH XDCB_2008 lan 2 sua ngay 10-11" xfId="4595"/>
    <cellStyle name="T_DU AN TKQH VA CHUAN BI DAU TU NAM 2007 sua ngay 9-11_KH XDCB_2008 lan 2 sua ngay 10-11 2" xfId="4596"/>
    <cellStyle name="T_DU AN TKQH VA CHUAN BI DAU TU NAM 2007 sua ngay 9-11_KH XDCB_2008 lan 2 sua ngay 10-11 2 2" xfId="4597"/>
    <cellStyle name="T_DU AN TKQH VA CHUAN BI DAU TU NAM 2007 sua ngay 9-11_KH XDCB_2008 lan 2 sua ngay 10-11 3" xfId="4598"/>
    <cellStyle name="T_DU AN TKQH VA CHUAN BI DAU TU NAM 2007 sua ngay 9-11_KH XDCB_2008 lan 2 sua ngay 10-11_!1 1 bao cao giao KH ve HTCMT vung TNB   12-12-2011" xfId="4599"/>
    <cellStyle name="T_DU AN TKQH VA CHUAN BI DAU TU NAM 2007 sua ngay 9-11_KH XDCB_2008 lan 2 sua ngay 10-11_!1 1 bao cao giao KH ve HTCMT vung TNB   12-12-2011 2" xfId="4600"/>
    <cellStyle name="T_DU AN TKQH VA CHUAN BI DAU TU NAM 2007 sua ngay 9-11_KH XDCB_2008 lan 2 sua ngay 10-11_!1 1 bao cao giao KH ve HTCMT vung TNB   12-12-2011 2 2" xfId="4601"/>
    <cellStyle name="T_DU AN TKQH VA CHUAN BI DAU TU NAM 2007 sua ngay 9-11_KH XDCB_2008 lan 2 sua ngay 10-11_!1 1 bao cao giao KH ve HTCMT vung TNB   12-12-2011 3" xfId="4602"/>
    <cellStyle name="T_DU AN TKQH VA CHUAN BI DAU TU NAM 2007 sua ngay 9-11_KH XDCB_2008 lan 2 sua ngay 10-11_KH TPCP vung TNB (03-1-2012)" xfId="4603"/>
    <cellStyle name="T_DU AN TKQH VA CHUAN BI DAU TU NAM 2007 sua ngay 9-11_KH XDCB_2008 lan 2 sua ngay 10-11_KH TPCP vung TNB (03-1-2012) 2" xfId="4604"/>
    <cellStyle name="T_DU AN TKQH VA CHUAN BI DAU TU NAM 2007 sua ngay 9-11_KH XDCB_2008 lan 2 sua ngay 10-11_KH TPCP vung TNB (03-1-2012) 2 2" xfId="4605"/>
    <cellStyle name="T_DU AN TKQH VA CHUAN BI DAU TU NAM 2007 sua ngay 9-11_KH XDCB_2008 lan 2 sua ngay 10-11_KH TPCP vung TNB (03-1-2012) 3" xfId="4606"/>
    <cellStyle name="T_du toan dieu chinh  20-8-2006" xfId="4607"/>
    <cellStyle name="T_du toan dieu chinh  20-8-2006 2" xfId="4608"/>
    <cellStyle name="T_du toan dieu chinh  20-8-2006 2 2" xfId="4609"/>
    <cellStyle name="T_du toan dieu chinh  20-8-2006 3" xfId="4610"/>
    <cellStyle name="T_du toan dieu chinh  20-8-2006_!1 1 bao cao giao KH ve HTCMT vung TNB   12-12-2011" xfId="4611"/>
    <cellStyle name="T_du toan dieu chinh  20-8-2006_!1 1 bao cao giao KH ve HTCMT vung TNB   12-12-2011 2" xfId="4612"/>
    <cellStyle name="T_du toan dieu chinh  20-8-2006_!1 1 bao cao giao KH ve HTCMT vung TNB   12-12-2011 2 2" xfId="4613"/>
    <cellStyle name="T_du toan dieu chinh  20-8-2006_!1 1 bao cao giao KH ve HTCMT vung TNB   12-12-2011 3" xfId="4614"/>
    <cellStyle name="T_du toan dieu chinh  20-8-2006_Bieu4HTMT" xfId="4615"/>
    <cellStyle name="T_du toan dieu chinh  20-8-2006_Bieu4HTMT 2" xfId="4616"/>
    <cellStyle name="T_du toan dieu chinh  20-8-2006_Bieu4HTMT 2 2" xfId="4617"/>
    <cellStyle name="T_du toan dieu chinh  20-8-2006_Bieu4HTMT 3" xfId="4618"/>
    <cellStyle name="T_du toan dieu chinh  20-8-2006_Bieu4HTMT_!1 1 bao cao giao KH ve HTCMT vung TNB   12-12-2011" xfId="4619"/>
    <cellStyle name="T_du toan dieu chinh  20-8-2006_Bieu4HTMT_!1 1 bao cao giao KH ve HTCMT vung TNB   12-12-2011 2" xfId="4620"/>
    <cellStyle name="T_du toan dieu chinh  20-8-2006_Bieu4HTMT_!1 1 bao cao giao KH ve HTCMT vung TNB   12-12-2011 2 2" xfId="4621"/>
    <cellStyle name="T_du toan dieu chinh  20-8-2006_Bieu4HTMT_!1 1 bao cao giao KH ve HTCMT vung TNB   12-12-2011 3" xfId="4622"/>
    <cellStyle name="T_du toan dieu chinh  20-8-2006_Bieu4HTMT_KH TPCP vung TNB (03-1-2012)" xfId="4623"/>
    <cellStyle name="T_du toan dieu chinh  20-8-2006_Bieu4HTMT_KH TPCP vung TNB (03-1-2012) 2" xfId="4624"/>
    <cellStyle name="T_du toan dieu chinh  20-8-2006_Bieu4HTMT_KH TPCP vung TNB (03-1-2012) 2 2" xfId="4625"/>
    <cellStyle name="T_du toan dieu chinh  20-8-2006_Bieu4HTMT_KH TPCP vung TNB (03-1-2012) 3" xfId="4626"/>
    <cellStyle name="T_du toan dieu chinh  20-8-2006_KH TPCP vung TNB (03-1-2012)" xfId="4627"/>
    <cellStyle name="T_du toan dieu chinh  20-8-2006_KH TPCP vung TNB (03-1-2012) 2" xfId="4628"/>
    <cellStyle name="T_du toan dieu chinh  20-8-2006_KH TPCP vung TNB (03-1-2012) 2 2" xfId="4629"/>
    <cellStyle name="T_du toan dieu chinh  20-8-2006_KH TPCP vung TNB (03-1-2012) 3" xfId="4630"/>
    <cellStyle name="T_giao KH 2011 ngay 10-12-2010" xfId="4631"/>
    <cellStyle name="T_giao KH 2011 ngay 10-12-2010 2" xfId="4632"/>
    <cellStyle name="T_giao KH 2011 ngay 10-12-2010 2 2" xfId="4633"/>
    <cellStyle name="T_giao KH 2011 ngay 10-12-2010 3" xfId="4634"/>
    <cellStyle name="T_giao KH 2011 ngay 10-12-2010_!1 1 bao cao giao KH ve HTCMT vung TNB   12-12-2011" xfId="4635"/>
    <cellStyle name="T_giao KH 2011 ngay 10-12-2010_!1 1 bao cao giao KH ve HTCMT vung TNB   12-12-2011 2" xfId="4636"/>
    <cellStyle name="T_giao KH 2011 ngay 10-12-2010_!1 1 bao cao giao KH ve HTCMT vung TNB   12-12-2011 2 2" xfId="4637"/>
    <cellStyle name="T_giao KH 2011 ngay 10-12-2010_!1 1 bao cao giao KH ve HTCMT vung TNB   12-12-2011 3" xfId="4638"/>
    <cellStyle name="T_giao KH 2011 ngay 10-12-2010_KH TPCP vung TNB (03-1-2012)" xfId="4639"/>
    <cellStyle name="T_giao KH 2011 ngay 10-12-2010_KH TPCP vung TNB (03-1-2012) 2" xfId="4640"/>
    <cellStyle name="T_giao KH 2011 ngay 10-12-2010_KH TPCP vung TNB (03-1-2012) 2 2" xfId="4641"/>
    <cellStyle name="T_giao KH 2011 ngay 10-12-2010_KH TPCP vung TNB (03-1-2012) 3" xfId="4642"/>
    <cellStyle name="T_Ht-PTq1-03" xfId="4643"/>
    <cellStyle name="T_Ht-PTq1-03 2" xfId="4644"/>
    <cellStyle name="T_Ht-PTq1-03 2 2" xfId="4645"/>
    <cellStyle name="T_Ht-PTq1-03 3" xfId="4646"/>
    <cellStyle name="T_Ht-PTq1-03_!1 1 bao cao giao KH ve HTCMT vung TNB   12-12-2011" xfId="4647"/>
    <cellStyle name="T_Ht-PTq1-03_!1 1 bao cao giao KH ve HTCMT vung TNB   12-12-2011 2" xfId="4648"/>
    <cellStyle name="T_Ht-PTq1-03_!1 1 bao cao giao KH ve HTCMT vung TNB   12-12-2011 2 2" xfId="4649"/>
    <cellStyle name="T_Ht-PTq1-03_!1 1 bao cao giao KH ve HTCMT vung TNB   12-12-2011 3" xfId="4650"/>
    <cellStyle name="T_Ht-PTq1-03_kien giang 2" xfId="4651"/>
    <cellStyle name="T_Ht-PTq1-03_kien giang 2 2" xfId="4652"/>
    <cellStyle name="T_Ht-PTq1-03_kien giang 2 2 2" xfId="4653"/>
    <cellStyle name="T_Ht-PTq1-03_kien giang 2 3" xfId="4654"/>
    <cellStyle name="T_Ke hoach KTXH  nam 2009_PKT thang 11 nam 2008" xfId="4655"/>
    <cellStyle name="T_Ke hoach KTXH  nam 2009_PKT thang 11 nam 2008 2" xfId="4656"/>
    <cellStyle name="T_Ke hoach KTXH  nam 2009_PKT thang 11 nam 2008 2 2" xfId="4657"/>
    <cellStyle name="T_Ke hoach KTXH  nam 2009_PKT thang 11 nam 2008 3" xfId="4658"/>
    <cellStyle name="T_Ke hoach KTXH  nam 2009_PKT thang 11 nam 2008_!1 1 bao cao giao KH ve HTCMT vung TNB   12-12-2011" xfId="4659"/>
    <cellStyle name="T_Ke hoach KTXH  nam 2009_PKT thang 11 nam 2008_!1 1 bao cao giao KH ve HTCMT vung TNB   12-12-2011 2" xfId="4660"/>
    <cellStyle name="T_Ke hoach KTXH  nam 2009_PKT thang 11 nam 2008_!1 1 bao cao giao KH ve HTCMT vung TNB   12-12-2011 2 2" xfId="4661"/>
    <cellStyle name="T_Ke hoach KTXH  nam 2009_PKT thang 11 nam 2008_!1 1 bao cao giao KH ve HTCMT vung TNB   12-12-2011 3" xfId="4662"/>
    <cellStyle name="T_Ke hoach KTXH  nam 2009_PKT thang 11 nam 2008_KH TPCP vung TNB (03-1-2012)" xfId="4663"/>
    <cellStyle name="T_Ke hoach KTXH  nam 2009_PKT thang 11 nam 2008_KH TPCP vung TNB (03-1-2012) 2" xfId="4664"/>
    <cellStyle name="T_Ke hoach KTXH  nam 2009_PKT thang 11 nam 2008_KH TPCP vung TNB (03-1-2012) 2 2" xfId="4665"/>
    <cellStyle name="T_Ke hoach KTXH  nam 2009_PKT thang 11 nam 2008_KH TPCP vung TNB (03-1-2012) 3" xfId="4666"/>
    <cellStyle name="T_Ket qua dau thau" xfId="4667"/>
    <cellStyle name="T_Ket qua dau thau 2" xfId="4668"/>
    <cellStyle name="T_Ket qua dau thau 2 2" xfId="4669"/>
    <cellStyle name="T_Ket qua dau thau 3" xfId="4670"/>
    <cellStyle name="T_Ket qua dau thau_!1 1 bao cao giao KH ve HTCMT vung TNB   12-12-2011" xfId="4671"/>
    <cellStyle name="T_Ket qua dau thau_!1 1 bao cao giao KH ve HTCMT vung TNB   12-12-2011 2" xfId="4672"/>
    <cellStyle name="T_Ket qua dau thau_!1 1 bao cao giao KH ve HTCMT vung TNB   12-12-2011 2 2" xfId="4673"/>
    <cellStyle name="T_Ket qua dau thau_!1 1 bao cao giao KH ve HTCMT vung TNB   12-12-2011 3" xfId="4674"/>
    <cellStyle name="T_Ket qua dau thau_KH TPCP vung TNB (03-1-2012)" xfId="4675"/>
    <cellStyle name="T_Ket qua dau thau_KH TPCP vung TNB (03-1-2012) 2" xfId="4676"/>
    <cellStyle name="T_Ket qua dau thau_KH TPCP vung TNB (03-1-2012) 2 2" xfId="4677"/>
    <cellStyle name="T_Ket qua dau thau_KH TPCP vung TNB (03-1-2012) 3" xfId="4678"/>
    <cellStyle name="T_Ket qua phan bo von nam 2008" xfId="4679"/>
    <cellStyle name="T_Ket qua phan bo von nam 2008 2" xfId="4680"/>
    <cellStyle name="T_Ket qua phan bo von nam 2008 2 2" xfId="4681"/>
    <cellStyle name="T_Ket qua phan bo von nam 2008 3" xfId="4682"/>
    <cellStyle name="T_Ket qua phan bo von nam 2008_!1 1 bao cao giao KH ve HTCMT vung TNB   12-12-2011" xfId="4683"/>
    <cellStyle name="T_Ket qua phan bo von nam 2008_!1 1 bao cao giao KH ve HTCMT vung TNB   12-12-2011 2" xfId="4684"/>
    <cellStyle name="T_Ket qua phan bo von nam 2008_!1 1 bao cao giao KH ve HTCMT vung TNB   12-12-2011 2 2" xfId="4685"/>
    <cellStyle name="T_Ket qua phan bo von nam 2008_!1 1 bao cao giao KH ve HTCMT vung TNB   12-12-2011 3" xfId="4686"/>
    <cellStyle name="T_Ket qua phan bo von nam 2008_KH TPCP vung TNB (03-1-2012)" xfId="4687"/>
    <cellStyle name="T_Ket qua phan bo von nam 2008_KH TPCP vung TNB (03-1-2012) 2" xfId="4688"/>
    <cellStyle name="T_Ket qua phan bo von nam 2008_KH TPCP vung TNB (03-1-2012) 2 2" xfId="4689"/>
    <cellStyle name="T_Ket qua phan bo von nam 2008_KH TPCP vung TNB (03-1-2012) 3" xfId="4690"/>
    <cellStyle name="T_KH 2011-2015" xfId="4691"/>
    <cellStyle name="T_KH 2011-2015 2" xfId="4692"/>
    <cellStyle name="T_KH TPCP vung TNB (03-1-2012)" xfId="4693"/>
    <cellStyle name="T_KH TPCP vung TNB (03-1-2012) 2" xfId="4694"/>
    <cellStyle name="T_KH TPCP vung TNB (03-1-2012) 2 2" xfId="4695"/>
    <cellStyle name="T_KH TPCP vung TNB (03-1-2012) 3" xfId="4696"/>
    <cellStyle name="T_KH XDCB_2008 lan 2 sua ngay 10-11" xfId="4697"/>
    <cellStyle name="T_KH XDCB_2008 lan 2 sua ngay 10-11 2" xfId="4698"/>
    <cellStyle name="T_KH XDCB_2008 lan 2 sua ngay 10-11 2 2" xfId="4699"/>
    <cellStyle name="T_KH XDCB_2008 lan 2 sua ngay 10-11 3" xfId="4700"/>
    <cellStyle name="T_KH XDCB_2008 lan 2 sua ngay 10-11_!1 1 bao cao giao KH ve HTCMT vung TNB   12-12-2011" xfId="4701"/>
    <cellStyle name="T_KH XDCB_2008 lan 2 sua ngay 10-11_!1 1 bao cao giao KH ve HTCMT vung TNB   12-12-2011 2" xfId="4702"/>
    <cellStyle name="T_KH XDCB_2008 lan 2 sua ngay 10-11_!1 1 bao cao giao KH ve HTCMT vung TNB   12-12-2011 2 2" xfId="4703"/>
    <cellStyle name="T_KH XDCB_2008 lan 2 sua ngay 10-11_!1 1 bao cao giao KH ve HTCMT vung TNB   12-12-2011 3" xfId="4704"/>
    <cellStyle name="T_KH XDCB_2008 lan 2 sua ngay 10-11_KH TPCP vung TNB (03-1-2012)" xfId="4705"/>
    <cellStyle name="T_KH XDCB_2008 lan 2 sua ngay 10-11_KH TPCP vung TNB (03-1-2012) 2" xfId="4706"/>
    <cellStyle name="T_KH XDCB_2008 lan 2 sua ngay 10-11_KH TPCP vung TNB (03-1-2012) 2 2" xfId="4707"/>
    <cellStyle name="T_KH XDCB_2008 lan 2 sua ngay 10-11_KH TPCP vung TNB (03-1-2012) 3" xfId="4708"/>
    <cellStyle name="T_kien giang 2" xfId="4709"/>
    <cellStyle name="T_kien giang 2 2" xfId="4710"/>
    <cellStyle name="T_kien giang 2 2 2" xfId="4711"/>
    <cellStyle name="T_kien giang 2 3" xfId="4712"/>
    <cellStyle name="T_Me_Tri_6_07" xfId="4713"/>
    <cellStyle name="T_Me_Tri_6_07 2" xfId="4714"/>
    <cellStyle name="T_Me_Tri_6_07 2 2" xfId="4715"/>
    <cellStyle name="T_Me_Tri_6_07 3" xfId="4716"/>
    <cellStyle name="T_Me_Tri_6_07_!1 1 bao cao giao KH ve HTCMT vung TNB   12-12-2011" xfId="4717"/>
    <cellStyle name="T_Me_Tri_6_07_!1 1 bao cao giao KH ve HTCMT vung TNB   12-12-2011 2" xfId="4718"/>
    <cellStyle name="T_Me_Tri_6_07_!1 1 bao cao giao KH ve HTCMT vung TNB   12-12-2011 2 2" xfId="4719"/>
    <cellStyle name="T_Me_Tri_6_07_!1 1 bao cao giao KH ve HTCMT vung TNB   12-12-2011 3" xfId="4720"/>
    <cellStyle name="T_Me_Tri_6_07_Bieu4HTMT" xfId="4721"/>
    <cellStyle name="T_Me_Tri_6_07_Bieu4HTMT 2" xfId="4722"/>
    <cellStyle name="T_Me_Tri_6_07_Bieu4HTMT 2 2" xfId="4723"/>
    <cellStyle name="T_Me_Tri_6_07_Bieu4HTMT 3" xfId="4724"/>
    <cellStyle name="T_Me_Tri_6_07_Bieu4HTMT_!1 1 bao cao giao KH ve HTCMT vung TNB   12-12-2011" xfId="4725"/>
    <cellStyle name="T_Me_Tri_6_07_Bieu4HTMT_!1 1 bao cao giao KH ve HTCMT vung TNB   12-12-2011 2" xfId="4726"/>
    <cellStyle name="T_Me_Tri_6_07_Bieu4HTMT_!1 1 bao cao giao KH ve HTCMT vung TNB   12-12-2011 2 2" xfId="4727"/>
    <cellStyle name="T_Me_Tri_6_07_Bieu4HTMT_!1 1 bao cao giao KH ve HTCMT vung TNB   12-12-2011 3" xfId="4728"/>
    <cellStyle name="T_Me_Tri_6_07_Bieu4HTMT_KH TPCP vung TNB (03-1-2012)" xfId="4729"/>
    <cellStyle name="T_Me_Tri_6_07_Bieu4HTMT_KH TPCP vung TNB (03-1-2012) 2" xfId="4730"/>
    <cellStyle name="T_Me_Tri_6_07_Bieu4HTMT_KH TPCP vung TNB (03-1-2012) 2 2" xfId="4731"/>
    <cellStyle name="T_Me_Tri_6_07_Bieu4HTMT_KH TPCP vung TNB (03-1-2012) 3" xfId="4732"/>
    <cellStyle name="T_Me_Tri_6_07_KH TPCP vung TNB (03-1-2012)" xfId="4733"/>
    <cellStyle name="T_Me_Tri_6_07_KH TPCP vung TNB (03-1-2012) 2" xfId="4734"/>
    <cellStyle name="T_Me_Tri_6_07_KH TPCP vung TNB (03-1-2012) 2 2" xfId="4735"/>
    <cellStyle name="T_Me_Tri_6_07_KH TPCP vung TNB (03-1-2012) 3" xfId="4736"/>
    <cellStyle name="T_N2 thay dat (N1-1)" xfId="4737"/>
    <cellStyle name="T_N2 thay dat (N1-1) 2" xfId="4738"/>
    <cellStyle name="T_N2 thay dat (N1-1) 2 2" xfId="4739"/>
    <cellStyle name="T_N2 thay dat (N1-1) 3" xfId="4740"/>
    <cellStyle name="T_N2 thay dat (N1-1)_!1 1 bao cao giao KH ve HTCMT vung TNB   12-12-2011" xfId="4741"/>
    <cellStyle name="T_N2 thay dat (N1-1)_!1 1 bao cao giao KH ve HTCMT vung TNB   12-12-2011 2" xfId="4742"/>
    <cellStyle name="T_N2 thay dat (N1-1)_!1 1 bao cao giao KH ve HTCMT vung TNB   12-12-2011 2 2" xfId="4743"/>
    <cellStyle name="T_N2 thay dat (N1-1)_!1 1 bao cao giao KH ve HTCMT vung TNB   12-12-2011 3" xfId="4744"/>
    <cellStyle name="T_N2 thay dat (N1-1)_Bieu4HTMT" xfId="4745"/>
    <cellStyle name="T_N2 thay dat (N1-1)_Bieu4HTMT 2" xfId="4746"/>
    <cellStyle name="T_N2 thay dat (N1-1)_Bieu4HTMT 2 2" xfId="4747"/>
    <cellStyle name="T_N2 thay dat (N1-1)_Bieu4HTMT 3" xfId="4748"/>
    <cellStyle name="T_N2 thay dat (N1-1)_Bieu4HTMT_!1 1 bao cao giao KH ve HTCMT vung TNB   12-12-2011" xfId="4749"/>
    <cellStyle name="T_N2 thay dat (N1-1)_Bieu4HTMT_!1 1 bao cao giao KH ve HTCMT vung TNB   12-12-2011 2" xfId="4750"/>
    <cellStyle name="T_N2 thay dat (N1-1)_Bieu4HTMT_!1 1 bao cao giao KH ve HTCMT vung TNB   12-12-2011 2 2" xfId="4751"/>
    <cellStyle name="T_N2 thay dat (N1-1)_Bieu4HTMT_!1 1 bao cao giao KH ve HTCMT vung TNB   12-12-2011 3" xfId="4752"/>
    <cellStyle name="T_N2 thay dat (N1-1)_Bieu4HTMT_KH TPCP vung TNB (03-1-2012)" xfId="4753"/>
    <cellStyle name="T_N2 thay dat (N1-1)_Bieu4HTMT_KH TPCP vung TNB (03-1-2012) 2" xfId="4754"/>
    <cellStyle name="T_N2 thay dat (N1-1)_Bieu4HTMT_KH TPCP vung TNB (03-1-2012) 2 2" xfId="4755"/>
    <cellStyle name="T_N2 thay dat (N1-1)_Bieu4HTMT_KH TPCP vung TNB (03-1-2012) 3" xfId="4756"/>
    <cellStyle name="T_N2 thay dat (N1-1)_KH TPCP vung TNB (03-1-2012)" xfId="4757"/>
    <cellStyle name="T_N2 thay dat (N1-1)_KH TPCP vung TNB (03-1-2012) 2" xfId="4758"/>
    <cellStyle name="T_N2 thay dat (N1-1)_KH TPCP vung TNB (03-1-2012) 2 2" xfId="4759"/>
    <cellStyle name="T_N2 thay dat (N1-1)_KH TPCP vung TNB (03-1-2012) 3" xfId="4760"/>
    <cellStyle name="T_Phuong an can doi nam 2008" xfId="4761"/>
    <cellStyle name="T_Phuong an can doi nam 2008 2" xfId="4762"/>
    <cellStyle name="T_Phuong an can doi nam 2008 2 2" xfId="4763"/>
    <cellStyle name="T_Phuong an can doi nam 2008 3" xfId="4764"/>
    <cellStyle name="T_Phuong an can doi nam 2008_!1 1 bao cao giao KH ve HTCMT vung TNB   12-12-2011" xfId="4765"/>
    <cellStyle name="T_Phuong an can doi nam 2008_!1 1 bao cao giao KH ve HTCMT vung TNB   12-12-2011 2" xfId="4766"/>
    <cellStyle name="T_Phuong an can doi nam 2008_!1 1 bao cao giao KH ve HTCMT vung TNB   12-12-2011 2 2" xfId="4767"/>
    <cellStyle name="T_Phuong an can doi nam 2008_!1 1 bao cao giao KH ve HTCMT vung TNB   12-12-2011 3" xfId="4768"/>
    <cellStyle name="T_Phuong an can doi nam 2008_KH TPCP vung TNB (03-1-2012)" xfId="4769"/>
    <cellStyle name="T_Phuong an can doi nam 2008_KH TPCP vung TNB (03-1-2012) 2" xfId="4770"/>
    <cellStyle name="T_Phuong an can doi nam 2008_KH TPCP vung TNB (03-1-2012) 2 2" xfId="4771"/>
    <cellStyle name="T_Phuong an can doi nam 2008_KH TPCP vung TNB (03-1-2012) 3" xfId="4772"/>
    <cellStyle name="T_Seagame(BTL)" xfId="4773"/>
    <cellStyle name="T_Seagame(BTL) 2" xfId="4774"/>
    <cellStyle name="T_Seagame(BTL) 2 2" xfId="4775"/>
    <cellStyle name="T_Seagame(BTL) 3" xfId="4776"/>
    <cellStyle name="T_So GTVT" xfId="4777"/>
    <cellStyle name="T_So GTVT 2" xfId="4778"/>
    <cellStyle name="T_So GTVT 2 2" xfId="4779"/>
    <cellStyle name="T_So GTVT 3" xfId="4780"/>
    <cellStyle name="T_So GTVT_!1 1 bao cao giao KH ve HTCMT vung TNB   12-12-2011" xfId="4781"/>
    <cellStyle name="T_So GTVT_!1 1 bao cao giao KH ve HTCMT vung TNB   12-12-2011 2" xfId="4782"/>
    <cellStyle name="T_So GTVT_!1 1 bao cao giao KH ve HTCMT vung TNB   12-12-2011 2 2" xfId="4783"/>
    <cellStyle name="T_So GTVT_!1 1 bao cao giao KH ve HTCMT vung TNB   12-12-2011 3" xfId="4784"/>
    <cellStyle name="T_So GTVT_KH TPCP vung TNB (03-1-2012)" xfId="4785"/>
    <cellStyle name="T_So GTVT_KH TPCP vung TNB (03-1-2012) 2" xfId="4786"/>
    <cellStyle name="T_So GTVT_KH TPCP vung TNB (03-1-2012) 2 2" xfId="4787"/>
    <cellStyle name="T_So GTVT_KH TPCP vung TNB (03-1-2012) 3" xfId="4788"/>
    <cellStyle name="T_tai co cau dau tu (tong hop)1" xfId="4789"/>
    <cellStyle name="T_tai co cau dau tu (tong hop)1 2" xfId="4790"/>
    <cellStyle name="T_TDT + duong(8-5-07)" xfId="4791"/>
    <cellStyle name="T_TDT + duong(8-5-07) 2" xfId="4792"/>
    <cellStyle name="T_TDT + duong(8-5-07) 2 2" xfId="4793"/>
    <cellStyle name="T_TDT + duong(8-5-07) 3" xfId="4794"/>
    <cellStyle name="T_TDT + duong(8-5-07)_!1 1 bao cao giao KH ve HTCMT vung TNB   12-12-2011" xfId="4795"/>
    <cellStyle name="T_TDT + duong(8-5-07)_!1 1 bao cao giao KH ve HTCMT vung TNB   12-12-2011 2" xfId="4796"/>
    <cellStyle name="T_TDT + duong(8-5-07)_!1 1 bao cao giao KH ve HTCMT vung TNB   12-12-2011 2 2" xfId="4797"/>
    <cellStyle name="T_TDT + duong(8-5-07)_!1 1 bao cao giao KH ve HTCMT vung TNB   12-12-2011 3" xfId="4798"/>
    <cellStyle name="T_TDT + duong(8-5-07)_Bieu4HTMT" xfId="4799"/>
    <cellStyle name="T_TDT + duong(8-5-07)_Bieu4HTMT 2" xfId="4800"/>
    <cellStyle name="T_TDT + duong(8-5-07)_Bieu4HTMT 2 2" xfId="4801"/>
    <cellStyle name="T_TDT + duong(8-5-07)_Bieu4HTMT 3" xfId="4802"/>
    <cellStyle name="T_TDT + duong(8-5-07)_Bieu4HTMT_!1 1 bao cao giao KH ve HTCMT vung TNB   12-12-2011" xfId="4803"/>
    <cellStyle name="T_TDT + duong(8-5-07)_Bieu4HTMT_!1 1 bao cao giao KH ve HTCMT vung TNB   12-12-2011 2" xfId="4804"/>
    <cellStyle name="T_TDT + duong(8-5-07)_Bieu4HTMT_!1 1 bao cao giao KH ve HTCMT vung TNB   12-12-2011 2 2" xfId="4805"/>
    <cellStyle name="T_TDT + duong(8-5-07)_Bieu4HTMT_!1 1 bao cao giao KH ve HTCMT vung TNB   12-12-2011 3" xfId="4806"/>
    <cellStyle name="T_TDT + duong(8-5-07)_Bieu4HTMT_KH TPCP vung TNB (03-1-2012)" xfId="4807"/>
    <cellStyle name="T_TDT + duong(8-5-07)_Bieu4HTMT_KH TPCP vung TNB (03-1-2012) 2" xfId="4808"/>
    <cellStyle name="T_TDT + duong(8-5-07)_Bieu4HTMT_KH TPCP vung TNB (03-1-2012) 2 2" xfId="4809"/>
    <cellStyle name="T_TDT + duong(8-5-07)_Bieu4HTMT_KH TPCP vung TNB (03-1-2012) 3" xfId="4810"/>
    <cellStyle name="T_TDT + duong(8-5-07)_KH TPCP vung TNB (03-1-2012)" xfId="4811"/>
    <cellStyle name="T_TDT + duong(8-5-07)_KH TPCP vung TNB (03-1-2012) 2" xfId="4812"/>
    <cellStyle name="T_TDT + duong(8-5-07)_KH TPCP vung TNB (03-1-2012) 2 2" xfId="4813"/>
    <cellStyle name="T_TDT + duong(8-5-07)_KH TPCP vung TNB (03-1-2012) 3" xfId="4814"/>
    <cellStyle name="T_tham_tra_du_toan" xfId="4815"/>
    <cellStyle name="T_tham_tra_du_toan 2" xfId="4816"/>
    <cellStyle name="T_tham_tra_du_toan 2 2" xfId="4817"/>
    <cellStyle name="T_tham_tra_du_toan 3" xfId="4818"/>
    <cellStyle name="T_tham_tra_du_toan_!1 1 bao cao giao KH ve HTCMT vung TNB   12-12-2011" xfId="4819"/>
    <cellStyle name="T_tham_tra_du_toan_!1 1 bao cao giao KH ve HTCMT vung TNB   12-12-2011 2" xfId="4820"/>
    <cellStyle name="T_tham_tra_du_toan_!1 1 bao cao giao KH ve HTCMT vung TNB   12-12-2011 2 2" xfId="4821"/>
    <cellStyle name="T_tham_tra_du_toan_!1 1 bao cao giao KH ve HTCMT vung TNB   12-12-2011 3" xfId="4822"/>
    <cellStyle name="T_tham_tra_du_toan_Bieu4HTMT" xfId="4823"/>
    <cellStyle name="T_tham_tra_du_toan_Bieu4HTMT 2" xfId="4824"/>
    <cellStyle name="T_tham_tra_du_toan_Bieu4HTMT 2 2" xfId="4825"/>
    <cellStyle name="T_tham_tra_du_toan_Bieu4HTMT 3" xfId="4826"/>
    <cellStyle name="T_tham_tra_du_toan_Bieu4HTMT_!1 1 bao cao giao KH ve HTCMT vung TNB   12-12-2011" xfId="4827"/>
    <cellStyle name="T_tham_tra_du_toan_Bieu4HTMT_!1 1 bao cao giao KH ve HTCMT vung TNB   12-12-2011 2" xfId="4828"/>
    <cellStyle name="T_tham_tra_du_toan_Bieu4HTMT_!1 1 bao cao giao KH ve HTCMT vung TNB   12-12-2011 2 2" xfId="4829"/>
    <cellStyle name="T_tham_tra_du_toan_Bieu4HTMT_!1 1 bao cao giao KH ve HTCMT vung TNB   12-12-2011 3" xfId="4830"/>
    <cellStyle name="T_tham_tra_du_toan_Bieu4HTMT_KH TPCP vung TNB (03-1-2012)" xfId="4831"/>
    <cellStyle name="T_tham_tra_du_toan_Bieu4HTMT_KH TPCP vung TNB (03-1-2012) 2" xfId="4832"/>
    <cellStyle name="T_tham_tra_du_toan_Bieu4HTMT_KH TPCP vung TNB (03-1-2012) 2 2" xfId="4833"/>
    <cellStyle name="T_tham_tra_du_toan_Bieu4HTMT_KH TPCP vung TNB (03-1-2012) 3" xfId="4834"/>
    <cellStyle name="T_tham_tra_du_toan_KH TPCP vung TNB (03-1-2012)" xfId="4835"/>
    <cellStyle name="T_tham_tra_du_toan_KH TPCP vung TNB (03-1-2012) 2" xfId="4836"/>
    <cellStyle name="T_tham_tra_du_toan_KH TPCP vung TNB (03-1-2012) 2 2" xfId="4837"/>
    <cellStyle name="T_tham_tra_du_toan_KH TPCP vung TNB (03-1-2012) 3" xfId="4838"/>
    <cellStyle name="T_Thiet bi" xfId="4839"/>
    <cellStyle name="T_Thiet bi 2" xfId="4840"/>
    <cellStyle name="T_Thiet bi 2 2" xfId="4841"/>
    <cellStyle name="T_Thiet bi 3" xfId="4842"/>
    <cellStyle name="T_Thiet bi_!1 1 bao cao giao KH ve HTCMT vung TNB   12-12-2011" xfId="4843"/>
    <cellStyle name="T_Thiet bi_!1 1 bao cao giao KH ve HTCMT vung TNB   12-12-2011 2" xfId="4844"/>
    <cellStyle name="T_Thiet bi_!1 1 bao cao giao KH ve HTCMT vung TNB   12-12-2011 2 2" xfId="4845"/>
    <cellStyle name="T_Thiet bi_!1 1 bao cao giao KH ve HTCMT vung TNB   12-12-2011 3" xfId="4846"/>
    <cellStyle name="T_Thiet bi_Bieu4HTMT" xfId="4847"/>
    <cellStyle name="T_Thiet bi_Bieu4HTMT 2" xfId="4848"/>
    <cellStyle name="T_Thiet bi_Bieu4HTMT 2 2" xfId="4849"/>
    <cellStyle name="T_Thiet bi_Bieu4HTMT 3" xfId="4850"/>
    <cellStyle name="T_Thiet bi_Bieu4HTMT_!1 1 bao cao giao KH ve HTCMT vung TNB   12-12-2011" xfId="4851"/>
    <cellStyle name="T_Thiet bi_Bieu4HTMT_!1 1 bao cao giao KH ve HTCMT vung TNB   12-12-2011 2" xfId="4852"/>
    <cellStyle name="T_Thiet bi_Bieu4HTMT_!1 1 bao cao giao KH ve HTCMT vung TNB   12-12-2011 2 2" xfId="4853"/>
    <cellStyle name="T_Thiet bi_Bieu4HTMT_!1 1 bao cao giao KH ve HTCMT vung TNB   12-12-2011 3" xfId="4854"/>
    <cellStyle name="T_Thiet bi_Bieu4HTMT_KH TPCP vung TNB (03-1-2012)" xfId="4855"/>
    <cellStyle name="T_Thiet bi_Bieu4HTMT_KH TPCP vung TNB (03-1-2012) 2" xfId="4856"/>
    <cellStyle name="T_Thiet bi_Bieu4HTMT_KH TPCP vung TNB (03-1-2012) 2 2" xfId="4857"/>
    <cellStyle name="T_Thiet bi_Bieu4HTMT_KH TPCP vung TNB (03-1-2012) 3" xfId="4858"/>
    <cellStyle name="T_Thiet bi_KH TPCP vung TNB (03-1-2012)" xfId="4859"/>
    <cellStyle name="T_Thiet bi_KH TPCP vung TNB (03-1-2012) 2" xfId="4860"/>
    <cellStyle name="T_Thiet bi_KH TPCP vung TNB (03-1-2012) 2 2" xfId="4861"/>
    <cellStyle name="T_Thiet bi_KH TPCP vung TNB (03-1-2012) 3" xfId="4862"/>
    <cellStyle name="T_TK_HT" xfId="4863"/>
    <cellStyle name="T_TK_HT 2" xfId="4864"/>
    <cellStyle name="T_TK_HT 2 2" xfId="4865"/>
    <cellStyle name="T_TK_HT 3" xfId="4866"/>
    <cellStyle name="T_Van Ban 2007" xfId="4867"/>
    <cellStyle name="T_Van Ban 2007 2" xfId="4868"/>
    <cellStyle name="T_Van Ban 2007_15_10_2013 BC nhu cau von doi ung ODA (2014-2016) ngay 15102013 Sua" xfId="4869"/>
    <cellStyle name="T_Van Ban 2007_15_10_2013 BC nhu cau von doi ung ODA (2014-2016) ngay 15102013 Sua 2" xfId="4870"/>
    <cellStyle name="T_Van Ban 2007_bao cao phan bo KHDT 2011(final)" xfId="4871"/>
    <cellStyle name="T_Van Ban 2007_bao cao phan bo KHDT 2011(final) 2" xfId="4872"/>
    <cellStyle name="T_Van Ban 2007_bao cao phan bo KHDT 2011(final)_BC nhu cau von doi ung ODA nganh NN (BKH)" xfId="4873"/>
    <cellStyle name="T_Van Ban 2007_bao cao phan bo KHDT 2011(final)_BC nhu cau von doi ung ODA nganh NN (BKH) 2" xfId="4874"/>
    <cellStyle name="T_Van Ban 2007_bao cao phan bo KHDT 2011(final)_BC Tai co cau (bieu TH)" xfId="4875"/>
    <cellStyle name="T_Van Ban 2007_bao cao phan bo KHDT 2011(final)_BC Tai co cau (bieu TH) 2" xfId="4876"/>
    <cellStyle name="T_Van Ban 2007_bao cao phan bo KHDT 2011(final)_DK 2014-2015 final" xfId="4877"/>
    <cellStyle name="T_Van Ban 2007_bao cao phan bo KHDT 2011(final)_DK 2014-2015 final 2" xfId="4878"/>
    <cellStyle name="T_Van Ban 2007_bao cao phan bo KHDT 2011(final)_DK 2014-2015 new" xfId="4879"/>
    <cellStyle name="T_Van Ban 2007_bao cao phan bo KHDT 2011(final)_DK 2014-2015 new 2" xfId="4880"/>
    <cellStyle name="T_Van Ban 2007_bao cao phan bo KHDT 2011(final)_DK KH CBDT 2014 11-11-2013" xfId="4881"/>
    <cellStyle name="T_Van Ban 2007_bao cao phan bo KHDT 2011(final)_DK KH CBDT 2014 11-11-2013 2" xfId="4882"/>
    <cellStyle name="T_Van Ban 2007_bao cao phan bo KHDT 2011(final)_DK KH CBDT 2014 11-11-2013(1)" xfId="4883"/>
    <cellStyle name="T_Van Ban 2007_bao cao phan bo KHDT 2011(final)_DK KH CBDT 2014 11-11-2013(1) 2" xfId="4884"/>
    <cellStyle name="T_Van Ban 2007_bao cao phan bo KHDT 2011(final)_KH 2011-2015" xfId="4885"/>
    <cellStyle name="T_Van Ban 2007_bao cao phan bo KHDT 2011(final)_KH 2011-2015 2" xfId="4886"/>
    <cellStyle name="T_Van Ban 2007_bao cao phan bo KHDT 2011(final)_tai co cau dau tu (tong hop)1" xfId="4887"/>
    <cellStyle name="T_Van Ban 2007_bao cao phan bo KHDT 2011(final)_tai co cau dau tu (tong hop)1 2" xfId="4888"/>
    <cellStyle name="T_Van Ban 2007_BC nhu cau von doi ung ODA nganh NN (BKH)" xfId="4889"/>
    <cellStyle name="T_Van Ban 2007_BC nhu cau von doi ung ODA nganh NN (BKH) 2" xfId="4890"/>
    <cellStyle name="T_Van Ban 2007_BC nhu cau von doi ung ODA nganh NN (BKH)_05-12  KH trung han 2016-2020 - Liem Thinh edited" xfId="4891"/>
    <cellStyle name="T_Van Ban 2007_BC nhu cau von doi ung ODA nganh NN (BKH)_05-12  KH trung han 2016-2020 - Liem Thinh edited 2" xfId="4892"/>
    <cellStyle name="T_Van Ban 2007_BC nhu cau von doi ung ODA nganh NN (BKH)_Copy of 05-12  KH trung han 2016-2020 - Liem Thinh edited (1)" xfId="4893"/>
    <cellStyle name="T_Van Ban 2007_BC nhu cau von doi ung ODA nganh NN (BKH)_Copy of 05-12  KH trung han 2016-2020 - Liem Thinh edited (1) 2" xfId="4894"/>
    <cellStyle name="T_Van Ban 2007_BC Tai co cau (bieu TH)" xfId="4895"/>
    <cellStyle name="T_Van Ban 2007_BC Tai co cau (bieu TH) 2" xfId="4896"/>
    <cellStyle name="T_Van Ban 2007_BC Tai co cau (bieu TH)_05-12  KH trung han 2016-2020 - Liem Thinh edited" xfId="4897"/>
    <cellStyle name="T_Van Ban 2007_BC Tai co cau (bieu TH)_05-12  KH trung han 2016-2020 - Liem Thinh edited 2" xfId="4898"/>
    <cellStyle name="T_Van Ban 2007_BC Tai co cau (bieu TH)_Copy of 05-12  KH trung han 2016-2020 - Liem Thinh edited (1)" xfId="4899"/>
    <cellStyle name="T_Van Ban 2007_BC Tai co cau (bieu TH)_Copy of 05-12  KH trung han 2016-2020 - Liem Thinh edited (1) 2" xfId="4900"/>
    <cellStyle name="T_Van Ban 2007_DK 2014-2015 final" xfId="4901"/>
    <cellStyle name="T_Van Ban 2007_DK 2014-2015 final 2" xfId="4902"/>
    <cellStyle name="T_Van Ban 2007_DK 2014-2015 final_05-12  KH trung han 2016-2020 - Liem Thinh edited" xfId="4903"/>
    <cellStyle name="T_Van Ban 2007_DK 2014-2015 final_05-12  KH trung han 2016-2020 - Liem Thinh edited 2" xfId="4904"/>
    <cellStyle name="T_Van Ban 2007_DK 2014-2015 final_Copy of 05-12  KH trung han 2016-2020 - Liem Thinh edited (1)" xfId="4905"/>
    <cellStyle name="T_Van Ban 2007_DK 2014-2015 final_Copy of 05-12  KH trung han 2016-2020 - Liem Thinh edited (1) 2" xfId="4906"/>
    <cellStyle name="T_Van Ban 2007_DK 2014-2015 new" xfId="4907"/>
    <cellStyle name="T_Van Ban 2007_DK 2014-2015 new 2" xfId="4908"/>
    <cellStyle name="T_Van Ban 2007_DK 2014-2015 new_05-12  KH trung han 2016-2020 - Liem Thinh edited" xfId="4909"/>
    <cellStyle name="T_Van Ban 2007_DK 2014-2015 new_05-12  KH trung han 2016-2020 - Liem Thinh edited 2" xfId="4910"/>
    <cellStyle name="T_Van Ban 2007_DK 2014-2015 new_Copy of 05-12  KH trung han 2016-2020 - Liem Thinh edited (1)" xfId="4911"/>
    <cellStyle name="T_Van Ban 2007_DK 2014-2015 new_Copy of 05-12  KH trung han 2016-2020 - Liem Thinh edited (1) 2" xfId="4912"/>
    <cellStyle name="T_Van Ban 2007_DK KH CBDT 2014 11-11-2013" xfId="4913"/>
    <cellStyle name="T_Van Ban 2007_DK KH CBDT 2014 11-11-2013 2" xfId="4914"/>
    <cellStyle name="T_Van Ban 2007_DK KH CBDT 2014 11-11-2013(1)" xfId="4915"/>
    <cellStyle name="T_Van Ban 2007_DK KH CBDT 2014 11-11-2013(1) 2" xfId="4916"/>
    <cellStyle name="T_Van Ban 2007_DK KH CBDT 2014 11-11-2013(1)_05-12  KH trung han 2016-2020 - Liem Thinh edited" xfId="4917"/>
    <cellStyle name="T_Van Ban 2007_DK KH CBDT 2014 11-11-2013(1)_05-12  KH trung han 2016-2020 - Liem Thinh edited 2" xfId="4918"/>
    <cellStyle name="T_Van Ban 2007_DK KH CBDT 2014 11-11-2013(1)_Copy of 05-12  KH trung han 2016-2020 - Liem Thinh edited (1)" xfId="4919"/>
    <cellStyle name="T_Van Ban 2007_DK KH CBDT 2014 11-11-2013(1)_Copy of 05-12  KH trung han 2016-2020 - Liem Thinh edited (1) 2" xfId="4920"/>
    <cellStyle name="T_Van Ban 2007_DK KH CBDT 2014 11-11-2013_05-12  KH trung han 2016-2020 - Liem Thinh edited" xfId="4921"/>
    <cellStyle name="T_Van Ban 2007_DK KH CBDT 2014 11-11-2013_05-12  KH trung han 2016-2020 - Liem Thinh edited 2" xfId="4922"/>
    <cellStyle name="T_Van Ban 2007_DK KH CBDT 2014 11-11-2013_Copy of 05-12  KH trung han 2016-2020 - Liem Thinh edited (1)" xfId="4923"/>
    <cellStyle name="T_Van Ban 2007_DK KH CBDT 2014 11-11-2013_Copy of 05-12  KH trung han 2016-2020 - Liem Thinh edited (1) 2" xfId="4924"/>
    <cellStyle name="T_Van Ban 2008" xfId="4925"/>
    <cellStyle name="T_Van Ban 2008 2" xfId="4926"/>
    <cellStyle name="T_Van Ban 2008_15_10_2013 BC nhu cau von doi ung ODA (2014-2016) ngay 15102013 Sua" xfId="4927"/>
    <cellStyle name="T_Van Ban 2008_15_10_2013 BC nhu cau von doi ung ODA (2014-2016) ngay 15102013 Sua 2" xfId="4928"/>
    <cellStyle name="T_Van Ban 2008_bao cao phan bo KHDT 2011(final)" xfId="4929"/>
    <cellStyle name="T_Van Ban 2008_bao cao phan bo KHDT 2011(final) 2" xfId="4930"/>
    <cellStyle name="T_Van Ban 2008_bao cao phan bo KHDT 2011(final)_BC nhu cau von doi ung ODA nganh NN (BKH)" xfId="4931"/>
    <cellStyle name="T_Van Ban 2008_bao cao phan bo KHDT 2011(final)_BC nhu cau von doi ung ODA nganh NN (BKH) 2" xfId="4932"/>
    <cellStyle name="T_Van Ban 2008_bao cao phan bo KHDT 2011(final)_BC Tai co cau (bieu TH)" xfId="4933"/>
    <cellStyle name="T_Van Ban 2008_bao cao phan bo KHDT 2011(final)_BC Tai co cau (bieu TH) 2" xfId="4934"/>
    <cellStyle name="T_Van Ban 2008_bao cao phan bo KHDT 2011(final)_DK 2014-2015 final" xfId="4935"/>
    <cellStyle name="T_Van Ban 2008_bao cao phan bo KHDT 2011(final)_DK 2014-2015 final 2" xfId="4936"/>
    <cellStyle name="T_Van Ban 2008_bao cao phan bo KHDT 2011(final)_DK 2014-2015 new" xfId="4937"/>
    <cellStyle name="T_Van Ban 2008_bao cao phan bo KHDT 2011(final)_DK 2014-2015 new 2" xfId="4938"/>
    <cellStyle name="T_Van Ban 2008_bao cao phan bo KHDT 2011(final)_DK KH CBDT 2014 11-11-2013" xfId="4939"/>
    <cellStyle name="T_Van Ban 2008_bao cao phan bo KHDT 2011(final)_DK KH CBDT 2014 11-11-2013 2" xfId="4940"/>
    <cellStyle name="T_Van Ban 2008_bao cao phan bo KHDT 2011(final)_DK KH CBDT 2014 11-11-2013(1)" xfId="4941"/>
    <cellStyle name="T_Van Ban 2008_bao cao phan bo KHDT 2011(final)_DK KH CBDT 2014 11-11-2013(1) 2" xfId="4942"/>
    <cellStyle name="T_Van Ban 2008_bao cao phan bo KHDT 2011(final)_KH 2011-2015" xfId="4943"/>
    <cellStyle name="T_Van Ban 2008_bao cao phan bo KHDT 2011(final)_KH 2011-2015 2" xfId="4944"/>
    <cellStyle name="T_Van Ban 2008_bao cao phan bo KHDT 2011(final)_tai co cau dau tu (tong hop)1" xfId="4945"/>
    <cellStyle name="T_Van Ban 2008_bao cao phan bo KHDT 2011(final)_tai co cau dau tu (tong hop)1 2" xfId="4946"/>
    <cellStyle name="T_Van Ban 2008_BC nhu cau von doi ung ODA nganh NN (BKH)" xfId="4947"/>
    <cellStyle name="T_Van Ban 2008_BC nhu cau von doi ung ODA nganh NN (BKH) 2" xfId="4948"/>
    <cellStyle name="T_Van Ban 2008_BC nhu cau von doi ung ODA nganh NN (BKH)_05-12  KH trung han 2016-2020 - Liem Thinh edited" xfId="4949"/>
    <cellStyle name="T_Van Ban 2008_BC nhu cau von doi ung ODA nganh NN (BKH)_05-12  KH trung han 2016-2020 - Liem Thinh edited 2" xfId="4950"/>
    <cellStyle name="T_Van Ban 2008_BC nhu cau von doi ung ODA nganh NN (BKH)_Copy of 05-12  KH trung han 2016-2020 - Liem Thinh edited (1)" xfId="4951"/>
    <cellStyle name="T_Van Ban 2008_BC nhu cau von doi ung ODA nganh NN (BKH)_Copy of 05-12  KH trung han 2016-2020 - Liem Thinh edited (1) 2" xfId="4952"/>
    <cellStyle name="T_Van Ban 2008_BC Tai co cau (bieu TH)" xfId="4953"/>
    <cellStyle name="T_Van Ban 2008_BC Tai co cau (bieu TH) 2" xfId="4954"/>
    <cellStyle name="T_Van Ban 2008_BC Tai co cau (bieu TH)_05-12  KH trung han 2016-2020 - Liem Thinh edited" xfId="4955"/>
    <cellStyle name="T_Van Ban 2008_BC Tai co cau (bieu TH)_05-12  KH trung han 2016-2020 - Liem Thinh edited 2" xfId="4956"/>
    <cellStyle name="T_Van Ban 2008_BC Tai co cau (bieu TH)_Copy of 05-12  KH trung han 2016-2020 - Liem Thinh edited (1)" xfId="4957"/>
    <cellStyle name="T_Van Ban 2008_BC Tai co cau (bieu TH)_Copy of 05-12  KH trung han 2016-2020 - Liem Thinh edited (1) 2" xfId="4958"/>
    <cellStyle name="T_Van Ban 2008_DK 2014-2015 final" xfId="4959"/>
    <cellStyle name="T_Van Ban 2008_DK 2014-2015 final 2" xfId="4960"/>
    <cellStyle name="T_Van Ban 2008_DK 2014-2015 final_05-12  KH trung han 2016-2020 - Liem Thinh edited" xfId="4961"/>
    <cellStyle name="T_Van Ban 2008_DK 2014-2015 final_05-12  KH trung han 2016-2020 - Liem Thinh edited 2" xfId="4962"/>
    <cellStyle name="T_Van Ban 2008_DK 2014-2015 final_Copy of 05-12  KH trung han 2016-2020 - Liem Thinh edited (1)" xfId="4963"/>
    <cellStyle name="T_Van Ban 2008_DK 2014-2015 final_Copy of 05-12  KH trung han 2016-2020 - Liem Thinh edited (1) 2" xfId="4964"/>
    <cellStyle name="T_Van Ban 2008_DK 2014-2015 new" xfId="4965"/>
    <cellStyle name="T_Van Ban 2008_DK 2014-2015 new 2" xfId="4966"/>
    <cellStyle name="T_Van Ban 2008_DK 2014-2015 new_05-12  KH trung han 2016-2020 - Liem Thinh edited" xfId="4967"/>
    <cellStyle name="T_Van Ban 2008_DK 2014-2015 new_05-12  KH trung han 2016-2020 - Liem Thinh edited 2" xfId="4968"/>
    <cellStyle name="T_Van Ban 2008_DK 2014-2015 new_Copy of 05-12  KH trung han 2016-2020 - Liem Thinh edited (1)" xfId="4969"/>
    <cellStyle name="T_Van Ban 2008_DK 2014-2015 new_Copy of 05-12  KH trung han 2016-2020 - Liem Thinh edited (1) 2" xfId="4970"/>
    <cellStyle name="T_Van Ban 2008_DK KH CBDT 2014 11-11-2013" xfId="4971"/>
    <cellStyle name="T_Van Ban 2008_DK KH CBDT 2014 11-11-2013 2" xfId="4972"/>
    <cellStyle name="T_Van Ban 2008_DK KH CBDT 2014 11-11-2013(1)" xfId="4973"/>
    <cellStyle name="T_Van Ban 2008_DK KH CBDT 2014 11-11-2013(1) 2" xfId="4974"/>
    <cellStyle name="T_Van Ban 2008_DK KH CBDT 2014 11-11-2013(1)_05-12  KH trung han 2016-2020 - Liem Thinh edited" xfId="4975"/>
    <cellStyle name="T_Van Ban 2008_DK KH CBDT 2014 11-11-2013(1)_05-12  KH trung han 2016-2020 - Liem Thinh edited 2" xfId="4976"/>
    <cellStyle name="T_Van Ban 2008_DK KH CBDT 2014 11-11-2013(1)_Copy of 05-12  KH trung han 2016-2020 - Liem Thinh edited (1)" xfId="4977"/>
    <cellStyle name="T_Van Ban 2008_DK KH CBDT 2014 11-11-2013(1)_Copy of 05-12  KH trung han 2016-2020 - Liem Thinh edited (1) 2" xfId="4978"/>
    <cellStyle name="T_Van Ban 2008_DK KH CBDT 2014 11-11-2013_05-12  KH trung han 2016-2020 - Liem Thinh edited" xfId="4979"/>
    <cellStyle name="T_Van Ban 2008_DK KH CBDT 2014 11-11-2013_05-12  KH trung han 2016-2020 - Liem Thinh edited 2" xfId="4980"/>
    <cellStyle name="T_Van Ban 2008_DK KH CBDT 2014 11-11-2013_Copy of 05-12  KH trung han 2016-2020 - Liem Thinh edited (1)" xfId="4981"/>
    <cellStyle name="T_Van Ban 2008_DK KH CBDT 2014 11-11-2013_Copy of 05-12  KH trung han 2016-2020 - Liem Thinh edited (1) 2" xfId="4982"/>
    <cellStyle name="T_XDCB thang 12.2010" xfId="4983"/>
    <cellStyle name="T_XDCB thang 12.2010 2" xfId="4984"/>
    <cellStyle name="T_XDCB thang 12.2010 2 2" xfId="4985"/>
    <cellStyle name="T_XDCB thang 12.2010 3" xfId="4986"/>
    <cellStyle name="T_XDCB thang 12.2010_!1 1 bao cao giao KH ve HTCMT vung TNB   12-12-2011" xfId="4987"/>
    <cellStyle name="T_XDCB thang 12.2010_!1 1 bao cao giao KH ve HTCMT vung TNB   12-12-2011 2" xfId="4988"/>
    <cellStyle name="T_XDCB thang 12.2010_!1 1 bao cao giao KH ve HTCMT vung TNB   12-12-2011 2 2" xfId="4989"/>
    <cellStyle name="T_XDCB thang 12.2010_!1 1 bao cao giao KH ve HTCMT vung TNB   12-12-2011 3" xfId="4990"/>
    <cellStyle name="T_XDCB thang 12.2010_KH TPCP vung TNB (03-1-2012)" xfId="4991"/>
    <cellStyle name="T_XDCB thang 12.2010_KH TPCP vung TNB (03-1-2012) 2" xfId="4992"/>
    <cellStyle name="T_XDCB thang 12.2010_KH TPCP vung TNB (03-1-2012) 2 2" xfId="4993"/>
    <cellStyle name="T_XDCB thang 12.2010_KH TPCP vung TNB (03-1-2012) 3" xfId="4994"/>
    <cellStyle name="T_ÿÿÿÿÿ" xfId="4995"/>
    <cellStyle name="T_ÿÿÿÿÿ 2" xfId="4996"/>
    <cellStyle name="T_ÿÿÿÿÿ 2 2" xfId="4997"/>
    <cellStyle name="T_ÿÿÿÿÿ 3" xfId="4998"/>
    <cellStyle name="T_ÿÿÿÿÿ_!1 1 bao cao giao KH ve HTCMT vung TNB   12-12-2011" xfId="4999"/>
    <cellStyle name="T_ÿÿÿÿÿ_!1 1 bao cao giao KH ve HTCMT vung TNB   12-12-2011 2" xfId="5000"/>
    <cellStyle name="T_ÿÿÿÿÿ_!1 1 bao cao giao KH ve HTCMT vung TNB   12-12-2011 2 2" xfId="5001"/>
    <cellStyle name="T_ÿÿÿÿÿ_!1 1 bao cao giao KH ve HTCMT vung TNB   12-12-2011 3" xfId="5002"/>
    <cellStyle name="T_ÿÿÿÿÿ_Bieu mau cong trinh khoi cong moi 3-4" xfId="5003"/>
    <cellStyle name="T_ÿÿÿÿÿ_Bieu mau cong trinh khoi cong moi 3-4 2" xfId="5004"/>
    <cellStyle name="T_ÿÿÿÿÿ_Bieu mau cong trinh khoi cong moi 3-4 2 2" xfId="5005"/>
    <cellStyle name="T_ÿÿÿÿÿ_Bieu mau cong trinh khoi cong moi 3-4 3" xfId="5006"/>
    <cellStyle name="T_ÿÿÿÿÿ_Bieu mau cong trinh khoi cong moi 3-4_!1 1 bao cao giao KH ve HTCMT vung TNB   12-12-2011" xfId="5007"/>
    <cellStyle name="T_ÿÿÿÿÿ_Bieu mau cong trinh khoi cong moi 3-4_!1 1 bao cao giao KH ve HTCMT vung TNB   12-12-2011 2" xfId="5008"/>
    <cellStyle name="T_ÿÿÿÿÿ_Bieu mau cong trinh khoi cong moi 3-4_!1 1 bao cao giao KH ve HTCMT vung TNB   12-12-2011 2 2" xfId="5009"/>
    <cellStyle name="T_ÿÿÿÿÿ_Bieu mau cong trinh khoi cong moi 3-4_!1 1 bao cao giao KH ve HTCMT vung TNB   12-12-2011 3" xfId="5010"/>
    <cellStyle name="T_ÿÿÿÿÿ_Bieu mau cong trinh khoi cong moi 3-4_KH TPCP vung TNB (03-1-2012)" xfId="5011"/>
    <cellStyle name="T_ÿÿÿÿÿ_Bieu mau cong trinh khoi cong moi 3-4_KH TPCP vung TNB (03-1-2012) 2" xfId="5012"/>
    <cellStyle name="T_ÿÿÿÿÿ_Bieu mau cong trinh khoi cong moi 3-4_KH TPCP vung TNB (03-1-2012) 2 2" xfId="5013"/>
    <cellStyle name="T_ÿÿÿÿÿ_Bieu mau cong trinh khoi cong moi 3-4_KH TPCP vung TNB (03-1-2012) 3" xfId="5014"/>
    <cellStyle name="T_ÿÿÿÿÿ_Bieu3ODA" xfId="5015"/>
    <cellStyle name="T_ÿÿÿÿÿ_Bieu3ODA 2" xfId="5016"/>
    <cellStyle name="T_ÿÿÿÿÿ_Bieu3ODA 2 2" xfId="5017"/>
    <cellStyle name="T_ÿÿÿÿÿ_Bieu3ODA 3" xfId="5018"/>
    <cellStyle name="T_ÿÿÿÿÿ_Bieu3ODA_!1 1 bao cao giao KH ve HTCMT vung TNB   12-12-2011" xfId="5019"/>
    <cellStyle name="T_ÿÿÿÿÿ_Bieu3ODA_!1 1 bao cao giao KH ve HTCMT vung TNB   12-12-2011 2" xfId="5020"/>
    <cellStyle name="T_ÿÿÿÿÿ_Bieu3ODA_!1 1 bao cao giao KH ve HTCMT vung TNB   12-12-2011 2 2" xfId="5021"/>
    <cellStyle name="T_ÿÿÿÿÿ_Bieu3ODA_!1 1 bao cao giao KH ve HTCMT vung TNB   12-12-2011 3" xfId="5022"/>
    <cellStyle name="T_ÿÿÿÿÿ_Bieu3ODA_KH TPCP vung TNB (03-1-2012)" xfId="5023"/>
    <cellStyle name="T_ÿÿÿÿÿ_Bieu3ODA_KH TPCP vung TNB (03-1-2012) 2" xfId="5024"/>
    <cellStyle name="T_ÿÿÿÿÿ_Bieu3ODA_KH TPCP vung TNB (03-1-2012) 2 2" xfId="5025"/>
    <cellStyle name="T_ÿÿÿÿÿ_Bieu3ODA_KH TPCP vung TNB (03-1-2012) 3" xfId="5026"/>
    <cellStyle name="T_ÿÿÿÿÿ_Bieu4HTMT" xfId="5027"/>
    <cellStyle name="T_ÿÿÿÿÿ_Bieu4HTMT 2" xfId="5028"/>
    <cellStyle name="T_ÿÿÿÿÿ_Bieu4HTMT 2 2" xfId="5029"/>
    <cellStyle name="T_ÿÿÿÿÿ_Bieu4HTMT 3" xfId="5030"/>
    <cellStyle name="T_ÿÿÿÿÿ_Bieu4HTMT_!1 1 bao cao giao KH ve HTCMT vung TNB   12-12-2011" xfId="5031"/>
    <cellStyle name="T_ÿÿÿÿÿ_Bieu4HTMT_!1 1 bao cao giao KH ve HTCMT vung TNB   12-12-2011 2" xfId="5032"/>
    <cellStyle name="T_ÿÿÿÿÿ_Bieu4HTMT_!1 1 bao cao giao KH ve HTCMT vung TNB   12-12-2011 2 2" xfId="5033"/>
    <cellStyle name="T_ÿÿÿÿÿ_Bieu4HTMT_!1 1 bao cao giao KH ve HTCMT vung TNB   12-12-2011 3" xfId="5034"/>
    <cellStyle name="T_ÿÿÿÿÿ_Bieu4HTMT_KH TPCP vung TNB (03-1-2012)" xfId="5035"/>
    <cellStyle name="T_ÿÿÿÿÿ_Bieu4HTMT_KH TPCP vung TNB (03-1-2012) 2" xfId="5036"/>
    <cellStyle name="T_ÿÿÿÿÿ_Bieu4HTMT_KH TPCP vung TNB (03-1-2012) 2 2" xfId="5037"/>
    <cellStyle name="T_ÿÿÿÿÿ_Bieu4HTMT_KH TPCP vung TNB (03-1-2012) 3" xfId="5038"/>
    <cellStyle name="T_ÿÿÿÿÿ_KH TPCP vung TNB (03-1-2012)" xfId="5039"/>
    <cellStyle name="T_ÿÿÿÿÿ_KH TPCP vung TNB (03-1-2012) 2" xfId="5040"/>
    <cellStyle name="T_ÿÿÿÿÿ_KH TPCP vung TNB (03-1-2012) 2 2" xfId="5041"/>
    <cellStyle name="T_ÿÿÿÿÿ_KH TPCP vung TNB (03-1-2012) 3" xfId="5042"/>
    <cellStyle name="T_ÿÿÿÿÿ_kien giang 2" xfId="5043"/>
    <cellStyle name="T_ÿÿÿÿÿ_kien giang 2 2" xfId="5044"/>
    <cellStyle name="T_ÿÿÿÿÿ_kien giang 2 2 2" xfId="5045"/>
    <cellStyle name="T_ÿÿÿÿÿ_kien giang 2 3" xfId="5046"/>
    <cellStyle name="Text Indent A" xfId="5047"/>
    <cellStyle name="Text Indent A 2" xfId="5048"/>
    <cellStyle name="Text Indent B" xfId="5049"/>
    <cellStyle name="Text Indent B 10" xfId="5050"/>
    <cellStyle name="Text Indent B 10 2" xfId="5051"/>
    <cellStyle name="Text Indent B 11" xfId="5052"/>
    <cellStyle name="Text Indent B 11 2" xfId="5053"/>
    <cellStyle name="Text Indent B 12" xfId="5054"/>
    <cellStyle name="Text Indent B 12 2" xfId="5055"/>
    <cellStyle name="Text Indent B 13" xfId="5056"/>
    <cellStyle name="Text Indent B 13 2" xfId="5057"/>
    <cellStyle name="Text Indent B 14" xfId="5058"/>
    <cellStyle name="Text Indent B 14 2" xfId="5059"/>
    <cellStyle name="Text Indent B 15" xfId="5060"/>
    <cellStyle name="Text Indent B 15 2" xfId="5061"/>
    <cellStyle name="Text Indent B 16" xfId="5062"/>
    <cellStyle name="Text Indent B 16 2" xfId="5063"/>
    <cellStyle name="Text Indent B 17" xfId="5064"/>
    <cellStyle name="Text Indent B 2" xfId="5065"/>
    <cellStyle name="Text Indent B 2 2" xfId="5066"/>
    <cellStyle name="Text Indent B 3" xfId="5067"/>
    <cellStyle name="Text Indent B 3 2" xfId="5068"/>
    <cellStyle name="Text Indent B 4" xfId="5069"/>
    <cellStyle name="Text Indent B 4 2" xfId="5070"/>
    <cellStyle name="Text Indent B 5" xfId="5071"/>
    <cellStyle name="Text Indent B 5 2" xfId="5072"/>
    <cellStyle name="Text Indent B 6" xfId="5073"/>
    <cellStyle name="Text Indent B 6 2" xfId="5074"/>
    <cellStyle name="Text Indent B 7" xfId="5075"/>
    <cellStyle name="Text Indent B 7 2" xfId="5076"/>
    <cellStyle name="Text Indent B 8" xfId="5077"/>
    <cellStyle name="Text Indent B 8 2" xfId="5078"/>
    <cellStyle name="Text Indent B 9" xfId="5079"/>
    <cellStyle name="Text Indent B 9 2" xfId="5080"/>
    <cellStyle name="Text Indent C" xfId="5081"/>
    <cellStyle name="Text Indent C 10" xfId="5082"/>
    <cellStyle name="Text Indent C 10 2" xfId="5083"/>
    <cellStyle name="Text Indent C 11" xfId="5084"/>
    <cellStyle name="Text Indent C 11 2" xfId="5085"/>
    <cellStyle name="Text Indent C 12" xfId="5086"/>
    <cellStyle name="Text Indent C 12 2" xfId="5087"/>
    <cellStyle name="Text Indent C 13" xfId="5088"/>
    <cellStyle name="Text Indent C 13 2" xfId="5089"/>
    <cellStyle name="Text Indent C 14" xfId="5090"/>
    <cellStyle name="Text Indent C 14 2" xfId="5091"/>
    <cellStyle name="Text Indent C 15" xfId="5092"/>
    <cellStyle name="Text Indent C 15 2" xfId="5093"/>
    <cellStyle name="Text Indent C 16" xfId="5094"/>
    <cellStyle name="Text Indent C 16 2" xfId="5095"/>
    <cellStyle name="Text Indent C 17" xfId="5096"/>
    <cellStyle name="Text Indent C 2" xfId="5097"/>
    <cellStyle name="Text Indent C 2 2" xfId="5098"/>
    <cellStyle name="Text Indent C 3" xfId="5099"/>
    <cellStyle name="Text Indent C 3 2" xfId="5100"/>
    <cellStyle name="Text Indent C 4" xfId="5101"/>
    <cellStyle name="Text Indent C 4 2" xfId="5102"/>
    <cellStyle name="Text Indent C 5" xfId="5103"/>
    <cellStyle name="Text Indent C 5 2" xfId="5104"/>
    <cellStyle name="Text Indent C 6" xfId="5105"/>
    <cellStyle name="Text Indent C 6 2" xfId="5106"/>
    <cellStyle name="Text Indent C 7" xfId="5107"/>
    <cellStyle name="Text Indent C 7 2" xfId="5108"/>
    <cellStyle name="Text Indent C 8" xfId="5109"/>
    <cellStyle name="Text Indent C 8 2" xfId="5110"/>
    <cellStyle name="Text Indent C 9" xfId="5111"/>
    <cellStyle name="Text Indent C 9 2" xfId="5112"/>
    <cellStyle name="th" xfId="125"/>
    <cellStyle name="th 2" xfId="164"/>
    <cellStyle name="th 2 2" xfId="5113"/>
    <cellStyle name="th 3" xfId="5114"/>
    <cellStyle name="þ_x005f_x001d_ð¤_x005f_x000c_¯þ_x005f_x0014__x005f_x000d_¨þU_x005f_x0001_À_x005f_x0004_ _x005f_x0015__x005f_x000f__x005f_x0001__x005f_x0001_" xfId="5115"/>
    <cellStyle name="þ_x005f_x001d_ð¤_x005f_x000c_¯þ_x005f_x0014__x005f_x000d_¨þU_x005f_x0001_À_x005f_x0004_ _x005f_x0015__x005f_x000f__x005f_x0001__x005f_x0001_ 2" xfId="5116"/>
    <cellStyle name="þ_x005f_x001d_ð·_x005f_x000c_æþ'_x005f_x000d_ßþU_x005f_x0001_Ø_x005f_x0005_ü_x005f_x0014__x005f_x0007__x005f_x0001__x005f_x0001_" xfId="5117"/>
    <cellStyle name="þ_x005f_x001d_ð·_x005f_x000c_æþ'_x005f_x000d_ßþU_x005f_x0001_Ø_x005f_x0005_ü_x005f_x0014__x005f_x0007__x005f_x0001__x005f_x0001_ 2" xfId="5118"/>
    <cellStyle name="þ_x005f_x001d_ðÇ%Uý—&amp;Hý9_x005f_x0008_Ÿ s_x005f_x000a__x005f_x0007__x005f_x0001__x005f_x0001_" xfId="5119"/>
    <cellStyle name="þ_x005f_x001d_ðÇ%Uý—&amp;Hý9_x005f_x0008_Ÿ s_x005f_x000a__x005f_x0007__x005f_x0001__x005f_x0001_ 2" xfId="5120"/>
    <cellStyle name="þ_x005f_x001d_ðK_x005f_x000c_Fý_x005f_x001b__x005f_x000d_9ýU_x005f_x0001_Ð_x005f_x0008_¦)_x005f_x0007__x005f_x0001__x005f_x0001_" xfId="5121"/>
    <cellStyle name="þ_x005f_x001d_ðK_x005f_x000c_Fý_x005f_x001b__x005f_x000d_9ýU_x005f_x0001_Ð_x005f_x0008_¦)_x005f_x0007__x005f_x0001__x005f_x0001_ 2" xfId="5122"/>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512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xfId="5124"/>
    <cellStyle name="þ_x005f_x005f_x005f_x001d_ð·_x005f_x005f_x005f_x000c_æþ'_x005f_x005f_x005f_x000d_ßþU_x005f_x005f_x005f_x0001_Ø_x005f_x005f_x005f_x0005_ü_x005f_x005f_x005f_x0014__x005f_x005f_x005f_x0007__x005f_x005f_x005f_x0001__x005f_x005f_x005f_x0001_" xfId="5125"/>
    <cellStyle name="þ_x005f_x005f_x005f_x001d_ð·_x005f_x005f_x005f_x000c_æþ'_x005f_x005f_x005f_x000d_ßþU_x005f_x005f_x005f_x0001_Ø_x005f_x005f_x005f_x0005_ü_x005f_x005f_x005f_x0014__x005f_x005f_x005f_x0007__x005f_x005f_x005f_x0001__x005f_x005f_x005f_x0001_ 2" xfId="5126"/>
    <cellStyle name="þ_x005f_x005f_x005f_x001d_ðÇ%Uý—&amp;Hý9_x005f_x005f_x005f_x0008_Ÿ s_x005f_x005f_x005f_x000a__x005f_x005f_x005f_x0007__x005f_x005f_x005f_x0001__x005f_x005f_x005f_x0001_" xfId="5127"/>
    <cellStyle name="þ_x005f_x005f_x005f_x001d_ðÇ%Uý—&amp;Hý9_x005f_x005f_x005f_x0008_Ÿ s_x005f_x005f_x005f_x000a__x005f_x005f_x005f_x0007__x005f_x005f_x005f_x0001__x005f_x005f_x005f_x0001_ 2" xfId="5128"/>
    <cellStyle name="þ_x005f_x005f_x005f_x001d_ðK_x005f_x005f_x005f_x000c_Fý_x005f_x005f_x005f_x001b__x005f_x005f_x005f_x000d_9ýU_x005f_x005f_x005f_x0001_Ð_x005f_x005f_x005f_x0008_¦)_x005f_x005f_x005f_x0007__x005f_x005f_x005f_x0001__x005f_x005f_x005f_x0001_" xfId="5129"/>
    <cellStyle name="þ_x005f_x005f_x005f_x001d_ðK_x005f_x005f_x005f_x000c_Fý_x005f_x005f_x005f_x001b__x005f_x005f_x005f_x000d_9ýU_x005f_x005f_x005f_x0001_Ð_x005f_x005f_x005f_x0008_¦)_x005f_x005f_x005f_x0007__x005f_x005f_x005f_x0001__x005f_x005f_x005f_x0001_ 2" xfId="5130"/>
    <cellStyle name="than" xfId="5131"/>
    <cellStyle name="than 2" xfId="5132"/>
    <cellStyle name="Thanh" xfId="5133"/>
    <cellStyle name="Thanh 2" xfId="5134"/>
    <cellStyle name="þ_x001d_ð¤_x000c_¯þ_x0014__x000a_¨þU_x0001_À_x0004_ _x0015__x000f__x0001__x0001_" xfId="5135"/>
    <cellStyle name="þ_x001d_ð¤_x000c_¯þ_x0014__x000a_¨þU_x0001_À_x0004_ _x0015__x000f__x0001__x0001_ 2" xfId="5136"/>
    <cellStyle name="þ_x001d_ð¤_x000c_¯þ_x0014__x000d_¨þU_x0001_À_x0004_ _x0015__x000f__x0001__x0001_" xfId="5137"/>
    <cellStyle name="þ_x001d_ð¤_x000c_¯þ_x0014__x000d_¨þU_x0001_À_x0004_ _x0015__x000f__x0001__x0001_ 2" xfId="5138"/>
    <cellStyle name="þ_x001d_ð·_x000c_æþ'_x000a_ßþU_x0001_Ø_x0005_ü_x0014__x0007__x0001__x0001_" xfId="5139"/>
    <cellStyle name="þ_x001d_ð·_x000c_æþ'_x000a_ßþU_x0001_Ø_x0005_ü_x0014__x0007__x0001__x0001_ 2" xfId="5140"/>
    <cellStyle name="þ_x001d_ð·_x000c_æþ'_x000d_ßþU_x0001_Ø_x0005_ü_x0014__x0007__x0001__x0001_" xfId="5141"/>
    <cellStyle name="þ_x001d_ð·_x000c_æþ'_x000d_ßþU_x0001_Ø_x0005_ü_x0014__x0007__x0001__x0001_ 2" xfId="5142"/>
    <cellStyle name="þ_x001d_ðÇ%Uý—&amp;Hý9_x0008_Ÿ s_x000a__x0007__x0001__x0001_" xfId="5143"/>
    <cellStyle name="þ_x001d_ðÇ%Uý—&amp;Hý9_x0008_Ÿ s_x000a__x0007__x0001__x0001_ 2" xfId="5144"/>
    <cellStyle name="þ_x001d_ðK_x000c_Fý_x001b__x000a_9ýU_x0001_Ð_x0008_¦)_x0007__x0001__x0001_" xfId="5145"/>
    <cellStyle name="þ_x001d_ðK_x000c_Fý_x001b__x000a_9ýU_x0001_Ð_x0008_¦)_x0007__x0001__x0001_ 2" xfId="5146"/>
    <cellStyle name="þ_x001d_ðK_x000c_Fý_x001b__x000d_9ýU_x0001_Ð_x0008_¦)_x0007__x0001__x0001_" xfId="5147"/>
    <cellStyle name="þ_x001d_ðK_x000c_Fý_x001b__x000d_9ýU_x0001_Ð_x0008_¦)_x0007__x0001__x0001_ 2" xfId="5148"/>
    <cellStyle name="thuong-10" xfId="5149"/>
    <cellStyle name="thuong-10 2" xfId="5150"/>
    <cellStyle name="thuong-11" xfId="5151"/>
    <cellStyle name="thuong-11 2" xfId="5152"/>
    <cellStyle name="thuong-11 2 2" xfId="5153"/>
    <cellStyle name="thuong-11 3" xfId="5154"/>
    <cellStyle name="Thuyet minh" xfId="5155"/>
    <cellStyle name="Thuyet minh 2" xfId="5156"/>
    <cellStyle name="Tickmark" xfId="5157"/>
    <cellStyle name="Tickmark 2" xfId="5158"/>
    <cellStyle name="Tien1" xfId="5159"/>
    <cellStyle name="Tien1 2" xfId="5160"/>
    <cellStyle name="Tieu_de_2" xfId="5161"/>
    <cellStyle name="Times New Roman" xfId="5162"/>
    <cellStyle name="Times New Roman 2" xfId="5163"/>
    <cellStyle name="tit1" xfId="5164"/>
    <cellStyle name="tit1 2" xfId="5165"/>
    <cellStyle name="tit2" xfId="5166"/>
    <cellStyle name="tit2 2" xfId="5167"/>
    <cellStyle name="tit2 2 2" xfId="5168"/>
    <cellStyle name="tit2 2 2 2" xfId="5169"/>
    <cellStyle name="tit2 3" xfId="5170"/>
    <cellStyle name="tit2 3 2" xfId="5171"/>
    <cellStyle name="tit3" xfId="5172"/>
    <cellStyle name="tit3 2" xfId="5173"/>
    <cellStyle name="tit4" xfId="5174"/>
    <cellStyle name="tit4 2" xfId="5175"/>
    <cellStyle name="Title 2" xfId="126"/>
    <cellStyle name="Title 2 2" xfId="5176"/>
    <cellStyle name="Tong so" xfId="5177"/>
    <cellStyle name="tong so 1" xfId="5178"/>
    <cellStyle name="tong so 1 2" xfId="5179"/>
    <cellStyle name="Tong so 2" xfId="5180"/>
    <cellStyle name="Tong so_Bieu KHPTLN 2016-2020" xfId="5181"/>
    <cellStyle name="Tongcong" xfId="5182"/>
    <cellStyle name="Tongcong 2" xfId="5183"/>
    <cellStyle name="Total 2" xfId="127"/>
    <cellStyle name="Total 2 2" xfId="5184"/>
    <cellStyle name="Total 2 2 2" xfId="5185"/>
    <cellStyle name="Total 2 2 3" xfId="5186"/>
    <cellStyle name="trang" xfId="5187"/>
    <cellStyle name="trang 2" xfId="5188"/>
    <cellStyle name="tt1" xfId="5189"/>
    <cellStyle name="tt1 2" xfId="5190"/>
    <cellStyle name="Tusental (0)_pldt" xfId="5191"/>
    <cellStyle name="Tusental_pldt" xfId="5192"/>
    <cellStyle name="ux_3_¼­¿ï-¾È»ê" xfId="5193"/>
    <cellStyle name="Valuta (0)_CALPREZZ" xfId="5194"/>
    <cellStyle name="Valuta_ PESO ELETTR." xfId="5195"/>
    <cellStyle name="VANG1" xfId="5196"/>
    <cellStyle name="VANG1 2" xfId="5197"/>
    <cellStyle name="VANG1 2 2" xfId="5198"/>
    <cellStyle name="VANG1 3" xfId="5199"/>
    <cellStyle name="viet" xfId="128"/>
    <cellStyle name="viet 2" xfId="5200"/>
    <cellStyle name="viet2" xfId="129"/>
    <cellStyle name="viet2 2" xfId="165"/>
    <cellStyle name="viet2 2 2" xfId="5201"/>
    <cellStyle name="viet2 3" xfId="5202"/>
    <cellStyle name="VLB-GTKÕ" xfId="5203"/>
    <cellStyle name="VLB-GTKÕ 2" xfId="5204"/>
    <cellStyle name="VN new romanNormal" xfId="5205"/>
    <cellStyle name="VN new romanNormal 2" xfId="5206"/>
    <cellStyle name="VN new romanNormal 2 2" xfId="5207"/>
    <cellStyle name="VN new romanNormal 2 2 2" xfId="5208"/>
    <cellStyle name="VN new romanNormal 2 3" xfId="5209"/>
    <cellStyle name="VN new romanNormal 3" xfId="5210"/>
    <cellStyle name="VN new romanNormal 3 2" xfId="5211"/>
    <cellStyle name="VN new romanNormal 3 2 2" xfId="5212"/>
    <cellStyle name="VN new romanNormal 3 3" xfId="5213"/>
    <cellStyle name="VN new romanNormal 4" xfId="5214"/>
    <cellStyle name="VN new romanNormal_05-12  KH trung han 2016-2020 - Liem Thinh edited" xfId="5215"/>
    <cellStyle name="Vn Time 13" xfId="5216"/>
    <cellStyle name="Vn Time 13 2" xfId="5217"/>
    <cellStyle name="Vn Time 14" xfId="5218"/>
    <cellStyle name="Vn Time 14 2" xfId="5219"/>
    <cellStyle name="Vn Time 14 2 2" xfId="5220"/>
    <cellStyle name="Vn Time 14 3" xfId="5221"/>
    <cellStyle name="Vn Time 14 3 2" xfId="5222"/>
    <cellStyle name="Vn Time 14 4" xfId="5223"/>
    <cellStyle name="VN time new roman" xfId="5224"/>
    <cellStyle name="VN time new roman 2" xfId="5225"/>
    <cellStyle name="VN time new roman 2 2" xfId="5226"/>
    <cellStyle name="VN time new roman 2 2 2" xfId="5227"/>
    <cellStyle name="VN time new roman 2 3" xfId="5228"/>
    <cellStyle name="VN time new roman 3" xfId="5229"/>
    <cellStyle name="VN time new roman 3 2" xfId="5230"/>
    <cellStyle name="VN time new roman 3 2 2" xfId="5231"/>
    <cellStyle name="VN time new roman 3 3" xfId="5232"/>
    <cellStyle name="VN time new roman 4" xfId="5233"/>
    <cellStyle name="VN time new roman_05-12  KH trung han 2016-2020 - Liem Thinh edited" xfId="5234"/>
    <cellStyle name="vn_time" xfId="5235"/>
    <cellStyle name="vnbo" xfId="5236"/>
    <cellStyle name="vnbo 2" xfId="5237"/>
    <cellStyle name="vnbo 2 2" xfId="5238"/>
    <cellStyle name="vnbo 2 2 2" xfId="5239"/>
    <cellStyle name="vnbo 3" xfId="5240"/>
    <cellStyle name="vnbo 3 2" xfId="5241"/>
    <cellStyle name="vnbo 3 2 2" xfId="5242"/>
    <cellStyle name="vnbo 4" xfId="5243"/>
    <cellStyle name="vnbo 4 2" xfId="5244"/>
    <cellStyle name="vnhead1" xfId="5245"/>
    <cellStyle name="vnhead1 2" xfId="5246"/>
    <cellStyle name="vnhead1 2 2" xfId="5247"/>
    <cellStyle name="vnhead1 3" xfId="5248"/>
    <cellStyle name="vnhead2" xfId="5249"/>
    <cellStyle name="vnhead2 2" xfId="5250"/>
    <cellStyle name="vnhead2 2 2" xfId="5251"/>
    <cellStyle name="vnhead2 2 2 2" xfId="5252"/>
    <cellStyle name="vnhead2 3" xfId="5253"/>
    <cellStyle name="vnhead2 3 2" xfId="5254"/>
    <cellStyle name="vnhead2 3 2 2" xfId="5255"/>
    <cellStyle name="vnhead2 4" xfId="5256"/>
    <cellStyle name="vnhead2 4 2" xfId="5257"/>
    <cellStyle name="vnhead3" xfId="5258"/>
    <cellStyle name="vnhead3 2" xfId="5259"/>
    <cellStyle name="vnhead3 2 2" xfId="5260"/>
    <cellStyle name="vnhead3 2 2 2" xfId="5261"/>
    <cellStyle name="vnhead3 3" xfId="5262"/>
    <cellStyle name="vnhead3 3 2" xfId="5263"/>
    <cellStyle name="vnhead3 3 2 2" xfId="5264"/>
    <cellStyle name="vnhead3 4" xfId="5265"/>
    <cellStyle name="vnhead3 4 2" xfId="5266"/>
    <cellStyle name="vnhead4" xfId="5267"/>
    <cellStyle name="vnhead4 2" xfId="5268"/>
    <cellStyle name="vntxt1" xfId="5269"/>
    <cellStyle name="vntxt1 10" xfId="5270"/>
    <cellStyle name="vntxt1 10 2" xfId="5271"/>
    <cellStyle name="vntxt1 11" xfId="5272"/>
    <cellStyle name="vntxt1 11 2" xfId="5273"/>
    <cellStyle name="vntxt1 12" xfId="5274"/>
    <cellStyle name="vntxt1 12 2" xfId="5275"/>
    <cellStyle name="vntxt1 13" xfId="5276"/>
    <cellStyle name="vntxt1 13 2" xfId="5277"/>
    <cellStyle name="vntxt1 14" xfId="5278"/>
    <cellStyle name="vntxt1 14 2" xfId="5279"/>
    <cellStyle name="vntxt1 15" xfId="5280"/>
    <cellStyle name="vntxt1 15 2" xfId="5281"/>
    <cellStyle name="vntxt1 16" xfId="5282"/>
    <cellStyle name="vntxt1 16 2" xfId="5283"/>
    <cellStyle name="vntxt1 17" xfId="5284"/>
    <cellStyle name="vntxt1 2" xfId="5285"/>
    <cellStyle name="vntxt1 2 2" xfId="5286"/>
    <cellStyle name="vntxt1 3" xfId="5287"/>
    <cellStyle name="vntxt1 3 2" xfId="5288"/>
    <cellStyle name="vntxt1 4" xfId="5289"/>
    <cellStyle name="vntxt1 4 2" xfId="5290"/>
    <cellStyle name="vntxt1 5" xfId="5291"/>
    <cellStyle name="vntxt1 5 2" xfId="5292"/>
    <cellStyle name="vntxt1 6" xfId="5293"/>
    <cellStyle name="vntxt1 6 2" xfId="5294"/>
    <cellStyle name="vntxt1 7" xfId="5295"/>
    <cellStyle name="vntxt1 7 2" xfId="5296"/>
    <cellStyle name="vntxt1 8" xfId="5297"/>
    <cellStyle name="vntxt1 8 2" xfId="5298"/>
    <cellStyle name="vntxt1 9" xfId="5299"/>
    <cellStyle name="vntxt1 9 2" xfId="5300"/>
    <cellStyle name="vntxt1_05-12  KH trung han 2016-2020 - Liem Thinh edited" xfId="5301"/>
    <cellStyle name="vntxt2" xfId="5302"/>
    <cellStyle name="vntxt2 2" xfId="5303"/>
    <cellStyle name="W?hrung [0]_35ERI8T2gbIEMixb4v26icuOo" xfId="5304"/>
    <cellStyle name="W?hrung_35ERI8T2gbIEMixb4v26icuOo" xfId="5305"/>
    <cellStyle name="Währung [0]_68574_Materialbedarfsliste" xfId="5306"/>
    <cellStyle name="Währung_68574_Materialbedarfsliste" xfId="5307"/>
    <cellStyle name="Walutowy [0]_Invoices2001Slovakia" xfId="5308"/>
    <cellStyle name="Walutowy_Invoices2001Slovakia" xfId="5309"/>
    <cellStyle name="Warning Text 2" xfId="130"/>
    <cellStyle name="Warning Text 2 2" xfId="5310"/>
    <cellStyle name="wrap" xfId="5311"/>
    <cellStyle name="wrap 2" xfId="5312"/>
    <cellStyle name="Wไhrung [0]_35ERI8T2gbIEMixb4v26icuOo" xfId="5313"/>
    <cellStyle name="Wไhrung_35ERI8T2gbIEMixb4v26icuOo" xfId="5314"/>
    <cellStyle name="xan1" xfId="5315"/>
    <cellStyle name="xan1 2" xfId="5316"/>
    <cellStyle name="xuan" xfId="5317"/>
    <cellStyle name="xuan 2" xfId="5318"/>
    <cellStyle name="y" xfId="5319"/>
    <cellStyle name="y 2" xfId="5320"/>
    <cellStyle name="y 2 2" xfId="5321"/>
    <cellStyle name="y 3" xfId="5322"/>
    <cellStyle name="Ý kh¸c_B¶ng 1 (2)" xfId="5323"/>
    <cellStyle name="เครื่องหมายสกุลเงิน [0]_FTC_OFFER" xfId="5324"/>
    <cellStyle name="เครื่องหมายสกุลเงิน_FTC_OFFER" xfId="5325"/>
    <cellStyle name="ปกติ_FTC_OFFER" xfId="5326"/>
    <cellStyle name=" [0.00]_ Att. 1- Cover" xfId="131"/>
    <cellStyle name="_ Att. 1- Cover" xfId="132"/>
    <cellStyle name="?_ Att. 1- Cover" xfId="133"/>
    <cellStyle name="똿뗦먛귟 [0.00]_PRODUCT DETAIL Q1" xfId="134"/>
    <cellStyle name="똿뗦먛귟_PRODUCT DETAIL Q1" xfId="135"/>
    <cellStyle name="믅됞 [0.00]_PRODUCT DETAIL Q1" xfId="136"/>
    <cellStyle name="믅됞_PRODUCT DETAIL Q1" xfId="137"/>
    <cellStyle name="백분율_††††† " xfId="5327"/>
    <cellStyle name="뷭?_BOOKSHIP" xfId="138"/>
    <cellStyle name="안건회계법인" xfId="5328"/>
    <cellStyle name="안건회계법인 2" xfId="5329"/>
    <cellStyle name="콤맀_Sheet1_총괄표 (수출입) (2)" xfId="5330"/>
    <cellStyle name="콤마 [ - 유형1" xfId="5331"/>
    <cellStyle name="콤마 [ - 유형1 2" xfId="5332"/>
    <cellStyle name="콤마 [ - 유형2" xfId="5333"/>
    <cellStyle name="콤마 [ - 유형2 2" xfId="5334"/>
    <cellStyle name="콤마 [ - 유형3" xfId="5335"/>
    <cellStyle name="콤마 [ - 유형3 2" xfId="5336"/>
    <cellStyle name="콤마 [ - 유형4" xfId="5337"/>
    <cellStyle name="콤마 [ - 유형4 2" xfId="5338"/>
    <cellStyle name="콤마 [ - 유형5" xfId="5339"/>
    <cellStyle name="콤마 [ - 유형5 2" xfId="5340"/>
    <cellStyle name="콤마 [ - 유형6" xfId="5341"/>
    <cellStyle name="콤마 [ - 유형6 2" xfId="5342"/>
    <cellStyle name="콤마 [ - 유형7" xfId="5343"/>
    <cellStyle name="콤마 [ - 유형7 2" xfId="5344"/>
    <cellStyle name="콤마 [ - 유형8" xfId="5345"/>
    <cellStyle name="콤마 [ - 유형8 2" xfId="5346"/>
    <cellStyle name="콤마 [0]_ 비목별 월별기술 " xfId="139"/>
    <cellStyle name="콤마_ 비목별 월별기술 " xfId="140"/>
    <cellStyle name="통화 [0]_††††† " xfId="5347"/>
    <cellStyle name="통화_††††† " xfId="5348"/>
    <cellStyle name="표섀_변경(최종)" xfId="5349"/>
    <cellStyle name="표준_ 97년 경영분석(안)" xfId="5350"/>
    <cellStyle name="표줠_Sheet1_1_총괄표 (수출입) (2)" xfId="5351"/>
    <cellStyle name="一般_00Q3902REV.1" xfId="141"/>
    <cellStyle name="千分位[0]_00Q3902REV.1" xfId="142"/>
    <cellStyle name="千分位_00Q3902REV.1" xfId="143"/>
    <cellStyle name="桁区切り [0.00]_BE-BQ" xfId="5352"/>
    <cellStyle name="桁区切り_BE-BQ" xfId="5353"/>
    <cellStyle name="標準_(A1)BOQ " xfId="5354"/>
    <cellStyle name="貨幣 [0]_00Q3902REV.1" xfId="144"/>
    <cellStyle name="貨幣[0]_BRE" xfId="145"/>
    <cellStyle name="貨幣_00Q3902REV.1" xfId="146"/>
    <cellStyle name="通貨 [0.00]_BE-BQ" xfId="5355"/>
    <cellStyle name="通貨_BE-BQ" xfId="5356"/>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120162</xdr:colOff>
      <xdr:row>2</xdr:row>
      <xdr:rowOff>28575</xdr:rowOff>
    </xdr:from>
    <xdr:to>
      <xdr:col>1</xdr:col>
      <xdr:colOff>655027</xdr:colOff>
      <xdr:row>2</xdr:row>
      <xdr:rowOff>30163</xdr:rowOff>
    </xdr:to>
    <xdr:cxnSp macro="">
      <xdr:nvCxnSpPr>
        <xdr:cNvPr id="2" name="Straight Connector 1"/>
        <xdr:cNvCxnSpPr/>
      </xdr:nvCxnSpPr>
      <xdr:spPr>
        <a:xfrm>
          <a:off x="453537" y="409575"/>
          <a:ext cx="53486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NGANSACH/2019/Du%20toan%202019/Du%20toan%20Vong%203-2019/08-11-2018/Du%20toan%20c&#225;c%20huy&#7879;n%20-%20ng&#224;y%2020-9-2018/Ngay%2017-10-2018%20Du%20toan%202019-%20Phong%20TC-HCS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y%20Documents/NGANSACH/2019/Du%20toan%202019/Du%20toan%20Vong%203-2019/Ke%20hoach%203%20nam%202019-2021/4.%20Nghi%20dinh%2031-KH%2003%20nam%202019-202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NGANSACH/2019/Du%20toan%202019/Du%20toan%20Vong%203-2019/Ke%20hoach%203%20nam%202019-2021/Nghi%20dinh%2031-KHTC%203%20NAM%202018-20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NGANSACH\2019\Du%20toan%202019\Du%20toan%20vong%201-2019\Tong%20hop\DT%20THU%202018%20lan%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so tinh dinh muc 2017 (2)"/>
      <sheetName val="Co so tinh dinh muc 2017"/>
      <sheetName val="Co so tinh dinh muc 2017new"/>
      <sheetName val="Co so tinh dinh muc 2017-85"/>
      <sheetName val="PT CHI KTX2016"/>
      <sheetName val="Co so tinh dinh muc 2017-TX90"/>
      <sheetName val="So sanh DT 2018-2019"/>
      <sheetName val="2017"/>
      <sheetName val="2019 (co TK)"/>
      <sheetName val="Sheet3"/>
      <sheetName val="Chi huyen"/>
      <sheetName val="Sheet1"/>
      <sheetName val="Sheet2"/>
      <sheetName val="Mau 37 ND 31"/>
      <sheetName val="Mau 45 ND 31"/>
      <sheetName val="Mau 34 ND 31"/>
      <sheetName val="Sheet5"/>
      <sheetName val="Sheet4"/>
      <sheetName val="Sheet6"/>
    </sheetNames>
    <sheetDataSet>
      <sheetData sheetId="0"/>
      <sheetData sheetId="1"/>
      <sheetData sheetId="2"/>
      <sheetData sheetId="3"/>
      <sheetData sheetId="4"/>
      <sheetData sheetId="5"/>
      <sheetData sheetId="6"/>
      <sheetData sheetId="7"/>
      <sheetData sheetId="8">
        <row r="10">
          <cell r="L10">
            <v>63140</v>
          </cell>
        </row>
        <row r="11">
          <cell r="L11">
            <v>8960</v>
          </cell>
          <cell r="AD11">
            <v>180</v>
          </cell>
        </row>
        <row r="12">
          <cell r="L12">
            <v>6055</v>
          </cell>
          <cell r="AD12">
            <v>381</v>
          </cell>
        </row>
        <row r="13">
          <cell r="L13">
            <v>17553</v>
          </cell>
          <cell r="AD13">
            <v>40</v>
          </cell>
        </row>
        <row r="14">
          <cell r="L14">
            <v>5936</v>
          </cell>
          <cell r="AD14">
            <v>17</v>
          </cell>
        </row>
        <row r="15">
          <cell r="L15">
            <v>0</v>
          </cell>
        </row>
        <row r="16">
          <cell r="L16">
            <v>3117</v>
          </cell>
          <cell r="AD16">
            <v>282</v>
          </cell>
        </row>
        <row r="17">
          <cell r="L17">
            <v>5337</v>
          </cell>
          <cell r="AD17">
            <v>313</v>
          </cell>
        </row>
        <row r="18">
          <cell r="L18">
            <v>3065</v>
          </cell>
          <cell r="AD18">
            <v>97</v>
          </cell>
        </row>
        <row r="19">
          <cell r="L19">
            <v>0</v>
          </cell>
          <cell r="AD19">
            <v>0</v>
          </cell>
        </row>
        <row r="20">
          <cell r="L20">
            <v>0</v>
          </cell>
        </row>
        <row r="21">
          <cell r="L21">
            <v>5329</v>
          </cell>
          <cell r="AD21">
            <v>10</v>
          </cell>
        </row>
        <row r="22">
          <cell r="L22">
            <v>600</v>
          </cell>
          <cell r="AD22">
            <v>60</v>
          </cell>
        </row>
        <row r="23">
          <cell r="L23">
            <v>0</v>
          </cell>
          <cell r="AD23">
            <v>0</v>
          </cell>
        </row>
        <row r="24">
          <cell r="L24">
            <v>0</v>
          </cell>
        </row>
        <row r="25">
          <cell r="L25">
            <v>7188</v>
          </cell>
          <cell r="AD25">
            <v>33</v>
          </cell>
        </row>
        <row r="26">
          <cell r="L26">
            <v>0</v>
          </cell>
        </row>
        <row r="27">
          <cell r="L27">
            <v>11554</v>
          </cell>
          <cell r="AD27">
            <v>0</v>
          </cell>
        </row>
        <row r="28">
          <cell r="L28">
            <v>66687</v>
          </cell>
        </row>
        <row r="31">
          <cell r="L31">
            <v>46912</v>
          </cell>
          <cell r="AD31">
            <v>20</v>
          </cell>
        </row>
        <row r="32">
          <cell r="L32">
            <v>2709</v>
          </cell>
        </row>
        <row r="34">
          <cell r="L34">
            <v>54212</v>
          </cell>
        </row>
        <row r="35">
          <cell r="L35">
            <v>47183</v>
          </cell>
        </row>
        <row r="36">
          <cell r="L36">
            <v>1703</v>
          </cell>
        </row>
        <row r="37">
          <cell r="L37">
            <v>1003</v>
          </cell>
        </row>
        <row r="38">
          <cell r="L38">
            <v>1661</v>
          </cell>
        </row>
        <row r="39">
          <cell r="L39">
            <v>2662</v>
          </cell>
        </row>
        <row r="40">
          <cell r="L40">
            <v>27550</v>
          </cell>
        </row>
        <row r="41">
          <cell r="L41">
            <v>0</v>
          </cell>
        </row>
        <row r="43">
          <cell r="L43">
            <v>2046</v>
          </cell>
        </row>
        <row r="44">
          <cell r="L44">
            <v>3411</v>
          </cell>
        </row>
        <row r="45">
          <cell r="L45">
            <v>0</v>
          </cell>
        </row>
        <row r="46">
          <cell r="L46">
            <v>3542</v>
          </cell>
        </row>
        <row r="47">
          <cell r="L47">
            <v>1354</v>
          </cell>
        </row>
        <row r="48">
          <cell r="L48">
            <v>0</v>
          </cell>
        </row>
        <row r="49">
          <cell r="L49">
            <v>2879</v>
          </cell>
          <cell r="AD49">
            <v>40</v>
          </cell>
        </row>
        <row r="50">
          <cell r="L50">
            <v>1734</v>
          </cell>
          <cell r="AD50">
            <v>133</v>
          </cell>
        </row>
        <row r="51">
          <cell r="L51">
            <v>4486</v>
          </cell>
          <cell r="AD51">
            <v>20</v>
          </cell>
        </row>
        <row r="52">
          <cell r="L52">
            <v>0</v>
          </cell>
        </row>
        <row r="58">
          <cell r="L58">
            <v>337803</v>
          </cell>
        </row>
        <row r="59">
          <cell r="L59">
            <v>10918</v>
          </cell>
        </row>
        <row r="61">
          <cell r="L61">
            <v>19637</v>
          </cell>
        </row>
        <row r="62">
          <cell r="L62">
            <v>8027</v>
          </cell>
        </row>
        <row r="63">
          <cell r="L63">
            <v>12453</v>
          </cell>
        </row>
        <row r="64">
          <cell r="L64">
            <v>3221</v>
          </cell>
        </row>
        <row r="65">
          <cell r="L65">
            <v>7685</v>
          </cell>
        </row>
        <row r="66">
          <cell r="L66">
            <v>5766</v>
          </cell>
        </row>
        <row r="67">
          <cell r="L67">
            <v>0</v>
          </cell>
        </row>
        <row r="68">
          <cell r="L68">
            <v>0</v>
          </cell>
        </row>
        <row r="69">
          <cell r="L69">
            <v>2345</v>
          </cell>
        </row>
        <row r="70">
          <cell r="L70">
            <v>1725</v>
          </cell>
        </row>
        <row r="71">
          <cell r="L71">
            <v>420</v>
          </cell>
        </row>
        <row r="78">
          <cell r="L78">
            <v>88074</v>
          </cell>
        </row>
        <row r="79">
          <cell r="L79">
            <v>49356</v>
          </cell>
        </row>
        <row r="80">
          <cell r="L80">
            <v>2200</v>
          </cell>
        </row>
        <row r="81">
          <cell r="L81">
            <v>1916</v>
          </cell>
          <cell r="AD81">
            <v>20</v>
          </cell>
        </row>
        <row r="82">
          <cell r="L82">
            <v>14755</v>
          </cell>
        </row>
        <row r="83">
          <cell r="L83">
            <v>0</v>
          </cell>
        </row>
        <row r="84">
          <cell r="L84">
            <v>4717</v>
          </cell>
        </row>
        <row r="85">
          <cell r="L85">
            <v>0</v>
          </cell>
        </row>
        <row r="86">
          <cell r="L86">
            <v>0</v>
          </cell>
        </row>
        <row r="87">
          <cell r="L87">
            <v>1362</v>
          </cell>
        </row>
        <row r="88">
          <cell r="L88">
            <v>13768</v>
          </cell>
        </row>
        <row r="89">
          <cell r="L89">
            <v>0</v>
          </cell>
        </row>
        <row r="92">
          <cell r="L92">
            <v>1900</v>
          </cell>
        </row>
        <row r="93">
          <cell r="L93">
            <v>85642</v>
          </cell>
        </row>
        <row r="94">
          <cell r="L94">
            <v>0</v>
          </cell>
        </row>
        <row r="95">
          <cell r="L95">
            <v>0</v>
          </cell>
        </row>
        <row r="96">
          <cell r="L96">
            <v>0</v>
          </cell>
        </row>
        <row r="97">
          <cell r="L97">
            <v>0</v>
          </cell>
        </row>
        <row r="98">
          <cell r="L98">
            <v>12100</v>
          </cell>
        </row>
        <row r="99">
          <cell r="L99">
            <v>0</v>
          </cell>
        </row>
        <row r="100">
          <cell r="L100">
            <v>4000</v>
          </cell>
        </row>
        <row r="101">
          <cell r="L101">
            <v>2400</v>
          </cell>
        </row>
        <row r="102">
          <cell r="L102">
            <v>5700</v>
          </cell>
        </row>
        <row r="103">
          <cell r="L103">
            <v>0</v>
          </cell>
        </row>
        <row r="104">
          <cell r="L104">
            <v>0</v>
          </cell>
        </row>
        <row r="105">
          <cell r="L105">
            <v>0</v>
          </cell>
        </row>
        <row r="106">
          <cell r="L106">
            <v>4600</v>
          </cell>
        </row>
        <row r="107">
          <cell r="L107">
            <v>68942</v>
          </cell>
        </row>
        <row r="108">
          <cell r="L108">
            <v>0</v>
          </cell>
        </row>
        <row r="116">
          <cell r="L116">
            <v>29815</v>
          </cell>
        </row>
        <row r="117">
          <cell r="L117">
            <v>0</v>
          </cell>
        </row>
        <row r="118">
          <cell r="L118">
            <v>5263</v>
          </cell>
        </row>
        <row r="119">
          <cell r="L119">
            <v>3631</v>
          </cell>
          <cell r="AD119">
            <v>18</v>
          </cell>
        </row>
        <row r="120">
          <cell r="L120">
            <v>2865</v>
          </cell>
        </row>
        <row r="121">
          <cell r="L121">
            <v>7488</v>
          </cell>
        </row>
        <row r="122">
          <cell r="L122">
            <v>3815</v>
          </cell>
        </row>
        <row r="123">
          <cell r="L123">
            <v>6753</v>
          </cell>
        </row>
        <row r="125">
          <cell r="L125">
            <v>9622</v>
          </cell>
        </row>
        <row r="127">
          <cell r="L127">
            <v>34792</v>
          </cell>
        </row>
        <row r="128">
          <cell r="L128">
            <v>12746</v>
          </cell>
        </row>
        <row r="129">
          <cell r="L129">
            <v>0</v>
          </cell>
        </row>
        <row r="130">
          <cell r="L130">
            <v>6579</v>
          </cell>
        </row>
        <row r="131">
          <cell r="L131">
            <v>12605</v>
          </cell>
        </row>
        <row r="132">
          <cell r="L132">
            <v>1649</v>
          </cell>
        </row>
        <row r="133">
          <cell r="L133">
            <v>1213</v>
          </cell>
        </row>
        <row r="135">
          <cell r="L135">
            <v>29380</v>
          </cell>
        </row>
        <row r="136">
          <cell r="L136">
            <v>21415</v>
          </cell>
        </row>
        <row r="137">
          <cell r="L137">
            <v>0</v>
          </cell>
        </row>
        <row r="138">
          <cell r="L138">
            <v>4508</v>
          </cell>
          <cell r="AD138">
            <v>21</v>
          </cell>
        </row>
        <row r="139">
          <cell r="L139">
            <v>500</v>
          </cell>
        </row>
        <row r="140">
          <cell r="L140">
            <v>960</v>
          </cell>
        </row>
        <row r="141">
          <cell r="L141">
            <v>1997</v>
          </cell>
        </row>
        <row r="142">
          <cell r="L142">
            <v>0</v>
          </cell>
        </row>
        <row r="145">
          <cell r="L145">
            <v>18661</v>
          </cell>
        </row>
        <row r="146">
          <cell r="L146">
            <v>17334</v>
          </cell>
          <cell r="AD146">
            <v>50</v>
          </cell>
        </row>
        <row r="147">
          <cell r="L147">
            <v>1327</v>
          </cell>
        </row>
        <row r="148">
          <cell r="L148">
            <v>11376</v>
          </cell>
          <cell r="AD148">
            <v>90</v>
          </cell>
        </row>
        <row r="149">
          <cell r="L149">
            <v>8480</v>
          </cell>
          <cell r="AD149">
            <v>246</v>
          </cell>
        </row>
        <row r="150">
          <cell r="L150">
            <v>30144</v>
          </cell>
        </row>
        <row r="151">
          <cell r="L151">
            <v>10636</v>
          </cell>
          <cell r="AD151">
            <v>5000</v>
          </cell>
        </row>
        <row r="152">
          <cell r="L152">
            <v>10995</v>
          </cell>
          <cell r="AD152">
            <v>20</v>
          </cell>
        </row>
        <row r="153">
          <cell r="L153">
            <v>4558</v>
          </cell>
          <cell r="AD153">
            <v>569</v>
          </cell>
        </row>
        <row r="154">
          <cell r="L154">
            <v>1715</v>
          </cell>
        </row>
        <row r="155">
          <cell r="L155">
            <v>1258</v>
          </cell>
        </row>
        <row r="156">
          <cell r="L156">
            <v>982</v>
          </cell>
        </row>
        <row r="157">
          <cell r="L157">
            <v>6456</v>
          </cell>
          <cell r="AD157">
            <v>279</v>
          </cell>
        </row>
        <row r="158">
          <cell r="L158">
            <v>8709</v>
          </cell>
          <cell r="AD158">
            <v>800</v>
          </cell>
        </row>
        <row r="159">
          <cell r="L159">
            <v>5521</v>
          </cell>
          <cell r="AD159">
            <v>60</v>
          </cell>
        </row>
        <row r="160">
          <cell r="L160">
            <v>10641</v>
          </cell>
        </row>
        <row r="161">
          <cell r="L161">
            <v>5620</v>
          </cell>
          <cell r="AD161">
            <v>80</v>
          </cell>
        </row>
        <row r="162">
          <cell r="L162">
            <v>5021</v>
          </cell>
        </row>
        <row r="163">
          <cell r="L163">
            <v>7464</v>
          </cell>
          <cell r="AD163">
            <v>50</v>
          </cell>
        </row>
        <row r="164">
          <cell r="L164">
            <v>6788</v>
          </cell>
        </row>
        <row r="165">
          <cell r="L165">
            <v>6788</v>
          </cell>
          <cell r="AD165">
            <v>301</v>
          </cell>
        </row>
        <row r="166">
          <cell r="L166">
            <v>0</v>
          </cell>
        </row>
        <row r="167">
          <cell r="L167">
            <v>11454</v>
          </cell>
        </row>
        <row r="168">
          <cell r="L168">
            <v>8390</v>
          </cell>
          <cell r="AD168">
            <v>117</v>
          </cell>
        </row>
        <row r="169">
          <cell r="L169">
            <v>3064</v>
          </cell>
          <cell r="AD169">
            <v>20</v>
          </cell>
        </row>
        <row r="170">
          <cell r="L170">
            <v>8552</v>
          </cell>
          <cell r="AD170">
            <v>550</v>
          </cell>
        </row>
        <row r="171">
          <cell r="L171">
            <v>7365</v>
          </cell>
          <cell r="AD171">
            <v>66</v>
          </cell>
        </row>
        <row r="172">
          <cell r="L172">
            <v>8271</v>
          </cell>
          <cell r="AD172">
            <v>100</v>
          </cell>
        </row>
        <row r="173">
          <cell r="L173">
            <v>4652</v>
          </cell>
          <cell r="AD173">
            <v>20</v>
          </cell>
        </row>
        <row r="174">
          <cell r="L174">
            <v>7345</v>
          </cell>
        </row>
        <row r="175">
          <cell r="L175">
            <v>14758</v>
          </cell>
          <cell r="AD175">
            <v>314</v>
          </cell>
        </row>
        <row r="176">
          <cell r="L176">
            <v>9000</v>
          </cell>
        </row>
        <row r="177">
          <cell r="L177">
            <v>10206</v>
          </cell>
          <cell r="AD177">
            <v>367</v>
          </cell>
        </row>
        <row r="178">
          <cell r="L178">
            <v>7635</v>
          </cell>
          <cell r="AD178">
            <v>450</v>
          </cell>
        </row>
        <row r="179">
          <cell r="L179">
            <v>6630</v>
          </cell>
        </row>
        <row r="181">
          <cell r="L181">
            <v>8244</v>
          </cell>
        </row>
        <row r="182">
          <cell r="L182">
            <v>6302</v>
          </cell>
          <cell r="AD182">
            <v>599</v>
          </cell>
        </row>
        <row r="183">
          <cell r="L183">
            <v>1942</v>
          </cell>
          <cell r="AD183">
            <v>124</v>
          </cell>
        </row>
        <row r="184">
          <cell r="L184">
            <v>150</v>
          </cell>
        </row>
        <row r="185">
          <cell r="L185">
            <v>8122</v>
          </cell>
          <cell r="AD185">
            <v>1035</v>
          </cell>
        </row>
        <row r="186">
          <cell r="L186">
            <v>121</v>
          </cell>
        </row>
        <row r="187">
          <cell r="L187">
            <v>4748</v>
          </cell>
          <cell r="AD187">
            <v>397</v>
          </cell>
        </row>
        <row r="188">
          <cell r="L188">
            <v>1000</v>
          </cell>
        </row>
        <row r="189">
          <cell r="L189">
            <v>137</v>
          </cell>
        </row>
        <row r="190">
          <cell r="L190">
            <v>5021</v>
          </cell>
          <cell r="AD190">
            <v>438</v>
          </cell>
        </row>
        <row r="191">
          <cell r="L191">
            <v>247</v>
          </cell>
        </row>
        <row r="192">
          <cell r="L192">
            <v>3273</v>
          </cell>
          <cell r="AD192">
            <v>92</v>
          </cell>
        </row>
        <row r="194">
          <cell r="L194">
            <v>74520</v>
          </cell>
          <cell r="AD194">
            <v>2000</v>
          </cell>
        </row>
        <row r="195">
          <cell r="L195">
            <v>0</v>
          </cell>
        </row>
        <row r="197">
          <cell r="L197">
            <v>2565</v>
          </cell>
          <cell r="AD197">
            <v>517</v>
          </cell>
        </row>
        <row r="199">
          <cell r="L199">
            <v>538</v>
          </cell>
        </row>
        <row r="200">
          <cell r="L200">
            <v>0</v>
          </cell>
        </row>
        <row r="201">
          <cell r="L201">
            <v>0</v>
          </cell>
        </row>
        <row r="202">
          <cell r="L202">
            <v>1114</v>
          </cell>
        </row>
        <row r="203">
          <cell r="L203">
            <v>702</v>
          </cell>
          <cell r="AD203">
            <v>76</v>
          </cell>
        </row>
        <row r="204">
          <cell r="L204">
            <v>450</v>
          </cell>
          <cell r="AD204">
            <v>60</v>
          </cell>
        </row>
        <row r="205">
          <cell r="L205">
            <v>584</v>
          </cell>
        </row>
        <row r="206">
          <cell r="L206">
            <v>2132</v>
          </cell>
        </row>
        <row r="207">
          <cell r="L207">
            <v>873</v>
          </cell>
        </row>
        <row r="208">
          <cell r="L208">
            <v>1359</v>
          </cell>
          <cell r="AD208">
            <v>480</v>
          </cell>
        </row>
        <row r="209">
          <cell r="L209">
            <v>1580</v>
          </cell>
        </row>
        <row r="210">
          <cell r="L210">
            <v>1626</v>
          </cell>
          <cell r="AD210">
            <v>50</v>
          </cell>
        </row>
        <row r="211">
          <cell r="L211">
            <v>447</v>
          </cell>
        </row>
        <row r="212">
          <cell r="L212">
            <v>444</v>
          </cell>
        </row>
        <row r="213">
          <cell r="L213">
            <v>1917</v>
          </cell>
          <cell r="AD213">
            <v>221</v>
          </cell>
        </row>
        <row r="215">
          <cell r="L215">
            <v>9400</v>
          </cell>
        </row>
        <row r="216">
          <cell r="L216">
            <v>1980</v>
          </cell>
        </row>
        <row r="217">
          <cell r="L217">
            <v>6820</v>
          </cell>
        </row>
        <row r="218">
          <cell r="L218">
            <v>600</v>
          </cell>
        </row>
        <row r="225">
          <cell r="L225">
            <v>2000</v>
          </cell>
          <cell r="AD225">
            <v>189</v>
          </cell>
        </row>
        <row r="226">
          <cell r="L226">
            <v>400</v>
          </cell>
        </row>
        <row r="236">
          <cell r="L236">
            <v>1219017</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204"/>
      <sheetName val="PL1305"/>
      <sheetName val="007"/>
      <sheetName val="009"/>
      <sheetName val="16 roi"/>
      <sheetName val="Sheet1"/>
      <sheetName val="09 dung"/>
      <sheetName val="07"/>
      <sheetName val="08 "/>
      <sheetName val="09 "/>
      <sheetName val="10"/>
      <sheetName val="11"/>
      <sheetName val="12"/>
      <sheetName val="13"/>
      <sheetName val="14"/>
      <sheetName val="15"/>
      <sheetName val="16"/>
      <sheetName val="17"/>
      <sheetName val="18"/>
      <sheetName val="Sheet5"/>
      <sheetName val="30-ND31"/>
      <sheetName val="45-nd31"/>
      <sheetName val="01"/>
      <sheetName val="02-08"/>
      <sheetName val="03-10"/>
      <sheetName val="04-12"/>
      <sheetName val="05"/>
      <sheetName val="06"/>
      <sheetName val="18-TT342"/>
      <sheetName val="28 "/>
      <sheetName val="29.2"/>
      <sheetName val="30"/>
      <sheetName val="31"/>
      <sheetName val="32"/>
      <sheetName val="33 "/>
      <sheetName val="34 "/>
      <sheetName val="35"/>
      <sheetName val="THU2016-2018"/>
      <sheetName val="CHI 2016-2018"/>
      <sheetName val="So kiem tra thu huyen"/>
      <sheetName val="So kiem tra chi huyen"/>
      <sheetName val="Sheet2"/>
    </sheetNames>
    <sheetDataSet>
      <sheetData sheetId="0"/>
      <sheetData sheetId="1"/>
      <sheetData sheetId="2">
        <row r="28">
          <cell r="I28">
            <v>429301.2</v>
          </cell>
        </row>
      </sheetData>
      <sheetData sheetId="3"/>
      <sheetData sheetId="4"/>
      <sheetData sheetId="5"/>
      <sheetData sheetId="6"/>
      <sheetData sheetId="7"/>
      <sheetData sheetId="8"/>
      <sheetData sheetId="9"/>
      <sheetData sheetId="10">
        <row r="25">
          <cell r="C25">
            <v>3061564</v>
          </cell>
          <cell r="D25">
            <v>3281298</v>
          </cell>
          <cell r="F25">
            <v>3281298</v>
          </cell>
          <cell r="N25">
            <v>3281298</v>
          </cell>
        </row>
        <row r="26">
          <cell r="C26">
            <v>92952</v>
          </cell>
          <cell r="D26">
            <v>498307</v>
          </cell>
          <cell r="F26">
            <v>498307</v>
          </cell>
        </row>
        <row r="29">
          <cell r="C29">
            <v>5131907</v>
          </cell>
          <cell r="D29">
            <v>4770143</v>
          </cell>
          <cell r="F29">
            <v>4876497.12</v>
          </cell>
          <cell r="N29">
            <v>3594962.12</v>
          </cell>
        </row>
      </sheetData>
      <sheetData sheetId="11">
        <row r="25">
          <cell r="F25">
            <v>1284871</v>
          </cell>
        </row>
        <row r="27">
          <cell r="E27">
            <v>1298690</v>
          </cell>
        </row>
        <row r="57">
          <cell r="E57">
            <v>975461</v>
          </cell>
          <cell r="F57">
            <v>1068878</v>
          </cell>
        </row>
      </sheetData>
      <sheetData sheetId="12">
        <row r="12">
          <cell r="D12">
            <v>3292260</v>
          </cell>
        </row>
        <row r="16">
          <cell r="D16">
            <v>3682602</v>
          </cell>
        </row>
        <row r="17">
          <cell r="D17">
            <v>1894822</v>
          </cell>
        </row>
        <row r="19">
          <cell r="D19">
            <v>484669.1</v>
          </cell>
        </row>
        <row r="23">
          <cell r="D23">
            <v>1136196</v>
          </cell>
        </row>
        <row r="24">
          <cell r="D24">
            <v>4962897.6499999994</v>
          </cell>
        </row>
        <row r="25">
          <cell r="D25">
            <v>100</v>
          </cell>
        </row>
        <row r="26">
          <cell r="D26">
            <v>1000</v>
          </cell>
        </row>
        <row r="27">
          <cell r="D27">
            <v>132670</v>
          </cell>
        </row>
        <row r="28">
          <cell r="D28">
            <v>93012</v>
          </cell>
        </row>
        <row r="30">
          <cell r="D30">
            <v>174874.83255647187</v>
          </cell>
        </row>
        <row r="31">
          <cell r="D31">
            <v>837528</v>
          </cell>
        </row>
        <row r="32">
          <cell r="D32">
            <v>359251</v>
          </cell>
        </row>
        <row r="34">
          <cell r="D34">
            <v>75799</v>
          </cell>
        </row>
      </sheetData>
      <sheetData sheetId="13"/>
      <sheetData sheetId="14"/>
      <sheetData sheetId="15">
        <row r="16">
          <cell r="C16">
            <v>3682602</v>
          </cell>
        </row>
        <row r="17">
          <cell r="C17">
            <v>1894822</v>
          </cell>
        </row>
        <row r="20">
          <cell r="C20">
            <v>75799</v>
          </cell>
        </row>
      </sheetData>
      <sheetData sheetId="16"/>
      <sheetData sheetId="17"/>
      <sheetData sheetId="18">
        <row r="13">
          <cell r="C13">
            <v>229600</v>
          </cell>
          <cell r="D13">
            <v>178800</v>
          </cell>
        </row>
        <row r="25">
          <cell r="C25">
            <v>91000</v>
          </cell>
        </row>
        <row r="32">
          <cell r="C32">
            <v>40200</v>
          </cell>
        </row>
      </sheetData>
      <sheetData sheetId="19"/>
      <sheetData sheetId="20"/>
      <sheetData sheetId="21"/>
      <sheetData sheetId="22"/>
      <sheetData sheetId="23">
        <row r="14">
          <cell r="F14">
            <v>9354353.0999999996</v>
          </cell>
          <cell r="H14">
            <v>9166448</v>
          </cell>
          <cell r="I14">
            <v>9353030.6400000006</v>
          </cell>
          <cell r="J14">
            <v>7931857.3968000002</v>
          </cell>
        </row>
        <row r="16">
          <cell r="E16">
            <v>3211800</v>
          </cell>
          <cell r="F16">
            <v>3292260</v>
          </cell>
          <cell r="H16">
            <v>3456722</v>
          </cell>
          <cell r="I16">
            <v>3697304.64</v>
          </cell>
          <cell r="J16">
            <v>4023757.3967999998</v>
          </cell>
        </row>
        <row r="18">
          <cell r="F18">
            <v>970000</v>
          </cell>
          <cell r="H18">
            <v>925800</v>
          </cell>
          <cell r="I18">
            <v>981348</v>
          </cell>
          <cell r="J18">
            <v>1099109.7600000002</v>
          </cell>
        </row>
        <row r="26">
          <cell r="F26">
            <v>60000</v>
          </cell>
          <cell r="H26">
            <v>68000</v>
          </cell>
          <cell r="I26">
            <v>76160</v>
          </cell>
          <cell r="J26">
            <v>85299.200000000012</v>
          </cell>
        </row>
        <row r="32">
          <cell r="F32">
            <v>170000</v>
          </cell>
          <cell r="H32">
            <v>232000</v>
          </cell>
          <cell r="I32">
            <v>293464</v>
          </cell>
          <cell r="J32">
            <v>328679.68000000005</v>
          </cell>
        </row>
        <row r="44">
          <cell r="F44">
            <v>350000</v>
          </cell>
          <cell r="H44">
            <v>350000</v>
          </cell>
          <cell r="I44">
            <v>392000</v>
          </cell>
          <cell r="J44">
            <v>439040.00000000006</v>
          </cell>
        </row>
        <row r="50">
          <cell r="F50">
            <v>112630</v>
          </cell>
          <cell r="H50">
            <v>115000</v>
          </cell>
          <cell r="I50">
            <v>128800.00000000001</v>
          </cell>
          <cell r="J50">
            <v>144265.00000000003</v>
          </cell>
        </row>
        <row r="52">
          <cell r="F52">
            <v>4410</v>
          </cell>
          <cell r="H52">
            <v>5100</v>
          </cell>
          <cell r="I52">
            <v>5712.0000000000009</v>
          </cell>
          <cell r="J52">
            <v>6397.4400000000014</v>
          </cell>
        </row>
        <row r="53">
          <cell r="F53">
            <v>273000</v>
          </cell>
          <cell r="H53">
            <v>335000</v>
          </cell>
          <cell r="I53">
            <v>375200.00000000006</v>
          </cell>
          <cell r="J53">
            <v>400000</v>
          </cell>
        </row>
        <row r="54">
          <cell r="F54">
            <v>250000</v>
          </cell>
          <cell r="H54">
            <v>366000</v>
          </cell>
          <cell r="I54">
            <v>409920</v>
          </cell>
          <cell r="J54">
            <v>459110.40000000008</v>
          </cell>
        </row>
        <row r="57">
          <cell r="F57">
            <v>90000</v>
          </cell>
          <cell r="H57">
            <v>85000</v>
          </cell>
          <cell r="I57">
            <v>95200</v>
          </cell>
          <cell r="J57">
            <v>108527.99999999999</v>
          </cell>
        </row>
        <row r="61">
          <cell r="F61">
            <v>130000</v>
          </cell>
          <cell r="H61">
            <v>140000</v>
          </cell>
          <cell r="I61">
            <v>120000</v>
          </cell>
          <cell r="J61">
            <v>110000</v>
          </cell>
        </row>
        <row r="64">
          <cell r="F64">
            <v>23000</v>
          </cell>
          <cell r="H64">
            <v>28000</v>
          </cell>
          <cell r="I64">
            <v>31360.000000000004</v>
          </cell>
          <cell r="J64">
            <v>35750.400000000001</v>
          </cell>
        </row>
        <row r="74">
          <cell r="F74">
            <v>1000</v>
          </cell>
          <cell r="H74">
            <v>500</v>
          </cell>
          <cell r="I74">
            <v>560</v>
          </cell>
          <cell r="J74">
            <v>627.20000000000005</v>
          </cell>
        </row>
        <row r="75">
          <cell r="F75">
            <v>176500</v>
          </cell>
          <cell r="H75">
            <v>155000</v>
          </cell>
          <cell r="I75">
            <v>173600</v>
          </cell>
          <cell r="J75">
            <v>194432.00000000003</v>
          </cell>
        </row>
        <row r="80">
          <cell r="H80">
            <v>4500</v>
          </cell>
          <cell r="I80">
            <v>4770</v>
          </cell>
          <cell r="J80">
            <v>5342.4000000000005</v>
          </cell>
        </row>
        <row r="83">
          <cell r="F83">
            <v>4320</v>
          </cell>
          <cell r="H83">
            <v>100</v>
          </cell>
          <cell r="I83">
            <v>112.00000000000001</v>
          </cell>
          <cell r="J83">
            <v>125.44000000000003</v>
          </cell>
        </row>
        <row r="84">
          <cell r="H84">
            <v>1800</v>
          </cell>
          <cell r="I84">
            <v>1926</v>
          </cell>
          <cell r="J84">
            <v>2157.1200000000003</v>
          </cell>
        </row>
        <row r="85">
          <cell r="F85">
            <v>900000</v>
          </cell>
          <cell r="H85">
            <v>960000</v>
          </cell>
          <cell r="I85">
            <v>960000</v>
          </cell>
          <cell r="J85">
            <v>1000000</v>
          </cell>
        </row>
        <row r="94">
          <cell r="D94">
            <v>3682602</v>
          </cell>
          <cell r="F94">
            <v>3682602</v>
          </cell>
          <cell r="H94">
            <v>3808100</v>
          </cell>
          <cell r="I94">
            <v>3808100</v>
          </cell>
          <cell r="J94">
            <v>3808100</v>
          </cell>
        </row>
        <row r="95">
          <cell r="D95">
            <v>1894822</v>
          </cell>
          <cell r="F95">
            <v>1894822</v>
          </cell>
          <cell r="H95">
            <v>1747626</v>
          </cell>
          <cell r="I95">
            <v>1747626</v>
          </cell>
        </row>
        <row r="96">
          <cell r="H96">
            <v>0</v>
          </cell>
        </row>
        <row r="97">
          <cell r="E97">
            <v>75799</v>
          </cell>
          <cell r="H97">
            <v>154000</v>
          </cell>
          <cell r="I97">
            <v>100000</v>
          </cell>
          <cell r="J97">
            <v>100000</v>
          </cell>
        </row>
      </sheetData>
      <sheetData sheetId="24"/>
      <sheetData sheetId="25">
        <row r="17">
          <cell r="D17">
            <v>1578230</v>
          </cell>
        </row>
        <row r="22">
          <cell r="I22">
            <v>1713785.0000000002</v>
          </cell>
          <cell r="J22">
            <v>1693727.9999999998</v>
          </cell>
          <cell r="K22">
            <v>1693727.9999999998</v>
          </cell>
        </row>
        <row r="36">
          <cell r="D36">
            <v>5033370</v>
          </cell>
          <cell r="I36">
            <v>5350237</v>
          </cell>
          <cell r="J36">
            <v>5609843.5344000002</v>
          </cell>
        </row>
        <row r="50">
          <cell r="D50">
            <v>100</v>
          </cell>
          <cell r="I50">
            <v>100</v>
          </cell>
          <cell r="J50">
            <v>110</v>
          </cell>
          <cell r="K50">
            <v>110</v>
          </cell>
        </row>
        <row r="51">
          <cell r="D51">
            <v>1000</v>
          </cell>
          <cell r="J51">
            <v>1000</v>
          </cell>
        </row>
        <row r="52">
          <cell r="D52">
            <v>137890</v>
          </cell>
          <cell r="I52">
            <v>145200</v>
          </cell>
          <cell r="J52">
            <v>148104</v>
          </cell>
          <cell r="K52">
            <v>148104</v>
          </cell>
        </row>
        <row r="53">
          <cell r="D53">
            <v>93012</v>
          </cell>
          <cell r="I53">
            <v>0</v>
          </cell>
          <cell r="K53">
            <v>0</v>
          </cell>
        </row>
        <row r="55">
          <cell r="D55">
            <v>178753</v>
          </cell>
          <cell r="I55">
            <v>322200</v>
          </cell>
          <cell r="J55">
            <v>322200</v>
          </cell>
        </row>
        <row r="62">
          <cell r="D62">
            <v>1356818</v>
          </cell>
          <cell r="I62">
            <v>975461</v>
          </cell>
          <cell r="J62">
            <v>975461</v>
          </cell>
        </row>
        <row r="63">
          <cell r="D63">
            <v>359251</v>
          </cell>
          <cell r="I63">
            <v>449965</v>
          </cell>
          <cell r="J63">
            <v>449965</v>
          </cell>
        </row>
        <row r="64">
          <cell r="I64">
            <v>154000</v>
          </cell>
          <cell r="J64">
            <v>100000</v>
          </cell>
          <cell r="K64">
            <v>100000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204"/>
      <sheetName val="PL1305"/>
      <sheetName val="007"/>
      <sheetName val="007 (2)"/>
      <sheetName val="008 roi"/>
      <sheetName val="009"/>
      <sheetName val="15"/>
      <sheetName val="16 roi"/>
      <sheetName val="Sheet1"/>
      <sheetName val="09 dung"/>
      <sheetName val="09 dung (2)"/>
      <sheetName val="10"/>
      <sheetName val="11"/>
      <sheetName val="62R"/>
      <sheetName val="6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4">
          <cell r="D14">
            <v>3682602</v>
          </cell>
        </row>
        <row r="15">
          <cell r="D15">
            <v>1494142</v>
          </cell>
        </row>
      </sheetData>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thu 2014"/>
      <sheetName val="TH DT THU 2018"/>
      <sheetName val="THU HUYEN"/>
      <sheetName val="Cang Long"/>
      <sheetName val="TP. TV"/>
      <sheetName val="T can"/>
      <sheetName val="D Hai"/>
      <sheetName val="Chau Thanh"/>
      <sheetName val="Cau Ngang"/>
      <sheetName val="Cau Ke"/>
      <sheetName val="Tra Cu"/>
      <sheetName val="Sheet1"/>
      <sheetName val="Sheet2"/>
    </sheetNames>
    <sheetDataSet>
      <sheetData sheetId="0"/>
      <sheetData sheetId="1"/>
      <sheetData sheetId="2">
        <row r="13">
          <cell r="B13">
            <v>207770</v>
          </cell>
        </row>
        <row r="14">
          <cell r="B14">
            <v>21150</v>
          </cell>
        </row>
        <row r="15">
          <cell r="B15">
            <v>340</v>
          </cell>
        </row>
        <row r="16">
          <cell r="B16">
            <v>183030</v>
          </cell>
        </row>
        <row r="17">
          <cell r="B17">
            <v>3250</v>
          </cell>
        </row>
        <row r="18">
          <cell r="B18">
            <v>125000</v>
          </cell>
        </row>
        <row r="20">
          <cell r="B20">
            <v>6000</v>
          </cell>
        </row>
        <row r="21">
          <cell r="B21">
            <v>95350</v>
          </cell>
        </row>
        <row r="22">
          <cell r="B22">
            <v>24700</v>
          </cell>
        </row>
        <row r="25">
          <cell r="B25">
            <v>0</v>
          </cell>
        </row>
        <row r="26">
          <cell r="B26">
            <v>200</v>
          </cell>
        </row>
        <row r="27">
          <cell r="B27">
            <v>380</v>
          </cell>
        </row>
        <row r="28">
          <cell r="B28">
            <v>42600</v>
          </cell>
        </row>
        <row r="29">
          <cell r="B29">
            <v>39000</v>
          </cell>
        </row>
        <row r="30">
          <cell r="B30">
            <v>4000</v>
          </cell>
        </row>
        <row r="33">
          <cell r="B33">
            <v>2842508</v>
          </cell>
        </row>
        <row r="34">
          <cell r="B34">
            <v>119166</v>
          </cell>
        </row>
        <row r="35">
          <cell r="B35">
            <v>99890</v>
          </cell>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0"/>
  <sheetViews>
    <sheetView showWhiteSpace="0" zoomScale="94" zoomScaleNormal="94" zoomScalePageLayoutView="84" workbookViewId="0">
      <pane xSplit="2" ySplit="13" topLeftCell="C14" activePane="bottomRight" state="frozen"/>
      <selection pane="topRight" activeCell="C1" sqref="C1"/>
      <selection pane="bottomLeft" activeCell="A11" sqref="A11"/>
      <selection pane="bottomRight" activeCell="D18" sqref="D18"/>
    </sheetView>
  </sheetViews>
  <sheetFormatPr defaultColWidth="11.5546875" defaultRowHeight="15.6"/>
  <cols>
    <col min="1" max="1" width="6.5546875" style="898" customWidth="1"/>
    <col min="2" max="2" width="40.33203125" style="898" customWidth="1"/>
    <col min="3" max="3" width="17.33203125" style="898" customWidth="1"/>
    <col min="4" max="4" width="19.33203125" style="898" customWidth="1"/>
    <col min="5" max="7" width="11.109375" style="898" customWidth="1"/>
    <col min="8" max="8" width="12.6640625" style="898" customWidth="1"/>
    <col min="9" max="12" width="11.109375" style="898" customWidth="1"/>
    <col min="13" max="13" width="12.44140625" style="898" customWidth="1"/>
    <col min="14" max="14" width="11.109375" style="898" customWidth="1"/>
    <col min="15" max="16" width="12.44140625" style="898" customWidth="1"/>
    <col min="17" max="17" width="11.109375" style="898" customWidth="1"/>
    <col min="18" max="18" width="17.109375" style="898" customWidth="1"/>
    <col min="19" max="23" width="20" style="898" customWidth="1"/>
    <col min="24" max="24" width="12.6640625" style="898" bestFit="1" customWidth="1"/>
    <col min="25" max="25" width="11.88671875" style="898" customWidth="1"/>
    <col min="26" max="256" width="11.5546875" style="898"/>
    <col min="257" max="257" width="6.5546875" style="898" customWidth="1"/>
    <col min="258" max="258" width="40.33203125" style="898" customWidth="1"/>
    <col min="259" max="259" width="17.33203125" style="898" customWidth="1"/>
    <col min="260" max="260" width="19.33203125" style="898" customWidth="1"/>
    <col min="261" max="263" width="11.109375" style="898" customWidth="1"/>
    <col min="264" max="264" width="12.6640625" style="898" customWidth="1"/>
    <col min="265" max="268" width="11.109375" style="898" customWidth="1"/>
    <col min="269" max="269" width="12.44140625" style="898" customWidth="1"/>
    <col min="270" max="270" width="11.109375" style="898" customWidth="1"/>
    <col min="271" max="272" width="12.44140625" style="898" customWidth="1"/>
    <col min="273" max="273" width="11.109375" style="898" customWidth="1"/>
    <col min="274" max="274" width="17.109375" style="898" customWidth="1"/>
    <col min="275" max="279" width="20" style="898" customWidth="1"/>
    <col min="280" max="280" width="12.6640625" style="898" bestFit="1" customWidth="1"/>
    <col min="281" max="281" width="11.88671875" style="898" customWidth="1"/>
    <col min="282" max="512" width="11.5546875" style="898"/>
    <col min="513" max="513" width="6.5546875" style="898" customWidth="1"/>
    <col min="514" max="514" width="40.33203125" style="898" customWidth="1"/>
    <col min="515" max="515" width="17.33203125" style="898" customWidth="1"/>
    <col min="516" max="516" width="19.33203125" style="898" customWidth="1"/>
    <col min="517" max="519" width="11.109375" style="898" customWidth="1"/>
    <col min="520" max="520" width="12.6640625" style="898" customWidth="1"/>
    <col min="521" max="524" width="11.109375" style="898" customWidth="1"/>
    <col min="525" max="525" width="12.44140625" style="898" customWidth="1"/>
    <col min="526" max="526" width="11.109375" style="898" customWidth="1"/>
    <col min="527" max="528" width="12.44140625" style="898" customWidth="1"/>
    <col min="529" max="529" width="11.109375" style="898" customWidth="1"/>
    <col min="530" max="530" width="17.109375" style="898" customWidth="1"/>
    <col min="531" max="535" width="20" style="898" customWidth="1"/>
    <col min="536" max="536" width="12.6640625" style="898" bestFit="1" customWidth="1"/>
    <col min="537" max="537" width="11.88671875" style="898" customWidth="1"/>
    <col min="538" max="768" width="11.5546875" style="898"/>
    <col min="769" max="769" width="6.5546875" style="898" customWidth="1"/>
    <col min="770" max="770" width="40.33203125" style="898" customWidth="1"/>
    <col min="771" max="771" width="17.33203125" style="898" customWidth="1"/>
    <col min="772" max="772" width="19.33203125" style="898" customWidth="1"/>
    <col min="773" max="775" width="11.109375" style="898" customWidth="1"/>
    <col min="776" max="776" width="12.6640625" style="898" customWidth="1"/>
    <col min="777" max="780" width="11.109375" style="898" customWidth="1"/>
    <col min="781" max="781" width="12.44140625" style="898" customWidth="1"/>
    <col min="782" max="782" width="11.109375" style="898" customWidth="1"/>
    <col min="783" max="784" width="12.44140625" style="898" customWidth="1"/>
    <col min="785" max="785" width="11.109375" style="898" customWidth="1"/>
    <col min="786" max="786" width="17.109375" style="898" customWidth="1"/>
    <col min="787" max="791" width="20" style="898" customWidth="1"/>
    <col min="792" max="792" width="12.6640625" style="898" bestFit="1" customWidth="1"/>
    <col min="793" max="793" width="11.88671875" style="898" customWidth="1"/>
    <col min="794" max="1024" width="11.5546875" style="898"/>
    <col min="1025" max="1025" width="6.5546875" style="898" customWidth="1"/>
    <col min="1026" max="1026" width="40.33203125" style="898" customWidth="1"/>
    <col min="1027" max="1027" width="17.33203125" style="898" customWidth="1"/>
    <col min="1028" max="1028" width="19.33203125" style="898" customWidth="1"/>
    <col min="1029" max="1031" width="11.109375" style="898" customWidth="1"/>
    <col min="1032" max="1032" width="12.6640625" style="898" customWidth="1"/>
    <col min="1033" max="1036" width="11.109375" style="898" customWidth="1"/>
    <col min="1037" max="1037" width="12.44140625" style="898" customWidth="1"/>
    <col min="1038" max="1038" width="11.109375" style="898" customWidth="1"/>
    <col min="1039" max="1040" width="12.44140625" style="898" customWidth="1"/>
    <col min="1041" max="1041" width="11.109375" style="898" customWidth="1"/>
    <col min="1042" max="1042" width="17.109375" style="898" customWidth="1"/>
    <col min="1043" max="1047" width="20" style="898" customWidth="1"/>
    <col min="1048" max="1048" width="12.6640625" style="898" bestFit="1" customWidth="1"/>
    <col min="1049" max="1049" width="11.88671875" style="898" customWidth="1"/>
    <col min="1050" max="1280" width="11.5546875" style="898"/>
    <col min="1281" max="1281" width="6.5546875" style="898" customWidth="1"/>
    <col min="1282" max="1282" width="40.33203125" style="898" customWidth="1"/>
    <col min="1283" max="1283" width="17.33203125" style="898" customWidth="1"/>
    <col min="1284" max="1284" width="19.33203125" style="898" customWidth="1"/>
    <col min="1285" max="1287" width="11.109375" style="898" customWidth="1"/>
    <col min="1288" max="1288" width="12.6640625" style="898" customWidth="1"/>
    <col min="1289" max="1292" width="11.109375" style="898" customWidth="1"/>
    <col min="1293" max="1293" width="12.44140625" style="898" customWidth="1"/>
    <col min="1294" max="1294" width="11.109375" style="898" customWidth="1"/>
    <col min="1295" max="1296" width="12.44140625" style="898" customWidth="1"/>
    <col min="1297" max="1297" width="11.109375" style="898" customWidth="1"/>
    <col min="1298" max="1298" width="17.109375" style="898" customWidth="1"/>
    <col min="1299" max="1303" width="20" style="898" customWidth="1"/>
    <col min="1304" max="1304" width="12.6640625" style="898" bestFit="1" customWidth="1"/>
    <col min="1305" max="1305" width="11.88671875" style="898" customWidth="1"/>
    <col min="1306" max="1536" width="11.5546875" style="898"/>
    <col min="1537" max="1537" width="6.5546875" style="898" customWidth="1"/>
    <col min="1538" max="1538" width="40.33203125" style="898" customWidth="1"/>
    <col min="1539" max="1539" width="17.33203125" style="898" customWidth="1"/>
    <col min="1540" max="1540" width="19.33203125" style="898" customWidth="1"/>
    <col min="1541" max="1543" width="11.109375" style="898" customWidth="1"/>
    <col min="1544" max="1544" width="12.6640625" style="898" customWidth="1"/>
    <col min="1545" max="1548" width="11.109375" style="898" customWidth="1"/>
    <col min="1549" max="1549" width="12.44140625" style="898" customWidth="1"/>
    <col min="1550" max="1550" width="11.109375" style="898" customWidth="1"/>
    <col min="1551" max="1552" width="12.44140625" style="898" customWidth="1"/>
    <col min="1553" max="1553" width="11.109375" style="898" customWidth="1"/>
    <col min="1554" max="1554" width="17.109375" style="898" customWidth="1"/>
    <col min="1555" max="1559" width="20" style="898" customWidth="1"/>
    <col min="1560" max="1560" width="12.6640625" style="898" bestFit="1" customWidth="1"/>
    <col min="1561" max="1561" width="11.88671875" style="898" customWidth="1"/>
    <col min="1562" max="1792" width="11.5546875" style="898"/>
    <col min="1793" max="1793" width="6.5546875" style="898" customWidth="1"/>
    <col min="1794" max="1794" width="40.33203125" style="898" customWidth="1"/>
    <col min="1795" max="1795" width="17.33203125" style="898" customWidth="1"/>
    <col min="1796" max="1796" width="19.33203125" style="898" customWidth="1"/>
    <col min="1797" max="1799" width="11.109375" style="898" customWidth="1"/>
    <col min="1800" max="1800" width="12.6640625" style="898" customWidth="1"/>
    <col min="1801" max="1804" width="11.109375" style="898" customWidth="1"/>
    <col min="1805" max="1805" width="12.44140625" style="898" customWidth="1"/>
    <col min="1806" max="1806" width="11.109375" style="898" customWidth="1"/>
    <col min="1807" max="1808" width="12.44140625" style="898" customWidth="1"/>
    <col min="1809" max="1809" width="11.109375" style="898" customWidth="1"/>
    <col min="1810" max="1810" width="17.109375" style="898" customWidth="1"/>
    <col min="1811" max="1815" width="20" style="898" customWidth="1"/>
    <col min="1816" max="1816" width="12.6640625" style="898" bestFit="1" customWidth="1"/>
    <col min="1817" max="1817" width="11.88671875" style="898" customWidth="1"/>
    <col min="1818" max="2048" width="11.5546875" style="898"/>
    <col min="2049" max="2049" width="6.5546875" style="898" customWidth="1"/>
    <col min="2050" max="2050" width="40.33203125" style="898" customWidth="1"/>
    <col min="2051" max="2051" width="17.33203125" style="898" customWidth="1"/>
    <col min="2052" max="2052" width="19.33203125" style="898" customWidth="1"/>
    <col min="2053" max="2055" width="11.109375" style="898" customWidth="1"/>
    <col min="2056" max="2056" width="12.6640625" style="898" customWidth="1"/>
    <col min="2057" max="2060" width="11.109375" style="898" customWidth="1"/>
    <col min="2061" max="2061" width="12.44140625" style="898" customWidth="1"/>
    <col min="2062" max="2062" width="11.109375" style="898" customWidth="1"/>
    <col min="2063" max="2064" width="12.44140625" style="898" customWidth="1"/>
    <col min="2065" max="2065" width="11.109375" style="898" customWidth="1"/>
    <col min="2066" max="2066" width="17.109375" style="898" customWidth="1"/>
    <col min="2067" max="2071" width="20" style="898" customWidth="1"/>
    <col min="2072" max="2072" width="12.6640625" style="898" bestFit="1" customWidth="1"/>
    <col min="2073" max="2073" width="11.88671875" style="898" customWidth="1"/>
    <col min="2074" max="2304" width="11.5546875" style="898"/>
    <col min="2305" max="2305" width="6.5546875" style="898" customWidth="1"/>
    <col min="2306" max="2306" width="40.33203125" style="898" customWidth="1"/>
    <col min="2307" max="2307" width="17.33203125" style="898" customWidth="1"/>
    <col min="2308" max="2308" width="19.33203125" style="898" customWidth="1"/>
    <col min="2309" max="2311" width="11.109375" style="898" customWidth="1"/>
    <col min="2312" max="2312" width="12.6640625" style="898" customWidth="1"/>
    <col min="2313" max="2316" width="11.109375" style="898" customWidth="1"/>
    <col min="2317" max="2317" width="12.44140625" style="898" customWidth="1"/>
    <col min="2318" max="2318" width="11.109375" style="898" customWidth="1"/>
    <col min="2319" max="2320" width="12.44140625" style="898" customWidth="1"/>
    <col min="2321" max="2321" width="11.109375" style="898" customWidth="1"/>
    <col min="2322" max="2322" width="17.109375" style="898" customWidth="1"/>
    <col min="2323" max="2327" width="20" style="898" customWidth="1"/>
    <col min="2328" max="2328" width="12.6640625" style="898" bestFit="1" customWidth="1"/>
    <col min="2329" max="2329" width="11.88671875" style="898" customWidth="1"/>
    <col min="2330" max="2560" width="11.5546875" style="898"/>
    <col min="2561" max="2561" width="6.5546875" style="898" customWidth="1"/>
    <col min="2562" max="2562" width="40.33203125" style="898" customWidth="1"/>
    <col min="2563" max="2563" width="17.33203125" style="898" customWidth="1"/>
    <col min="2564" max="2564" width="19.33203125" style="898" customWidth="1"/>
    <col min="2565" max="2567" width="11.109375" style="898" customWidth="1"/>
    <col min="2568" max="2568" width="12.6640625" style="898" customWidth="1"/>
    <col min="2569" max="2572" width="11.109375" style="898" customWidth="1"/>
    <col min="2573" max="2573" width="12.44140625" style="898" customWidth="1"/>
    <col min="2574" max="2574" width="11.109375" style="898" customWidth="1"/>
    <col min="2575" max="2576" width="12.44140625" style="898" customWidth="1"/>
    <col min="2577" max="2577" width="11.109375" style="898" customWidth="1"/>
    <col min="2578" max="2578" width="17.109375" style="898" customWidth="1"/>
    <col min="2579" max="2583" width="20" style="898" customWidth="1"/>
    <col min="2584" max="2584" width="12.6640625" style="898" bestFit="1" customWidth="1"/>
    <col min="2585" max="2585" width="11.88671875" style="898" customWidth="1"/>
    <col min="2586" max="2816" width="11.5546875" style="898"/>
    <col min="2817" max="2817" width="6.5546875" style="898" customWidth="1"/>
    <col min="2818" max="2818" width="40.33203125" style="898" customWidth="1"/>
    <col min="2819" max="2819" width="17.33203125" style="898" customWidth="1"/>
    <col min="2820" max="2820" width="19.33203125" style="898" customWidth="1"/>
    <col min="2821" max="2823" width="11.109375" style="898" customWidth="1"/>
    <col min="2824" max="2824" width="12.6640625" style="898" customWidth="1"/>
    <col min="2825" max="2828" width="11.109375" style="898" customWidth="1"/>
    <col min="2829" max="2829" width="12.44140625" style="898" customWidth="1"/>
    <col min="2830" max="2830" width="11.109375" style="898" customWidth="1"/>
    <col min="2831" max="2832" width="12.44140625" style="898" customWidth="1"/>
    <col min="2833" max="2833" width="11.109375" style="898" customWidth="1"/>
    <col min="2834" max="2834" width="17.109375" style="898" customWidth="1"/>
    <col min="2835" max="2839" width="20" style="898" customWidth="1"/>
    <col min="2840" max="2840" width="12.6640625" style="898" bestFit="1" customWidth="1"/>
    <col min="2841" max="2841" width="11.88671875" style="898" customWidth="1"/>
    <col min="2842" max="3072" width="11.5546875" style="898"/>
    <col min="3073" max="3073" width="6.5546875" style="898" customWidth="1"/>
    <col min="3074" max="3074" width="40.33203125" style="898" customWidth="1"/>
    <col min="3075" max="3075" width="17.33203125" style="898" customWidth="1"/>
    <col min="3076" max="3076" width="19.33203125" style="898" customWidth="1"/>
    <col min="3077" max="3079" width="11.109375" style="898" customWidth="1"/>
    <col min="3080" max="3080" width="12.6640625" style="898" customWidth="1"/>
    <col min="3081" max="3084" width="11.109375" style="898" customWidth="1"/>
    <col min="3085" max="3085" width="12.44140625" style="898" customWidth="1"/>
    <col min="3086" max="3086" width="11.109375" style="898" customWidth="1"/>
    <col min="3087" max="3088" width="12.44140625" style="898" customWidth="1"/>
    <col min="3089" max="3089" width="11.109375" style="898" customWidth="1"/>
    <col min="3090" max="3090" width="17.109375" style="898" customWidth="1"/>
    <col min="3091" max="3095" width="20" style="898" customWidth="1"/>
    <col min="3096" max="3096" width="12.6640625" style="898" bestFit="1" customWidth="1"/>
    <col min="3097" max="3097" width="11.88671875" style="898" customWidth="1"/>
    <col min="3098" max="3328" width="11.5546875" style="898"/>
    <col min="3329" max="3329" width="6.5546875" style="898" customWidth="1"/>
    <col min="3330" max="3330" width="40.33203125" style="898" customWidth="1"/>
    <col min="3331" max="3331" width="17.33203125" style="898" customWidth="1"/>
    <col min="3332" max="3332" width="19.33203125" style="898" customWidth="1"/>
    <col min="3333" max="3335" width="11.109375" style="898" customWidth="1"/>
    <col min="3336" max="3336" width="12.6640625" style="898" customWidth="1"/>
    <col min="3337" max="3340" width="11.109375" style="898" customWidth="1"/>
    <col min="3341" max="3341" width="12.44140625" style="898" customWidth="1"/>
    <col min="3342" max="3342" width="11.109375" style="898" customWidth="1"/>
    <col min="3343" max="3344" width="12.44140625" style="898" customWidth="1"/>
    <col min="3345" max="3345" width="11.109375" style="898" customWidth="1"/>
    <col min="3346" max="3346" width="17.109375" style="898" customWidth="1"/>
    <col min="3347" max="3351" width="20" style="898" customWidth="1"/>
    <col min="3352" max="3352" width="12.6640625" style="898" bestFit="1" customWidth="1"/>
    <col min="3353" max="3353" width="11.88671875" style="898" customWidth="1"/>
    <col min="3354" max="3584" width="11.5546875" style="898"/>
    <col min="3585" max="3585" width="6.5546875" style="898" customWidth="1"/>
    <col min="3586" max="3586" width="40.33203125" style="898" customWidth="1"/>
    <col min="3587" max="3587" width="17.33203125" style="898" customWidth="1"/>
    <col min="3588" max="3588" width="19.33203125" style="898" customWidth="1"/>
    <col min="3589" max="3591" width="11.109375" style="898" customWidth="1"/>
    <col min="3592" max="3592" width="12.6640625" style="898" customWidth="1"/>
    <col min="3593" max="3596" width="11.109375" style="898" customWidth="1"/>
    <col min="3597" max="3597" width="12.44140625" style="898" customWidth="1"/>
    <col min="3598" max="3598" width="11.109375" style="898" customWidth="1"/>
    <col min="3599" max="3600" width="12.44140625" style="898" customWidth="1"/>
    <col min="3601" max="3601" width="11.109375" style="898" customWidth="1"/>
    <col min="3602" max="3602" width="17.109375" style="898" customWidth="1"/>
    <col min="3603" max="3607" width="20" style="898" customWidth="1"/>
    <col min="3608" max="3608" width="12.6640625" style="898" bestFit="1" customWidth="1"/>
    <col min="3609" max="3609" width="11.88671875" style="898" customWidth="1"/>
    <col min="3610" max="3840" width="11.5546875" style="898"/>
    <col min="3841" max="3841" width="6.5546875" style="898" customWidth="1"/>
    <col min="3842" max="3842" width="40.33203125" style="898" customWidth="1"/>
    <col min="3843" max="3843" width="17.33203125" style="898" customWidth="1"/>
    <col min="3844" max="3844" width="19.33203125" style="898" customWidth="1"/>
    <col min="3845" max="3847" width="11.109375" style="898" customWidth="1"/>
    <col min="3848" max="3848" width="12.6640625" style="898" customWidth="1"/>
    <col min="3849" max="3852" width="11.109375" style="898" customWidth="1"/>
    <col min="3853" max="3853" width="12.44140625" style="898" customWidth="1"/>
    <col min="3854" max="3854" width="11.109375" style="898" customWidth="1"/>
    <col min="3855" max="3856" width="12.44140625" style="898" customWidth="1"/>
    <col min="3857" max="3857" width="11.109375" style="898" customWidth="1"/>
    <col min="3858" max="3858" width="17.109375" style="898" customWidth="1"/>
    <col min="3859" max="3863" width="20" style="898" customWidth="1"/>
    <col min="3864" max="3864" width="12.6640625" style="898" bestFit="1" customWidth="1"/>
    <col min="3865" max="3865" width="11.88671875" style="898" customWidth="1"/>
    <col min="3866" max="4096" width="11.5546875" style="898"/>
    <col min="4097" max="4097" width="6.5546875" style="898" customWidth="1"/>
    <col min="4098" max="4098" width="40.33203125" style="898" customWidth="1"/>
    <col min="4099" max="4099" width="17.33203125" style="898" customWidth="1"/>
    <col min="4100" max="4100" width="19.33203125" style="898" customWidth="1"/>
    <col min="4101" max="4103" width="11.109375" style="898" customWidth="1"/>
    <col min="4104" max="4104" width="12.6640625" style="898" customWidth="1"/>
    <col min="4105" max="4108" width="11.109375" style="898" customWidth="1"/>
    <col min="4109" max="4109" width="12.44140625" style="898" customWidth="1"/>
    <col min="4110" max="4110" width="11.109375" style="898" customWidth="1"/>
    <col min="4111" max="4112" width="12.44140625" style="898" customWidth="1"/>
    <col min="4113" max="4113" width="11.109375" style="898" customWidth="1"/>
    <col min="4114" max="4114" width="17.109375" style="898" customWidth="1"/>
    <col min="4115" max="4119" width="20" style="898" customWidth="1"/>
    <col min="4120" max="4120" width="12.6640625" style="898" bestFit="1" customWidth="1"/>
    <col min="4121" max="4121" width="11.88671875" style="898" customWidth="1"/>
    <col min="4122" max="4352" width="11.5546875" style="898"/>
    <col min="4353" max="4353" width="6.5546875" style="898" customWidth="1"/>
    <col min="4354" max="4354" width="40.33203125" style="898" customWidth="1"/>
    <col min="4355" max="4355" width="17.33203125" style="898" customWidth="1"/>
    <col min="4356" max="4356" width="19.33203125" style="898" customWidth="1"/>
    <col min="4357" max="4359" width="11.109375" style="898" customWidth="1"/>
    <col min="4360" max="4360" width="12.6640625" style="898" customWidth="1"/>
    <col min="4361" max="4364" width="11.109375" style="898" customWidth="1"/>
    <col min="4365" max="4365" width="12.44140625" style="898" customWidth="1"/>
    <col min="4366" max="4366" width="11.109375" style="898" customWidth="1"/>
    <col min="4367" max="4368" width="12.44140625" style="898" customWidth="1"/>
    <col min="4369" max="4369" width="11.109375" style="898" customWidth="1"/>
    <col min="4370" max="4370" width="17.109375" style="898" customWidth="1"/>
    <col min="4371" max="4375" width="20" style="898" customWidth="1"/>
    <col min="4376" max="4376" width="12.6640625" style="898" bestFit="1" customWidth="1"/>
    <col min="4377" max="4377" width="11.88671875" style="898" customWidth="1"/>
    <col min="4378" max="4608" width="11.5546875" style="898"/>
    <col min="4609" max="4609" width="6.5546875" style="898" customWidth="1"/>
    <col min="4610" max="4610" width="40.33203125" style="898" customWidth="1"/>
    <col min="4611" max="4611" width="17.33203125" style="898" customWidth="1"/>
    <col min="4612" max="4612" width="19.33203125" style="898" customWidth="1"/>
    <col min="4613" max="4615" width="11.109375" style="898" customWidth="1"/>
    <col min="4616" max="4616" width="12.6640625" style="898" customWidth="1"/>
    <col min="4617" max="4620" width="11.109375" style="898" customWidth="1"/>
    <col min="4621" max="4621" width="12.44140625" style="898" customWidth="1"/>
    <col min="4622" max="4622" width="11.109375" style="898" customWidth="1"/>
    <col min="4623" max="4624" width="12.44140625" style="898" customWidth="1"/>
    <col min="4625" max="4625" width="11.109375" style="898" customWidth="1"/>
    <col min="4626" max="4626" width="17.109375" style="898" customWidth="1"/>
    <col min="4627" max="4631" width="20" style="898" customWidth="1"/>
    <col min="4632" max="4632" width="12.6640625" style="898" bestFit="1" customWidth="1"/>
    <col min="4633" max="4633" width="11.88671875" style="898" customWidth="1"/>
    <col min="4634" max="4864" width="11.5546875" style="898"/>
    <col min="4865" max="4865" width="6.5546875" style="898" customWidth="1"/>
    <col min="4866" max="4866" width="40.33203125" style="898" customWidth="1"/>
    <col min="4867" max="4867" width="17.33203125" style="898" customWidth="1"/>
    <col min="4868" max="4868" width="19.33203125" style="898" customWidth="1"/>
    <col min="4869" max="4871" width="11.109375" style="898" customWidth="1"/>
    <col min="4872" max="4872" width="12.6640625" style="898" customWidth="1"/>
    <col min="4873" max="4876" width="11.109375" style="898" customWidth="1"/>
    <col min="4877" max="4877" width="12.44140625" style="898" customWidth="1"/>
    <col min="4878" max="4878" width="11.109375" style="898" customWidth="1"/>
    <col min="4879" max="4880" width="12.44140625" style="898" customWidth="1"/>
    <col min="4881" max="4881" width="11.109375" style="898" customWidth="1"/>
    <col min="4882" max="4882" width="17.109375" style="898" customWidth="1"/>
    <col min="4883" max="4887" width="20" style="898" customWidth="1"/>
    <col min="4888" max="4888" width="12.6640625" style="898" bestFit="1" customWidth="1"/>
    <col min="4889" max="4889" width="11.88671875" style="898" customWidth="1"/>
    <col min="4890" max="5120" width="11.5546875" style="898"/>
    <col min="5121" max="5121" width="6.5546875" style="898" customWidth="1"/>
    <col min="5122" max="5122" width="40.33203125" style="898" customWidth="1"/>
    <col min="5123" max="5123" width="17.33203125" style="898" customWidth="1"/>
    <col min="5124" max="5124" width="19.33203125" style="898" customWidth="1"/>
    <col min="5125" max="5127" width="11.109375" style="898" customWidth="1"/>
    <col min="5128" max="5128" width="12.6640625" style="898" customWidth="1"/>
    <col min="5129" max="5132" width="11.109375" style="898" customWidth="1"/>
    <col min="5133" max="5133" width="12.44140625" style="898" customWidth="1"/>
    <col min="5134" max="5134" width="11.109375" style="898" customWidth="1"/>
    <col min="5135" max="5136" width="12.44140625" style="898" customWidth="1"/>
    <col min="5137" max="5137" width="11.109375" style="898" customWidth="1"/>
    <col min="5138" max="5138" width="17.109375" style="898" customWidth="1"/>
    <col min="5139" max="5143" width="20" style="898" customWidth="1"/>
    <col min="5144" max="5144" width="12.6640625" style="898" bestFit="1" customWidth="1"/>
    <col min="5145" max="5145" width="11.88671875" style="898" customWidth="1"/>
    <col min="5146" max="5376" width="11.5546875" style="898"/>
    <col min="5377" max="5377" width="6.5546875" style="898" customWidth="1"/>
    <col min="5378" max="5378" width="40.33203125" style="898" customWidth="1"/>
    <col min="5379" max="5379" width="17.33203125" style="898" customWidth="1"/>
    <col min="5380" max="5380" width="19.33203125" style="898" customWidth="1"/>
    <col min="5381" max="5383" width="11.109375" style="898" customWidth="1"/>
    <col min="5384" max="5384" width="12.6640625" style="898" customWidth="1"/>
    <col min="5385" max="5388" width="11.109375" style="898" customWidth="1"/>
    <col min="5389" max="5389" width="12.44140625" style="898" customWidth="1"/>
    <col min="5390" max="5390" width="11.109375" style="898" customWidth="1"/>
    <col min="5391" max="5392" width="12.44140625" style="898" customWidth="1"/>
    <col min="5393" max="5393" width="11.109375" style="898" customWidth="1"/>
    <col min="5394" max="5394" width="17.109375" style="898" customWidth="1"/>
    <col min="5395" max="5399" width="20" style="898" customWidth="1"/>
    <col min="5400" max="5400" width="12.6640625" style="898" bestFit="1" customWidth="1"/>
    <col min="5401" max="5401" width="11.88671875" style="898" customWidth="1"/>
    <col min="5402" max="5632" width="11.5546875" style="898"/>
    <col min="5633" max="5633" width="6.5546875" style="898" customWidth="1"/>
    <col min="5634" max="5634" width="40.33203125" style="898" customWidth="1"/>
    <col min="5635" max="5635" width="17.33203125" style="898" customWidth="1"/>
    <col min="5636" max="5636" width="19.33203125" style="898" customWidth="1"/>
    <col min="5637" max="5639" width="11.109375" style="898" customWidth="1"/>
    <col min="5640" max="5640" width="12.6640625" style="898" customWidth="1"/>
    <col min="5641" max="5644" width="11.109375" style="898" customWidth="1"/>
    <col min="5645" max="5645" width="12.44140625" style="898" customWidth="1"/>
    <col min="5646" max="5646" width="11.109375" style="898" customWidth="1"/>
    <col min="5647" max="5648" width="12.44140625" style="898" customWidth="1"/>
    <col min="5649" max="5649" width="11.109375" style="898" customWidth="1"/>
    <col min="5650" max="5650" width="17.109375" style="898" customWidth="1"/>
    <col min="5651" max="5655" width="20" style="898" customWidth="1"/>
    <col min="5656" max="5656" width="12.6640625" style="898" bestFit="1" customWidth="1"/>
    <col min="5657" max="5657" width="11.88671875" style="898" customWidth="1"/>
    <col min="5658" max="5888" width="11.5546875" style="898"/>
    <col min="5889" max="5889" width="6.5546875" style="898" customWidth="1"/>
    <col min="5890" max="5890" width="40.33203125" style="898" customWidth="1"/>
    <col min="5891" max="5891" width="17.33203125" style="898" customWidth="1"/>
    <col min="5892" max="5892" width="19.33203125" style="898" customWidth="1"/>
    <col min="5893" max="5895" width="11.109375" style="898" customWidth="1"/>
    <col min="5896" max="5896" width="12.6640625" style="898" customWidth="1"/>
    <col min="5897" max="5900" width="11.109375" style="898" customWidth="1"/>
    <col min="5901" max="5901" width="12.44140625" style="898" customWidth="1"/>
    <col min="5902" max="5902" width="11.109375" style="898" customWidth="1"/>
    <col min="5903" max="5904" width="12.44140625" style="898" customWidth="1"/>
    <col min="5905" max="5905" width="11.109375" style="898" customWidth="1"/>
    <col min="5906" max="5906" width="17.109375" style="898" customWidth="1"/>
    <col min="5907" max="5911" width="20" style="898" customWidth="1"/>
    <col min="5912" max="5912" width="12.6640625" style="898" bestFit="1" customWidth="1"/>
    <col min="5913" max="5913" width="11.88671875" style="898" customWidth="1"/>
    <col min="5914" max="6144" width="11.5546875" style="898"/>
    <col min="6145" max="6145" width="6.5546875" style="898" customWidth="1"/>
    <col min="6146" max="6146" width="40.33203125" style="898" customWidth="1"/>
    <col min="6147" max="6147" width="17.33203125" style="898" customWidth="1"/>
    <col min="6148" max="6148" width="19.33203125" style="898" customWidth="1"/>
    <col min="6149" max="6151" width="11.109375" style="898" customWidth="1"/>
    <col min="6152" max="6152" width="12.6640625" style="898" customWidth="1"/>
    <col min="6153" max="6156" width="11.109375" style="898" customWidth="1"/>
    <col min="6157" max="6157" width="12.44140625" style="898" customWidth="1"/>
    <col min="6158" max="6158" width="11.109375" style="898" customWidth="1"/>
    <col min="6159" max="6160" width="12.44140625" style="898" customWidth="1"/>
    <col min="6161" max="6161" width="11.109375" style="898" customWidth="1"/>
    <col min="6162" max="6162" width="17.109375" style="898" customWidth="1"/>
    <col min="6163" max="6167" width="20" style="898" customWidth="1"/>
    <col min="6168" max="6168" width="12.6640625" style="898" bestFit="1" customWidth="1"/>
    <col min="6169" max="6169" width="11.88671875" style="898" customWidth="1"/>
    <col min="6170" max="6400" width="11.5546875" style="898"/>
    <col min="6401" max="6401" width="6.5546875" style="898" customWidth="1"/>
    <col min="6402" max="6402" width="40.33203125" style="898" customWidth="1"/>
    <col min="6403" max="6403" width="17.33203125" style="898" customWidth="1"/>
    <col min="6404" max="6404" width="19.33203125" style="898" customWidth="1"/>
    <col min="6405" max="6407" width="11.109375" style="898" customWidth="1"/>
    <col min="6408" max="6408" width="12.6640625" style="898" customWidth="1"/>
    <col min="6409" max="6412" width="11.109375" style="898" customWidth="1"/>
    <col min="6413" max="6413" width="12.44140625" style="898" customWidth="1"/>
    <col min="6414" max="6414" width="11.109375" style="898" customWidth="1"/>
    <col min="6415" max="6416" width="12.44140625" style="898" customWidth="1"/>
    <col min="6417" max="6417" width="11.109375" style="898" customWidth="1"/>
    <col min="6418" max="6418" width="17.109375" style="898" customWidth="1"/>
    <col min="6419" max="6423" width="20" style="898" customWidth="1"/>
    <col min="6424" max="6424" width="12.6640625" style="898" bestFit="1" customWidth="1"/>
    <col min="6425" max="6425" width="11.88671875" style="898" customWidth="1"/>
    <col min="6426" max="6656" width="11.5546875" style="898"/>
    <col min="6657" max="6657" width="6.5546875" style="898" customWidth="1"/>
    <col min="6658" max="6658" width="40.33203125" style="898" customWidth="1"/>
    <col min="6659" max="6659" width="17.33203125" style="898" customWidth="1"/>
    <col min="6660" max="6660" width="19.33203125" style="898" customWidth="1"/>
    <col min="6661" max="6663" width="11.109375" style="898" customWidth="1"/>
    <col min="6664" max="6664" width="12.6640625" style="898" customWidth="1"/>
    <col min="6665" max="6668" width="11.109375" style="898" customWidth="1"/>
    <col min="6669" max="6669" width="12.44140625" style="898" customWidth="1"/>
    <col min="6670" max="6670" width="11.109375" style="898" customWidth="1"/>
    <col min="6671" max="6672" width="12.44140625" style="898" customWidth="1"/>
    <col min="6673" max="6673" width="11.109375" style="898" customWidth="1"/>
    <col min="6674" max="6674" width="17.109375" style="898" customWidth="1"/>
    <col min="6675" max="6679" width="20" style="898" customWidth="1"/>
    <col min="6680" max="6680" width="12.6640625" style="898" bestFit="1" customWidth="1"/>
    <col min="6681" max="6681" width="11.88671875" style="898" customWidth="1"/>
    <col min="6682" max="6912" width="11.5546875" style="898"/>
    <col min="6913" max="6913" width="6.5546875" style="898" customWidth="1"/>
    <col min="6914" max="6914" width="40.33203125" style="898" customWidth="1"/>
    <col min="6915" max="6915" width="17.33203125" style="898" customWidth="1"/>
    <col min="6916" max="6916" width="19.33203125" style="898" customWidth="1"/>
    <col min="6917" max="6919" width="11.109375" style="898" customWidth="1"/>
    <col min="6920" max="6920" width="12.6640625" style="898" customWidth="1"/>
    <col min="6921" max="6924" width="11.109375" style="898" customWidth="1"/>
    <col min="6925" max="6925" width="12.44140625" style="898" customWidth="1"/>
    <col min="6926" max="6926" width="11.109375" style="898" customWidth="1"/>
    <col min="6927" max="6928" width="12.44140625" style="898" customWidth="1"/>
    <col min="6929" max="6929" width="11.109375" style="898" customWidth="1"/>
    <col min="6930" max="6930" width="17.109375" style="898" customWidth="1"/>
    <col min="6931" max="6935" width="20" style="898" customWidth="1"/>
    <col min="6936" max="6936" width="12.6640625" style="898" bestFit="1" customWidth="1"/>
    <col min="6937" max="6937" width="11.88671875" style="898" customWidth="1"/>
    <col min="6938" max="7168" width="11.5546875" style="898"/>
    <col min="7169" max="7169" width="6.5546875" style="898" customWidth="1"/>
    <col min="7170" max="7170" width="40.33203125" style="898" customWidth="1"/>
    <col min="7171" max="7171" width="17.33203125" style="898" customWidth="1"/>
    <col min="7172" max="7172" width="19.33203125" style="898" customWidth="1"/>
    <col min="7173" max="7175" width="11.109375" style="898" customWidth="1"/>
    <col min="7176" max="7176" width="12.6640625" style="898" customWidth="1"/>
    <col min="7177" max="7180" width="11.109375" style="898" customWidth="1"/>
    <col min="7181" max="7181" width="12.44140625" style="898" customWidth="1"/>
    <col min="7182" max="7182" width="11.109375" style="898" customWidth="1"/>
    <col min="7183" max="7184" width="12.44140625" style="898" customWidth="1"/>
    <col min="7185" max="7185" width="11.109375" style="898" customWidth="1"/>
    <col min="7186" max="7186" width="17.109375" style="898" customWidth="1"/>
    <col min="7187" max="7191" width="20" style="898" customWidth="1"/>
    <col min="7192" max="7192" width="12.6640625" style="898" bestFit="1" customWidth="1"/>
    <col min="7193" max="7193" width="11.88671875" style="898" customWidth="1"/>
    <col min="7194" max="7424" width="11.5546875" style="898"/>
    <col min="7425" max="7425" width="6.5546875" style="898" customWidth="1"/>
    <col min="7426" max="7426" width="40.33203125" style="898" customWidth="1"/>
    <col min="7427" max="7427" width="17.33203125" style="898" customWidth="1"/>
    <col min="7428" max="7428" width="19.33203125" style="898" customWidth="1"/>
    <col min="7429" max="7431" width="11.109375" style="898" customWidth="1"/>
    <col min="7432" max="7432" width="12.6640625" style="898" customWidth="1"/>
    <col min="7433" max="7436" width="11.109375" style="898" customWidth="1"/>
    <col min="7437" max="7437" width="12.44140625" style="898" customWidth="1"/>
    <col min="7438" max="7438" width="11.109375" style="898" customWidth="1"/>
    <col min="7439" max="7440" width="12.44140625" style="898" customWidth="1"/>
    <col min="7441" max="7441" width="11.109375" style="898" customWidth="1"/>
    <col min="7442" max="7442" width="17.109375" style="898" customWidth="1"/>
    <col min="7443" max="7447" width="20" style="898" customWidth="1"/>
    <col min="7448" max="7448" width="12.6640625" style="898" bestFit="1" customWidth="1"/>
    <col min="7449" max="7449" width="11.88671875" style="898" customWidth="1"/>
    <col min="7450" max="7680" width="11.5546875" style="898"/>
    <col min="7681" max="7681" width="6.5546875" style="898" customWidth="1"/>
    <col min="7682" max="7682" width="40.33203125" style="898" customWidth="1"/>
    <col min="7683" max="7683" width="17.33203125" style="898" customWidth="1"/>
    <col min="7684" max="7684" width="19.33203125" style="898" customWidth="1"/>
    <col min="7685" max="7687" width="11.109375" style="898" customWidth="1"/>
    <col min="7688" max="7688" width="12.6640625" style="898" customWidth="1"/>
    <col min="7689" max="7692" width="11.109375" style="898" customWidth="1"/>
    <col min="7693" max="7693" width="12.44140625" style="898" customWidth="1"/>
    <col min="7694" max="7694" width="11.109375" style="898" customWidth="1"/>
    <col min="7695" max="7696" width="12.44140625" style="898" customWidth="1"/>
    <col min="7697" max="7697" width="11.109375" style="898" customWidth="1"/>
    <col min="7698" max="7698" width="17.109375" style="898" customWidth="1"/>
    <col min="7699" max="7703" width="20" style="898" customWidth="1"/>
    <col min="7704" max="7704" width="12.6640625" style="898" bestFit="1" customWidth="1"/>
    <col min="7705" max="7705" width="11.88671875" style="898" customWidth="1"/>
    <col min="7706" max="7936" width="11.5546875" style="898"/>
    <col min="7937" max="7937" width="6.5546875" style="898" customWidth="1"/>
    <col min="7938" max="7938" width="40.33203125" style="898" customWidth="1"/>
    <col min="7939" max="7939" width="17.33203125" style="898" customWidth="1"/>
    <col min="7940" max="7940" width="19.33203125" style="898" customWidth="1"/>
    <col min="7941" max="7943" width="11.109375" style="898" customWidth="1"/>
    <col min="7944" max="7944" width="12.6640625" style="898" customWidth="1"/>
    <col min="7945" max="7948" width="11.109375" style="898" customWidth="1"/>
    <col min="7949" max="7949" width="12.44140625" style="898" customWidth="1"/>
    <col min="7950" max="7950" width="11.109375" style="898" customWidth="1"/>
    <col min="7951" max="7952" width="12.44140625" style="898" customWidth="1"/>
    <col min="7953" max="7953" width="11.109375" style="898" customWidth="1"/>
    <col min="7954" max="7954" width="17.109375" style="898" customWidth="1"/>
    <col min="7955" max="7959" width="20" style="898" customWidth="1"/>
    <col min="7960" max="7960" width="12.6640625" style="898" bestFit="1" customWidth="1"/>
    <col min="7961" max="7961" width="11.88671875" style="898" customWidth="1"/>
    <col min="7962" max="8192" width="11.5546875" style="898"/>
    <col min="8193" max="8193" width="6.5546875" style="898" customWidth="1"/>
    <col min="8194" max="8194" width="40.33203125" style="898" customWidth="1"/>
    <col min="8195" max="8195" width="17.33203125" style="898" customWidth="1"/>
    <col min="8196" max="8196" width="19.33203125" style="898" customWidth="1"/>
    <col min="8197" max="8199" width="11.109375" style="898" customWidth="1"/>
    <col min="8200" max="8200" width="12.6640625" style="898" customWidth="1"/>
    <col min="8201" max="8204" width="11.109375" style="898" customWidth="1"/>
    <col min="8205" max="8205" width="12.44140625" style="898" customWidth="1"/>
    <col min="8206" max="8206" width="11.109375" style="898" customWidth="1"/>
    <col min="8207" max="8208" width="12.44140625" style="898" customWidth="1"/>
    <col min="8209" max="8209" width="11.109375" style="898" customWidth="1"/>
    <col min="8210" max="8210" width="17.109375" style="898" customWidth="1"/>
    <col min="8211" max="8215" width="20" style="898" customWidth="1"/>
    <col min="8216" max="8216" width="12.6640625" style="898" bestFit="1" customWidth="1"/>
    <col min="8217" max="8217" width="11.88671875" style="898" customWidth="1"/>
    <col min="8218" max="8448" width="11.5546875" style="898"/>
    <col min="8449" max="8449" width="6.5546875" style="898" customWidth="1"/>
    <col min="8450" max="8450" width="40.33203125" style="898" customWidth="1"/>
    <col min="8451" max="8451" width="17.33203125" style="898" customWidth="1"/>
    <col min="8452" max="8452" width="19.33203125" style="898" customWidth="1"/>
    <col min="8453" max="8455" width="11.109375" style="898" customWidth="1"/>
    <col min="8456" max="8456" width="12.6640625" style="898" customWidth="1"/>
    <col min="8457" max="8460" width="11.109375" style="898" customWidth="1"/>
    <col min="8461" max="8461" width="12.44140625" style="898" customWidth="1"/>
    <col min="8462" max="8462" width="11.109375" style="898" customWidth="1"/>
    <col min="8463" max="8464" width="12.44140625" style="898" customWidth="1"/>
    <col min="8465" max="8465" width="11.109375" style="898" customWidth="1"/>
    <col min="8466" max="8466" width="17.109375" style="898" customWidth="1"/>
    <col min="8467" max="8471" width="20" style="898" customWidth="1"/>
    <col min="8472" max="8472" width="12.6640625" style="898" bestFit="1" customWidth="1"/>
    <col min="8473" max="8473" width="11.88671875" style="898" customWidth="1"/>
    <col min="8474" max="8704" width="11.5546875" style="898"/>
    <col min="8705" max="8705" width="6.5546875" style="898" customWidth="1"/>
    <col min="8706" max="8706" width="40.33203125" style="898" customWidth="1"/>
    <col min="8707" max="8707" width="17.33203125" style="898" customWidth="1"/>
    <col min="8708" max="8708" width="19.33203125" style="898" customWidth="1"/>
    <col min="8709" max="8711" width="11.109375" style="898" customWidth="1"/>
    <col min="8712" max="8712" width="12.6640625" style="898" customWidth="1"/>
    <col min="8713" max="8716" width="11.109375" style="898" customWidth="1"/>
    <col min="8717" max="8717" width="12.44140625" style="898" customWidth="1"/>
    <col min="8718" max="8718" width="11.109375" style="898" customWidth="1"/>
    <col min="8719" max="8720" width="12.44140625" style="898" customWidth="1"/>
    <col min="8721" max="8721" width="11.109375" style="898" customWidth="1"/>
    <col min="8722" max="8722" width="17.109375" style="898" customWidth="1"/>
    <col min="8723" max="8727" width="20" style="898" customWidth="1"/>
    <col min="8728" max="8728" width="12.6640625" style="898" bestFit="1" customWidth="1"/>
    <col min="8729" max="8729" width="11.88671875" style="898" customWidth="1"/>
    <col min="8730" max="8960" width="11.5546875" style="898"/>
    <col min="8961" max="8961" width="6.5546875" style="898" customWidth="1"/>
    <col min="8962" max="8962" width="40.33203125" style="898" customWidth="1"/>
    <col min="8963" max="8963" width="17.33203125" style="898" customWidth="1"/>
    <col min="8964" max="8964" width="19.33203125" style="898" customWidth="1"/>
    <col min="8965" max="8967" width="11.109375" style="898" customWidth="1"/>
    <col min="8968" max="8968" width="12.6640625" style="898" customWidth="1"/>
    <col min="8969" max="8972" width="11.109375" style="898" customWidth="1"/>
    <col min="8973" max="8973" width="12.44140625" style="898" customWidth="1"/>
    <col min="8974" max="8974" width="11.109375" style="898" customWidth="1"/>
    <col min="8975" max="8976" width="12.44140625" style="898" customWidth="1"/>
    <col min="8977" max="8977" width="11.109375" style="898" customWidth="1"/>
    <col min="8978" max="8978" width="17.109375" style="898" customWidth="1"/>
    <col min="8979" max="8983" width="20" style="898" customWidth="1"/>
    <col min="8984" max="8984" width="12.6640625" style="898" bestFit="1" customWidth="1"/>
    <col min="8985" max="8985" width="11.88671875" style="898" customWidth="1"/>
    <col min="8986" max="9216" width="11.5546875" style="898"/>
    <col min="9217" max="9217" width="6.5546875" style="898" customWidth="1"/>
    <col min="9218" max="9218" width="40.33203125" style="898" customWidth="1"/>
    <col min="9219" max="9219" width="17.33203125" style="898" customWidth="1"/>
    <col min="9220" max="9220" width="19.33203125" style="898" customWidth="1"/>
    <col min="9221" max="9223" width="11.109375" style="898" customWidth="1"/>
    <col min="9224" max="9224" width="12.6640625" style="898" customWidth="1"/>
    <col min="9225" max="9228" width="11.109375" style="898" customWidth="1"/>
    <col min="9229" max="9229" width="12.44140625" style="898" customWidth="1"/>
    <col min="9230" max="9230" width="11.109375" style="898" customWidth="1"/>
    <col min="9231" max="9232" width="12.44140625" style="898" customWidth="1"/>
    <col min="9233" max="9233" width="11.109375" style="898" customWidth="1"/>
    <col min="9234" max="9234" width="17.109375" style="898" customWidth="1"/>
    <col min="9235" max="9239" width="20" style="898" customWidth="1"/>
    <col min="9240" max="9240" width="12.6640625" style="898" bestFit="1" customWidth="1"/>
    <col min="9241" max="9241" width="11.88671875" style="898" customWidth="1"/>
    <col min="9242" max="9472" width="11.5546875" style="898"/>
    <col min="9473" max="9473" width="6.5546875" style="898" customWidth="1"/>
    <col min="9474" max="9474" width="40.33203125" style="898" customWidth="1"/>
    <col min="9475" max="9475" width="17.33203125" style="898" customWidth="1"/>
    <col min="9476" max="9476" width="19.33203125" style="898" customWidth="1"/>
    <col min="9477" max="9479" width="11.109375" style="898" customWidth="1"/>
    <col min="9480" max="9480" width="12.6640625" style="898" customWidth="1"/>
    <col min="9481" max="9484" width="11.109375" style="898" customWidth="1"/>
    <col min="9485" max="9485" width="12.44140625" style="898" customWidth="1"/>
    <col min="9486" max="9486" width="11.109375" style="898" customWidth="1"/>
    <col min="9487" max="9488" width="12.44140625" style="898" customWidth="1"/>
    <col min="9489" max="9489" width="11.109375" style="898" customWidth="1"/>
    <col min="9490" max="9490" width="17.109375" style="898" customWidth="1"/>
    <col min="9491" max="9495" width="20" style="898" customWidth="1"/>
    <col min="9496" max="9496" width="12.6640625" style="898" bestFit="1" customWidth="1"/>
    <col min="9497" max="9497" width="11.88671875" style="898" customWidth="1"/>
    <col min="9498" max="9728" width="11.5546875" style="898"/>
    <col min="9729" max="9729" width="6.5546875" style="898" customWidth="1"/>
    <col min="9730" max="9730" width="40.33203125" style="898" customWidth="1"/>
    <col min="9731" max="9731" width="17.33203125" style="898" customWidth="1"/>
    <col min="9732" max="9732" width="19.33203125" style="898" customWidth="1"/>
    <col min="9733" max="9735" width="11.109375" style="898" customWidth="1"/>
    <col min="9736" max="9736" width="12.6640625" style="898" customWidth="1"/>
    <col min="9737" max="9740" width="11.109375" style="898" customWidth="1"/>
    <col min="9741" max="9741" width="12.44140625" style="898" customWidth="1"/>
    <col min="9742" max="9742" width="11.109375" style="898" customWidth="1"/>
    <col min="9743" max="9744" width="12.44140625" style="898" customWidth="1"/>
    <col min="9745" max="9745" width="11.109375" style="898" customWidth="1"/>
    <col min="9746" max="9746" width="17.109375" style="898" customWidth="1"/>
    <col min="9747" max="9751" width="20" style="898" customWidth="1"/>
    <col min="9752" max="9752" width="12.6640625" style="898" bestFit="1" customWidth="1"/>
    <col min="9753" max="9753" width="11.88671875" style="898" customWidth="1"/>
    <col min="9754" max="9984" width="11.5546875" style="898"/>
    <col min="9985" max="9985" width="6.5546875" style="898" customWidth="1"/>
    <col min="9986" max="9986" width="40.33203125" style="898" customWidth="1"/>
    <col min="9987" max="9987" width="17.33203125" style="898" customWidth="1"/>
    <col min="9988" max="9988" width="19.33203125" style="898" customWidth="1"/>
    <col min="9989" max="9991" width="11.109375" style="898" customWidth="1"/>
    <col min="9992" max="9992" width="12.6640625" style="898" customWidth="1"/>
    <col min="9993" max="9996" width="11.109375" style="898" customWidth="1"/>
    <col min="9997" max="9997" width="12.44140625" style="898" customWidth="1"/>
    <col min="9998" max="9998" width="11.109375" style="898" customWidth="1"/>
    <col min="9999" max="10000" width="12.44140625" style="898" customWidth="1"/>
    <col min="10001" max="10001" width="11.109375" style="898" customWidth="1"/>
    <col min="10002" max="10002" width="17.109375" style="898" customWidth="1"/>
    <col min="10003" max="10007" width="20" style="898" customWidth="1"/>
    <col min="10008" max="10008" width="12.6640625" style="898" bestFit="1" customWidth="1"/>
    <col min="10009" max="10009" width="11.88671875" style="898" customWidth="1"/>
    <col min="10010" max="10240" width="11.5546875" style="898"/>
    <col min="10241" max="10241" width="6.5546875" style="898" customWidth="1"/>
    <col min="10242" max="10242" width="40.33203125" style="898" customWidth="1"/>
    <col min="10243" max="10243" width="17.33203125" style="898" customWidth="1"/>
    <col min="10244" max="10244" width="19.33203125" style="898" customWidth="1"/>
    <col min="10245" max="10247" width="11.109375" style="898" customWidth="1"/>
    <col min="10248" max="10248" width="12.6640625" style="898" customWidth="1"/>
    <col min="10249" max="10252" width="11.109375" style="898" customWidth="1"/>
    <col min="10253" max="10253" width="12.44140625" style="898" customWidth="1"/>
    <col min="10254" max="10254" width="11.109375" style="898" customWidth="1"/>
    <col min="10255" max="10256" width="12.44140625" style="898" customWidth="1"/>
    <col min="10257" max="10257" width="11.109375" style="898" customWidth="1"/>
    <col min="10258" max="10258" width="17.109375" style="898" customWidth="1"/>
    <col min="10259" max="10263" width="20" style="898" customWidth="1"/>
    <col min="10264" max="10264" width="12.6640625" style="898" bestFit="1" customWidth="1"/>
    <col min="10265" max="10265" width="11.88671875" style="898" customWidth="1"/>
    <col min="10266" max="10496" width="11.5546875" style="898"/>
    <col min="10497" max="10497" width="6.5546875" style="898" customWidth="1"/>
    <col min="10498" max="10498" width="40.33203125" style="898" customWidth="1"/>
    <col min="10499" max="10499" width="17.33203125" style="898" customWidth="1"/>
    <col min="10500" max="10500" width="19.33203125" style="898" customWidth="1"/>
    <col min="10501" max="10503" width="11.109375" style="898" customWidth="1"/>
    <col min="10504" max="10504" width="12.6640625" style="898" customWidth="1"/>
    <col min="10505" max="10508" width="11.109375" style="898" customWidth="1"/>
    <col min="10509" max="10509" width="12.44140625" style="898" customWidth="1"/>
    <col min="10510" max="10510" width="11.109375" style="898" customWidth="1"/>
    <col min="10511" max="10512" width="12.44140625" style="898" customWidth="1"/>
    <col min="10513" max="10513" width="11.109375" style="898" customWidth="1"/>
    <col min="10514" max="10514" width="17.109375" style="898" customWidth="1"/>
    <col min="10515" max="10519" width="20" style="898" customWidth="1"/>
    <col min="10520" max="10520" width="12.6640625" style="898" bestFit="1" customWidth="1"/>
    <col min="10521" max="10521" width="11.88671875" style="898" customWidth="1"/>
    <col min="10522" max="10752" width="11.5546875" style="898"/>
    <col min="10753" max="10753" width="6.5546875" style="898" customWidth="1"/>
    <col min="10754" max="10754" width="40.33203125" style="898" customWidth="1"/>
    <col min="10755" max="10755" width="17.33203125" style="898" customWidth="1"/>
    <col min="10756" max="10756" width="19.33203125" style="898" customWidth="1"/>
    <col min="10757" max="10759" width="11.109375" style="898" customWidth="1"/>
    <col min="10760" max="10760" width="12.6640625" style="898" customWidth="1"/>
    <col min="10761" max="10764" width="11.109375" style="898" customWidth="1"/>
    <col min="10765" max="10765" width="12.44140625" style="898" customWidth="1"/>
    <col min="10766" max="10766" width="11.109375" style="898" customWidth="1"/>
    <col min="10767" max="10768" width="12.44140625" style="898" customWidth="1"/>
    <col min="10769" max="10769" width="11.109375" style="898" customWidth="1"/>
    <col min="10770" max="10770" width="17.109375" style="898" customWidth="1"/>
    <col min="10771" max="10775" width="20" style="898" customWidth="1"/>
    <col min="10776" max="10776" width="12.6640625" style="898" bestFit="1" customWidth="1"/>
    <col min="10777" max="10777" width="11.88671875" style="898" customWidth="1"/>
    <col min="10778" max="11008" width="11.5546875" style="898"/>
    <col min="11009" max="11009" width="6.5546875" style="898" customWidth="1"/>
    <col min="11010" max="11010" width="40.33203125" style="898" customWidth="1"/>
    <col min="11011" max="11011" width="17.33203125" style="898" customWidth="1"/>
    <col min="11012" max="11012" width="19.33203125" style="898" customWidth="1"/>
    <col min="11013" max="11015" width="11.109375" style="898" customWidth="1"/>
    <col min="11016" max="11016" width="12.6640625" style="898" customWidth="1"/>
    <col min="11017" max="11020" width="11.109375" style="898" customWidth="1"/>
    <col min="11021" max="11021" width="12.44140625" style="898" customWidth="1"/>
    <col min="11022" max="11022" width="11.109375" style="898" customWidth="1"/>
    <col min="11023" max="11024" width="12.44140625" style="898" customWidth="1"/>
    <col min="11025" max="11025" width="11.109375" style="898" customWidth="1"/>
    <col min="11026" max="11026" width="17.109375" style="898" customWidth="1"/>
    <col min="11027" max="11031" width="20" style="898" customWidth="1"/>
    <col min="11032" max="11032" width="12.6640625" style="898" bestFit="1" customWidth="1"/>
    <col min="11033" max="11033" width="11.88671875" style="898" customWidth="1"/>
    <col min="11034" max="11264" width="11.5546875" style="898"/>
    <col min="11265" max="11265" width="6.5546875" style="898" customWidth="1"/>
    <col min="11266" max="11266" width="40.33203125" style="898" customWidth="1"/>
    <col min="11267" max="11267" width="17.33203125" style="898" customWidth="1"/>
    <col min="11268" max="11268" width="19.33203125" style="898" customWidth="1"/>
    <col min="11269" max="11271" width="11.109375" style="898" customWidth="1"/>
    <col min="11272" max="11272" width="12.6640625" style="898" customWidth="1"/>
    <col min="11273" max="11276" width="11.109375" style="898" customWidth="1"/>
    <col min="11277" max="11277" width="12.44140625" style="898" customWidth="1"/>
    <col min="11278" max="11278" width="11.109375" style="898" customWidth="1"/>
    <col min="11279" max="11280" width="12.44140625" style="898" customWidth="1"/>
    <col min="11281" max="11281" width="11.109375" style="898" customWidth="1"/>
    <col min="11282" max="11282" width="17.109375" style="898" customWidth="1"/>
    <col min="11283" max="11287" width="20" style="898" customWidth="1"/>
    <col min="11288" max="11288" width="12.6640625" style="898" bestFit="1" customWidth="1"/>
    <col min="11289" max="11289" width="11.88671875" style="898" customWidth="1"/>
    <col min="11290" max="11520" width="11.5546875" style="898"/>
    <col min="11521" max="11521" width="6.5546875" style="898" customWidth="1"/>
    <col min="11522" max="11522" width="40.33203125" style="898" customWidth="1"/>
    <col min="11523" max="11523" width="17.33203125" style="898" customWidth="1"/>
    <col min="11524" max="11524" width="19.33203125" style="898" customWidth="1"/>
    <col min="11525" max="11527" width="11.109375" style="898" customWidth="1"/>
    <col min="11528" max="11528" width="12.6640625" style="898" customWidth="1"/>
    <col min="11529" max="11532" width="11.109375" style="898" customWidth="1"/>
    <col min="11533" max="11533" width="12.44140625" style="898" customWidth="1"/>
    <col min="11534" max="11534" width="11.109375" style="898" customWidth="1"/>
    <col min="11535" max="11536" width="12.44140625" style="898" customWidth="1"/>
    <col min="11537" max="11537" width="11.109375" style="898" customWidth="1"/>
    <col min="11538" max="11538" width="17.109375" style="898" customWidth="1"/>
    <col min="11539" max="11543" width="20" style="898" customWidth="1"/>
    <col min="11544" max="11544" width="12.6640625" style="898" bestFit="1" customWidth="1"/>
    <col min="11545" max="11545" width="11.88671875" style="898" customWidth="1"/>
    <col min="11546" max="11776" width="11.5546875" style="898"/>
    <col min="11777" max="11777" width="6.5546875" style="898" customWidth="1"/>
    <col min="11778" max="11778" width="40.33203125" style="898" customWidth="1"/>
    <col min="11779" max="11779" width="17.33203125" style="898" customWidth="1"/>
    <col min="11780" max="11780" width="19.33203125" style="898" customWidth="1"/>
    <col min="11781" max="11783" width="11.109375" style="898" customWidth="1"/>
    <col min="11784" max="11784" width="12.6640625" style="898" customWidth="1"/>
    <col min="11785" max="11788" width="11.109375" style="898" customWidth="1"/>
    <col min="11789" max="11789" width="12.44140625" style="898" customWidth="1"/>
    <col min="11790" max="11790" width="11.109375" style="898" customWidth="1"/>
    <col min="11791" max="11792" width="12.44140625" style="898" customWidth="1"/>
    <col min="11793" max="11793" width="11.109375" style="898" customWidth="1"/>
    <col min="11794" max="11794" width="17.109375" style="898" customWidth="1"/>
    <col min="11795" max="11799" width="20" style="898" customWidth="1"/>
    <col min="11800" max="11800" width="12.6640625" style="898" bestFit="1" customWidth="1"/>
    <col min="11801" max="11801" width="11.88671875" style="898" customWidth="1"/>
    <col min="11802" max="12032" width="11.5546875" style="898"/>
    <col min="12033" max="12033" width="6.5546875" style="898" customWidth="1"/>
    <col min="12034" max="12034" width="40.33203125" style="898" customWidth="1"/>
    <col min="12035" max="12035" width="17.33203125" style="898" customWidth="1"/>
    <col min="12036" max="12036" width="19.33203125" style="898" customWidth="1"/>
    <col min="12037" max="12039" width="11.109375" style="898" customWidth="1"/>
    <col min="12040" max="12040" width="12.6640625" style="898" customWidth="1"/>
    <col min="12041" max="12044" width="11.109375" style="898" customWidth="1"/>
    <col min="12045" max="12045" width="12.44140625" style="898" customWidth="1"/>
    <col min="12046" max="12046" width="11.109375" style="898" customWidth="1"/>
    <col min="12047" max="12048" width="12.44140625" style="898" customWidth="1"/>
    <col min="12049" max="12049" width="11.109375" style="898" customWidth="1"/>
    <col min="12050" max="12050" width="17.109375" style="898" customWidth="1"/>
    <col min="12051" max="12055" width="20" style="898" customWidth="1"/>
    <col min="12056" max="12056" width="12.6640625" style="898" bestFit="1" customWidth="1"/>
    <col min="12057" max="12057" width="11.88671875" style="898" customWidth="1"/>
    <col min="12058" max="12288" width="11.5546875" style="898"/>
    <col min="12289" max="12289" width="6.5546875" style="898" customWidth="1"/>
    <col min="12290" max="12290" width="40.33203125" style="898" customWidth="1"/>
    <col min="12291" max="12291" width="17.33203125" style="898" customWidth="1"/>
    <col min="12292" max="12292" width="19.33203125" style="898" customWidth="1"/>
    <col min="12293" max="12295" width="11.109375" style="898" customWidth="1"/>
    <col min="12296" max="12296" width="12.6640625" style="898" customWidth="1"/>
    <col min="12297" max="12300" width="11.109375" style="898" customWidth="1"/>
    <col min="12301" max="12301" width="12.44140625" style="898" customWidth="1"/>
    <col min="12302" max="12302" width="11.109375" style="898" customWidth="1"/>
    <col min="12303" max="12304" width="12.44140625" style="898" customWidth="1"/>
    <col min="12305" max="12305" width="11.109375" style="898" customWidth="1"/>
    <col min="12306" max="12306" width="17.109375" style="898" customWidth="1"/>
    <col min="12307" max="12311" width="20" style="898" customWidth="1"/>
    <col min="12312" max="12312" width="12.6640625" style="898" bestFit="1" customWidth="1"/>
    <col min="12313" max="12313" width="11.88671875" style="898" customWidth="1"/>
    <col min="12314" max="12544" width="11.5546875" style="898"/>
    <col min="12545" max="12545" width="6.5546875" style="898" customWidth="1"/>
    <col min="12546" max="12546" width="40.33203125" style="898" customWidth="1"/>
    <col min="12547" max="12547" width="17.33203125" style="898" customWidth="1"/>
    <col min="12548" max="12548" width="19.33203125" style="898" customWidth="1"/>
    <col min="12549" max="12551" width="11.109375" style="898" customWidth="1"/>
    <col min="12552" max="12552" width="12.6640625" style="898" customWidth="1"/>
    <col min="12553" max="12556" width="11.109375" style="898" customWidth="1"/>
    <col min="12557" max="12557" width="12.44140625" style="898" customWidth="1"/>
    <col min="12558" max="12558" width="11.109375" style="898" customWidth="1"/>
    <col min="12559" max="12560" width="12.44140625" style="898" customWidth="1"/>
    <col min="12561" max="12561" width="11.109375" style="898" customWidth="1"/>
    <col min="12562" max="12562" width="17.109375" style="898" customWidth="1"/>
    <col min="12563" max="12567" width="20" style="898" customWidth="1"/>
    <col min="12568" max="12568" width="12.6640625" style="898" bestFit="1" customWidth="1"/>
    <col min="12569" max="12569" width="11.88671875" style="898" customWidth="1"/>
    <col min="12570" max="12800" width="11.5546875" style="898"/>
    <col min="12801" max="12801" width="6.5546875" style="898" customWidth="1"/>
    <col min="12802" max="12802" width="40.33203125" style="898" customWidth="1"/>
    <col min="12803" max="12803" width="17.33203125" style="898" customWidth="1"/>
    <col min="12804" max="12804" width="19.33203125" style="898" customWidth="1"/>
    <col min="12805" max="12807" width="11.109375" style="898" customWidth="1"/>
    <col min="12808" max="12808" width="12.6640625" style="898" customWidth="1"/>
    <col min="12809" max="12812" width="11.109375" style="898" customWidth="1"/>
    <col min="12813" max="12813" width="12.44140625" style="898" customWidth="1"/>
    <col min="12814" max="12814" width="11.109375" style="898" customWidth="1"/>
    <col min="12815" max="12816" width="12.44140625" style="898" customWidth="1"/>
    <col min="12817" max="12817" width="11.109375" style="898" customWidth="1"/>
    <col min="12818" max="12818" width="17.109375" style="898" customWidth="1"/>
    <col min="12819" max="12823" width="20" style="898" customWidth="1"/>
    <col min="12824" max="12824" width="12.6640625" style="898" bestFit="1" customWidth="1"/>
    <col min="12825" max="12825" width="11.88671875" style="898" customWidth="1"/>
    <col min="12826" max="13056" width="11.5546875" style="898"/>
    <col min="13057" max="13057" width="6.5546875" style="898" customWidth="1"/>
    <col min="13058" max="13058" width="40.33203125" style="898" customWidth="1"/>
    <col min="13059" max="13059" width="17.33203125" style="898" customWidth="1"/>
    <col min="13060" max="13060" width="19.33203125" style="898" customWidth="1"/>
    <col min="13061" max="13063" width="11.109375" style="898" customWidth="1"/>
    <col min="13064" max="13064" width="12.6640625" style="898" customWidth="1"/>
    <col min="13065" max="13068" width="11.109375" style="898" customWidth="1"/>
    <col min="13069" max="13069" width="12.44140625" style="898" customWidth="1"/>
    <col min="13070" max="13070" width="11.109375" style="898" customWidth="1"/>
    <col min="13071" max="13072" width="12.44140625" style="898" customWidth="1"/>
    <col min="13073" max="13073" width="11.109375" style="898" customWidth="1"/>
    <col min="13074" max="13074" width="17.109375" style="898" customWidth="1"/>
    <col min="13075" max="13079" width="20" style="898" customWidth="1"/>
    <col min="13080" max="13080" width="12.6640625" style="898" bestFit="1" customWidth="1"/>
    <col min="13081" max="13081" width="11.88671875" style="898" customWidth="1"/>
    <col min="13082" max="13312" width="11.5546875" style="898"/>
    <col min="13313" max="13313" width="6.5546875" style="898" customWidth="1"/>
    <col min="13314" max="13314" width="40.33203125" style="898" customWidth="1"/>
    <col min="13315" max="13315" width="17.33203125" style="898" customWidth="1"/>
    <col min="13316" max="13316" width="19.33203125" style="898" customWidth="1"/>
    <col min="13317" max="13319" width="11.109375" style="898" customWidth="1"/>
    <col min="13320" max="13320" width="12.6640625" style="898" customWidth="1"/>
    <col min="13321" max="13324" width="11.109375" style="898" customWidth="1"/>
    <col min="13325" max="13325" width="12.44140625" style="898" customWidth="1"/>
    <col min="13326" max="13326" width="11.109375" style="898" customWidth="1"/>
    <col min="13327" max="13328" width="12.44140625" style="898" customWidth="1"/>
    <col min="13329" max="13329" width="11.109375" style="898" customWidth="1"/>
    <col min="13330" max="13330" width="17.109375" style="898" customWidth="1"/>
    <col min="13331" max="13335" width="20" style="898" customWidth="1"/>
    <col min="13336" max="13336" width="12.6640625" style="898" bestFit="1" customWidth="1"/>
    <col min="13337" max="13337" width="11.88671875" style="898" customWidth="1"/>
    <col min="13338" max="13568" width="11.5546875" style="898"/>
    <col min="13569" max="13569" width="6.5546875" style="898" customWidth="1"/>
    <col min="13570" max="13570" width="40.33203125" style="898" customWidth="1"/>
    <col min="13571" max="13571" width="17.33203125" style="898" customWidth="1"/>
    <col min="13572" max="13572" width="19.33203125" style="898" customWidth="1"/>
    <col min="13573" max="13575" width="11.109375" style="898" customWidth="1"/>
    <col min="13576" max="13576" width="12.6640625" style="898" customWidth="1"/>
    <col min="13577" max="13580" width="11.109375" style="898" customWidth="1"/>
    <col min="13581" max="13581" width="12.44140625" style="898" customWidth="1"/>
    <col min="13582" max="13582" width="11.109375" style="898" customWidth="1"/>
    <col min="13583" max="13584" width="12.44140625" style="898" customWidth="1"/>
    <col min="13585" max="13585" width="11.109375" style="898" customWidth="1"/>
    <col min="13586" max="13586" width="17.109375" style="898" customWidth="1"/>
    <col min="13587" max="13591" width="20" style="898" customWidth="1"/>
    <col min="13592" max="13592" width="12.6640625" style="898" bestFit="1" customWidth="1"/>
    <col min="13593" max="13593" width="11.88671875" style="898" customWidth="1"/>
    <col min="13594" max="13824" width="11.5546875" style="898"/>
    <col min="13825" max="13825" width="6.5546875" style="898" customWidth="1"/>
    <col min="13826" max="13826" width="40.33203125" style="898" customWidth="1"/>
    <col min="13827" max="13827" width="17.33203125" style="898" customWidth="1"/>
    <col min="13828" max="13828" width="19.33203125" style="898" customWidth="1"/>
    <col min="13829" max="13831" width="11.109375" style="898" customWidth="1"/>
    <col min="13832" max="13832" width="12.6640625" style="898" customWidth="1"/>
    <col min="13833" max="13836" width="11.109375" style="898" customWidth="1"/>
    <col min="13837" max="13837" width="12.44140625" style="898" customWidth="1"/>
    <col min="13838" max="13838" width="11.109375" style="898" customWidth="1"/>
    <col min="13839" max="13840" width="12.44140625" style="898" customWidth="1"/>
    <col min="13841" max="13841" width="11.109375" style="898" customWidth="1"/>
    <col min="13842" max="13842" width="17.109375" style="898" customWidth="1"/>
    <col min="13843" max="13847" width="20" style="898" customWidth="1"/>
    <col min="13848" max="13848" width="12.6640625" style="898" bestFit="1" customWidth="1"/>
    <col min="13849" max="13849" width="11.88671875" style="898" customWidth="1"/>
    <col min="13850" max="14080" width="11.5546875" style="898"/>
    <col min="14081" max="14081" width="6.5546875" style="898" customWidth="1"/>
    <col min="14082" max="14082" width="40.33203125" style="898" customWidth="1"/>
    <col min="14083" max="14083" width="17.33203125" style="898" customWidth="1"/>
    <col min="14084" max="14084" width="19.33203125" style="898" customWidth="1"/>
    <col min="14085" max="14087" width="11.109375" style="898" customWidth="1"/>
    <col min="14088" max="14088" width="12.6640625" style="898" customWidth="1"/>
    <col min="14089" max="14092" width="11.109375" style="898" customWidth="1"/>
    <col min="14093" max="14093" width="12.44140625" style="898" customWidth="1"/>
    <col min="14094" max="14094" width="11.109375" style="898" customWidth="1"/>
    <col min="14095" max="14096" width="12.44140625" style="898" customWidth="1"/>
    <col min="14097" max="14097" width="11.109375" style="898" customWidth="1"/>
    <col min="14098" max="14098" width="17.109375" style="898" customWidth="1"/>
    <col min="14099" max="14103" width="20" style="898" customWidth="1"/>
    <col min="14104" max="14104" width="12.6640625" style="898" bestFit="1" customWidth="1"/>
    <col min="14105" max="14105" width="11.88671875" style="898" customWidth="1"/>
    <col min="14106" max="14336" width="11.5546875" style="898"/>
    <col min="14337" max="14337" width="6.5546875" style="898" customWidth="1"/>
    <col min="14338" max="14338" width="40.33203125" style="898" customWidth="1"/>
    <col min="14339" max="14339" width="17.33203125" style="898" customWidth="1"/>
    <col min="14340" max="14340" width="19.33203125" style="898" customWidth="1"/>
    <col min="14341" max="14343" width="11.109375" style="898" customWidth="1"/>
    <col min="14344" max="14344" width="12.6640625" style="898" customWidth="1"/>
    <col min="14345" max="14348" width="11.109375" style="898" customWidth="1"/>
    <col min="14349" max="14349" width="12.44140625" style="898" customWidth="1"/>
    <col min="14350" max="14350" width="11.109375" style="898" customWidth="1"/>
    <col min="14351" max="14352" width="12.44140625" style="898" customWidth="1"/>
    <col min="14353" max="14353" width="11.109375" style="898" customWidth="1"/>
    <col min="14354" max="14354" width="17.109375" style="898" customWidth="1"/>
    <col min="14355" max="14359" width="20" style="898" customWidth="1"/>
    <col min="14360" max="14360" width="12.6640625" style="898" bestFit="1" customWidth="1"/>
    <col min="14361" max="14361" width="11.88671875" style="898" customWidth="1"/>
    <col min="14362" max="14592" width="11.5546875" style="898"/>
    <col min="14593" max="14593" width="6.5546875" style="898" customWidth="1"/>
    <col min="14594" max="14594" width="40.33203125" style="898" customWidth="1"/>
    <col min="14595" max="14595" width="17.33203125" style="898" customWidth="1"/>
    <col min="14596" max="14596" width="19.33203125" style="898" customWidth="1"/>
    <col min="14597" max="14599" width="11.109375" style="898" customWidth="1"/>
    <col min="14600" max="14600" width="12.6640625" style="898" customWidth="1"/>
    <col min="14601" max="14604" width="11.109375" style="898" customWidth="1"/>
    <col min="14605" max="14605" width="12.44140625" style="898" customWidth="1"/>
    <col min="14606" max="14606" width="11.109375" style="898" customWidth="1"/>
    <col min="14607" max="14608" width="12.44140625" style="898" customWidth="1"/>
    <col min="14609" max="14609" width="11.109375" style="898" customWidth="1"/>
    <col min="14610" max="14610" width="17.109375" style="898" customWidth="1"/>
    <col min="14611" max="14615" width="20" style="898" customWidth="1"/>
    <col min="14616" max="14616" width="12.6640625" style="898" bestFit="1" customWidth="1"/>
    <col min="14617" max="14617" width="11.88671875" style="898" customWidth="1"/>
    <col min="14618" max="14848" width="11.5546875" style="898"/>
    <col min="14849" max="14849" width="6.5546875" style="898" customWidth="1"/>
    <col min="14850" max="14850" width="40.33203125" style="898" customWidth="1"/>
    <col min="14851" max="14851" width="17.33203125" style="898" customWidth="1"/>
    <col min="14852" max="14852" width="19.33203125" style="898" customWidth="1"/>
    <col min="14853" max="14855" width="11.109375" style="898" customWidth="1"/>
    <col min="14856" max="14856" width="12.6640625" style="898" customWidth="1"/>
    <col min="14857" max="14860" width="11.109375" style="898" customWidth="1"/>
    <col min="14861" max="14861" width="12.44140625" style="898" customWidth="1"/>
    <col min="14862" max="14862" width="11.109375" style="898" customWidth="1"/>
    <col min="14863" max="14864" width="12.44140625" style="898" customWidth="1"/>
    <col min="14865" max="14865" width="11.109375" style="898" customWidth="1"/>
    <col min="14866" max="14866" width="17.109375" style="898" customWidth="1"/>
    <col min="14867" max="14871" width="20" style="898" customWidth="1"/>
    <col min="14872" max="14872" width="12.6640625" style="898" bestFit="1" customWidth="1"/>
    <col min="14873" max="14873" width="11.88671875" style="898" customWidth="1"/>
    <col min="14874" max="15104" width="11.5546875" style="898"/>
    <col min="15105" max="15105" width="6.5546875" style="898" customWidth="1"/>
    <col min="15106" max="15106" width="40.33203125" style="898" customWidth="1"/>
    <col min="15107" max="15107" width="17.33203125" style="898" customWidth="1"/>
    <col min="15108" max="15108" width="19.33203125" style="898" customWidth="1"/>
    <col min="15109" max="15111" width="11.109375" style="898" customWidth="1"/>
    <col min="15112" max="15112" width="12.6640625" style="898" customWidth="1"/>
    <col min="15113" max="15116" width="11.109375" style="898" customWidth="1"/>
    <col min="15117" max="15117" width="12.44140625" style="898" customWidth="1"/>
    <col min="15118" max="15118" width="11.109375" style="898" customWidth="1"/>
    <col min="15119" max="15120" width="12.44140625" style="898" customWidth="1"/>
    <col min="15121" max="15121" width="11.109375" style="898" customWidth="1"/>
    <col min="15122" max="15122" width="17.109375" style="898" customWidth="1"/>
    <col min="15123" max="15127" width="20" style="898" customWidth="1"/>
    <col min="15128" max="15128" width="12.6640625" style="898" bestFit="1" customWidth="1"/>
    <col min="15129" max="15129" width="11.88671875" style="898" customWidth="1"/>
    <col min="15130" max="15360" width="11.5546875" style="898"/>
    <col min="15361" max="15361" width="6.5546875" style="898" customWidth="1"/>
    <col min="15362" max="15362" width="40.33203125" style="898" customWidth="1"/>
    <col min="15363" max="15363" width="17.33203125" style="898" customWidth="1"/>
    <col min="15364" max="15364" width="19.33203125" style="898" customWidth="1"/>
    <col min="15365" max="15367" width="11.109375" style="898" customWidth="1"/>
    <col min="15368" max="15368" width="12.6640625" style="898" customWidth="1"/>
    <col min="15369" max="15372" width="11.109375" style="898" customWidth="1"/>
    <col min="15373" max="15373" width="12.44140625" style="898" customWidth="1"/>
    <col min="15374" max="15374" width="11.109375" style="898" customWidth="1"/>
    <col min="15375" max="15376" width="12.44140625" style="898" customWidth="1"/>
    <col min="15377" max="15377" width="11.109375" style="898" customWidth="1"/>
    <col min="15378" max="15378" width="17.109375" style="898" customWidth="1"/>
    <col min="15379" max="15383" width="20" style="898" customWidth="1"/>
    <col min="15384" max="15384" width="12.6640625" style="898" bestFit="1" customWidth="1"/>
    <col min="15385" max="15385" width="11.88671875" style="898" customWidth="1"/>
    <col min="15386" max="15616" width="11.5546875" style="898"/>
    <col min="15617" max="15617" width="6.5546875" style="898" customWidth="1"/>
    <col min="15618" max="15618" width="40.33203125" style="898" customWidth="1"/>
    <col min="15619" max="15619" width="17.33203125" style="898" customWidth="1"/>
    <col min="15620" max="15620" width="19.33203125" style="898" customWidth="1"/>
    <col min="15621" max="15623" width="11.109375" style="898" customWidth="1"/>
    <col min="15624" max="15624" width="12.6640625" style="898" customWidth="1"/>
    <col min="15625" max="15628" width="11.109375" style="898" customWidth="1"/>
    <col min="15629" max="15629" width="12.44140625" style="898" customWidth="1"/>
    <col min="15630" max="15630" width="11.109375" style="898" customWidth="1"/>
    <col min="15631" max="15632" width="12.44140625" style="898" customWidth="1"/>
    <col min="15633" max="15633" width="11.109375" style="898" customWidth="1"/>
    <col min="15634" max="15634" width="17.109375" style="898" customWidth="1"/>
    <col min="15635" max="15639" width="20" style="898" customWidth="1"/>
    <col min="15640" max="15640" width="12.6640625" style="898" bestFit="1" customWidth="1"/>
    <col min="15641" max="15641" width="11.88671875" style="898" customWidth="1"/>
    <col min="15642" max="15872" width="11.5546875" style="898"/>
    <col min="15873" max="15873" width="6.5546875" style="898" customWidth="1"/>
    <col min="15874" max="15874" width="40.33203125" style="898" customWidth="1"/>
    <col min="15875" max="15875" width="17.33203125" style="898" customWidth="1"/>
    <col min="15876" max="15876" width="19.33203125" style="898" customWidth="1"/>
    <col min="15877" max="15879" width="11.109375" style="898" customWidth="1"/>
    <col min="15880" max="15880" width="12.6640625" style="898" customWidth="1"/>
    <col min="15881" max="15884" width="11.109375" style="898" customWidth="1"/>
    <col min="15885" max="15885" width="12.44140625" style="898" customWidth="1"/>
    <col min="15886" max="15886" width="11.109375" style="898" customWidth="1"/>
    <col min="15887" max="15888" width="12.44140625" style="898" customWidth="1"/>
    <col min="15889" max="15889" width="11.109375" style="898" customWidth="1"/>
    <col min="15890" max="15890" width="17.109375" style="898" customWidth="1"/>
    <col min="15891" max="15895" width="20" style="898" customWidth="1"/>
    <col min="15896" max="15896" width="12.6640625" style="898" bestFit="1" customWidth="1"/>
    <col min="15897" max="15897" width="11.88671875" style="898" customWidth="1"/>
    <col min="15898" max="16128" width="11.5546875" style="898"/>
    <col min="16129" max="16129" width="6.5546875" style="898" customWidth="1"/>
    <col min="16130" max="16130" width="40.33203125" style="898" customWidth="1"/>
    <col min="16131" max="16131" width="17.33203125" style="898" customWidth="1"/>
    <col min="16132" max="16132" width="19.33203125" style="898" customWidth="1"/>
    <col min="16133" max="16135" width="11.109375" style="898" customWidth="1"/>
    <col min="16136" max="16136" width="12.6640625" style="898" customWidth="1"/>
    <col min="16137" max="16140" width="11.109375" style="898" customWidth="1"/>
    <col min="16141" max="16141" width="12.44140625" style="898" customWidth="1"/>
    <col min="16142" max="16142" width="11.109375" style="898" customWidth="1"/>
    <col min="16143" max="16144" width="12.44140625" style="898" customWidth="1"/>
    <col min="16145" max="16145" width="11.109375" style="898" customWidth="1"/>
    <col min="16146" max="16146" width="17.109375" style="898" customWidth="1"/>
    <col min="16147" max="16151" width="20" style="898" customWidth="1"/>
    <col min="16152" max="16152" width="12.6640625" style="898" bestFit="1" customWidth="1"/>
    <col min="16153" max="16153" width="11.88671875" style="898" customWidth="1"/>
    <col min="16154" max="16384" width="11.5546875" style="898"/>
  </cols>
  <sheetData>
    <row r="1" spans="1:24" ht="17.399999999999999">
      <c r="A1" s="893"/>
      <c r="B1" s="894"/>
      <c r="C1" s="893"/>
      <c r="D1" s="893"/>
      <c r="E1" s="893"/>
      <c r="F1" s="893"/>
      <c r="G1" s="895"/>
      <c r="H1" s="895"/>
      <c r="I1" s="895"/>
      <c r="J1" s="895"/>
      <c r="K1" s="895"/>
      <c r="L1" s="893"/>
      <c r="M1" s="893"/>
      <c r="N1" s="893"/>
      <c r="O1" s="893"/>
      <c r="P1" s="896"/>
      <c r="Q1" s="896"/>
      <c r="R1" s="897" t="s">
        <v>711</v>
      </c>
      <c r="S1" s="897"/>
      <c r="T1" s="897"/>
      <c r="U1" s="897"/>
      <c r="V1" s="897"/>
      <c r="W1" s="897"/>
    </row>
    <row r="2" spans="1:24" ht="17.399999999999999">
      <c r="A2" s="899"/>
      <c r="B2" s="900"/>
      <c r="C2" s="893"/>
      <c r="D2" s="893"/>
      <c r="E2" s="893"/>
      <c r="F2" s="893"/>
      <c r="G2" s="893"/>
      <c r="H2" s="893"/>
      <c r="I2" s="893"/>
      <c r="J2" s="893"/>
      <c r="K2" s="893"/>
      <c r="L2" s="893"/>
      <c r="M2" s="893"/>
      <c r="N2" s="893"/>
      <c r="O2" s="893"/>
      <c r="P2" s="893"/>
      <c r="Q2" s="893"/>
      <c r="R2" s="893"/>
      <c r="S2" s="893"/>
      <c r="T2" s="893"/>
      <c r="U2" s="893"/>
      <c r="V2" s="893"/>
      <c r="W2" s="893"/>
    </row>
    <row r="3" spans="1:24" ht="21">
      <c r="A3" s="894" t="s">
        <v>712</v>
      </c>
      <c r="B3" s="895"/>
      <c r="C3" s="901"/>
      <c r="D3" s="901"/>
      <c r="E3" s="901"/>
      <c r="F3" s="901"/>
      <c r="G3" s="901"/>
      <c r="H3" s="901"/>
      <c r="I3" s="901"/>
      <c r="J3" s="901"/>
      <c r="K3" s="901"/>
      <c r="L3" s="901"/>
      <c r="M3" s="901"/>
      <c r="N3" s="901"/>
      <c r="O3" s="901"/>
      <c r="P3" s="901"/>
      <c r="Q3" s="901"/>
      <c r="R3" s="901"/>
      <c r="S3" s="901"/>
      <c r="T3" s="901"/>
      <c r="U3" s="901"/>
      <c r="V3" s="901"/>
      <c r="W3" s="901"/>
    </row>
    <row r="4" spans="1:24" ht="17.399999999999999">
      <c r="A4" s="894" t="s">
        <v>713</v>
      </c>
      <c r="B4" s="895"/>
      <c r="C4" s="893"/>
      <c r="D4" s="893"/>
      <c r="E4" s="893"/>
      <c r="F4" s="893"/>
      <c r="G4" s="893"/>
      <c r="H4" s="893"/>
      <c r="I4" s="893"/>
      <c r="J4" s="893"/>
      <c r="K4" s="893"/>
      <c r="L4" s="893"/>
      <c r="M4" s="893"/>
      <c r="N4" s="893"/>
      <c r="O4" s="893"/>
      <c r="P4" s="893"/>
      <c r="Q4" s="893"/>
      <c r="R4" s="893"/>
      <c r="S4" s="893"/>
      <c r="T4" s="893"/>
      <c r="U4" s="893"/>
      <c r="V4" s="893"/>
      <c r="W4" s="893"/>
    </row>
    <row r="5" spans="1:24" ht="17.399999999999999">
      <c r="A5" s="894" t="s">
        <v>714</v>
      </c>
      <c r="B5" s="902"/>
      <c r="C5" s="903"/>
      <c r="D5" s="904"/>
      <c r="E5" s="893"/>
      <c r="F5" s="893"/>
      <c r="G5" s="893"/>
      <c r="H5" s="905"/>
      <c r="I5" s="893"/>
      <c r="J5" s="893"/>
      <c r="K5" s="893"/>
      <c r="L5" s="893"/>
      <c r="M5" s="893"/>
      <c r="N5" s="893"/>
      <c r="O5" s="893"/>
      <c r="P5" s="893"/>
      <c r="Q5" s="893"/>
      <c r="R5" s="893"/>
      <c r="S5" s="893"/>
      <c r="T5" s="893"/>
      <c r="U5" s="893"/>
      <c r="V5" s="893"/>
      <c r="W5" s="893"/>
    </row>
    <row r="6" spans="1:24" ht="17.399999999999999">
      <c r="A6" s="894"/>
      <c r="B6" s="902"/>
      <c r="C6" s="903"/>
      <c r="D6" s="904"/>
      <c r="E6" s="893"/>
      <c r="F6" s="893"/>
      <c r="G6" s="893"/>
      <c r="H6" s="905"/>
      <c r="I6" s="893"/>
      <c r="J6" s="893"/>
      <c r="K6" s="893"/>
      <c r="L6" s="893"/>
      <c r="M6" s="893"/>
      <c r="N6" s="893"/>
      <c r="O6" s="893"/>
      <c r="P6" s="893"/>
      <c r="Q6" s="893"/>
      <c r="R6" s="893"/>
      <c r="S6" s="893"/>
      <c r="T6" s="893"/>
      <c r="U6" s="893"/>
      <c r="V6" s="893"/>
      <c r="W6" s="893"/>
    </row>
    <row r="7" spans="1:24" ht="20.25" customHeight="1">
      <c r="A7" s="894"/>
      <c r="B7" s="902"/>
      <c r="C7" s="903"/>
      <c r="D7" s="904"/>
      <c r="E7" s="893"/>
      <c r="F7" s="893"/>
      <c r="G7" s="893"/>
      <c r="H7" s="905"/>
      <c r="I7" s="893"/>
      <c r="J7" s="893"/>
      <c r="K7" s="893"/>
      <c r="L7" s="893"/>
      <c r="M7" s="893"/>
      <c r="N7" s="893"/>
      <c r="O7" s="893"/>
      <c r="P7" s="893"/>
      <c r="Q7" s="893"/>
      <c r="R7" s="893"/>
      <c r="S7" s="893"/>
      <c r="T7" s="893"/>
      <c r="U7" s="893"/>
      <c r="V7" s="893"/>
      <c r="W7" s="893"/>
    </row>
    <row r="8" spans="1:24" ht="18" hidden="1">
      <c r="A8" s="906"/>
      <c r="B8" s="907"/>
      <c r="C8" s="905">
        <f>'[2]2019 (co TK)'!L236</f>
        <v>1219017</v>
      </c>
      <c r="D8" s="908">
        <f>C16-C8</f>
        <v>0</v>
      </c>
      <c r="E8" s="908"/>
      <c r="F8" s="908"/>
      <c r="G8" s="909"/>
      <c r="H8" s="909">
        <v>206111</v>
      </c>
      <c r="I8" s="909"/>
      <c r="J8" s="909"/>
      <c r="K8" s="909"/>
      <c r="L8" s="909"/>
      <c r="M8" s="909"/>
      <c r="N8" s="909"/>
      <c r="O8" s="909"/>
      <c r="P8" s="909"/>
      <c r="Q8" s="909"/>
      <c r="R8" s="910"/>
      <c r="S8" s="910"/>
      <c r="T8" s="910"/>
      <c r="U8" s="910"/>
      <c r="V8" s="910"/>
      <c r="W8" s="910"/>
    </row>
    <row r="9" spans="1:24" ht="18" hidden="1">
      <c r="A9" s="906"/>
      <c r="B9" s="907"/>
      <c r="C9" s="905"/>
      <c r="D9" s="908"/>
      <c r="E9" s="908"/>
      <c r="F9" s="908"/>
      <c r="G9" s="909"/>
      <c r="H9" s="909">
        <f>H8-H16</f>
        <v>30515</v>
      </c>
      <c r="I9" s="909"/>
      <c r="J9" s="909"/>
      <c r="K9" s="909"/>
      <c r="L9" s="909"/>
      <c r="M9" s="909"/>
      <c r="N9" s="909"/>
      <c r="O9" s="909"/>
      <c r="P9" s="909"/>
      <c r="Q9" s="909"/>
      <c r="R9" s="910"/>
      <c r="S9" s="910"/>
      <c r="T9" s="910"/>
      <c r="U9" s="910"/>
      <c r="V9" s="910"/>
      <c r="W9" s="910"/>
    </row>
    <row r="10" spans="1:24" s="913" customFormat="1" ht="27" customHeight="1">
      <c r="A10" s="2907" t="s">
        <v>715</v>
      </c>
      <c r="B10" s="2910" t="s">
        <v>399</v>
      </c>
      <c r="C10" s="2912" t="s">
        <v>716</v>
      </c>
      <c r="D10" s="2907" t="s">
        <v>717</v>
      </c>
      <c r="E10" s="2907" t="s">
        <v>718</v>
      </c>
      <c r="F10" s="2907" t="s">
        <v>269</v>
      </c>
      <c r="G10" s="2907" t="s">
        <v>270</v>
      </c>
      <c r="H10" s="2907" t="s">
        <v>271</v>
      </c>
      <c r="I10" s="2907" t="s">
        <v>272</v>
      </c>
      <c r="J10" s="2907" t="s">
        <v>719</v>
      </c>
      <c r="K10" s="2907" t="s">
        <v>274</v>
      </c>
      <c r="L10" s="2907" t="s">
        <v>275</v>
      </c>
      <c r="M10" s="2907" t="s">
        <v>276</v>
      </c>
      <c r="N10" s="2907" t="s">
        <v>75</v>
      </c>
      <c r="O10" s="2907"/>
      <c r="P10" s="2907" t="s">
        <v>277</v>
      </c>
      <c r="Q10" s="2907" t="s">
        <v>278</v>
      </c>
      <c r="R10" s="2907" t="s">
        <v>720</v>
      </c>
      <c r="S10" s="911"/>
      <c r="T10" s="911"/>
      <c r="U10" s="912"/>
      <c r="V10" s="911"/>
      <c r="W10" s="911"/>
    </row>
    <row r="11" spans="1:24" s="913" customFormat="1" ht="16.5" customHeight="1">
      <c r="A11" s="2909"/>
      <c r="B11" s="2911"/>
      <c r="C11" s="2909"/>
      <c r="D11" s="2908"/>
      <c r="E11" s="2908"/>
      <c r="F11" s="2908"/>
      <c r="G11" s="2908"/>
      <c r="H11" s="2908"/>
      <c r="I11" s="2908"/>
      <c r="J11" s="2908"/>
      <c r="K11" s="2908"/>
      <c r="L11" s="2908"/>
      <c r="M11" s="2908"/>
      <c r="N11" s="2908" t="s">
        <v>721</v>
      </c>
      <c r="O11" s="2908" t="s">
        <v>722</v>
      </c>
      <c r="P11" s="2908"/>
      <c r="Q11" s="2908"/>
      <c r="R11" s="2908"/>
      <c r="S11" s="911"/>
      <c r="T11" s="911"/>
      <c r="U11" s="911"/>
      <c r="V11" s="911"/>
      <c r="W11" s="911"/>
    </row>
    <row r="12" spans="1:24" s="913" customFormat="1" ht="18.75" customHeight="1">
      <c r="A12" s="2909"/>
      <c r="B12" s="2911"/>
      <c r="C12" s="2909"/>
      <c r="D12" s="2908"/>
      <c r="E12" s="2908"/>
      <c r="F12" s="2908"/>
      <c r="G12" s="2908"/>
      <c r="H12" s="2908"/>
      <c r="I12" s="2908"/>
      <c r="J12" s="2908"/>
      <c r="K12" s="2908"/>
      <c r="L12" s="2908"/>
      <c r="M12" s="2908"/>
      <c r="N12" s="2908"/>
      <c r="O12" s="2908"/>
      <c r="P12" s="2908"/>
      <c r="Q12" s="2908"/>
      <c r="R12" s="2908"/>
      <c r="S12" s="911"/>
      <c r="T12" s="911"/>
      <c r="U12" s="914"/>
      <c r="V12" s="911"/>
      <c r="W12" s="911"/>
    </row>
    <row r="13" spans="1:24" s="913" customFormat="1" ht="18.75" customHeight="1">
      <c r="A13" s="2909"/>
      <c r="B13" s="2911"/>
      <c r="C13" s="2909"/>
      <c r="D13" s="2908"/>
      <c r="E13" s="2908"/>
      <c r="F13" s="2908"/>
      <c r="G13" s="2908"/>
      <c r="H13" s="2908"/>
      <c r="I13" s="2908"/>
      <c r="J13" s="2908"/>
      <c r="K13" s="2908"/>
      <c r="L13" s="2908"/>
      <c r="M13" s="2908"/>
      <c r="N13" s="2908"/>
      <c r="O13" s="2908"/>
      <c r="P13" s="2908"/>
      <c r="Q13" s="2908"/>
      <c r="R13" s="2908"/>
      <c r="S13" s="911"/>
      <c r="T13" s="911"/>
      <c r="U13" s="911"/>
      <c r="V13" s="911"/>
      <c r="W13" s="911"/>
    </row>
    <row r="14" spans="1:24" s="919" customFormat="1">
      <c r="A14" s="915" t="s">
        <v>80</v>
      </c>
      <c r="B14" s="916" t="s">
        <v>81</v>
      </c>
      <c r="C14" s="916">
        <v>1</v>
      </c>
      <c r="D14" s="917">
        <f>C14+1</f>
        <v>2</v>
      </c>
      <c r="E14" s="917">
        <f t="shared" ref="E14:R14" si="0">D14+1</f>
        <v>3</v>
      </c>
      <c r="F14" s="917">
        <f t="shared" si="0"/>
        <v>4</v>
      </c>
      <c r="G14" s="917">
        <f t="shared" si="0"/>
        <v>5</v>
      </c>
      <c r="H14" s="917">
        <f t="shared" si="0"/>
        <v>6</v>
      </c>
      <c r="I14" s="917">
        <f t="shared" si="0"/>
        <v>7</v>
      </c>
      <c r="J14" s="917">
        <f t="shared" si="0"/>
        <v>8</v>
      </c>
      <c r="K14" s="917">
        <f t="shared" si="0"/>
        <v>9</v>
      </c>
      <c r="L14" s="917">
        <f t="shared" si="0"/>
        <v>10</v>
      </c>
      <c r="M14" s="917">
        <f t="shared" si="0"/>
        <v>11</v>
      </c>
      <c r="N14" s="917">
        <f>M14+1</f>
        <v>12</v>
      </c>
      <c r="O14" s="917">
        <f t="shared" si="0"/>
        <v>13</v>
      </c>
      <c r="P14" s="917">
        <f>O14+1</f>
        <v>14</v>
      </c>
      <c r="Q14" s="917">
        <f t="shared" si="0"/>
        <v>15</v>
      </c>
      <c r="R14" s="917">
        <f t="shared" si="0"/>
        <v>16</v>
      </c>
      <c r="S14" s="918"/>
      <c r="T14" s="918"/>
      <c r="U14" s="918"/>
      <c r="V14" s="918"/>
      <c r="W14" s="918"/>
    </row>
    <row r="15" spans="1:24" s="924" customFormat="1">
      <c r="A15" s="920"/>
      <c r="B15" s="921" t="s">
        <v>723</v>
      </c>
      <c r="C15" s="921"/>
      <c r="D15" s="922" t="s">
        <v>724</v>
      </c>
      <c r="E15" s="922" t="s">
        <v>725</v>
      </c>
      <c r="F15" s="922" t="s">
        <v>726</v>
      </c>
      <c r="G15" s="922" t="s">
        <v>727</v>
      </c>
      <c r="H15" s="922" t="s">
        <v>728</v>
      </c>
      <c r="I15" s="922" t="s">
        <v>729</v>
      </c>
      <c r="J15" s="922" t="s">
        <v>730</v>
      </c>
      <c r="K15" s="922" t="s">
        <v>731</v>
      </c>
      <c r="L15" s="922" t="s">
        <v>732</v>
      </c>
      <c r="M15" s="922" t="s">
        <v>733</v>
      </c>
      <c r="N15" s="922"/>
      <c r="O15" s="922"/>
      <c r="P15" s="923" t="s">
        <v>734</v>
      </c>
      <c r="Q15" s="922" t="s">
        <v>735</v>
      </c>
      <c r="R15" s="922" t="s">
        <v>736</v>
      </c>
      <c r="S15" s="923"/>
      <c r="T15" s="923"/>
      <c r="U15" s="923"/>
      <c r="V15" s="923"/>
      <c r="W15" s="923"/>
    </row>
    <row r="16" spans="1:24" s="933" customFormat="1" ht="28.5" customHeight="1">
      <c r="A16" s="925"/>
      <c r="B16" s="926" t="s">
        <v>737</v>
      </c>
      <c r="C16" s="927">
        <f t="shared" ref="C16:Q16" si="1">SUM(C18,C23:C24,C27:C30,C39,C68:C69,C79:C80,C87,C88,C108:C109,C113:C114,C117,C124,C128,C131,C135,C139:C140,C145,C149:C150,C153,C156,C159,C163,C166,C167,C169:C177,C188)</f>
        <v>1219017</v>
      </c>
      <c r="D16" s="928">
        <f t="shared" si="1"/>
        <v>427512</v>
      </c>
      <c r="E16" s="928">
        <f t="shared" si="1"/>
        <v>29359</v>
      </c>
      <c r="F16" s="927">
        <f t="shared" si="1"/>
        <v>0</v>
      </c>
      <c r="G16" s="927">
        <f t="shared" si="1"/>
        <v>0</v>
      </c>
      <c r="H16" s="928">
        <f t="shared" si="1"/>
        <v>175596</v>
      </c>
      <c r="I16" s="928">
        <f t="shared" si="1"/>
        <v>22309</v>
      </c>
      <c r="J16" s="928">
        <f t="shared" si="1"/>
        <v>9622</v>
      </c>
      <c r="K16" s="928">
        <f t="shared" si="1"/>
        <v>7488</v>
      </c>
      <c r="L16" s="928">
        <f t="shared" si="1"/>
        <v>29559</v>
      </c>
      <c r="M16" s="928">
        <f t="shared" si="1"/>
        <v>166095</v>
      </c>
      <c r="N16" s="927">
        <f t="shared" si="1"/>
        <v>49601</v>
      </c>
      <c r="O16" s="927">
        <f t="shared" si="1"/>
        <v>73281</v>
      </c>
      <c r="P16" s="929">
        <f>SUM(P18,P23,P24,P27:P30,P39,P68,P69,P79:P80,P87:P88,P108,P109,P113:P114,P117,P124,P128,P131,P135,P139:P140,P145,P149:P150,P153,P156,P159,P163,P166:P167,P169:P177,P188)</f>
        <v>305074</v>
      </c>
      <c r="Q16" s="927">
        <f t="shared" si="1"/>
        <v>34792</v>
      </c>
      <c r="R16" s="927">
        <f>SUM(R18,R23:R24,R27:R30,R39,R68:R69,R79:R80,R87,R88,R108:R109,R113:R114,R117,R124,R128,R131,R135,R139:R140,R145,R149:R150,R153,R156,R159,R163,R166,R167,R169:R177,R188)</f>
        <v>11611</v>
      </c>
      <c r="S16" s="930"/>
      <c r="T16" s="930"/>
      <c r="U16" s="931">
        <f>SUM(U18,U23,U24,U27:U30,U39,U68,U69,U79:U80,U87:U88,U108,U109,U113:U114,U117,U124,U128,U131,U135,U139:U140,U145,U149:U150,U153,U156,U159,U163,U166:U167,U169:U177,U188)</f>
        <v>1285704</v>
      </c>
      <c r="V16" s="931">
        <f>SUM(V18,V23,V24,V27:V30,V39,V68,V69,V79:V80,V87:V88,V108,V109,V113:V114,V117,V124,V128,V131,V135,V139:V140,V145,V149:V150,V153,V156,V159,V163,V166:V167,V169:V177,V188)</f>
        <v>66687</v>
      </c>
      <c r="W16" s="931"/>
      <c r="X16" s="932">
        <f>SUM(X18:X193)</f>
        <v>2259585</v>
      </c>
    </row>
    <row r="17" spans="1:25" s="938" customFormat="1" ht="25.5" customHeight="1">
      <c r="A17" s="934"/>
      <c r="B17" s="935" t="s">
        <v>494</v>
      </c>
      <c r="C17" s="936">
        <f t="shared" ref="C17:C38" si="2">SUM(D17:M17,P17:R17)</f>
        <v>350522</v>
      </c>
      <c r="D17" s="927">
        <f>D18+D23</f>
        <v>350522</v>
      </c>
      <c r="E17" s="927"/>
      <c r="F17" s="927"/>
      <c r="G17" s="927"/>
      <c r="H17" s="927"/>
      <c r="I17" s="927"/>
      <c r="J17" s="927"/>
      <c r="K17" s="927"/>
      <c r="L17" s="927"/>
      <c r="M17" s="927"/>
      <c r="N17" s="927"/>
      <c r="O17" s="927"/>
      <c r="P17" s="927"/>
      <c r="Q17" s="927"/>
      <c r="R17" s="927"/>
      <c r="S17" s="937"/>
      <c r="T17" s="937"/>
      <c r="U17" s="937"/>
      <c r="V17" s="937"/>
      <c r="W17" s="937"/>
    </row>
    <row r="18" spans="1:25" s="945" customFormat="1" ht="31.5" customHeight="1">
      <c r="A18" s="934">
        <v>1</v>
      </c>
      <c r="B18" s="939" t="s">
        <v>621</v>
      </c>
      <c r="C18" s="940">
        <f t="shared" si="2"/>
        <v>347575</v>
      </c>
      <c r="D18" s="941">
        <f>SUM(D19:D22)</f>
        <v>339604</v>
      </c>
      <c r="E18" s="941">
        <f t="shared" ref="E18:R18" si="3">SUM(E19:E22)</f>
        <v>0</v>
      </c>
      <c r="F18" s="941">
        <f t="shared" si="3"/>
        <v>0</v>
      </c>
      <c r="G18" s="941">
        <f t="shared" si="3"/>
        <v>0</v>
      </c>
      <c r="H18" s="941">
        <f t="shared" si="3"/>
        <v>0</v>
      </c>
      <c r="I18" s="941">
        <f t="shared" si="3"/>
        <v>0</v>
      </c>
      <c r="J18" s="941">
        <f t="shared" si="3"/>
        <v>0</v>
      </c>
      <c r="K18" s="941">
        <f t="shared" si="3"/>
        <v>0</v>
      </c>
      <c r="L18" s="941">
        <f t="shared" si="3"/>
        <v>0</v>
      </c>
      <c r="M18" s="941">
        <f t="shared" si="3"/>
        <v>0</v>
      </c>
      <c r="N18" s="941">
        <f t="shared" si="3"/>
        <v>0</v>
      </c>
      <c r="O18" s="941">
        <f t="shared" si="3"/>
        <v>0</v>
      </c>
      <c r="P18" s="941">
        <f t="shared" si="3"/>
        <v>7971</v>
      </c>
      <c r="Q18" s="941">
        <f t="shared" si="3"/>
        <v>0</v>
      </c>
      <c r="R18" s="941">
        <f t="shared" si="3"/>
        <v>0</v>
      </c>
      <c r="S18" s="942"/>
      <c r="T18" s="942"/>
      <c r="U18" s="942">
        <f>'[2]2019 (co TK)'!L58+'[2]2019 (co TK)'!L70+'[2]2019 (co TK)'!L174+'[2]2019 (co TK)'!L203</f>
        <v>347575</v>
      </c>
      <c r="V18" s="942">
        <f>U18-C18</f>
        <v>0</v>
      </c>
      <c r="W18" s="942"/>
      <c r="X18" s="943">
        <v>327141</v>
      </c>
      <c r="Y18" s="944">
        <f>X18-C18</f>
        <v>-20434</v>
      </c>
    </row>
    <row r="19" spans="1:25" s="950" customFormat="1" ht="31.5" customHeight="1">
      <c r="A19" s="946"/>
      <c r="B19" s="947" t="s">
        <v>738</v>
      </c>
      <c r="C19" s="948">
        <f t="shared" si="2"/>
        <v>337803</v>
      </c>
      <c r="D19" s="948">
        <f>'[2]2019 (co TK)'!L58</f>
        <v>337803</v>
      </c>
      <c r="E19" s="948">
        <v>0</v>
      </c>
      <c r="F19" s="948">
        <v>0</v>
      </c>
      <c r="G19" s="948">
        <v>0</v>
      </c>
      <c r="H19" s="948">
        <v>0</v>
      </c>
      <c r="I19" s="948">
        <v>0</v>
      </c>
      <c r="J19" s="948">
        <v>0</v>
      </c>
      <c r="K19" s="948">
        <v>0</v>
      </c>
      <c r="L19" s="948">
        <v>0</v>
      </c>
      <c r="M19" s="948">
        <v>0</v>
      </c>
      <c r="N19" s="948">
        <v>0</v>
      </c>
      <c r="O19" s="948">
        <v>0</v>
      </c>
      <c r="P19" s="948">
        <v>0</v>
      </c>
      <c r="Q19" s="948">
        <v>0</v>
      </c>
      <c r="R19" s="948">
        <v>0</v>
      </c>
      <c r="S19" s="949"/>
      <c r="T19" s="949"/>
      <c r="U19" s="949"/>
      <c r="V19" s="949"/>
      <c r="W19" s="949"/>
      <c r="X19" s="950">
        <v>314037</v>
      </c>
      <c r="Y19" s="951">
        <f t="shared" ref="Y19:Y82" si="4">X19-C19</f>
        <v>-23766</v>
      </c>
    </row>
    <row r="20" spans="1:25" s="950" customFormat="1" ht="31.5" customHeight="1">
      <c r="A20" s="946"/>
      <c r="B20" s="947" t="s">
        <v>739</v>
      </c>
      <c r="C20" s="948">
        <f t="shared" si="2"/>
        <v>7345</v>
      </c>
      <c r="D20" s="948">
        <v>0</v>
      </c>
      <c r="E20" s="948">
        <v>0</v>
      </c>
      <c r="F20" s="948">
        <v>0</v>
      </c>
      <c r="G20" s="948">
        <v>0</v>
      </c>
      <c r="H20" s="948">
        <v>0</v>
      </c>
      <c r="I20" s="948">
        <v>0</v>
      </c>
      <c r="J20" s="948">
        <v>0</v>
      </c>
      <c r="K20" s="948">
        <v>0</v>
      </c>
      <c r="L20" s="948">
        <v>0</v>
      </c>
      <c r="M20" s="948">
        <v>0</v>
      </c>
      <c r="N20" s="948">
        <v>0</v>
      </c>
      <c r="O20" s="948">
        <v>0</v>
      </c>
      <c r="P20" s="948">
        <f>'[2]2019 (co TK)'!L174-'[2]2019 (co TK)'!AD174</f>
        <v>7345</v>
      </c>
      <c r="Q20" s="948">
        <v>0</v>
      </c>
      <c r="R20" s="948">
        <v>0</v>
      </c>
      <c r="S20" s="949"/>
      <c r="T20" s="949"/>
      <c r="U20" s="949"/>
      <c r="V20" s="949"/>
      <c r="W20" s="949"/>
      <c r="X20" s="950">
        <v>7574</v>
      </c>
      <c r="Y20" s="951">
        <f t="shared" si="4"/>
        <v>229</v>
      </c>
    </row>
    <row r="21" spans="1:25" s="950" customFormat="1" ht="31.5" customHeight="1">
      <c r="A21" s="946"/>
      <c r="B21" s="947" t="s">
        <v>740</v>
      </c>
      <c r="C21" s="948">
        <f t="shared" si="2"/>
        <v>702</v>
      </c>
      <c r="D21" s="948">
        <f>'[2]2019 (co TK)'!AD203</f>
        <v>76</v>
      </c>
      <c r="E21" s="948">
        <v>0</v>
      </c>
      <c r="F21" s="948">
        <v>0</v>
      </c>
      <c r="G21" s="948">
        <v>0</v>
      </c>
      <c r="H21" s="948">
        <v>0</v>
      </c>
      <c r="I21" s="948">
        <v>0</v>
      </c>
      <c r="J21" s="948">
        <v>0</v>
      </c>
      <c r="K21" s="948">
        <v>0</v>
      </c>
      <c r="L21" s="948">
        <v>0</v>
      </c>
      <c r="M21" s="948">
        <v>0</v>
      </c>
      <c r="N21" s="948">
        <v>0</v>
      </c>
      <c r="O21" s="948">
        <v>0</v>
      </c>
      <c r="P21" s="948">
        <f>'[2]2019 (co TK)'!L203-'[2]2019 (co TK)'!AD203</f>
        <v>626</v>
      </c>
      <c r="Q21" s="948">
        <v>0</v>
      </c>
      <c r="R21" s="948"/>
      <c r="S21" s="949"/>
      <c r="T21" s="949"/>
      <c r="U21" s="949"/>
      <c r="V21" s="949"/>
      <c r="W21" s="949"/>
      <c r="X21" s="950">
        <v>604</v>
      </c>
      <c r="Y21" s="951">
        <f t="shared" si="4"/>
        <v>-98</v>
      </c>
    </row>
    <row r="22" spans="1:25" s="950" customFormat="1" ht="58.5" customHeight="1">
      <c r="A22" s="946"/>
      <c r="B22" s="947" t="s">
        <v>741</v>
      </c>
      <c r="C22" s="952">
        <f t="shared" si="2"/>
        <v>1725</v>
      </c>
      <c r="D22" s="952">
        <f>'[2]2019 (co TK)'!L70</f>
        <v>1725</v>
      </c>
      <c r="E22" s="952">
        <v>0</v>
      </c>
      <c r="F22" s="952">
        <v>0</v>
      </c>
      <c r="G22" s="952">
        <v>0</v>
      </c>
      <c r="H22" s="952">
        <v>0</v>
      </c>
      <c r="I22" s="952">
        <v>0</v>
      </c>
      <c r="J22" s="952">
        <v>0</v>
      </c>
      <c r="K22" s="952">
        <v>0</v>
      </c>
      <c r="L22" s="952">
        <v>0</v>
      </c>
      <c r="M22" s="952">
        <v>0</v>
      </c>
      <c r="N22" s="952">
        <v>0</v>
      </c>
      <c r="O22" s="952">
        <v>0</v>
      </c>
      <c r="P22" s="952">
        <v>0</v>
      </c>
      <c r="Q22" s="952">
        <v>0</v>
      </c>
      <c r="R22" s="952">
        <v>0</v>
      </c>
      <c r="S22" s="953"/>
      <c r="T22" s="953"/>
      <c r="U22" s="953"/>
      <c r="V22" s="953"/>
      <c r="W22" s="953"/>
      <c r="X22" s="950">
        <v>4926</v>
      </c>
      <c r="Y22" s="951">
        <f t="shared" si="4"/>
        <v>3201</v>
      </c>
    </row>
    <row r="23" spans="1:25" s="950" customFormat="1" ht="33" customHeight="1">
      <c r="A23" s="954">
        <v>2</v>
      </c>
      <c r="B23" s="947" t="s">
        <v>496</v>
      </c>
      <c r="C23" s="948">
        <f t="shared" si="2"/>
        <v>10918</v>
      </c>
      <c r="D23" s="948">
        <f>'[2]2019 (co TK)'!L59</f>
        <v>10918</v>
      </c>
      <c r="E23" s="948">
        <v>0</v>
      </c>
      <c r="F23" s="948">
        <v>0</v>
      </c>
      <c r="G23" s="948">
        <v>0</v>
      </c>
      <c r="H23" s="948">
        <v>0</v>
      </c>
      <c r="I23" s="948">
        <v>0</v>
      </c>
      <c r="J23" s="948">
        <v>0</v>
      </c>
      <c r="K23" s="948">
        <v>0</v>
      </c>
      <c r="L23" s="948">
        <v>0</v>
      </c>
      <c r="M23" s="948">
        <v>0</v>
      </c>
      <c r="N23" s="948">
        <v>0</v>
      </c>
      <c r="O23" s="948">
        <v>0</v>
      </c>
      <c r="P23" s="948">
        <v>0</v>
      </c>
      <c r="Q23" s="948">
        <v>0</v>
      </c>
      <c r="R23" s="948">
        <v>0</v>
      </c>
      <c r="S23" s="949"/>
      <c r="T23" s="949"/>
      <c r="U23" s="949">
        <f>'[2]2019 (co TK)'!L59</f>
        <v>10918</v>
      </c>
      <c r="V23" s="949">
        <f>U23-C23</f>
        <v>0</v>
      </c>
      <c r="W23" s="949"/>
      <c r="X23" s="955">
        <v>10810</v>
      </c>
      <c r="Y23" s="951">
        <f t="shared" si="4"/>
        <v>-108</v>
      </c>
    </row>
    <row r="24" spans="1:25" s="945" customFormat="1" ht="31.5" customHeight="1">
      <c r="A24" s="934">
        <v>3</v>
      </c>
      <c r="B24" s="939" t="s">
        <v>498</v>
      </c>
      <c r="C24" s="940">
        <f t="shared" si="2"/>
        <v>20057</v>
      </c>
      <c r="D24" s="940">
        <f>D25+D26</f>
        <v>20057</v>
      </c>
      <c r="E24" s="940">
        <f t="shared" ref="E24:R24" si="5">E25+E26</f>
        <v>0</v>
      </c>
      <c r="F24" s="940">
        <f t="shared" si="5"/>
        <v>0</v>
      </c>
      <c r="G24" s="940">
        <f t="shared" si="5"/>
        <v>0</v>
      </c>
      <c r="H24" s="940">
        <f t="shared" si="5"/>
        <v>0</v>
      </c>
      <c r="I24" s="940">
        <f t="shared" si="5"/>
        <v>0</v>
      </c>
      <c r="J24" s="940">
        <f t="shared" si="5"/>
        <v>0</v>
      </c>
      <c r="K24" s="940">
        <f t="shared" si="5"/>
        <v>0</v>
      </c>
      <c r="L24" s="940">
        <f t="shared" si="5"/>
        <v>0</v>
      </c>
      <c r="M24" s="940">
        <f t="shared" si="5"/>
        <v>0</v>
      </c>
      <c r="N24" s="940">
        <f t="shared" si="5"/>
        <v>0</v>
      </c>
      <c r="O24" s="940">
        <f t="shared" si="5"/>
        <v>0</v>
      </c>
      <c r="P24" s="940">
        <f t="shared" si="5"/>
        <v>0</v>
      </c>
      <c r="Q24" s="940">
        <f t="shared" si="5"/>
        <v>0</v>
      </c>
      <c r="R24" s="940">
        <f t="shared" si="5"/>
        <v>0</v>
      </c>
      <c r="S24" s="942"/>
      <c r="T24" s="942"/>
      <c r="U24" s="942">
        <f>'[2]2019 (co TK)'!L61+'[2]2019 (co TK)'!L71</f>
        <v>20057</v>
      </c>
      <c r="V24" s="942">
        <f>U24-C24</f>
        <v>0</v>
      </c>
      <c r="W24" s="942"/>
      <c r="X24" s="943">
        <v>12807</v>
      </c>
      <c r="Y24" s="944">
        <f t="shared" si="4"/>
        <v>-7250</v>
      </c>
    </row>
    <row r="25" spans="1:25" s="950" customFormat="1" ht="31.5" customHeight="1">
      <c r="A25" s="946"/>
      <c r="B25" s="947" t="s">
        <v>742</v>
      </c>
      <c r="C25" s="948">
        <f t="shared" si="2"/>
        <v>19637</v>
      </c>
      <c r="D25" s="948">
        <f>'[2]2019 (co TK)'!L61</f>
        <v>19637</v>
      </c>
      <c r="E25" s="952">
        <v>0</v>
      </c>
      <c r="F25" s="952">
        <v>0</v>
      </c>
      <c r="G25" s="952">
        <v>0</v>
      </c>
      <c r="H25" s="952">
        <v>0</v>
      </c>
      <c r="I25" s="952">
        <v>0</v>
      </c>
      <c r="J25" s="952">
        <v>0</v>
      </c>
      <c r="K25" s="952">
        <v>0</v>
      </c>
      <c r="L25" s="952">
        <v>0</v>
      </c>
      <c r="M25" s="952">
        <v>0</v>
      </c>
      <c r="N25" s="952">
        <v>0</v>
      </c>
      <c r="O25" s="952">
        <v>0</v>
      </c>
      <c r="P25" s="952">
        <v>0</v>
      </c>
      <c r="Q25" s="952">
        <v>0</v>
      </c>
      <c r="R25" s="952">
        <v>0</v>
      </c>
      <c r="S25" s="953"/>
      <c r="T25" s="953"/>
      <c r="U25" s="953"/>
      <c r="V25" s="953"/>
      <c r="W25" s="953"/>
      <c r="X25" s="950">
        <v>11807</v>
      </c>
      <c r="Y25" s="951">
        <f t="shared" si="4"/>
        <v>-7830</v>
      </c>
    </row>
    <row r="26" spans="1:25" s="950" customFormat="1" ht="46.8">
      <c r="A26" s="946"/>
      <c r="B26" s="947" t="s">
        <v>743</v>
      </c>
      <c r="C26" s="948">
        <f t="shared" si="2"/>
        <v>420</v>
      </c>
      <c r="D26" s="948">
        <f>'[2]2019 (co TK)'!L71</f>
        <v>420</v>
      </c>
      <c r="E26" s="952">
        <v>0</v>
      </c>
      <c r="F26" s="952">
        <v>0</v>
      </c>
      <c r="G26" s="952">
        <v>0</v>
      </c>
      <c r="H26" s="952">
        <v>0</v>
      </c>
      <c r="I26" s="952">
        <v>0</v>
      </c>
      <c r="J26" s="952">
        <v>0</v>
      </c>
      <c r="K26" s="952">
        <v>0</v>
      </c>
      <c r="L26" s="952">
        <v>0</v>
      </c>
      <c r="M26" s="952">
        <v>0</v>
      </c>
      <c r="N26" s="952">
        <v>0</v>
      </c>
      <c r="O26" s="952">
        <v>0</v>
      </c>
      <c r="P26" s="952">
        <v>0</v>
      </c>
      <c r="Q26" s="952">
        <v>0</v>
      </c>
      <c r="R26" s="952">
        <v>0</v>
      </c>
      <c r="S26" s="953"/>
      <c r="T26" s="953"/>
      <c r="U26" s="953"/>
      <c r="V26" s="953"/>
      <c r="W26" s="953"/>
      <c r="X26" s="950">
        <v>1000</v>
      </c>
      <c r="Y26" s="951">
        <f t="shared" si="4"/>
        <v>580</v>
      </c>
    </row>
    <row r="27" spans="1:25" s="950" customFormat="1" ht="31.5" customHeight="1">
      <c r="A27" s="946">
        <v>4</v>
      </c>
      <c r="B27" s="947" t="s">
        <v>499</v>
      </c>
      <c r="C27" s="948">
        <f t="shared" si="2"/>
        <v>8027</v>
      </c>
      <c r="D27" s="948">
        <f>'[2]2019 (co TK)'!L62</f>
        <v>8027</v>
      </c>
      <c r="E27" s="948"/>
      <c r="F27" s="948">
        <v>0</v>
      </c>
      <c r="G27" s="948">
        <v>0</v>
      </c>
      <c r="H27" s="948">
        <v>0</v>
      </c>
      <c r="I27" s="948">
        <v>0</v>
      </c>
      <c r="J27" s="948">
        <v>0</v>
      </c>
      <c r="K27" s="948">
        <v>0</v>
      </c>
      <c r="L27" s="948">
        <v>0</v>
      </c>
      <c r="M27" s="948">
        <v>0</v>
      </c>
      <c r="N27" s="948">
        <v>0</v>
      </c>
      <c r="O27" s="948">
        <v>0</v>
      </c>
      <c r="P27" s="948">
        <v>0</v>
      </c>
      <c r="Q27" s="948">
        <v>0</v>
      </c>
      <c r="R27" s="948">
        <v>0</v>
      </c>
      <c r="S27" s="949"/>
      <c r="T27" s="949"/>
      <c r="U27" s="949">
        <f>'[2]2019 (co TK)'!L62</f>
        <v>8027</v>
      </c>
      <c r="V27" s="949">
        <f>U27-C27</f>
        <v>0</v>
      </c>
      <c r="W27" s="949"/>
      <c r="X27" s="955">
        <v>17281</v>
      </c>
      <c r="Y27" s="951">
        <f t="shared" si="4"/>
        <v>9254</v>
      </c>
    </row>
    <row r="28" spans="1:25" s="950" customFormat="1" ht="33.75" customHeight="1">
      <c r="A28" s="946">
        <v>5</v>
      </c>
      <c r="B28" s="947" t="s">
        <v>501</v>
      </c>
      <c r="C28" s="948">
        <f t="shared" si="2"/>
        <v>3221</v>
      </c>
      <c r="D28" s="948">
        <f>'[2]2019 (co TK)'!L64</f>
        <v>3221</v>
      </c>
      <c r="E28" s="948">
        <v>0</v>
      </c>
      <c r="F28" s="948">
        <v>0</v>
      </c>
      <c r="G28" s="948">
        <v>0</v>
      </c>
      <c r="H28" s="948">
        <v>0</v>
      </c>
      <c r="I28" s="948">
        <v>0</v>
      </c>
      <c r="J28" s="948">
        <v>0</v>
      </c>
      <c r="K28" s="948">
        <v>0</v>
      </c>
      <c r="L28" s="948">
        <v>0</v>
      </c>
      <c r="M28" s="948">
        <v>0</v>
      </c>
      <c r="N28" s="948">
        <v>0</v>
      </c>
      <c r="O28" s="948">
        <v>0</v>
      </c>
      <c r="P28" s="948">
        <v>0</v>
      </c>
      <c r="Q28" s="948">
        <v>0</v>
      </c>
      <c r="R28" s="948">
        <v>0</v>
      </c>
      <c r="S28" s="949"/>
      <c r="T28" s="949"/>
      <c r="U28" s="949">
        <f>'[2]2019 (co TK)'!L64</f>
        <v>3221</v>
      </c>
      <c r="V28" s="949">
        <f>U28-C28</f>
        <v>0</v>
      </c>
      <c r="W28" s="949"/>
      <c r="X28" s="955">
        <v>770</v>
      </c>
      <c r="Y28" s="951">
        <f t="shared" si="4"/>
        <v>-2451</v>
      </c>
    </row>
    <row r="29" spans="1:25" s="950" customFormat="1" ht="33.75" customHeight="1">
      <c r="A29" s="946">
        <v>6</v>
      </c>
      <c r="B29" s="947" t="s">
        <v>502</v>
      </c>
      <c r="C29" s="948">
        <f t="shared" si="2"/>
        <v>7685</v>
      </c>
      <c r="D29" s="948">
        <f>'[2]2019 (co TK)'!L65</f>
        <v>7685</v>
      </c>
      <c r="E29" s="948">
        <v>0</v>
      </c>
      <c r="F29" s="948">
        <v>0</v>
      </c>
      <c r="G29" s="948">
        <v>0</v>
      </c>
      <c r="H29" s="948">
        <v>0</v>
      </c>
      <c r="I29" s="948">
        <v>0</v>
      </c>
      <c r="J29" s="948">
        <v>0</v>
      </c>
      <c r="K29" s="948">
        <v>0</v>
      </c>
      <c r="L29" s="948">
        <v>0</v>
      </c>
      <c r="M29" s="948">
        <v>0</v>
      </c>
      <c r="N29" s="948">
        <v>0</v>
      </c>
      <c r="O29" s="948">
        <v>0</v>
      </c>
      <c r="P29" s="948">
        <v>0</v>
      </c>
      <c r="Q29" s="948">
        <v>0</v>
      </c>
      <c r="R29" s="948">
        <v>0</v>
      </c>
      <c r="S29" s="949"/>
      <c r="T29" s="949"/>
      <c r="U29" s="949">
        <f>'[2]2019 (co TK)'!L65</f>
        <v>7685</v>
      </c>
      <c r="V29" s="949">
        <f>U29-C29</f>
        <v>0</v>
      </c>
      <c r="W29" s="949"/>
      <c r="X29" s="955">
        <v>7075</v>
      </c>
      <c r="Y29" s="951">
        <f t="shared" si="4"/>
        <v>-610</v>
      </c>
    </row>
    <row r="30" spans="1:25" s="945" customFormat="1" ht="49.5" customHeight="1">
      <c r="A30" s="934">
        <v>7</v>
      </c>
      <c r="B30" s="939" t="s">
        <v>744</v>
      </c>
      <c r="C30" s="940">
        <f t="shared" si="2"/>
        <v>38142</v>
      </c>
      <c r="D30" s="940">
        <f t="shared" ref="D30:Q30" si="6">SUM(D31:D37)</f>
        <v>21</v>
      </c>
      <c r="E30" s="940">
        <f t="shared" si="6"/>
        <v>29359</v>
      </c>
      <c r="F30" s="940">
        <f t="shared" si="6"/>
        <v>0</v>
      </c>
      <c r="G30" s="940">
        <f t="shared" si="6"/>
        <v>0</v>
      </c>
      <c r="H30" s="940">
        <f t="shared" si="6"/>
        <v>0</v>
      </c>
      <c r="I30" s="940">
        <f t="shared" si="6"/>
        <v>0</v>
      </c>
      <c r="J30" s="940">
        <f t="shared" si="6"/>
        <v>0</v>
      </c>
      <c r="K30" s="940">
        <f t="shared" si="6"/>
        <v>0</v>
      </c>
      <c r="L30" s="940">
        <f t="shared" si="6"/>
        <v>0</v>
      </c>
      <c r="M30" s="940">
        <f t="shared" si="6"/>
        <v>0</v>
      </c>
      <c r="N30" s="940">
        <f t="shared" si="6"/>
        <v>0</v>
      </c>
      <c r="O30" s="940">
        <f t="shared" si="6"/>
        <v>0</v>
      </c>
      <c r="P30" s="940">
        <f t="shared" si="6"/>
        <v>8762</v>
      </c>
      <c r="Q30" s="940">
        <f t="shared" si="6"/>
        <v>0</v>
      </c>
      <c r="R30" s="940">
        <f>SUM(R31:R37)</f>
        <v>0</v>
      </c>
      <c r="S30" s="942"/>
      <c r="T30" s="942"/>
      <c r="U30" s="942">
        <f>'[2]2019 (co TK)'!L135+'[2]2019 (co TK)'!L179+'[2]2019 (co TK)'!L206</f>
        <v>38142</v>
      </c>
      <c r="V30" s="942">
        <f>U30-C30</f>
        <v>0</v>
      </c>
      <c r="W30" s="942"/>
      <c r="X30" s="943">
        <v>37711</v>
      </c>
      <c r="Y30" s="944">
        <f t="shared" si="4"/>
        <v>-431</v>
      </c>
    </row>
    <row r="31" spans="1:25" s="950" customFormat="1" ht="37.5" customHeight="1">
      <c r="A31" s="946"/>
      <c r="B31" s="947" t="s">
        <v>582</v>
      </c>
      <c r="C31" s="948">
        <f t="shared" si="2"/>
        <v>28045</v>
      </c>
      <c r="D31" s="952">
        <v>0</v>
      </c>
      <c r="E31" s="948">
        <f>'[2]2019 (co TK)'!L136+'[2]2019 (co TK)'!AJ136</f>
        <v>21415</v>
      </c>
      <c r="F31" s="948">
        <v>0</v>
      </c>
      <c r="G31" s="948">
        <v>0</v>
      </c>
      <c r="H31" s="948">
        <v>0</v>
      </c>
      <c r="I31" s="948">
        <v>0</v>
      </c>
      <c r="J31" s="948">
        <v>0</v>
      </c>
      <c r="K31" s="948">
        <v>0</v>
      </c>
      <c r="L31" s="948">
        <v>0</v>
      </c>
      <c r="M31" s="948">
        <v>0</v>
      </c>
      <c r="N31" s="948">
        <v>0</v>
      </c>
      <c r="O31" s="948">
        <v>0</v>
      </c>
      <c r="P31" s="948">
        <f>'[2]2019 (co TK)'!L179-'[2]2019 (co TK)'!AD179</f>
        <v>6630</v>
      </c>
      <c r="Q31" s="948"/>
      <c r="R31" s="948"/>
      <c r="S31" s="949"/>
      <c r="T31" s="949"/>
      <c r="U31" s="949"/>
      <c r="V31" s="949"/>
      <c r="W31" s="949"/>
      <c r="X31" s="950">
        <v>26091</v>
      </c>
      <c r="Y31" s="951">
        <f t="shared" si="4"/>
        <v>-1954</v>
      </c>
    </row>
    <row r="32" spans="1:25" s="950" customFormat="1" ht="37.5" hidden="1" customHeight="1">
      <c r="A32" s="946"/>
      <c r="B32" s="956" t="s">
        <v>583</v>
      </c>
      <c r="C32" s="948">
        <f t="shared" si="2"/>
        <v>0</v>
      </c>
      <c r="D32" s="952">
        <v>0</v>
      </c>
      <c r="E32" s="948">
        <f>'[2]2019 (co TK)'!L137</f>
        <v>0</v>
      </c>
      <c r="F32" s="948">
        <v>0</v>
      </c>
      <c r="G32" s="948">
        <v>0</v>
      </c>
      <c r="H32" s="948">
        <v>0</v>
      </c>
      <c r="I32" s="948">
        <v>0</v>
      </c>
      <c r="J32" s="948">
        <v>0</v>
      </c>
      <c r="K32" s="948">
        <v>0</v>
      </c>
      <c r="L32" s="948">
        <v>0</v>
      </c>
      <c r="M32" s="948">
        <v>0</v>
      </c>
      <c r="N32" s="948">
        <v>0</v>
      </c>
      <c r="O32" s="948">
        <v>0</v>
      </c>
      <c r="P32" s="948">
        <v>0</v>
      </c>
      <c r="Q32" s="948">
        <v>0</v>
      </c>
      <c r="R32" s="948">
        <v>0</v>
      </c>
      <c r="S32" s="949"/>
      <c r="T32" s="949"/>
      <c r="U32" s="949"/>
      <c r="V32" s="949"/>
      <c r="W32" s="949"/>
      <c r="X32" s="950">
        <v>0</v>
      </c>
      <c r="Y32" s="951">
        <f t="shared" si="4"/>
        <v>0</v>
      </c>
    </row>
    <row r="33" spans="1:25" s="950" customFormat="1" ht="37.5" customHeight="1">
      <c r="A33" s="946"/>
      <c r="B33" s="947" t="s">
        <v>584</v>
      </c>
      <c r="C33" s="948">
        <f t="shared" si="2"/>
        <v>4508</v>
      </c>
      <c r="D33" s="952">
        <f>'[2]2019 (co TK)'!AD138</f>
        <v>21</v>
      </c>
      <c r="E33" s="948">
        <f>'[2]2019 (co TK)'!L138-'[2]2019 (co TK)'!AD138</f>
        <v>4487</v>
      </c>
      <c r="F33" s="948">
        <v>0</v>
      </c>
      <c r="G33" s="948">
        <v>0</v>
      </c>
      <c r="H33" s="948">
        <v>0</v>
      </c>
      <c r="I33" s="948">
        <v>0</v>
      </c>
      <c r="J33" s="948">
        <v>0</v>
      </c>
      <c r="K33" s="948">
        <v>0</v>
      </c>
      <c r="L33" s="948">
        <v>0</v>
      </c>
      <c r="M33" s="948">
        <v>0</v>
      </c>
      <c r="N33" s="948">
        <v>0</v>
      </c>
      <c r="O33" s="948">
        <v>0</v>
      </c>
      <c r="P33" s="948">
        <v>0</v>
      </c>
      <c r="Q33" s="948">
        <v>0</v>
      </c>
      <c r="R33" s="948">
        <v>0</v>
      </c>
      <c r="S33" s="949"/>
      <c r="T33" s="949"/>
      <c r="U33" s="949"/>
      <c r="V33" s="949"/>
      <c r="W33" s="949"/>
      <c r="X33" s="950">
        <v>6436</v>
      </c>
      <c r="Y33" s="951">
        <f t="shared" si="4"/>
        <v>1928</v>
      </c>
    </row>
    <row r="34" spans="1:25" s="950" customFormat="1" ht="37.5" customHeight="1">
      <c r="A34" s="946"/>
      <c r="B34" s="947" t="s">
        <v>585</v>
      </c>
      <c r="C34" s="948">
        <f t="shared" si="2"/>
        <v>500</v>
      </c>
      <c r="D34" s="952">
        <f>'[2]2019 (co TK)'!AD139</f>
        <v>0</v>
      </c>
      <c r="E34" s="948">
        <f>'[2]2019 (co TK)'!L139-'[2]2019 (co TK)'!AD139</f>
        <v>500</v>
      </c>
      <c r="F34" s="948">
        <v>0</v>
      </c>
      <c r="G34" s="948">
        <v>0</v>
      </c>
      <c r="H34" s="948">
        <v>0</v>
      </c>
      <c r="I34" s="948">
        <v>0</v>
      </c>
      <c r="J34" s="948">
        <v>0</v>
      </c>
      <c r="K34" s="948">
        <v>0</v>
      </c>
      <c r="L34" s="948">
        <v>0</v>
      </c>
      <c r="M34" s="948">
        <v>0</v>
      </c>
      <c r="N34" s="948">
        <v>0</v>
      </c>
      <c r="O34" s="948">
        <v>0</v>
      </c>
      <c r="P34" s="948">
        <v>0</v>
      </c>
      <c r="Q34" s="948">
        <v>0</v>
      </c>
      <c r="R34" s="948">
        <v>0</v>
      </c>
      <c r="S34" s="949"/>
      <c r="T34" s="949"/>
      <c r="U34" s="949"/>
      <c r="V34" s="949"/>
      <c r="W34" s="949"/>
      <c r="X34" s="950">
        <v>1043</v>
      </c>
      <c r="Y34" s="951">
        <f t="shared" si="4"/>
        <v>543</v>
      </c>
    </row>
    <row r="35" spans="1:25" s="950" customFormat="1" ht="37.5" customHeight="1">
      <c r="A35" s="946"/>
      <c r="B35" s="956" t="s">
        <v>586</v>
      </c>
      <c r="C35" s="948">
        <f t="shared" si="2"/>
        <v>960</v>
      </c>
      <c r="D35" s="952">
        <f>'[2]2019 (co TK)'!AD140</f>
        <v>0</v>
      </c>
      <c r="E35" s="948">
        <f>'[2]2019 (co TK)'!L140-'[2]2019 (co TK)'!AD140</f>
        <v>960</v>
      </c>
      <c r="F35" s="948">
        <v>0</v>
      </c>
      <c r="G35" s="948">
        <v>0</v>
      </c>
      <c r="H35" s="948">
        <v>0</v>
      </c>
      <c r="I35" s="948">
        <v>0</v>
      </c>
      <c r="J35" s="948">
        <v>0</v>
      </c>
      <c r="K35" s="948">
        <v>0</v>
      </c>
      <c r="L35" s="948">
        <v>0</v>
      </c>
      <c r="M35" s="948">
        <v>0</v>
      </c>
      <c r="N35" s="948">
        <v>0</v>
      </c>
      <c r="O35" s="948">
        <v>0</v>
      </c>
      <c r="P35" s="948">
        <v>0</v>
      </c>
      <c r="Q35" s="948">
        <v>0</v>
      </c>
      <c r="R35" s="948">
        <v>0</v>
      </c>
      <c r="S35" s="949"/>
      <c r="T35" s="949"/>
      <c r="U35" s="949"/>
      <c r="V35" s="949"/>
      <c r="W35" s="949"/>
      <c r="X35" s="950">
        <v>1082</v>
      </c>
      <c r="Y35" s="951">
        <f t="shared" si="4"/>
        <v>122</v>
      </c>
    </row>
    <row r="36" spans="1:25" s="950" customFormat="1" ht="37.5" customHeight="1">
      <c r="A36" s="946"/>
      <c r="B36" s="947" t="s">
        <v>587</v>
      </c>
      <c r="C36" s="948">
        <f t="shared" si="2"/>
        <v>1997</v>
      </c>
      <c r="D36" s="952">
        <f>'[2]2019 (co TK)'!AD141</f>
        <v>0</v>
      </c>
      <c r="E36" s="948">
        <f>'[2]2019 (co TK)'!L141-'[2]2019 (co TK)'!AD141</f>
        <v>1997</v>
      </c>
      <c r="F36" s="948">
        <v>0</v>
      </c>
      <c r="G36" s="948">
        <v>0</v>
      </c>
      <c r="H36" s="948">
        <v>0</v>
      </c>
      <c r="I36" s="948">
        <v>0</v>
      </c>
      <c r="J36" s="948">
        <v>0</v>
      </c>
      <c r="K36" s="948">
        <v>0</v>
      </c>
      <c r="L36" s="948">
        <v>0</v>
      </c>
      <c r="M36" s="948">
        <v>0</v>
      </c>
      <c r="N36" s="948">
        <v>0</v>
      </c>
      <c r="O36" s="948">
        <v>0</v>
      </c>
      <c r="P36" s="948">
        <v>0</v>
      </c>
      <c r="Q36" s="948">
        <v>0</v>
      </c>
      <c r="R36" s="948">
        <v>0</v>
      </c>
      <c r="S36" s="949"/>
      <c r="T36" s="949"/>
      <c r="U36" s="949"/>
      <c r="V36" s="949"/>
      <c r="W36" s="949"/>
      <c r="X36" s="950">
        <v>1760</v>
      </c>
      <c r="Y36" s="951">
        <f t="shared" si="4"/>
        <v>-237</v>
      </c>
    </row>
    <row r="37" spans="1:25" s="950" customFormat="1" ht="37.5" customHeight="1">
      <c r="A37" s="946"/>
      <c r="B37" s="947" t="s">
        <v>745</v>
      </c>
      <c r="C37" s="948">
        <f t="shared" si="2"/>
        <v>2132</v>
      </c>
      <c r="D37" s="952">
        <f>'[2]2019 (co TK)'!AD206</f>
        <v>0</v>
      </c>
      <c r="E37" s="952">
        <v>0</v>
      </c>
      <c r="F37" s="952">
        <v>0</v>
      </c>
      <c r="G37" s="952">
        <v>0</v>
      </c>
      <c r="H37" s="952">
        <v>0</v>
      </c>
      <c r="I37" s="952">
        <v>0</v>
      </c>
      <c r="J37" s="952">
        <v>0</v>
      </c>
      <c r="K37" s="952">
        <v>0</v>
      </c>
      <c r="L37" s="952">
        <v>0</v>
      </c>
      <c r="M37" s="952">
        <v>0</v>
      </c>
      <c r="N37" s="952">
        <v>0</v>
      </c>
      <c r="O37" s="952">
        <v>0</v>
      </c>
      <c r="P37" s="952">
        <f>'[2]2019 (co TK)'!L206-'[2]2019 (co TK)'!AD206</f>
        <v>2132</v>
      </c>
      <c r="Q37" s="952">
        <v>0</v>
      </c>
      <c r="R37" s="948"/>
      <c r="S37" s="949"/>
      <c r="T37" s="949"/>
      <c r="U37" s="949"/>
      <c r="V37" s="949"/>
      <c r="W37" s="949"/>
      <c r="X37" s="950">
        <v>1299</v>
      </c>
      <c r="Y37" s="951">
        <f t="shared" si="4"/>
        <v>-833</v>
      </c>
    </row>
    <row r="38" spans="1:25" s="950" customFormat="1" ht="37.5" hidden="1" customHeight="1">
      <c r="A38" s="946"/>
      <c r="B38" s="957" t="s">
        <v>588</v>
      </c>
      <c r="C38" s="948">
        <f t="shared" si="2"/>
        <v>0</v>
      </c>
      <c r="D38" s="948"/>
      <c r="E38" s="948">
        <f>'[2]2019 (co TK)'!L142</f>
        <v>0</v>
      </c>
      <c r="F38" s="948">
        <v>0</v>
      </c>
      <c r="G38" s="948">
        <v>0</v>
      </c>
      <c r="H38" s="948">
        <v>0</v>
      </c>
      <c r="I38" s="948">
        <v>0</v>
      </c>
      <c r="J38" s="948">
        <v>0</v>
      </c>
      <c r="K38" s="948">
        <v>0</v>
      </c>
      <c r="L38" s="948">
        <v>0</v>
      </c>
      <c r="M38" s="948">
        <v>0</v>
      </c>
      <c r="N38" s="948">
        <v>0</v>
      </c>
      <c r="O38" s="948">
        <v>0</v>
      </c>
      <c r="P38" s="948">
        <v>0</v>
      </c>
      <c r="Q38" s="948">
        <v>0</v>
      </c>
      <c r="R38" s="948">
        <v>0</v>
      </c>
      <c r="S38" s="949"/>
      <c r="T38" s="949"/>
      <c r="U38" s="949"/>
      <c r="V38" s="949"/>
      <c r="W38" s="949"/>
      <c r="X38" s="950">
        <v>0</v>
      </c>
      <c r="Y38" s="951">
        <f t="shared" si="4"/>
        <v>0</v>
      </c>
    </row>
    <row r="39" spans="1:25" s="945" customFormat="1" ht="34.5" customHeight="1">
      <c r="A39" s="934">
        <v>8</v>
      </c>
      <c r="B39" s="939" t="s">
        <v>746</v>
      </c>
      <c r="C39" s="940">
        <f>SUM(C40:C50,C52:C53,C56,C62:C67)</f>
        <v>190819</v>
      </c>
      <c r="D39" s="940">
        <f t="shared" ref="D39:R39" si="7">SUM(D40:D50,D52:D53,D56,D62:D67)</f>
        <v>2679</v>
      </c>
      <c r="E39" s="940">
        <f t="shared" si="7"/>
        <v>0</v>
      </c>
      <c r="F39" s="940">
        <f t="shared" si="7"/>
        <v>0</v>
      </c>
      <c r="G39" s="940">
        <f t="shared" si="7"/>
        <v>0</v>
      </c>
      <c r="H39" s="940">
        <f t="shared" si="7"/>
        <v>173696</v>
      </c>
      <c r="I39" s="940">
        <f t="shared" si="7"/>
        <v>0</v>
      </c>
      <c r="J39" s="940">
        <f t="shared" si="7"/>
        <v>0</v>
      </c>
      <c r="K39" s="940">
        <f t="shared" si="7"/>
        <v>0</v>
      </c>
      <c r="L39" s="940">
        <f t="shared" si="7"/>
        <v>0</v>
      </c>
      <c r="M39" s="940">
        <f t="shared" si="7"/>
        <v>0</v>
      </c>
      <c r="N39" s="940">
        <f t="shared" si="7"/>
        <v>0</v>
      </c>
      <c r="O39" s="940">
        <f t="shared" si="7"/>
        <v>0</v>
      </c>
      <c r="P39" s="940">
        <f t="shared" si="7"/>
        <v>14444</v>
      </c>
      <c r="Q39" s="940">
        <f t="shared" si="7"/>
        <v>0</v>
      </c>
      <c r="R39" s="940">
        <f t="shared" si="7"/>
        <v>0</v>
      </c>
      <c r="S39" s="942"/>
      <c r="T39" s="942"/>
      <c r="U39" s="942">
        <f>'[2]2019 (co TK)'!L78+'[2]2019 (co TK)'!L93+'[2]2019 (co TK)'!L175+'[2]2019 (co TK)'!L69</f>
        <v>190819</v>
      </c>
      <c r="V39" s="942">
        <f>U39-C39</f>
        <v>0</v>
      </c>
      <c r="W39" s="942"/>
      <c r="X39" s="943">
        <v>188095</v>
      </c>
      <c r="Y39" s="944">
        <f t="shared" si="4"/>
        <v>-2724</v>
      </c>
    </row>
    <row r="40" spans="1:25" s="950" customFormat="1" ht="30.75" customHeight="1">
      <c r="A40" s="946"/>
      <c r="B40" s="947" t="s">
        <v>747</v>
      </c>
      <c r="C40" s="948">
        <f t="shared" ref="C40:C66" si="8">SUM(D40:M40,P40:R40)</f>
        <v>64114</v>
      </c>
      <c r="D40" s="948">
        <f>'[2]2019 (co TK)'!AD175</f>
        <v>314</v>
      </c>
      <c r="E40" s="948"/>
      <c r="F40" s="948">
        <v>0</v>
      </c>
      <c r="G40" s="948">
        <v>0</v>
      </c>
      <c r="H40" s="948">
        <f>'[2]2019 (co TK)'!L79-'[2]2019 (co TK)'!AD79+'[2]2019 (co TK)'!AK79</f>
        <v>49356</v>
      </c>
      <c r="I40" s="948">
        <v>0</v>
      </c>
      <c r="J40" s="948">
        <v>0</v>
      </c>
      <c r="K40" s="948">
        <v>0</v>
      </c>
      <c r="L40" s="948">
        <v>0</v>
      </c>
      <c r="M40" s="948">
        <v>0</v>
      </c>
      <c r="N40" s="948">
        <v>0</v>
      </c>
      <c r="O40" s="948">
        <v>0</v>
      </c>
      <c r="P40" s="948">
        <f>'[2]2019 (co TK)'!L175-'[2]2019 (co TK)'!AD175</f>
        <v>14444</v>
      </c>
      <c r="Q40" s="948"/>
      <c r="R40" s="948"/>
      <c r="S40" s="949"/>
      <c r="T40" s="949"/>
      <c r="U40" s="949"/>
      <c r="V40" s="949"/>
      <c r="W40" s="949"/>
      <c r="X40" s="950">
        <v>51104</v>
      </c>
      <c r="Y40" s="951">
        <f t="shared" si="4"/>
        <v>-13010</v>
      </c>
    </row>
    <row r="41" spans="1:25" s="950" customFormat="1" ht="30.75" customHeight="1">
      <c r="A41" s="946"/>
      <c r="B41" s="956" t="s">
        <v>748</v>
      </c>
      <c r="C41" s="948">
        <f t="shared" si="8"/>
        <v>2200</v>
      </c>
      <c r="D41" s="948">
        <f>'[2]2019 (co TK)'!AD80</f>
        <v>0</v>
      </c>
      <c r="E41" s="948">
        <v>0</v>
      </c>
      <c r="F41" s="948">
        <v>0</v>
      </c>
      <c r="G41" s="948">
        <v>0</v>
      </c>
      <c r="H41" s="948">
        <f>'[2]2019 (co TK)'!L80-'[2]2019 (co TK)'!AD80+'[2]2019 (co TK)'!AJ80</f>
        <v>2200</v>
      </c>
      <c r="I41" s="948">
        <v>0</v>
      </c>
      <c r="J41" s="948">
        <v>0</v>
      </c>
      <c r="K41" s="948">
        <v>0</v>
      </c>
      <c r="L41" s="948">
        <v>0</v>
      </c>
      <c r="M41" s="948">
        <v>0</v>
      </c>
      <c r="N41" s="948">
        <v>0</v>
      </c>
      <c r="O41" s="948">
        <v>0</v>
      </c>
      <c r="P41" s="948">
        <v>0</v>
      </c>
      <c r="Q41" s="948">
        <v>0</v>
      </c>
      <c r="R41" s="948">
        <v>0</v>
      </c>
      <c r="S41" s="949"/>
      <c r="T41" s="949"/>
      <c r="U41" s="949"/>
      <c r="V41" s="949"/>
      <c r="W41" s="949"/>
      <c r="X41" s="950">
        <v>3157</v>
      </c>
      <c r="Y41" s="951">
        <f t="shared" si="4"/>
        <v>957</v>
      </c>
    </row>
    <row r="42" spans="1:25" s="950" customFormat="1" ht="30.75" customHeight="1">
      <c r="A42" s="946"/>
      <c r="B42" s="956" t="s">
        <v>749</v>
      </c>
      <c r="C42" s="948">
        <f t="shared" si="8"/>
        <v>1916</v>
      </c>
      <c r="D42" s="948">
        <f>'[2]2019 (co TK)'!AD81</f>
        <v>20</v>
      </c>
      <c r="E42" s="948">
        <v>0</v>
      </c>
      <c r="F42" s="948">
        <v>0</v>
      </c>
      <c r="G42" s="948">
        <v>0</v>
      </c>
      <c r="H42" s="948">
        <f>'[2]2019 (co TK)'!L81-'[2]2019 (co TK)'!AD81</f>
        <v>1896</v>
      </c>
      <c r="I42" s="948">
        <v>0</v>
      </c>
      <c r="J42" s="948">
        <v>0</v>
      </c>
      <c r="K42" s="948">
        <v>0</v>
      </c>
      <c r="L42" s="948">
        <v>0</v>
      </c>
      <c r="M42" s="948">
        <v>0</v>
      </c>
      <c r="N42" s="948">
        <v>0</v>
      </c>
      <c r="O42" s="948">
        <v>0</v>
      </c>
      <c r="P42" s="948">
        <v>0</v>
      </c>
      <c r="Q42" s="948">
        <v>0</v>
      </c>
      <c r="R42" s="948">
        <v>0</v>
      </c>
      <c r="S42" s="949"/>
      <c r="T42" s="949"/>
      <c r="U42" s="949"/>
      <c r="V42" s="949"/>
      <c r="W42" s="949"/>
      <c r="X42" s="950">
        <v>2009</v>
      </c>
      <c r="Y42" s="951">
        <f t="shared" si="4"/>
        <v>93</v>
      </c>
    </row>
    <row r="43" spans="1:25" s="950" customFormat="1" ht="30.75" customHeight="1">
      <c r="A43" s="946"/>
      <c r="B43" s="956" t="s">
        <v>750</v>
      </c>
      <c r="C43" s="948">
        <f t="shared" si="8"/>
        <v>14755</v>
      </c>
      <c r="D43" s="948">
        <v>0</v>
      </c>
      <c r="E43" s="948">
        <v>0</v>
      </c>
      <c r="F43" s="948">
        <v>0</v>
      </c>
      <c r="G43" s="948">
        <v>0</v>
      </c>
      <c r="H43" s="948">
        <f>'[2]2019 (co TK)'!L82-'[2]2019 (co TK)'!AD82</f>
        <v>14755</v>
      </c>
      <c r="I43" s="948">
        <v>0</v>
      </c>
      <c r="J43" s="948">
        <v>0</v>
      </c>
      <c r="K43" s="948">
        <v>0</v>
      </c>
      <c r="L43" s="948">
        <v>0</v>
      </c>
      <c r="M43" s="948">
        <v>0</v>
      </c>
      <c r="N43" s="948">
        <v>0</v>
      </c>
      <c r="O43" s="948">
        <v>0</v>
      </c>
      <c r="P43" s="948">
        <v>0</v>
      </c>
      <c r="Q43" s="948">
        <v>0</v>
      </c>
      <c r="R43" s="948">
        <v>0</v>
      </c>
      <c r="S43" s="949"/>
      <c r="T43" s="949"/>
      <c r="U43" s="949"/>
      <c r="V43" s="949"/>
      <c r="W43" s="949"/>
      <c r="X43" s="950">
        <v>7489</v>
      </c>
      <c r="Y43" s="951">
        <f t="shared" si="4"/>
        <v>-7266</v>
      </c>
    </row>
    <row r="44" spans="1:25" s="950" customFormat="1" ht="30.75" hidden="1" customHeight="1">
      <c r="A44" s="946"/>
      <c r="B44" s="956" t="s">
        <v>751</v>
      </c>
      <c r="C44" s="948">
        <f t="shared" si="8"/>
        <v>0</v>
      </c>
      <c r="D44" s="948">
        <v>0</v>
      </c>
      <c r="E44" s="948">
        <v>0</v>
      </c>
      <c r="F44" s="948">
        <v>0</v>
      </c>
      <c r="G44" s="948">
        <v>0</v>
      </c>
      <c r="H44" s="948">
        <f>'[2]2019 (co TK)'!L83-'[2]2019 (co TK)'!AD83</f>
        <v>0</v>
      </c>
      <c r="I44" s="948">
        <v>0</v>
      </c>
      <c r="J44" s="948">
        <v>0</v>
      </c>
      <c r="K44" s="948">
        <v>0</v>
      </c>
      <c r="L44" s="948">
        <v>0</v>
      </c>
      <c r="M44" s="948">
        <v>0</v>
      </c>
      <c r="N44" s="948">
        <v>0</v>
      </c>
      <c r="O44" s="948">
        <v>0</v>
      </c>
      <c r="P44" s="948">
        <v>0</v>
      </c>
      <c r="Q44" s="948">
        <v>0</v>
      </c>
      <c r="R44" s="948">
        <v>0</v>
      </c>
      <c r="S44" s="949"/>
      <c r="T44" s="949"/>
      <c r="U44" s="949"/>
      <c r="V44" s="949"/>
      <c r="W44" s="949"/>
      <c r="X44" s="950">
        <v>2698</v>
      </c>
      <c r="Y44" s="951">
        <f t="shared" si="4"/>
        <v>2698</v>
      </c>
    </row>
    <row r="45" spans="1:25" s="950" customFormat="1" ht="30.75" customHeight="1">
      <c r="A45" s="946"/>
      <c r="B45" s="956" t="s">
        <v>752</v>
      </c>
      <c r="C45" s="948">
        <f t="shared" si="8"/>
        <v>4717</v>
      </c>
      <c r="D45" s="948">
        <v>0</v>
      </c>
      <c r="E45" s="948">
        <v>0</v>
      </c>
      <c r="F45" s="948">
        <v>0</v>
      </c>
      <c r="G45" s="948">
        <v>0</v>
      </c>
      <c r="H45" s="948">
        <f>'[2]2019 (co TK)'!L84-'[2]2019 (co TK)'!AD84</f>
        <v>4717</v>
      </c>
      <c r="I45" s="948">
        <v>0</v>
      </c>
      <c r="J45" s="948">
        <v>0</v>
      </c>
      <c r="K45" s="948">
        <v>0</v>
      </c>
      <c r="L45" s="948">
        <v>0</v>
      </c>
      <c r="M45" s="948">
        <v>0</v>
      </c>
      <c r="N45" s="948">
        <v>0</v>
      </c>
      <c r="O45" s="948">
        <v>0</v>
      </c>
      <c r="P45" s="948">
        <v>0</v>
      </c>
      <c r="Q45" s="948">
        <v>0</v>
      </c>
      <c r="R45" s="948">
        <v>0</v>
      </c>
      <c r="S45" s="949"/>
      <c r="T45" s="949"/>
      <c r="U45" s="949"/>
      <c r="V45" s="949"/>
      <c r="W45" s="949"/>
      <c r="X45" s="950">
        <v>5318</v>
      </c>
      <c r="Y45" s="951">
        <f t="shared" si="4"/>
        <v>601</v>
      </c>
    </row>
    <row r="46" spans="1:25" s="950" customFormat="1" ht="30.75" hidden="1" customHeight="1">
      <c r="A46" s="946"/>
      <c r="B46" s="956" t="s">
        <v>753</v>
      </c>
      <c r="C46" s="948">
        <f t="shared" si="8"/>
        <v>0</v>
      </c>
      <c r="D46" s="948">
        <f>'[2]2019 (co TK)'!AD85</f>
        <v>0</v>
      </c>
      <c r="E46" s="948">
        <v>0</v>
      </c>
      <c r="F46" s="948">
        <v>0</v>
      </c>
      <c r="G46" s="948">
        <v>0</v>
      </c>
      <c r="H46" s="948">
        <f>'[2]2019 (co TK)'!L85-'[2]2019 (co TK)'!AD85</f>
        <v>0</v>
      </c>
      <c r="I46" s="948">
        <v>0</v>
      </c>
      <c r="J46" s="948">
        <v>0</v>
      </c>
      <c r="K46" s="948">
        <v>0</v>
      </c>
      <c r="L46" s="948">
        <v>0</v>
      </c>
      <c r="M46" s="948">
        <v>0</v>
      </c>
      <c r="N46" s="948">
        <v>0</v>
      </c>
      <c r="O46" s="948">
        <v>0</v>
      </c>
      <c r="P46" s="948">
        <v>0</v>
      </c>
      <c r="Q46" s="948">
        <v>0</v>
      </c>
      <c r="R46" s="948">
        <v>0</v>
      </c>
      <c r="S46" s="949"/>
      <c r="T46" s="949"/>
      <c r="U46" s="949"/>
      <c r="V46" s="949"/>
      <c r="W46" s="949"/>
      <c r="X46" s="950">
        <v>2082</v>
      </c>
      <c r="Y46" s="951">
        <f t="shared" si="4"/>
        <v>2082</v>
      </c>
    </row>
    <row r="47" spans="1:25" s="950" customFormat="1" ht="30.75" hidden="1" customHeight="1">
      <c r="A47" s="946"/>
      <c r="B47" s="956" t="s">
        <v>754</v>
      </c>
      <c r="C47" s="948">
        <f t="shared" si="8"/>
        <v>0</v>
      </c>
      <c r="D47" s="948">
        <f>'[2]2019 (co TK)'!AD87</f>
        <v>0</v>
      </c>
      <c r="E47" s="948">
        <v>0</v>
      </c>
      <c r="F47" s="948">
        <v>0</v>
      </c>
      <c r="G47" s="948">
        <v>0</v>
      </c>
      <c r="H47" s="948">
        <f>'[2]2019 (co TK)'!L86-'[2]2019 (co TK)'!AD86</f>
        <v>0</v>
      </c>
      <c r="I47" s="948">
        <v>0</v>
      </c>
      <c r="J47" s="948">
        <v>0</v>
      </c>
      <c r="K47" s="948">
        <v>0</v>
      </c>
      <c r="L47" s="948">
        <v>0</v>
      </c>
      <c r="M47" s="948">
        <v>0</v>
      </c>
      <c r="N47" s="948">
        <v>0</v>
      </c>
      <c r="O47" s="948">
        <v>0</v>
      </c>
      <c r="P47" s="948">
        <v>0</v>
      </c>
      <c r="Q47" s="948">
        <v>0</v>
      </c>
      <c r="R47" s="948">
        <v>0</v>
      </c>
      <c r="S47" s="949"/>
      <c r="T47" s="949"/>
      <c r="U47" s="949"/>
      <c r="V47" s="949"/>
      <c r="W47" s="949"/>
      <c r="X47" s="950">
        <v>6300</v>
      </c>
      <c r="Y47" s="951">
        <f t="shared" si="4"/>
        <v>6300</v>
      </c>
    </row>
    <row r="48" spans="1:25" s="950" customFormat="1" ht="30.75" customHeight="1">
      <c r="A48" s="946"/>
      <c r="B48" s="956" t="s">
        <v>755</v>
      </c>
      <c r="C48" s="948">
        <f t="shared" si="8"/>
        <v>1362</v>
      </c>
      <c r="D48" s="948">
        <v>0</v>
      </c>
      <c r="E48" s="948">
        <v>0</v>
      </c>
      <c r="F48" s="948">
        <v>0</v>
      </c>
      <c r="G48" s="948">
        <v>0</v>
      </c>
      <c r="H48" s="948">
        <f>'[2]2019 (co TK)'!L87-'[2]2019 (co TK)'!AD87</f>
        <v>1362</v>
      </c>
      <c r="I48" s="948">
        <v>0</v>
      </c>
      <c r="J48" s="948">
        <v>0</v>
      </c>
      <c r="K48" s="948">
        <v>0</v>
      </c>
      <c r="L48" s="948">
        <v>0</v>
      </c>
      <c r="M48" s="948">
        <v>0</v>
      </c>
      <c r="N48" s="948">
        <v>0</v>
      </c>
      <c r="O48" s="948">
        <v>0</v>
      </c>
      <c r="P48" s="948">
        <v>0</v>
      </c>
      <c r="Q48" s="948">
        <v>0</v>
      </c>
      <c r="R48" s="948">
        <v>0</v>
      </c>
      <c r="S48" s="949"/>
      <c r="T48" s="949"/>
      <c r="U48" s="949"/>
      <c r="V48" s="949"/>
      <c r="W48" s="949"/>
      <c r="X48" s="950">
        <v>1264</v>
      </c>
      <c r="Y48" s="951">
        <f t="shared" si="4"/>
        <v>-98</v>
      </c>
    </row>
    <row r="49" spans="1:25" s="950" customFormat="1" ht="30.75" customHeight="1">
      <c r="A49" s="946"/>
      <c r="B49" s="947" t="s">
        <v>756</v>
      </c>
      <c r="C49" s="948">
        <f t="shared" si="8"/>
        <v>13768</v>
      </c>
      <c r="D49" s="948">
        <v>0</v>
      </c>
      <c r="E49" s="948">
        <v>0</v>
      </c>
      <c r="F49" s="948">
        <v>0</v>
      </c>
      <c r="G49" s="948">
        <v>0</v>
      </c>
      <c r="H49" s="948">
        <f>'[2]2019 (co TK)'!L88</f>
        <v>13768</v>
      </c>
      <c r="I49" s="948">
        <v>0</v>
      </c>
      <c r="J49" s="948">
        <v>0</v>
      </c>
      <c r="K49" s="948">
        <v>0</v>
      </c>
      <c r="L49" s="948">
        <v>0</v>
      </c>
      <c r="M49" s="948">
        <v>0</v>
      </c>
      <c r="N49" s="948">
        <v>0</v>
      </c>
      <c r="O49" s="948">
        <v>0</v>
      </c>
      <c r="P49" s="948">
        <v>0</v>
      </c>
      <c r="Q49" s="948">
        <v>0</v>
      </c>
      <c r="R49" s="948">
        <v>0</v>
      </c>
      <c r="S49" s="949"/>
      <c r="T49" s="949"/>
      <c r="U49" s="949"/>
      <c r="V49" s="949"/>
      <c r="W49" s="949"/>
      <c r="X49" s="950">
        <v>25135</v>
      </c>
      <c r="Y49" s="951">
        <f t="shared" si="4"/>
        <v>11367</v>
      </c>
    </row>
    <row r="50" spans="1:25" s="950" customFormat="1" ht="30.75" hidden="1" customHeight="1">
      <c r="A50" s="946"/>
      <c r="B50" s="956" t="s">
        <v>757</v>
      </c>
      <c r="C50" s="948">
        <f t="shared" si="8"/>
        <v>0</v>
      </c>
      <c r="D50" s="948">
        <v>0</v>
      </c>
      <c r="E50" s="948">
        <v>0</v>
      </c>
      <c r="F50" s="948">
        <v>0</v>
      </c>
      <c r="G50" s="948">
        <v>0</v>
      </c>
      <c r="H50" s="948">
        <f>'[2]2019 (co TK)'!L89</f>
        <v>0</v>
      </c>
      <c r="I50" s="948">
        <v>0</v>
      </c>
      <c r="J50" s="948">
        <v>0</v>
      </c>
      <c r="K50" s="948">
        <v>0</v>
      </c>
      <c r="L50" s="948">
        <v>0</v>
      </c>
      <c r="M50" s="948">
        <v>0</v>
      </c>
      <c r="N50" s="948">
        <v>0</v>
      </c>
      <c r="O50" s="948">
        <v>0</v>
      </c>
      <c r="P50" s="948">
        <v>0</v>
      </c>
      <c r="Q50" s="948">
        <v>0</v>
      </c>
      <c r="R50" s="948">
        <v>0</v>
      </c>
      <c r="S50" s="949"/>
      <c r="T50" s="949"/>
      <c r="U50" s="949"/>
      <c r="V50" s="949"/>
      <c r="W50" s="949"/>
      <c r="X50" s="950">
        <v>3288</v>
      </c>
      <c r="Y50" s="951">
        <f t="shared" si="4"/>
        <v>3288</v>
      </c>
    </row>
    <row r="51" spans="1:25" s="963" customFormat="1" ht="30.75" customHeight="1">
      <c r="A51" s="958"/>
      <c r="B51" s="959" t="s">
        <v>623</v>
      </c>
      <c r="C51" s="960">
        <f t="shared" si="8"/>
        <v>9000</v>
      </c>
      <c r="D51" s="960">
        <v>0</v>
      </c>
      <c r="E51" s="960">
        <v>0</v>
      </c>
      <c r="F51" s="960">
        <v>0</v>
      </c>
      <c r="G51" s="960">
        <v>0</v>
      </c>
      <c r="H51" s="960"/>
      <c r="I51" s="960">
        <v>0</v>
      </c>
      <c r="J51" s="960">
        <v>0</v>
      </c>
      <c r="K51" s="960">
        <v>0</v>
      </c>
      <c r="L51" s="960">
        <v>0</v>
      </c>
      <c r="M51" s="960">
        <v>0</v>
      </c>
      <c r="N51" s="960">
        <v>0</v>
      </c>
      <c r="O51" s="960">
        <v>0</v>
      </c>
      <c r="P51" s="960">
        <f>'[2]2019 (co TK)'!L176</f>
        <v>9000</v>
      </c>
      <c r="Q51" s="960"/>
      <c r="R51" s="960"/>
      <c r="S51" s="961"/>
      <c r="T51" s="961"/>
      <c r="U51" s="961"/>
      <c r="V51" s="961"/>
      <c r="W51" s="961"/>
      <c r="X51" s="962">
        <v>8000</v>
      </c>
      <c r="Y51" s="951">
        <f t="shared" si="4"/>
        <v>-1000</v>
      </c>
    </row>
    <row r="52" spans="1:25" s="963" customFormat="1" ht="38.25" customHeight="1">
      <c r="A52" s="958"/>
      <c r="B52" s="947" t="s">
        <v>758</v>
      </c>
      <c r="C52" s="948">
        <f t="shared" si="8"/>
        <v>2345</v>
      </c>
      <c r="D52" s="948">
        <f>'[2]2019 (co TK)'!L69</f>
        <v>2345</v>
      </c>
      <c r="E52" s="952">
        <v>0</v>
      </c>
      <c r="F52" s="952">
        <v>0</v>
      </c>
      <c r="G52" s="952">
        <v>0</v>
      </c>
      <c r="H52" s="952">
        <v>0</v>
      </c>
      <c r="I52" s="952">
        <v>0</v>
      </c>
      <c r="J52" s="952">
        <v>0</v>
      </c>
      <c r="K52" s="952">
        <v>0</v>
      </c>
      <c r="L52" s="952">
        <v>0</v>
      </c>
      <c r="M52" s="952">
        <v>0</v>
      </c>
      <c r="N52" s="952">
        <v>0</v>
      </c>
      <c r="O52" s="952">
        <v>0</v>
      </c>
      <c r="P52" s="952">
        <v>0</v>
      </c>
      <c r="Q52" s="952">
        <v>0</v>
      </c>
      <c r="R52" s="952">
        <v>0</v>
      </c>
      <c r="S52" s="953"/>
      <c r="T52" s="953"/>
      <c r="U52" s="953"/>
      <c r="V52" s="953"/>
      <c r="W52" s="953"/>
      <c r="X52" s="963">
        <v>2000</v>
      </c>
      <c r="Y52" s="951">
        <f t="shared" si="4"/>
        <v>-345</v>
      </c>
    </row>
    <row r="53" spans="1:25" s="963" customFormat="1" ht="30.75" hidden="1" customHeight="1">
      <c r="A53" s="958"/>
      <c r="B53" s="947" t="s">
        <v>535</v>
      </c>
      <c r="C53" s="948">
        <f t="shared" si="8"/>
        <v>0</v>
      </c>
      <c r="D53" s="948">
        <v>0</v>
      </c>
      <c r="E53" s="948">
        <v>0</v>
      </c>
      <c r="F53" s="948">
        <v>0</v>
      </c>
      <c r="G53" s="948">
        <v>0</v>
      </c>
      <c r="H53" s="948">
        <f>'[2]2019 (co TK)'!L95</f>
        <v>0</v>
      </c>
      <c r="I53" s="952">
        <v>0</v>
      </c>
      <c r="J53" s="952">
        <v>0</v>
      </c>
      <c r="K53" s="952">
        <v>0</v>
      </c>
      <c r="L53" s="952">
        <v>0</v>
      </c>
      <c r="M53" s="952">
        <v>0</v>
      </c>
      <c r="N53" s="952">
        <v>0</v>
      </c>
      <c r="O53" s="952">
        <v>0</v>
      </c>
      <c r="P53" s="952">
        <v>0</v>
      </c>
      <c r="Q53" s="952">
        <v>0</v>
      </c>
      <c r="R53" s="952">
        <v>0</v>
      </c>
      <c r="S53" s="953"/>
      <c r="T53" s="953"/>
      <c r="U53" s="953"/>
      <c r="V53" s="953"/>
      <c r="W53" s="953"/>
      <c r="X53" s="963">
        <v>4000</v>
      </c>
      <c r="Y53" s="951">
        <f t="shared" si="4"/>
        <v>4000</v>
      </c>
    </row>
    <row r="54" spans="1:25" s="963" customFormat="1" ht="30.75" hidden="1" customHeight="1">
      <c r="A54" s="958"/>
      <c r="B54" s="947" t="s">
        <v>536</v>
      </c>
      <c r="C54" s="948">
        <f t="shared" si="8"/>
        <v>0</v>
      </c>
      <c r="D54" s="948">
        <v>0</v>
      </c>
      <c r="E54" s="948">
        <v>0</v>
      </c>
      <c r="F54" s="948">
        <v>0</v>
      </c>
      <c r="G54" s="948">
        <v>0</v>
      </c>
      <c r="H54" s="948">
        <f>'[2]2019 (co TK)'!L96</f>
        <v>0</v>
      </c>
      <c r="I54" s="952">
        <v>0</v>
      </c>
      <c r="J54" s="952">
        <v>0</v>
      </c>
      <c r="K54" s="952">
        <v>0</v>
      </c>
      <c r="L54" s="952">
        <v>0</v>
      </c>
      <c r="M54" s="952">
        <v>0</v>
      </c>
      <c r="N54" s="952">
        <v>0</v>
      </c>
      <c r="O54" s="952">
        <v>0</v>
      </c>
      <c r="P54" s="952">
        <v>0</v>
      </c>
      <c r="Q54" s="952">
        <v>0</v>
      </c>
      <c r="R54" s="952">
        <v>0</v>
      </c>
      <c r="S54" s="953"/>
      <c r="T54" s="953"/>
      <c r="U54" s="953"/>
      <c r="V54" s="953"/>
      <c r="W54" s="953"/>
      <c r="X54" s="963">
        <v>4000</v>
      </c>
      <c r="Y54" s="951">
        <f t="shared" si="4"/>
        <v>4000</v>
      </c>
    </row>
    <row r="55" spans="1:25" s="963" customFormat="1" ht="30.75" hidden="1" customHeight="1">
      <c r="A55" s="958"/>
      <c r="B55" s="947" t="s">
        <v>537</v>
      </c>
      <c r="C55" s="948">
        <f t="shared" si="8"/>
        <v>0</v>
      </c>
      <c r="D55" s="948">
        <v>0</v>
      </c>
      <c r="E55" s="948">
        <v>0</v>
      </c>
      <c r="F55" s="948">
        <v>0</v>
      </c>
      <c r="G55" s="948">
        <v>0</v>
      </c>
      <c r="H55" s="948">
        <f>'[2]2019 (co TK)'!L97</f>
        <v>0</v>
      </c>
      <c r="I55" s="952">
        <v>0</v>
      </c>
      <c r="J55" s="952">
        <v>0</v>
      </c>
      <c r="K55" s="952">
        <v>0</v>
      </c>
      <c r="L55" s="952">
        <v>0</v>
      </c>
      <c r="M55" s="952">
        <v>0</v>
      </c>
      <c r="N55" s="952">
        <v>0</v>
      </c>
      <c r="O55" s="952">
        <v>0</v>
      </c>
      <c r="P55" s="952">
        <v>0</v>
      </c>
      <c r="Q55" s="952">
        <v>0</v>
      </c>
      <c r="R55" s="952">
        <v>0</v>
      </c>
      <c r="S55" s="953"/>
      <c r="T55" s="953"/>
      <c r="U55" s="953"/>
      <c r="V55" s="953"/>
      <c r="W55" s="953"/>
      <c r="X55" s="963">
        <v>0</v>
      </c>
      <c r="Y55" s="951">
        <f t="shared" si="4"/>
        <v>0</v>
      </c>
    </row>
    <row r="56" spans="1:25" s="963" customFormat="1" ht="30.75" customHeight="1">
      <c r="A56" s="958"/>
      <c r="B56" s="947" t="s">
        <v>538</v>
      </c>
      <c r="C56" s="948">
        <f t="shared" si="8"/>
        <v>12100</v>
      </c>
      <c r="D56" s="948">
        <v>0</v>
      </c>
      <c r="E56" s="948">
        <v>0</v>
      </c>
      <c r="F56" s="948">
        <v>0</v>
      </c>
      <c r="G56" s="948">
        <v>0</v>
      </c>
      <c r="H56" s="948">
        <f>'[2]2019 (co TK)'!L98</f>
        <v>12100</v>
      </c>
      <c r="I56" s="952">
        <v>0</v>
      </c>
      <c r="J56" s="952">
        <v>0</v>
      </c>
      <c r="K56" s="952">
        <v>0</v>
      </c>
      <c r="L56" s="952">
        <v>0</v>
      </c>
      <c r="M56" s="952">
        <v>0</v>
      </c>
      <c r="N56" s="952">
        <v>0</v>
      </c>
      <c r="O56" s="952">
        <v>0</v>
      </c>
      <c r="P56" s="952">
        <v>0</v>
      </c>
      <c r="Q56" s="952">
        <v>0</v>
      </c>
      <c r="R56" s="952">
        <v>0</v>
      </c>
      <c r="S56" s="953"/>
      <c r="T56" s="953"/>
      <c r="U56" s="953"/>
      <c r="V56" s="953"/>
      <c r="W56" s="953"/>
      <c r="X56" s="963">
        <v>900</v>
      </c>
      <c r="Y56" s="951">
        <f t="shared" si="4"/>
        <v>-11200</v>
      </c>
    </row>
    <row r="57" spans="1:25" s="963" customFormat="1" ht="30.75" hidden="1" customHeight="1">
      <c r="A57" s="958"/>
      <c r="B57" s="947" t="s">
        <v>540</v>
      </c>
      <c r="C57" s="948">
        <f t="shared" si="8"/>
        <v>0</v>
      </c>
      <c r="D57" s="948">
        <v>0</v>
      </c>
      <c r="E57" s="948">
        <v>0</v>
      </c>
      <c r="F57" s="948">
        <v>0</v>
      </c>
      <c r="G57" s="948">
        <v>0</v>
      </c>
      <c r="H57" s="948">
        <f>'[2]2019 (co TK)'!L99</f>
        <v>0</v>
      </c>
      <c r="I57" s="952">
        <v>0</v>
      </c>
      <c r="J57" s="952">
        <v>0</v>
      </c>
      <c r="K57" s="952">
        <v>0</v>
      </c>
      <c r="L57" s="952">
        <v>0</v>
      </c>
      <c r="M57" s="952">
        <v>0</v>
      </c>
      <c r="N57" s="952">
        <v>0</v>
      </c>
      <c r="O57" s="952">
        <v>0</v>
      </c>
      <c r="P57" s="952">
        <v>0</v>
      </c>
      <c r="Q57" s="952">
        <v>0</v>
      </c>
      <c r="R57" s="952">
        <v>0</v>
      </c>
      <c r="S57" s="953"/>
      <c r="T57" s="953"/>
      <c r="U57" s="953"/>
      <c r="V57" s="953"/>
      <c r="W57" s="953"/>
      <c r="X57" s="963">
        <v>0</v>
      </c>
      <c r="Y57" s="951">
        <f t="shared" si="4"/>
        <v>0</v>
      </c>
    </row>
    <row r="58" spans="1:25" s="963" customFormat="1" ht="30.75" customHeight="1">
      <c r="A58" s="958"/>
      <c r="B58" s="947" t="s">
        <v>542</v>
      </c>
      <c r="C58" s="948">
        <f t="shared" si="8"/>
        <v>4000</v>
      </c>
      <c r="D58" s="948">
        <v>0</v>
      </c>
      <c r="E58" s="948">
        <v>0</v>
      </c>
      <c r="F58" s="948">
        <v>0</v>
      </c>
      <c r="G58" s="948">
        <v>0</v>
      </c>
      <c r="H58" s="948">
        <f>'[2]2019 (co TK)'!L100</f>
        <v>4000</v>
      </c>
      <c r="I58" s="952">
        <v>0</v>
      </c>
      <c r="J58" s="952">
        <v>0</v>
      </c>
      <c r="K58" s="952">
        <v>0</v>
      </c>
      <c r="L58" s="952">
        <v>0</v>
      </c>
      <c r="M58" s="952">
        <v>0</v>
      </c>
      <c r="N58" s="952">
        <v>0</v>
      </c>
      <c r="O58" s="952">
        <v>0</v>
      </c>
      <c r="P58" s="952">
        <v>0</v>
      </c>
      <c r="Q58" s="952">
        <v>0</v>
      </c>
      <c r="R58" s="952">
        <v>0</v>
      </c>
      <c r="S58" s="953"/>
      <c r="T58" s="953"/>
      <c r="U58" s="953"/>
      <c r="V58" s="953"/>
      <c r="W58" s="953"/>
      <c r="X58" s="963">
        <v>900</v>
      </c>
      <c r="Y58" s="951">
        <f t="shared" si="4"/>
        <v>-3100</v>
      </c>
    </row>
    <row r="59" spans="1:25" s="963" customFormat="1" ht="30.75" customHeight="1">
      <c r="A59" s="958"/>
      <c r="B59" s="947" t="s">
        <v>544</v>
      </c>
      <c r="C59" s="948">
        <f t="shared" si="8"/>
        <v>2400</v>
      </c>
      <c r="D59" s="948">
        <v>0</v>
      </c>
      <c r="E59" s="948">
        <v>0</v>
      </c>
      <c r="F59" s="948">
        <v>0</v>
      </c>
      <c r="G59" s="948">
        <v>0</v>
      </c>
      <c r="H59" s="948">
        <f>'[2]2019 (co TK)'!L101</f>
        <v>2400</v>
      </c>
      <c r="I59" s="952">
        <v>0</v>
      </c>
      <c r="J59" s="952">
        <v>0</v>
      </c>
      <c r="K59" s="952">
        <v>0</v>
      </c>
      <c r="L59" s="952">
        <v>0</v>
      </c>
      <c r="M59" s="952">
        <v>0</v>
      </c>
      <c r="N59" s="952">
        <v>0</v>
      </c>
      <c r="O59" s="952">
        <v>0</v>
      </c>
      <c r="P59" s="952">
        <v>0</v>
      </c>
      <c r="Q59" s="952">
        <v>0</v>
      </c>
      <c r="R59" s="952">
        <v>0</v>
      </c>
      <c r="S59" s="953"/>
      <c r="T59" s="953"/>
      <c r="U59" s="953"/>
      <c r="V59" s="953"/>
      <c r="W59" s="953"/>
      <c r="X59" s="963">
        <v>0</v>
      </c>
      <c r="Y59" s="951">
        <f t="shared" si="4"/>
        <v>-2400</v>
      </c>
    </row>
    <row r="60" spans="1:25" s="963" customFormat="1" ht="30.75" customHeight="1">
      <c r="A60" s="958"/>
      <c r="B60" s="947" t="s">
        <v>546</v>
      </c>
      <c r="C60" s="948">
        <f t="shared" si="8"/>
        <v>5700</v>
      </c>
      <c r="D60" s="948">
        <v>0</v>
      </c>
      <c r="E60" s="948">
        <v>0</v>
      </c>
      <c r="F60" s="948">
        <v>0</v>
      </c>
      <c r="G60" s="948">
        <v>0</v>
      </c>
      <c r="H60" s="948">
        <f>'[2]2019 (co TK)'!L102</f>
        <v>5700</v>
      </c>
      <c r="I60" s="952">
        <v>0</v>
      </c>
      <c r="J60" s="952">
        <v>0</v>
      </c>
      <c r="K60" s="952">
        <v>0</v>
      </c>
      <c r="L60" s="952">
        <v>0</v>
      </c>
      <c r="M60" s="952">
        <v>0</v>
      </c>
      <c r="N60" s="952">
        <v>0</v>
      </c>
      <c r="O60" s="952">
        <v>0</v>
      </c>
      <c r="P60" s="952">
        <v>0</v>
      </c>
      <c r="Q60" s="952">
        <v>0</v>
      </c>
      <c r="R60" s="952">
        <v>0</v>
      </c>
      <c r="S60" s="953"/>
      <c r="T60" s="953"/>
      <c r="U60" s="953"/>
      <c r="V60" s="953"/>
      <c r="W60" s="953"/>
      <c r="X60" s="963">
        <v>0</v>
      </c>
      <c r="Y60" s="951">
        <f t="shared" si="4"/>
        <v>-5700</v>
      </c>
    </row>
    <row r="61" spans="1:25" s="963" customFormat="1" ht="30.75" hidden="1" customHeight="1">
      <c r="A61" s="958"/>
      <c r="B61" s="947" t="s">
        <v>548</v>
      </c>
      <c r="C61" s="948">
        <f t="shared" si="8"/>
        <v>0</v>
      </c>
      <c r="D61" s="948">
        <v>0</v>
      </c>
      <c r="E61" s="948">
        <v>0</v>
      </c>
      <c r="F61" s="948">
        <v>0</v>
      </c>
      <c r="G61" s="948">
        <v>0</v>
      </c>
      <c r="H61" s="948">
        <f>'[2]2019 (co TK)'!L103</f>
        <v>0</v>
      </c>
      <c r="I61" s="952">
        <v>0</v>
      </c>
      <c r="J61" s="952">
        <v>0</v>
      </c>
      <c r="K61" s="952">
        <v>0</v>
      </c>
      <c r="L61" s="952">
        <v>0</v>
      </c>
      <c r="M61" s="952">
        <v>0</v>
      </c>
      <c r="N61" s="952">
        <v>0</v>
      </c>
      <c r="O61" s="952">
        <v>0</v>
      </c>
      <c r="P61" s="952">
        <v>0</v>
      </c>
      <c r="Q61" s="952">
        <v>0</v>
      </c>
      <c r="R61" s="952">
        <v>0</v>
      </c>
      <c r="S61" s="953"/>
      <c r="T61" s="953"/>
      <c r="U61" s="953"/>
      <c r="V61" s="953"/>
      <c r="W61" s="953"/>
      <c r="X61" s="963">
        <v>0</v>
      </c>
      <c r="Y61" s="951">
        <f t="shared" si="4"/>
        <v>0</v>
      </c>
    </row>
    <row r="62" spans="1:25" s="963" customFormat="1" ht="30.75" hidden="1" customHeight="1">
      <c r="A62" s="958"/>
      <c r="B62" s="956" t="s">
        <v>549</v>
      </c>
      <c r="C62" s="948">
        <f t="shared" si="8"/>
        <v>0</v>
      </c>
      <c r="D62" s="948">
        <v>0</v>
      </c>
      <c r="E62" s="948">
        <v>0</v>
      </c>
      <c r="F62" s="948">
        <v>0</v>
      </c>
      <c r="G62" s="948">
        <v>0</v>
      </c>
      <c r="H62" s="948">
        <f>'[2]2019 (co TK)'!L104</f>
        <v>0</v>
      </c>
      <c r="I62" s="952">
        <v>0</v>
      </c>
      <c r="J62" s="952">
        <v>0</v>
      </c>
      <c r="K62" s="952">
        <v>0</v>
      </c>
      <c r="L62" s="952">
        <v>0</v>
      </c>
      <c r="M62" s="952">
        <v>0</v>
      </c>
      <c r="N62" s="952">
        <v>0</v>
      </c>
      <c r="O62" s="952">
        <v>0</v>
      </c>
      <c r="P62" s="952">
        <v>0</v>
      </c>
      <c r="Q62" s="952">
        <v>0</v>
      </c>
      <c r="R62" s="952">
        <v>0</v>
      </c>
      <c r="S62" s="953"/>
      <c r="T62" s="953"/>
      <c r="U62" s="953"/>
      <c r="V62" s="953"/>
      <c r="W62" s="953"/>
      <c r="X62" s="963">
        <v>0</v>
      </c>
      <c r="Y62" s="951">
        <f t="shared" si="4"/>
        <v>0</v>
      </c>
    </row>
    <row r="63" spans="1:25" s="963" customFormat="1" ht="30.75" hidden="1" customHeight="1">
      <c r="A63" s="958"/>
      <c r="B63" s="956" t="s">
        <v>550</v>
      </c>
      <c r="C63" s="948">
        <f t="shared" si="8"/>
        <v>0</v>
      </c>
      <c r="D63" s="948">
        <v>0</v>
      </c>
      <c r="E63" s="948">
        <v>0</v>
      </c>
      <c r="F63" s="948">
        <v>0</v>
      </c>
      <c r="G63" s="948">
        <v>0</v>
      </c>
      <c r="H63" s="948">
        <f>'[2]2019 (co TK)'!L105</f>
        <v>0</v>
      </c>
      <c r="I63" s="952">
        <v>0</v>
      </c>
      <c r="J63" s="952">
        <v>0</v>
      </c>
      <c r="K63" s="952">
        <v>0</v>
      </c>
      <c r="L63" s="952">
        <v>0</v>
      </c>
      <c r="M63" s="952">
        <v>0</v>
      </c>
      <c r="N63" s="952">
        <v>0</v>
      </c>
      <c r="O63" s="952">
        <v>0</v>
      </c>
      <c r="P63" s="952">
        <v>0</v>
      </c>
      <c r="Q63" s="952">
        <v>0</v>
      </c>
      <c r="R63" s="952">
        <v>0</v>
      </c>
      <c r="S63" s="953"/>
      <c r="T63" s="953"/>
      <c r="U63" s="953"/>
      <c r="V63" s="953"/>
      <c r="W63" s="953"/>
      <c r="X63" s="963">
        <v>0</v>
      </c>
      <c r="Y63" s="951">
        <f t="shared" si="4"/>
        <v>0</v>
      </c>
    </row>
    <row r="64" spans="1:25" s="963" customFormat="1" ht="30.75" customHeight="1">
      <c r="A64" s="958"/>
      <c r="B64" s="956" t="s">
        <v>551</v>
      </c>
      <c r="C64" s="948">
        <f t="shared" si="8"/>
        <v>4600</v>
      </c>
      <c r="D64" s="948">
        <v>0</v>
      </c>
      <c r="E64" s="948">
        <v>0</v>
      </c>
      <c r="F64" s="948">
        <v>0</v>
      </c>
      <c r="G64" s="948">
        <v>0</v>
      </c>
      <c r="H64" s="948">
        <f>'[2]2019 (co TK)'!L106</f>
        <v>4600</v>
      </c>
      <c r="I64" s="952">
        <v>0</v>
      </c>
      <c r="J64" s="952">
        <v>0</v>
      </c>
      <c r="K64" s="952">
        <v>0</v>
      </c>
      <c r="L64" s="952">
        <v>0</v>
      </c>
      <c r="M64" s="952">
        <v>0</v>
      </c>
      <c r="N64" s="952">
        <v>0</v>
      </c>
      <c r="O64" s="952">
        <v>0</v>
      </c>
      <c r="P64" s="952">
        <v>0</v>
      </c>
      <c r="Q64" s="952">
        <v>0</v>
      </c>
      <c r="R64" s="952">
        <v>0</v>
      </c>
      <c r="S64" s="953"/>
      <c r="T64" s="953"/>
      <c r="U64" s="953"/>
      <c r="V64" s="953"/>
      <c r="W64" s="953"/>
      <c r="X64" s="963">
        <v>4600</v>
      </c>
      <c r="Y64" s="951">
        <f t="shared" si="4"/>
        <v>0</v>
      </c>
    </row>
    <row r="65" spans="1:25" s="963" customFormat="1" ht="30.75" customHeight="1">
      <c r="A65" s="958"/>
      <c r="B65" s="956" t="s">
        <v>553</v>
      </c>
      <c r="C65" s="948">
        <f t="shared" si="8"/>
        <v>68942</v>
      </c>
      <c r="D65" s="948">
        <v>0</v>
      </c>
      <c r="E65" s="948">
        <v>0</v>
      </c>
      <c r="F65" s="948">
        <v>0</v>
      </c>
      <c r="G65" s="948">
        <v>0</v>
      </c>
      <c r="H65" s="948">
        <f>'[2]2019 (co TK)'!L107</f>
        <v>68942</v>
      </c>
      <c r="I65" s="952">
        <v>0</v>
      </c>
      <c r="J65" s="952">
        <v>0</v>
      </c>
      <c r="K65" s="952">
        <v>0</v>
      </c>
      <c r="L65" s="952">
        <v>0</v>
      </c>
      <c r="M65" s="952">
        <v>0</v>
      </c>
      <c r="N65" s="952">
        <v>0</v>
      </c>
      <c r="O65" s="952">
        <v>0</v>
      </c>
      <c r="P65" s="952">
        <v>0</v>
      </c>
      <c r="Q65" s="952">
        <v>0</v>
      </c>
      <c r="R65" s="952">
        <v>0</v>
      </c>
      <c r="S65" s="953"/>
      <c r="T65" s="953"/>
      <c r="U65" s="953"/>
      <c r="V65" s="953"/>
      <c r="W65" s="953"/>
      <c r="X65" s="963">
        <v>63459</v>
      </c>
      <c r="Y65" s="951">
        <f t="shared" si="4"/>
        <v>-5483</v>
      </c>
    </row>
    <row r="66" spans="1:25" s="963" customFormat="1" ht="30.75" hidden="1" customHeight="1">
      <c r="A66" s="958"/>
      <c r="B66" s="964" t="s">
        <v>554</v>
      </c>
      <c r="C66" s="948">
        <f t="shared" si="8"/>
        <v>0</v>
      </c>
      <c r="D66" s="948">
        <v>0</v>
      </c>
      <c r="E66" s="948">
        <v>0</v>
      </c>
      <c r="F66" s="948">
        <v>0</v>
      </c>
      <c r="G66" s="948">
        <v>0</v>
      </c>
      <c r="H66" s="948">
        <f>'[2]2019 (co TK)'!L108</f>
        <v>0</v>
      </c>
      <c r="I66" s="952">
        <v>0</v>
      </c>
      <c r="J66" s="952">
        <v>0</v>
      </c>
      <c r="K66" s="952">
        <v>0</v>
      </c>
      <c r="L66" s="952">
        <v>0</v>
      </c>
      <c r="M66" s="952">
        <v>0</v>
      </c>
      <c r="N66" s="952">
        <v>0</v>
      </c>
      <c r="O66" s="952">
        <v>0</v>
      </c>
      <c r="P66" s="952">
        <v>0</v>
      </c>
      <c r="Q66" s="952">
        <v>0</v>
      </c>
      <c r="R66" s="952">
        <v>0</v>
      </c>
      <c r="S66" s="953"/>
      <c r="T66" s="953"/>
      <c r="U66" s="953"/>
      <c r="V66" s="953"/>
      <c r="W66" s="953"/>
      <c r="X66" s="963">
        <v>2017</v>
      </c>
      <c r="Y66" s="951">
        <f t="shared" si="4"/>
        <v>2017</v>
      </c>
    </row>
    <row r="67" spans="1:25" s="950" customFormat="1" ht="30.75" hidden="1" customHeight="1">
      <c r="A67" s="946"/>
      <c r="B67" s="947" t="s">
        <v>534</v>
      </c>
      <c r="C67" s="948">
        <f>SUM(D67:M67,P67:R67)</f>
        <v>0</v>
      </c>
      <c r="D67" s="948">
        <f>'[2]2019 (co TK)'!AD94</f>
        <v>0</v>
      </c>
      <c r="E67" s="948">
        <v>0</v>
      </c>
      <c r="F67" s="948">
        <v>0</v>
      </c>
      <c r="G67" s="948">
        <v>0</v>
      </c>
      <c r="H67" s="948">
        <f>'[2]2019 (co TK)'!L94-'[2]2019 (co TK)'!AD94</f>
        <v>0</v>
      </c>
      <c r="I67" s="948">
        <v>0</v>
      </c>
      <c r="J67" s="948">
        <v>0</v>
      </c>
      <c r="K67" s="948">
        <v>0</v>
      </c>
      <c r="L67" s="948">
        <v>0</v>
      </c>
      <c r="M67" s="948">
        <v>0</v>
      </c>
      <c r="N67" s="948">
        <v>0</v>
      </c>
      <c r="O67" s="948">
        <v>0</v>
      </c>
      <c r="P67" s="948">
        <v>0</v>
      </c>
      <c r="Q67" s="948">
        <v>0</v>
      </c>
      <c r="R67" s="948">
        <v>0</v>
      </c>
      <c r="S67" s="949"/>
      <c r="T67" s="949"/>
      <c r="U67" s="949"/>
      <c r="V67" s="949"/>
      <c r="W67" s="949"/>
      <c r="X67" s="955">
        <v>1275</v>
      </c>
      <c r="Y67" s="951">
        <f t="shared" si="4"/>
        <v>1275</v>
      </c>
    </row>
    <row r="68" spans="1:25" s="950" customFormat="1" ht="30.75" customHeight="1">
      <c r="A68" s="946">
        <v>10</v>
      </c>
      <c r="B68" s="947" t="s">
        <v>532</v>
      </c>
      <c r="C68" s="948">
        <f>SUM(D68:M68,P68:R68)</f>
        <v>1900</v>
      </c>
      <c r="D68" s="948">
        <f>'[2]2019 (co TK)'!AD92</f>
        <v>0</v>
      </c>
      <c r="E68" s="948">
        <v>0</v>
      </c>
      <c r="F68" s="948">
        <v>0</v>
      </c>
      <c r="G68" s="948">
        <v>0</v>
      </c>
      <c r="H68" s="948">
        <f>'[2]2019 (co TK)'!L92-'[2]2019 (co TK)'!AD92</f>
        <v>1900</v>
      </c>
      <c r="I68" s="948">
        <v>0</v>
      </c>
      <c r="J68" s="948">
        <v>0</v>
      </c>
      <c r="K68" s="948">
        <v>0</v>
      </c>
      <c r="L68" s="948">
        <v>0</v>
      </c>
      <c r="M68" s="948">
        <v>0</v>
      </c>
      <c r="N68" s="948">
        <v>0</v>
      </c>
      <c r="O68" s="948">
        <v>0</v>
      </c>
      <c r="P68" s="948">
        <v>0</v>
      </c>
      <c r="Q68" s="948">
        <v>0</v>
      </c>
      <c r="R68" s="948">
        <v>0</v>
      </c>
      <c r="S68" s="949"/>
      <c r="T68" s="949"/>
      <c r="U68" s="949">
        <f>'[2]2019 (co TK)'!L92</f>
        <v>1900</v>
      </c>
      <c r="V68" s="949">
        <f>U68-C68</f>
        <v>0</v>
      </c>
      <c r="W68" s="949"/>
      <c r="X68" s="955">
        <v>2750</v>
      </c>
      <c r="Y68" s="951">
        <f t="shared" si="4"/>
        <v>850</v>
      </c>
    </row>
    <row r="69" spans="1:25" s="945" customFormat="1" ht="30.75" customHeight="1">
      <c r="A69" s="934">
        <v>11</v>
      </c>
      <c r="B69" s="939" t="s">
        <v>759</v>
      </c>
      <c r="C69" s="965">
        <f>SUM(C70:C78)</f>
        <v>54208</v>
      </c>
      <c r="D69" s="940">
        <f>SUM(D70:D78)</f>
        <v>12971</v>
      </c>
      <c r="E69" s="940">
        <f t="shared" ref="E69:Q69" si="9">SUM(E70:E78)</f>
        <v>0</v>
      </c>
      <c r="F69" s="940">
        <f t="shared" si="9"/>
        <v>0</v>
      </c>
      <c r="G69" s="940">
        <f t="shared" si="9"/>
        <v>0</v>
      </c>
      <c r="H69" s="940">
        <f t="shared" si="9"/>
        <v>0</v>
      </c>
      <c r="I69" s="940">
        <f t="shared" si="9"/>
        <v>22309</v>
      </c>
      <c r="J69" s="940">
        <f t="shared" si="9"/>
        <v>0</v>
      </c>
      <c r="K69" s="940">
        <f t="shared" si="9"/>
        <v>7488</v>
      </c>
      <c r="L69" s="940">
        <f t="shared" si="9"/>
        <v>0</v>
      </c>
      <c r="M69" s="940">
        <f t="shared" si="9"/>
        <v>1601</v>
      </c>
      <c r="N69" s="940">
        <f t="shared" si="9"/>
        <v>0</v>
      </c>
      <c r="O69" s="940">
        <f t="shared" si="9"/>
        <v>0</v>
      </c>
      <c r="P69" s="940">
        <f t="shared" si="9"/>
        <v>9839</v>
      </c>
      <c r="Q69" s="940">
        <f t="shared" si="9"/>
        <v>0</v>
      </c>
      <c r="R69" s="940">
        <f>SUM(R70:R78)</f>
        <v>0</v>
      </c>
      <c r="S69" s="942"/>
      <c r="T69" s="942"/>
      <c r="U69" s="942">
        <f>'[2]2019 (co TK)'!L50+'[2]2019 (co TK)'!L116+'[2]2019 (co TK)'!L177+'[2]2019 (co TK)'!L63</f>
        <v>54208</v>
      </c>
      <c r="V69" s="942">
        <f>U69-C69</f>
        <v>0</v>
      </c>
      <c r="W69" s="942"/>
      <c r="X69" s="943">
        <v>53514</v>
      </c>
      <c r="Y69" s="944">
        <f t="shared" si="4"/>
        <v>-694</v>
      </c>
    </row>
    <row r="70" spans="1:25" s="945" customFormat="1" ht="30.75" customHeight="1">
      <c r="A70" s="934"/>
      <c r="B70" s="939" t="s">
        <v>760</v>
      </c>
      <c r="C70" s="940">
        <f t="shared" ref="C70:C133" si="10">SUM(D70:M70,P70:R70)</f>
        <v>10206</v>
      </c>
      <c r="D70" s="940">
        <f>'[2]2019 (co TK)'!AD177</f>
        <v>367</v>
      </c>
      <c r="E70" s="940">
        <v>0</v>
      </c>
      <c r="F70" s="940">
        <v>0</v>
      </c>
      <c r="G70" s="940">
        <v>0</v>
      </c>
      <c r="H70" s="940">
        <v>0</v>
      </c>
      <c r="I70" s="940">
        <f>'[2]2019 (co TK)'!L117-'[2]2019 (co TK)'!AD117</f>
        <v>0</v>
      </c>
      <c r="J70" s="940">
        <v>0</v>
      </c>
      <c r="K70" s="940">
        <v>0</v>
      </c>
      <c r="L70" s="940">
        <v>0</v>
      </c>
      <c r="M70" s="940">
        <v>0</v>
      </c>
      <c r="N70" s="940">
        <v>0</v>
      </c>
      <c r="O70" s="940">
        <v>0</v>
      </c>
      <c r="P70" s="940">
        <f>'[2]2019 (co TK)'!L177-'[2]2019 (co TK)'!AD177</f>
        <v>9839</v>
      </c>
      <c r="Q70" s="940"/>
      <c r="R70" s="940"/>
      <c r="S70" s="942"/>
      <c r="T70" s="942"/>
      <c r="U70" s="942"/>
      <c r="V70" s="942"/>
      <c r="W70" s="942"/>
      <c r="X70" s="945">
        <v>7884</v>
      </c>
      <c r="Y70" s="944">
        <f t="shared" si="4"/>
        <v>-2322</v>
      </c>
    </row>
    <row r="71" spans="1:25" s="945" customFormat="1" ht="30.75" customHeight="1">
      <c r="A71" s="934"/>
      <c r="B71" s="939" t="s">
        <v>563</v>
      </c>
      <c r="C71" s="940">
        <f t="shared" si="10"/>
        <v>5263</v>
      </c>
      <c r="D71" s="940">
        <f>'[2]2019 (co TK)'!AD118</f>
        <v>0</v>
      </c>
      <c r="E71" s="940">
        <v>0</v>
      </c>
      <c r="F71" s="940">
        <v>0</v>
      </c>
      <c r="G71" s="940">
        <v>0</v>
      </c>
      <c r="H71" s="940">
        <v>0</v>
      </c>
      <c r="I71" s="940">
        <f>'[2]2019 (co TK)'!L118-'[2]2019 (co TK)'!AD118</f>
        <v>5263</v>
      </c>
      <c r="J71" s="940">
        <v>0</v>
      </c>
      <c r="K71" s="940">
        <v>0</v>
      </c>
      <c r="L71" s="940">
        <v>0</v>
      </c>
      <c r="M71" s="940">
        <v>0</v>
      </c>
      <c r="N71" s="940">
        <v>0</v>
      </c>
      <c r="O71" s="940">
        <v>0</v>
      </c>
      <c r="P71" s="940">
        <v>0</v>
      </c>
      <c r="Q71" s="940">
        <v>0</v>
      </c>
      <c r="R71" s="940">
        <v>0</v>
      </c>
      <c r="S71" s="942"/>
      <c r="T71" s="942"/>
      <c r="U71" s="942"/>
      <c r="V71" s="942"/>
      <c r="W71" s="942"/>
      <c r="X71" s="945">
        <v>5200</v>
      </c>
      <c r="Y71" s="944">
        <f t="shared" si="4"/>
        <v>-63</v>
      </c>
    </row>
    <row r="72" spans="1:25" s="945" customFormat="1" ht="30.75" customHeight="1">
      <c r="A72" s="934"/>
      <c r="B72" s="939" t="s">
        <v>564</v>
      </c>
      <c r="C72" s="940">
        <f t="shared" si="10"/>
        <v>3631</v>
      </c>
      <c r="D72" s="940">
        <f>'[2]2019 (co TK)'!AD119</f>
        <v>18</v>
      </c>
      <c r="E72" s="940">
        <v>0</v>
      </c>
      <c r="F72" s="940">
        <v>0</v>
      </c>
      <c r="G72" s="940">
        <v>0</v>
      </c>
      <c r="H72" s="940">
        <v>0</v>
      </c>
      <c r="I72" s="940">
        <f>'[2]2019 (co TK)'!L119-'[2]2019 (co TK)'!AD119</f>
        <v>3613</v>
      </c>
      <c r="J72" s="940">
        <v>0</v>
      </c>
      <c r="K72" s="940">
        <v>0</v>
      </c>
      <c r="L72" s="940">
        <v>0</v>
      </c>
      <c r="M72" s="940">
        <v>0</v>
      </c>
      <c r="N72" s="940">
        <v>0</v>
      </c>
      <c r="O72" s="940">
        <v>0</v>
      </c>
      <c r="P72" s="940">
        <v>0</v>
      </c>
      <c r="Q72" s="940">
        <v>0</v>
      </c>
      <c r="R72" s="940">
        <v>0</v>
      </c>
      <c r="S72" s="942"/>
      <c r="T72" s="942"/>
      <c r="U72" s="942"/>
      <c r="V72" s="942"/>
      <c r="W72" s="942"/>
      <c r="X72" s="945">
        <v>3045</v>
      </c>
      <c r="Y72" s="944">
        <f t="shared" si="4"/>
        <v>-586</v>
      </c>
    </row>
    <row r="73" spans="1:25" s="945" customFormat="1" ht="30.75" customHeight="1">
      <c r="A73" s="934"/>
      <c r="B73" s="939" t="s">
        <v>565</v>
      </c>
      <c r="C73" s="940">
        <f t="shared" si="10"/>
        <v>2865</v>
      </c>
      <c r="D73" s="940">
        <f>'[2]2019 (co TK)'!AD120</f>
        <v>0</v>
      </c>
      <c r="E73" s="940">
        <v>0</v>
      </c>
      <c r="F73" s="940">
        <v>0</v>
      </c>
      <c r="G73" s="940">
        <v>0</v>
      </c>
      <c r="H73" s="940">
        <v>0</v>
      </c>
      <c r="I73" s="940">
        <f>'[2]2019 (co TK)'!L120-'[2]2019 (co TK)'!AD120</f>
        <v>2865</v>
      </c>
      <c r="J73" s="940">
        <v>0</v>
      </c>
      <c r="K73" s="940">
        <v>0</v>
      </c>
      <c r="L73" s="940">
        <v>0</v>
      </c>
      <c r="M73" s="940">
        <v>0</v>
      </c>
      <c r="N73" s="940">
        <v>0</v>
      </c>
      <c r="O73" s="940">
        <v>0</v>
      </c>
      <c r="P73" s="940">
        <v>0</v>
      </c>
      <c r="Q73" s="940">
        <v>0</v>
      </c>
      <c r="R73" s="940">
        <v>0</v>
      </c>
      <c r="S73" s="942"/>
      <c r="T73" s="942"/>
      <c r="U73" s="942"/>
      <c r="V73" s="942"/>
      <c r="W73" s="942"/>
      <c r="X73" s="945">
        <v>2274</v>
      </c>
      <c r="Y73" s="944">
        <f t="shared" si="4"/>
        <v>-591</v>
      </c>
    </row>
    <row r="74" spans="1:25" s="945" customFormat="1" ht="30.75" customHeight="1">
      <c r="A74" s="934"/>
      <c r="B74" s="939" t="s">
        <v>567</v>
      </c>
      <c r="C74" s="940">
        <f t="shared" si="10"/>
        <v>3815</v>
      </c>
      <c r="D74" s="940">
        <f>'[2]2019 (co TK)'!AD122</f>
        <v>0</v>
      </c>
      <c r="E74" s="940">
        <v>0</v>
      </c>
      <c r="F74" s="940">
        <v>0</v>
      </c>
      <c r="G74" s="940">
        <v>0</v>
      </c>
      <c r="H74" s="940">
        <v>0</v>
      </c>
      <c r="I74" s="940">
        <f>'[2]2019 (co TK)'!L122-'[2]2019 (co TK)'!AD122</f>
        <v>3815</v>
      </c>
      <c r="J74" s="940">
        <v>0</v>
      </c>
      <c r="K74" s="940">
        <v>0</v>
      </c>
      <c r="L74" s="940">
        <v>0</v>
      </c>
      <c r="M74" s="940">
        <v>0</v>
      </c>
      <c r="N74" s="940">
        <v>0</v>
      </c>
      <c r="O74" s="940">
        <v>0</v>
      </c>
      <c r="P74" s="940">
        <v>0</v>
      </c>
      <c r="Q74" s="940">
        <v>0</v>
      </c>
      <c r="R74" s="940">
        <v>0</v>
      </c>
      <c r="S74" s="942"/>
      <c r="T74" s="942"/>
      <c r="U74" s="942"/>
      <c r="V74" s="942"/>
      <c r="W74" s="942"/>
      <c r="X74" s="945">
        <v>3170</v>
      </c>
      <c r="Y74" s="944">
        <f t="shared" si="4"/>
        <v>-645</v>
      </c>
    </row>
    <row r="75" spans="1:25" s="945" customFormat="1" ht="30.75" customHeight="1">
      <c r="A75" s="934"/>
      <c r="B75" s="939" t="s">
        <v>568</v>
      </c>
      <c r="C75" s="940">
        <f t="shared" si="10"/>
        <v>6753</v>
      </c>
      <c r="D75" s="940">
        <f>'[2]2019 (co TK)'!AD123</f>
        <v>0</v>
      </c>
      <c r="E75" s="940">
        <v>0</v>
      </c>
      <c r="F75" s="940">
        <v>0</v>
      </c>
      <c r="G75" s="940">
        <v>0</v>
      </c>
      <c r="H75" s="940">
        <v>0</v>
      </c>
      <c r="I75" s="940">
        <f>'[2]2019 (co TK)'!L123-'[2]2019 (co TK)'!AD123</f>
        <v>6753</v>
      </c>
      <c r="J75" s="940">
        <v>0</v>
      </c>
      <c r="K75" s="940">
        <v>0</v>
      </c>
      <c r="L75" s="940">
        <v>0</v>
      </c>
      <c r="M75" s="940">
        <v>0</v>
      </c>
      <c r="N75" s="940">
        <v>0</v>
      </c>
      <c r="O75" s="940">
        <v>0</v>
      </c>
      <c r="P75" s="940">
        <v>0</v>
      </c>
      <c r="Q75" s="940">
        <v>0</v>
      </c>
      <c r="R75" s="940">
        <v>0</v>
      </c>
      <c r="S75" s="942"/>
      <c r="T75" s="942"/>
      <c r="U75" s="942"/>
      <c r="V75" s="942"/>
      <c r="W75" s="942"/>
      <c r="X75" s="945">
        <v>7022</v>
      </c>
      <c r="Y75" s="944">
        <f t="shared" si="4"/>
        <v>269</v>
      </c>
    </row>
    <row r="76" spans="1:25" s="945" customFormat="1" ht="42.75" customHeight="1">
      <c r="A76" s="934"/>
      <c r="B76" s="939" t="s">
        <v>761</v>
      </c>
      <c r="C76" s="940">
        <f t="shared" si="10"/>
        <v>12453</v>
      </c>
      <c r="D76" s="940">
        <f>'[2]2019 (co TK)'!L63</f>
        <v>12453</v>
      </c>
      <c r="E76" s="966">
        <v>0</v>
      </c>
      <c r="F76" s="966">
        <v>0</v>
      </c>
      <c r="G76" s="966">
        <v>0</v>
      </c>
      <c r="H76" s="966">
        <v>0</v>
      </c>
      <c r="I76" s="966">
        <v>0</v>
      </c>
      <c r="J76" s="966">
        <v>0</v>
      </c>
      <c r="K76" s="966">
        <v>0</v>
      </c>
      <c r="L76" s="966">
        <v>0</v>
      </c>
      <c r="M76" s="966">
        <v>0</v>
      </c>
      <c r="N76" s="966">
        <v>0</v>
      </c>
      <c r="O76" s="966">
        <v>0</v>
      </c>
      <c r="P76" s="966">
        <v>0</v>
      </c>
      <c r="Q76" s="966">
        <v>0</v>
      </c>
      <c r="R76" s="966">
        <v>0</v>
      </c>
      <c r="S76" s="967"/>
      <c r="T76" s="967"/>
      <c r="U76" s="967"/>
      <c r="V76" s="967"/>
      <c r="W76" s="967"/>
      <c r="X76" s="945">
        <v>13349</v>
      </c>
      <c r="Y76" s="944">
        <f t="shared" si="4"/>
        <v>896</v>
      </c>
    </row>
    <row r="77" spans="1:25" s="945" customFormat="1" ht="34.5" customHeight="1">
      <c r="A77" s="934"/>
      <c r="B77" s="939" t="s">
        <v>566</v>
      </c>
      <c r="C77" s="940">
        <f t="shared" si="10"/>
        <v>7488</v>
      </c>
      <c r="D77" s="966">
        <f>'[2]2019 (co TK)'!AD121</f>
        <v>0</v>
      </c>
      <c r="E77" s="966">
        <v>0</v>
      </c>
      <c r="F77" s="966">
        <v>0</v>
      </c>
      <c r="G77" s="966">
        <v>0</v>
      </c>
      <c r="H77" s="966">
        <v>0</v>
      </c>
      <c r="I77" s="966">
        <v>0</v>
      </c>
      <c r="J77" s="966">
        <v>0</v>
      </c>
      <c r="K77" s="940">
        <f>'[2]2019 (co TK)'!L121-'[2]2019 (co TK)'!AD121</f>
        <v>7488</v>
      </c>
      <c r="L77" s="966">
        <v>0</v>
      </c>
      <c r="M77" s="966">
        <v>0</v>
      </c>
      <c r="N77" s="966">
        <v>0</v>
      </c>
      <c r="O77" s="966">
        <v>0</v>
      </c>
      <c r="P77" s="966">
        <v>0</v>
      </c>
      <c r="Q77" s="966">
        <v>0</v>
      </c>
      <c r="R77" s="966">
        <v>0</v>
      </c>
      <c r="S77" s="967"/>
      <c r="T77" s="967"/>
      <c r="U77" s="967"/>
      <c r="V77" s="967"/>
      <c r="W77" s="967"/>
      <c r="X77" s="945">
        <v>9321</v>
      </c>
      <c r="Y77" s="944">
        <f t="shared" si="4"/>
        <v>1833</v>
      </c>
    </row>
    <row r="78" spans="1:25" s="945" customFormat="1" ht="34.5" customHeight="1">
      <c r="A78" s="934"/>
      <c r="B78" s="939" t="s">
        <v>762</v>
      </c>
      <c r="C78" s="940">
        <f t="shared" si="10"/>
        <v>1734</v>
      </c>
      <c r="D78" s="966">
        <f>'[2]2019 (co TK)'!AD50</f>
        <v>133</v>
      </c>
      <c r="E78" s="966">
        <v>0</v>
      </c>
      <c r="F78" s="966">
        <v>0</v>
      </c>
      <c r="G78" s="966">
        <v>0</v>
      </c>
      <c r="H78" s="966">
        <v>0</v>
      </c>
      <c r="I78" s="966">
        <v>0</v>
      </c>
      <c r="J78" s="966">
        <v>0</v>
      </c>
      <c r="K78" s="966">
        <v>0</v>
      </c>
      <c r="L78" s="966">
        <v>0</v>
      </c>
      <c r="M78" s="966">
        <f>'[2]2019 (co TK)'!L50-'[2]2019 (co TK)'!AD50</f>
        <v>1601</v>
      </c>
      <c r="N78" s="966">
        <v>0</v>
      </c>
      <c r="O78" s="966">
        <v>0</v>
      </c>
      <c r="P78" s="966">
        <v>0</v>
      </c>
      <c r="Q78" s="966">
        <v>0</v>
      </c>
      <c r="R78" s="940">
        <v>0</v>
      </c>
      <c r="S78" s="942"/>
      <c r="T78" s="942"/>
      <c r="U78" s="942"/>
      <c r="V78" s="942"/>
      <c r="W78" s="942"/>
      <c r="X78" s="945">
        <v>2249</v>
      </c>
      <c r="Y78" s="944">
        <f t="shared" si="4"/>
        <v>515</v>
      </c>
    </row>
    <row r="79" spans="1:25" s="945" customFormat="1" ht="33.75" customHeight="1">
      <c r="A79" s="934">
        <v>12</v>
      </c>
      <c r="B79" s="939" t="s">
        <v>570</v>
      </c>
      <c r="C79" s="940">
        <f t="shared" si="10"/>
        <v>9622</v>
      </c>
      <c r="D79" s="940">
        <f>'[2]2019 (co TK)'!AD125</f>
        <v>0</v>
      </c>
      <c r="E79" s="940">
        <v>0</v>
      </c>
      <c r="F79" s="940">
        <v>0</v>
      </c>
      <c r="G79" s="940">
        <v>0</v>
      </c>
      <c r="H79" s="940">
        <v>0</v>
      </c>
      <c r="I79" s="940">
        <v>0</v>
      </c>
      <c r="J79" s="940">
        <f>'[2]2019 (co TK)'!L125-'[2]2019 (co TK)'!AD125</f>
        <v>9622</v>
      </c>
      <c r="K79" s="940"/>
      <c r="L79" s="940">
        <v>0</v>
      </c>
      <c r="M79" s="940">
        <v>0</v>
      </c>
      <c r="N79" s="940">
        <v>0</v>
      </c>
      <c r="O79" s="940">
        <v>0</v>
      </c>
      <c r="P79" s="940">
        <v>0</v>
      </c>
      <c r="Q79" s="940">
        <v>0</v>
      </c>
      <c r="R79" s="940">
        <v>0</v>
      </c>
      <c r="S79" s="942"/>
      <c r="T79" s="942"/>
      <c r="U79" s="942">
        <f>'[2]2019 (co TK)'!L125</f>
        <v>9622</v>
      </c>
      <c r="V79" s="942">
        <f>U79-C79</f>
        <v>0</v>
      </c>
      <c r="W79" s="942"/>
      <c r="X79" s="943">
        <v>9838</v>
      </c>
      <c r="Y79" s="944">
        <f t="shared" si="4"/>
        <v>216</v>
      </c>
    </row>
    <row r="80" spans="1:25" s="970" customFormat="1" ht="32.25" customHeight="1">
      <c r="A80" s="925">
        <v>13</v>
      </c>
      <c r="B80" s="939" t="s">
        <v>620</v>
      </c>
      <c r="C80" s="965">
        <f t="shared" si="10"/>
        <v>58864</v>
      </c>
      <c r="D80" s="941">
        <f t="shared" ref="D80:Q80" si="11">SUM(D81:D85)</f>
        <v>20</v>
      </c>
      <c r="E80" s="941">
        <f t="shared" si="11"/>
        <v>0</v>
      </c>
      <c r="F80" s="941">
        <f t="shared" si="11"/>
        <v>0</v>
      </c>
      <c r="G80" s="941">
        <f t="shared" si="11"/>
        <v>0</v>
      </c>
      <c r="H80" s="941">
        <f t="shared" si="11"/>
        <v>0</v>
      </c>
      <c r="I80" s="941">
        <f t="shared" si="11"/>
        <v>0</v>
      </c>
      <c r="J80" s="941">
        <f t="shared" si="11"/>
        <v>0</v>
      </c>
      <c r="K80" s="941">
        <f t="shared" si="11"/>
        <v>0</v>
      </c>
      <c r="L80" s="941">
        <f t="shared" si="11"/>
        <v>27550</v>
      </c>
      <c r="M80" s="941">
        <f t="shared" si="11"/>
        <v>26662</v>
      </c>
      <c r="N80" s="941">
        <f t="shared" si="11"/>
        <v>0</v>
      </c>
      <c r="O80" s="941">
        <f t="shared" si="11"/>
        <v>0</v>
      </c>
      <c r="P80" s="941">
        <f t="shared" si="11"/>
        <v>4632</v>
      </c>
      <c r="Q80" s="941">
        <f t="shared" si="11"/>
        <v>0</v>
      </c>
      <c r="R80" s="941">
        <f>SUM(R81:R85)</f>
        <v>0</v>
      </c>
      <c r="S80" s="968"/>
      <c r="T80" s="942"/>
      <c r="U80" s="968">
        <f>'[2]2019 (co TK)'!L34+'[2]2019 (co TK)'!L173</f>
        <v>58864</v>
      </c>
      <c r="V80" s="942">
        <f>U80-C80</f>
        <v>0</v>
      </c>
      <c r="W80" s="968"/>
      <c r="X80" s="969">
        <v>39681</v>
      </c>
      <c r="Y80" s="944">
        <f t="shared" si="4"/>
        <v>-19183</v>
      </c>
    </row>
    <row r="81" spans="1:25" s="970" customFormat="1" ht="32.25" customHeight="1">
      <c r="A81" s="925"/>
      <c r="B81" s="939" t="s">
        <v>763</v>
      </c>
      <c r="C81" s="941">
        <f t="shared" si="10"/>
        <v>51835</v>
      </c>
      <c r="D81" s="941">
        <f>'[2]2019 (co TK)'!AD173</f>
        <v>20</v>
      </c>
      <c r="E81" s="941">
        <v>0</v>
      </c>
      <c r="F81" s="941">
        <v>0</v>
      </c>
      <c r="G81" s="941">
        <v>0</v>
      </c>
      <c r="H81" s="941">
        <v>0</v>
      </c>
      <c r="I81" s="941">
        <v>0</v>
      </c>
      <c r="J81" s="941">
        <v>0</v>
      </c>
      <c r="K81" s="941">
        <v>0</v>
      </c>
      <c r="L81" s="941">
        <f>'[2]2019 (co TK)'!L40+'[2]2019 (co TK)'!L41</f>
        <v>27550</v>
      </c>
      <c r="M81" s="941">
        <f>'[2]2019 (co TK)'!L35-'[2]2019 (co TK)'!L40-'[2]2019 (co TK)'!AD35-'[2]2019 (co TK)'!L41</f>
        <v>19633</v>
      </c>
      <c r="N81" s="941">
        <v>0</v>
      </c>
      <c r="O81" s="941">
        <v>0</v>
      </c>
      <c r="P81" s="941">
        <f>'[2]2019 (co TK)'!L173-'[2]2019 (co TK)'!AD173</f>
        <v>4632</v>
      </c>
      <c r="Q81" s="941"/>
      <c r="R81" s="941">
        <v>0</v>
      </c>
      <c r="S81" s="968"/>
      <c r="T81" s="968"/>
      <c r="U81" s="968"/>
      <c r="V81" s="968"/>
      <c r="W81" s="968"/>
      <c r="X81" s="970">
        <v>32471</v>
      </c>
      <c r="Y81" s="944">
        <f t="shared" si="4"/>
        <v>-19364</v>
      </c>
    </row>
    <row r="82" spans="1:25" s="970" customFormat="1" ht="32.25" customHeight="1">
      <c r="A82" s="925"/>
      <c r="B82" s="939" t="s">
        <v>471</v>
      </c>
      <c r="C82" s="941">
        <f t="shared" si="10"/>
        <v>1703</v>
      </c>
      <c r="D82" s="941">
        <f>'[2]2019 (co TK)'!AD36</f>
        <v>0</v>
      </c>
      <c r="E82" s="941">
        <v>0</v>
      </c>
      <c r="F82" s="941">
        <v>0</v>
      </c>
      <c r="G82" s="941">
        <v>0</v>
      </c>
      <c r="H82" s="941">
        <v>0</v>
      </c>
      <c r="I82" s="941">
        <v>0</v>
      </c>
      <c r="J82" s="941">
        <v>0</v>
      </c>
      <c r="K82" s="941">
        <v>0</v>
      </c>
      <c r="L82" s="941"/>
      <c r="M82" s="941">
        <f>'[2]2019 (co TK)'!L36-'[2]2019 (co TK)'!AD36</f>
        <v>1703</v>
      </c>
      <c r="N82" s="941">
        <v>0</v>
      </c>
      <c r="O82" s="941">
        <v>0</v>
      </c>
      <c r="P82" s="941">
        <v>0</v>
      </c>
      <c r="Q82" s="941">
        <v>0</v>
      </c>
      <c r="R82" s="941">
        <v>0</v>
      </c>
      <c r="S82" s="968"/>
      <c r="T82" s="968"/>
      <c r="U82" s="968"/>
      <c r="V82" s="968"/>
      <c r="W82" s="968"/>
      <c r="X82" s="970">
        <v>1554</v>
      </c>
      <c r="Y82" s="944">
        <f t="shared" si="4"/>
        <v>-149</v>
      </c>
    </row>
    <row r="83" spans="1:25" s="970" customFormat="1" ht="32.25" customHeight="1">
      <c r="A83" s="925"/>
      <c r="B83" s="939" t="s">
        <v>472</v>
      </c>
      <c r="C83" s="941">
        <f t="shared" si="10"/>
        <v>1003</v>
      </c>
      <c r="D83" s="941">
        <f>'[2]2019 (co TK)'!AD37</f>
        <v>0</v>
      </c>
      <c r="E83" s="941">
        <v>0</v>
      </c>
      <c r="F83" s="941">
        <v>0</v>
      </c>
      <c r="G83" s="941">
        <v>0</v>
      </c>
      <c r="H83" s="941">
        <v>0</v>
      </c>
      <c r="I83" s="941">
        <v>0</v>
      </c>
      <c r="J83" s="941">
        <v>0</v>
      </c>
      <c r="K83" s="941">
        <v>0</v>
      </c>
      <c r="L83" s="941"/>
      <c r="M83" s="941">
        <f>'[2]2019 (co TK)'!L37-'[2]2019 (co TK)'!AD37</f>
        <v>1003</v>
      </c>
      <c r="N83" s="941">
        <v>0</v>
      </c>
      <c r="O83" s="941">
        <v>0</v>
      </c>
      <c r="P83" s="941">
        <v>0</v>
      </c>
      <c r="Q83" s="941">
        <v>0</v>
      </c>
      <c r="R83" s="941">
        <v>0</v>
      </c>
      <c r="S83" s="968"/>
      <c r="T83" s="968"/>
      <c r="U83" s="968"/>
      <c r="V83" s="968"/>
      <c r="W83" s="968"/>
      <c r="X83" s="970">
        <v>1247</v>
      </c>
      <c r="Y83" s="944">
        <f t="shared" ref="Y83:Y147" si="12">X83-C83</f>
        <v>244</v>
      </c>
    </row>
    <row r="84" spans="1:25" s="970" customFormat="1" ht="32.25" customHeight="1">
      <c r="A84" s="925"/>
      <c r="B84" s="939" t="s">
        <v>473</v>
      </c>
      <c r="C84" s="941">
        <f t="shared" si="10"/>
        <v>1661</v>
      </c>
      <c r="D84" s="941">
        <f>'[2]2019 (co TK)'!AD38</f>
        <v>0</v>
      </c>
      <c r="E84" s="941">
        <v>0</v>
      </c>
      <c r="F84" s="941">
        <v>0</v>
      </c>
      <c r="G84" s="941">
        <v>0</v>
      </c>
      <c r="H84" s="941">
        <v>0</v>
      </c>
      <c r="I84" s="941">
        <v>0</v>
      </c>
      <c r="J84" s="941">
        <v>0</v>
      </c>
      <c r="K84" s="941">
        <v>0</v>
      </c>
      <c r="L84" s="941"/>
      <c r="M84" s="941">
        <f>'[2]2019 (co TK)'!L38-'[2]2019 (co TK)'!AD38</f>
        <v>1661</v>
      </c>
      <c r="N84" s="941">
        <v>0</v>
      </c>
      <c r="O84" s="941">
        <v>0</v>
      </c>
      <c r="P84" s="941">
        <v>0</v>
      </c>
      <c r="Q84" s="941">
        <v>0</v>
      </c>
      <c r="R84" s="941">
        <v>0</v>
      </c>
      <c r="S84" s="968"/>
      <c r="T84" s="968"/>
      <c r="U84" s="968"/>
      <c r="V84" s="968"/>
      <c r="W84" s="968"/>
      <c r="X84" s="970">
        <v>1685</v>
      </c>
      <c r="Y84" s="944">
        <f t="shared" si="12"/>
        <v>24</v>
      </c>
    </row>
    <row r="85" spans="1:25" s="970" customFormat="1" ht="32.25" customHeight="1">
      <c r="A85" s="925"/>
      <c r="B85" s="939" t="s">
        <v>474</v>
      </c>
      <c r="C85" s="941">
        <f t="shared" si="10"/>
        <v>2662</v>
      </c>
      <c r="D85" s="941">
        <f>'[2]2019 (co TK)'!AD39</f>
        <v>0</v>
      </c>
      <c r="E85" s="941">
        <v>0</v>
      </c>
      <c r="F85" s="941">
        <v>0</v>
      </c>
      <c r="G85" s="941">
        <v>0</v>
      </c>
      <c r="H85" s="941">
        <v>0</v>
      </c>
      <c r="I85" s="941">
        <v>0</v>
      </c>
      <c r="J85" s="941">
        <v>0</v>
      </c>
      <c r="K85" s="941">
        <v>0</v>
      </c>
      <c r="L85" s="941"/>
      <c r="M85" s="941">
        <f>'[2]2019 (co TK)'!L39-'[2]2019 (co TK)'!AD39</f>
        <v>2662</v>
      </c>
      <c r="N85" s="941">
        <v>0</v>
      </c>
      <c r="O85" s="941">
        <v>0</v>
      </c>
      <c r="P85" s="941">
        <v>0</v>
      </c>
      <c r="Q85" s="941">
        <v>0</v>
      </c>
      <c r="R85" s="941">
        <v>0</v>
      </c>
      <c r="S85" s="968"/>
      <c r="T85" s="968"/>
      <c r="U85" s="968"/>
      <c r="V85" s="968"/>
      <c r="W85" s="968"/>
      <c r="X85" s="970">
        <v>2724</v>
      </c>
      <c r="Y85" s="944">
        <f t="shared" si="12"/>
        <v>62</v>
      </c>
    </row>
    <row r="86" spans="1:25" s="973" customFormat="1" ht="32.25" hidden="1" customHeight="1">
      <c r="A86" s="971"/>
      <c r="B86" s="753" t="s">
        <v>483</v>
      </c>
      <c r="C86" s="941">
        <f t="shared" si="10"/>
        <v>0</v>
      </c>
      <c r="D86" s="941">
        <v>0</v>
      </c>
      <c r="E86" s="941">
        <v>0</v>
      </c>
      <c r="F86" s="941">
        <v>0</v>
      </c>
      <c r="G86" s="941">
        <v>0</v>
      </c>
      <c r="H86" s="941">
        <v>0</v>
      </c>
      <c r="I86" s="941">
        <v>0</v>
      </c>
      <c r="J86" s="941">
        <v>0</v>
      </c>
      <c r="K86" s="941">
        <v>0</v>
      </c>
      <c r="L86" s="972"/>
      <c r="M86" s="941">
        <v>0</v>
      </c>
      <c r="N86" s="941">
        <v>0</v>
      </c>
      <c r="O86" s="941">
        <v>0</v>
      </c>
      <c r="P86" s="941">
        <v>0</v>
      </c>
      <c r="Q86" s="941">
        <v>0</v>
      </c>
      <c r="R86" s="941">
        <v>0</v>
      </c>
      <c r="S86" s="968"/>
      <c r="T86" s="968"/>
      <c r="U86" s="968"/>
      <c r="V86" s="968"/>
      <c r="W86" s="968"/>
      <c r="X86" s="973">
        <v>0</v>
      </c>
      <c r="Y86" s="944">
        <f t="shared" si="12"/>
        <v>0</v>
      </c>
    </row>
    <row r="87" spans="1:25" s="945" customFormat="1" ht="27" customHeight="1">
      <c r="A87" s="934">
        <v>14</v>
      </c>
      <c r="B87" s="939" t="s">
        <v>466</v>
      </c>
      <c r="C87" s="940">
        <f t="shared" si="10"/>
        <v>2709</v>
      </c>
      <c r="D87" s="940">
        <f>'[2]2019 (co TK)'!AD32</f>
        <v>0</v>
      </c>
      <c r="E87" s="940">
        <v>0</v>
      </c>
      <c r="F87" s="940">
        <v>0</v>
      </c>
      <c r="G87" s="940">
        <v>0</v>
      </c>
      <c r="H87" s="940">
        <v>0</v>
      </c>
      <c r="I87" s="940">
        <v>0</v>
      </c>
      <c r="J87" s="940">
        <v>0</v>
      </c>
      <c r="K87" s="940">
        <v>0</v>
      </c>
      <c r="L87" s="940">
        <v>0</v>
      </c>
      <c r="M87" s="940">
        <f>N87+O87</f>
        <v>2709</v>
      </c>
      <c r="N87" s="940">
        <f>'[2]2019 (co TK)'!L32-'[2]2019 (co TK)'!AD32</f>
        <v>2709</v>
      </c>
      <c r="O87" s="940">
        <v>0</v>
      </c>
      <c r="P87" s="940">
        <v>0</v>
      </c>
      <c r="Q87" s="940">
        <v>0</v>
      </c>
      <c r="R87" s="940">
        <v>0</v>
      </c>
      <c r="S87" s="942"/>
      <c r="T87" s="942"/>
      <c r="U87" s="942">
        <f>'[2]2019 (co TK)'!L32</f>
        <v>2709</v>
      </c>
      <c r="V87" s="942">
        <f>U87-C87</f>
        <v>0</v>
      </c>
      <c r="W87" s="942"/>
      <c r="X87" s="943">
        <v>1312</v>
      </c>
      <c r="Y87" s="944">
        <f t="shared" si="12"/>
        <v>-1397</v>
      </c>
    </row>
    <row r="88" spans="1:25" s="945" customFormat="1" ht="27" customHeight="1">
      <c r="A88" s="934">
        <v>15</v>
      </c>
      <c r="B88" s="939" t="s">
        <v>443</v>
      </c>
      <c r="C88" s="965">
        <f t="shared" si="10"/>
        <v>83999</v>
      </c>
      <c r="D88" s="940">
        <f t="shared" ref="D88:R88" si="13">SUM(D89:D92,D94:D107)</f>
        <v>1573</v>
      </c>
      <c r="E88" s="940">
        <f t="shared" si="13"/>
        <v>0</v>
      </c>
      <c r="F88" s="940">
        <f t="shared" si="13"/>
        <v>0</v>
      </c>
      <c r="G88" s="940">
        <f t="shared" si="13"/>
        <v>0</v>
      </c>
      <c r="H88" s="940">
        <f t="shared" si="13"/>
        <v>0</v>
      </c>
      <c r="I88" s="940">
        <f t="shared" si="13"/>
        <v>0</v>
      </c>
      <c r="J88" s="940">
        <f t="shared" si="13"/>
        <v>0</v>
      </c>
      <c r="K88" s="940">
        <f t="shared" si="13"/>
        <v>0</v>
      </c>
      <c r="L88" s="940">
        <f t="shared" si="13"/>
        <v>0</v>
      </c>
      <c r="M88" s="940">
        <f t="shared" si="13"/>
        <v>73281</v>
      </c>
      <c r="N88" s="940">
        <f t="shared" si="13"/>
        <v>0</v>
      </c>
      <c r="O88" s="940">
        <f t="shared" si="13"/>
        <v>73281</v>
      </c>
      <c r="P88" s="940">
        <f t="shared" si="13"/>
        <v>9145</v>
      </c>
      <c r="Q88" s="940">
        <f t="shared" si="13"/>
        <v>0</v>
      </c>
      <c r="R88" s="940">
        <f t="shared" si="13"/>
        <v>0</v>
      </c>
      <c r="S88" s="942"/>
      <c r="T88" s="942"/>
      <c r="U88" s="942">
        <f>'[2]2019 (co TK)'!L10+'[2]2019 (co TK)'!L27+'[2]2019 (co TK)'!L172+'[2]2019 (co TK)'!L204+'[2]2019 (co TK)'!L205</f>
        <v>83999</v>
      </c>
      <c r="V88" s="942">
        <f>U88-C88</f>
        <v>0</v>
      </c>
      <c r="W88" s="942">
        <f>U88-D88</f>
        <v>82426</v>
      </c>
      <c r="X88" s="943">
        <v>87973</v>
      </c>
      <c r="Y88" s="944">
        <f t="shared" si="12"/>
        <v>3974</v>
      </c>
    </row>
    <row r="89" spans="1:25" s="945" customFormat="1" ht="27" customHeight="1">
      <c r="A89" s="934"/>
      <c r="B89" s="939" t="s">
        <v>444</v>
      </c>
      <c r="C89" s="940">
        <f t="shared" si="10"/>
        <v>8960</v>
      </c>
      <c r="D89" s="940">
        <f>'[2]2019 (co TK)'!AD11</f>
        <v>180</v>
      </c>
      <c r="E89" s="940">
        <v>0</v>
      </c>
      <c r="F89" s="940">
        <v>0</v>
      </c>
      <c r="G89" s="940">
        <v>0</v>
      </c>
      <c r="H89" s="940">
        <v>0</v>
      </c>
      <c r="I89" s="940">
        <v>0</v>
      </c>
      <c r="J89" s="940">
        <v>0</v>
      </c>
      <c r="K89" s="940">
        <v>0</v>
      </c>
      <c r="L89" s="940">
        <v>0</v>
      </c>
      <c r="M89" s="940">
        <f>N89+O89</f>
        <v>8780</v>
      </c>
      <c r="N89" s="940">
        <v>0</v>
      </c>
      <c r="O89" s="940">
        <f>'[2]2019 (co TK)'!L11-'[2]2019 (co TK)'!AD11</f>
        <v>8780</v>
      </c>
      <c r="P89" s="940">
        <v>0</v>
      </c>
      <c r="Q89" s="940">
        <v>0</v>
      </c>
      <c r="R89" s="940">
        <v>0</v>
      </c>
      <c r="S89" s="942"/>
      <c r="T89" s="942"/>
      <c r="U89" s="942">
        <f>'[2]2019 (co TK)'!AD11</f>
        <v>180</v>
      </c>
      <c r="V89" s="942"/>
      <c r="W89" s="942">
        <f t="shared" ref="W89:W107" si="14">U89-D89</f>
        <v>0</v>
      </c>
      <c r="X89" s="945">
        <v>8435</v>
      </c>
      <c r="Y89" s="944">
        <f t="shared" si="12"/>
        <v>-525</v>
      </c>
    </row>
    <row r="90" spans="1:25" s="945" customFormat="1" ht="27" customHeight="1">
      <c r="A90" s="934"/>
      <c r="B90" s="939" t="s">
        <v>445</v>
      </c>
      <c r="C90" s="940">
        <f t="shared" si="10"/>
        <v>6055</v>
      </c>
      <c r="D90" s="940">
        <f>'[2]2019 (co TK)'!AD12</f>
        <v>381</v>
      </c>
      <c r="E90" s="940">
        <v>0</v>
      </c>
      <c r="F90" s="940">
        <v>0</v>
      </c>
      <c r="G90" s="940">
        <v>0</v>
      </c>
      <c r="H90" s="940">
        <v>0</v>
      </c>
      <c r="I90" s="940">
        <v>0</v>
      </c>
      <c r="J90" s="940">
        <v>0</v>
      </c>
      <c r="K90" s="940">
        <v>0</v>
      </c>
      <c r="L90" s="940">
        <v>0</v>
      </c>
      <c r="M90" s="940">
        <f t="shared" ref="M90:M107" si="15">N90+O90</f>
        <v>5674</v>
      </c>
      <c r="N90" s="940">
        <v>0</v>
      </c>
      <c r="O90" s="940">
        <f>'[2]2019 (co TK)'!L12-'[2]2019 (co TK)'!AD12</f>
        <v>5674</v>
      </c>
      <c r="P90" s="940">
        <v>0</v>
      </c>
      <c r="Q90" s="940">
        <v>0</v>
      </c>
      <c r="R90" s="940">
        <v>0</v>
      </c>
      <c r="S90" s="942"/>
      <c r="T90" s="942"/>
      <c r="U90" s="942">
        <f>'[2]2019 (co TK)'!AD12</f>
        <v>381</v>
      </c>
      <c r="V90" s="942"/>
      <c r="W90" s="942">
        <f t="shared" si="14"/>
        <v>0</v>
      </c>
      <c r="X90" s="945">
        <v>5948</v>
      </c>
      <c r="Y90" s="944">
        <f t="shared" si="12"/>
        <v>-107</v>
      </c>
    </row>
    <row r="91" spans="1:25" s="945" customFormat="1" ht="27" customHeight="1">
      <c r="A91" s="934"/>
      <c r="B91" s="939" t="s">
        <v>446</v>
      </c>
      <c r="C91" s="940">
        <f t="shared" si="10"/>
        <v>17553</v>
      </c>
      <c r="D91" s="940">
        <f>'[2]2019 (co TK)'!AD13</f>
        <v>40</v>
      </c>
      <c r="E91" s="940">
        <v>0</v>
      </c>
      <c r="F91" s="940">
        <v>0</v>
      </c>
      <c r="G91" s="940">
        <v>0</v>
      </c>
      <c r="H91" s="940">
        <v>0</v>
      </c>
      <c r="I91" s="940">
        <v>0</v>
      </c>
      <c r="J91" s="940">
        <v>0</v>
      </c>
      <c r="K91" s="940">
        <v>0</v>
      </c>
      <c r="L91" s="940">
        <v>0</v>
      </c>
      <c r="M91" s="940">
        <f t="shared" si="15"/>
        <v>17513</v>
      </c>
      <c r="N91" s="940">
        <v>0</v>
      </c>
      <c r="O91" s="940">
        <f>'[2]2019 (co TK)'!L13-'[2]2019 (co TK)'!AD13</f>
        <v>17513</v>
      </c>
      <c r="P91" s="940">
        <v>0</v>
      </c>
      <c r="Q91" s="940">
        <v>0</v>
      </c>
      <c r="R91" s="940">
        <v>0</v>
      </c>
      <c r="S91" s="942"/>
      <c r="T91" s="942"/>
      <c r="U91" s="942">
        <f>'[2]2019 (co TK)'!AD13</f>
        <v>40</v>
      </c>
      <c r="V91" s="942"/>
      <c r="W91" s="942">
        <f t="shared" si="14"/>
        <v>0</v>
      </c>
      <c r="X91" s="945">
        <v>15596</v>
      </c>
      <c r="Y91" s="944">
        <f t="shared" si="12"/>
        <v>-1957</v>
      </c>
    </row>
    <row r="92" spans="1:25" s="945" customFormat="1" ht="27" customHeight="1">
      <c r="A92" s="934"/>
      <c r="B92" s="939" t="s">
        <v>447</v>
      </c>
      <c r="C92" s="940">
        <f t="shared" si="10"/>
        <v>5936</v>
      </c>
      <c r="D92" s="940">
        <f>'[2]2019 (co TK)'!AD14</f>
        <v>17</v>
      </c>
      <c r="E92" s="940">
        <v>0</v>
      </c>
      <c r="F92" s="940">
        <v>0</v>
      </c>
      <c r="G92" s="940">
        <v>0</v>
      </c>
      <c r="H92" s="940">
        <v>0</v>
      </c>
      <c r="I92" s="940">
        <v>0</v>
      </c>
      <c r="J92" s="940">
        <v>0</v>
      </c>
      <c r="K92" s="940">
        <v>0</v>
      </c>
      <c r="L92" s="940">
        <v>0</v>
      </c>
      <c r="M92" s="940">
        <f t="shared" si="15"/>
        <v>5919</v>
      </c>
      <c r="N92" s="940">
        <v>0</v>
      </c>
      <c r="O92" s="940">
        <f>'[2]2019 (co TK)'!L14-'[2]2019 (co TK)'!AD14+'[2]2019 (co TK)'!AJ14</f>
        <v>5919</v>
      </c>
      <c r="P92" s="940">
        <v>0</v>
      </c>
      <c r="Q92" s="940">
        <v>0</v>
      </c>
      <c r="R92" s="940">
        <v>0</v>
      </c>
      <c r="S92" s="942"/>
      <c r="T92" s="942"/>
      <c r="U92" s="942">
        <f>'[2]2019 (co TK)'!AD14</f>
        <v>17</v>
      </c>
      <c r="V92" s="942"/>
      <c r="W92" s="942">
        <f t="shared" si="14"/>
        <v>0</v>
      </c>
      <c r="X92" s="945">
        <v>6803</v>
      </c>
      <c r="Y92" s="944">
        <f t="shared" si="12"/>
        <v>867</v>
      </c>
    </row>
    <row r="93" spans="1:25" s="976" customFormat="1" ht="18" hidden="1">
      <c r="A93" s="974"/>
      <c r="B93" s="753" t="s">
        <v>448</v>
      </c>
      <c r="C93" s="975">
        <f t="shared" si="10"/>
        <v>0</v>
      </c>
      <c r="D93" s="940">
        <v>0</v>
      </c>
      <c r="E93" s="940">
        <v>0</v>
      </c>
      <c r="F93" s="940">
        <v>0</v>
      </c>
      <c r="G93" s="940">
        <v>0</v>
      </c>
      <c r="H93" s="940">
        <v>0</v>
      </c>
      <c r="I93" s="940">
        <v>0</v>
      </c>
      <c r="J93" s="940">
        <v>0</v>
      </c>
      <c r="K93" s="940">
        <v>0</v>
      </c>
      <c r="L93" s="940">
        <v>0</v>
      </c>
      <c r="M93" s="940">
        <f t="shared" si="15"/>
        <v>0</v>
      </c>
      <c r="N93" s="940">
        <v>0</v>
      </c>
      <c r="O93" s="975">
        <f>'[2]2019 (co TK)'!L15</f>
        <v>0</v>
      </c>
      <c r="P93" s="940">
        <v>0</v>
      </c>
      <c r="Q93" s="940">
        <v>0</v>
      </c>
      <c r="R93" s="940">
        <v>0</v>
      </c>
      <c r="S93" s="942"/>
      <c r="T93" s="942"/>
      <c r="U93" s="942"/>
      <c r="V93" s="942"/>
      <c r="W93" s="942">
        <f t="shared" si="14"/>
        <v>0</v>
      </c>
      <c r="X93" s="976">
        <v>1000</v>
      </c>
      <c r="Y93" s="944">
        <f t="shared" si="12"/>
        <v>1000</v>
      </c>
    </row>
    <row r="94" spans="1:25" s="945" customFormat="1" ht="27" customHeight="1">
      <c r="A94" s="934"/>
      <c r="B94" s="939" t="s">
        <v>449</v>
      </c>
      <c r="C94" s="940">
        <f t="shared" si="10"/>
        <v>3117</v>
      </c>
      <c r="D94" s="940">
        <f>'[2]2019 (co TK)'!AD16</f>
        <v>282</v>
      </c>
      <c r="E94" s="940">
        <v>0</v>
      </c>
      <c r="F94" s="940">
        <v>0</v>
      </c>
      <c r="G94" s="940">
        <v>0</v>
      </c>
      <c r="H94" s="940">
        <v>0</v>
      </c>
      <c r="I94" s="940">
        <v>0</v>
      </c>
      <c r="J94" s="940">
        <v>0</v>
      </c>
      <c r="K94" s="940">
        <v>0</v>
      </c>
      <c r="L94" s="940">
        <v>0</v>
      </c>
      <c r="M94" s="940">
        <f t="shared" si="15"/>
        <v>2835</v>
      </c>
      <c r="N94" s="940">
        <v>0</v>
      </c>
      <c r="O94" s="940">
        <f>'[2]2019 (co TK)'!L16-'[2]2019 (co TK)'!AD16+'[2]2019 (co TK)'!AJ16</f>
        <v>2835</v>
      </c>
      <c r="P94" s="940">
        <v>0</v>
      </c>
      <c r="Q94" s="940">
        <v>0</v>
      </c>
      <c r="R94" s="940">
        <v>0</v>
      </c>
      <c r="S94" s="942"/>
      <c r="T94" s="942"/>
      <c r="U94" s="942">
        <f>'[2]2019 (co TK)'!AD16</f>
        <v>282</v>
      </c>
      <c r="V94" s="942"/>
      <c r="W94" s="942">
        <f t="shared" si="14"/>
        <v>0</v>
      </c>
      <c r="X94" s="945">
        <v>2623</v>
      </c>
      <c r="Y94" s="944">
        <f t="shared" si="12"/>
        <v>-494</v>
      </c>
    </row>
    <row r="95" spans="1:25" s="945" customFormat="1" ht="27" customHeight="1">
      <c r="A95" s="934"/>
      <c r="B95" s="939" t="s">
        <v>450</v>
      </c>
      <c r="C95" s="940">
        <f t="shared" si="10"/>
        <v>5337</v>
      </c>
      <c r="D95" s="940">
        <f>'[2]2019 (co TK)'!AD17</f>
        <v>313</v>
      </c>
      <c r="E95" s="940">
        <v>0</v>
      </c>
      <c r="F95" s="940">
        <v>0</v>
      </c>
      <c r="G95" s="940">
        <v>0</v>
      </c>
      <c r="H95" s="940">
        <v>0</v>
      </c>
      <c r="I95" s="940">
        <v>0</v>
      </c>
      <c r="J95" s="940">
        <v>0</v>
      </c>
      <c r="K95" s="940">
        <v>0</v>
      </c>
      <c r="L95" s="940">
        <v>0</v>
      </c>
      <c r="M95" s="940">
        <f t="shared" si="15"/>
        <v>5024</v>
      </c>
      <c r="N95" s="940">
        <v>0</v>
      </c>
      <c r="O95" s="940">
        <f>'[2]2019 (co TK)'!L17-'[2]2019 (co TK)'!AD17</f>
        <v>5024</v>
      </c>
      <c r="P95" s="940">
        <v>0</v>
      </c>
      <c r="Q95" s="940">
        <v>0</v>
      </c>
      <c r="R95" s="940">
        <v>0</v>
      </c>
      <c r="S95" s="942"/>
      <c r="T95" s="942"/>
      <c r="U95" s="942">
        <f>'[2]2019 (co TK)'!AD17</f>
        <v>313</v>
      </c>
      <c r="V95" s="942"/>
      <c r="W95" s="942">
        <f t="shared" si="14"/>
        <v>0</v>
      </c>
      <c r="X95" s="945">
        <v>4739</v>
      </c>
      <c r="Y95" s="944">
        <f t="shared" si="12"/>
        <v>-598</v>
      </c>
    </row>
    <row r="96" spans="1:25" s="945" customFormat="1" ht="42.75" customHeight="1">
      <c r="A96" s="934"/>
      <c r="B96" s="939" t="s">
        <v>451</v>
      </c>
      <c r="C96" s="940">
        <f t="shared" si="10"/>
        <v>3065</v>
      </c>
      <c r="D96" s="940">
        <f>'[2]2019 (co TK)'!AD18</f>
        <v>97</v>
      </c>
      <c r="E96" s="940">
        <v>0</v>
      </c>
      <c r="F96" s="940">
        <v>0</v>
      </c>
      <c r="G96" s="940">
        <v>0</v>
      </c>
      <c r="H96" s="940">
        <v>0</v>
      </c>
      <c r="I96" s="940">
        <v>0</v>
      </c>
      <c r="J96" s="940">
        <v>0</v>
      </c>
      <c r="K96" s="940">
        <v>0</v>
      </c>
      <c r="L96" s="940">
        <v>0</v>
      </c>
      <c r="M96" s="940">
        <f t="shared" si="15"/>
        <v>2968</v>
      </c>
      <c r="N96" s="940">
        <v>0</v>
      </c>
      <c r="O96" s="940">
        <f>'[2]2019 (co TK)'!L18-'[2]2019 (co TK)'!AD18</f>
        <v>2968</v>
      </c>
      <c r="P96" s="940">
        <v>0</v>
      </c>
      <c r="Q96" s="940">
        <v>0</v>
      </c>
      <c r="R96" s="940">
        <v>0</v>
      </c>
      <c r="S96" s="942"/>
      <c r="T96" s="942"/>
      <c r="U96" s="942">
        <f>'[2]2019 (co TK)'!AD18</f>
        <v>97</v>
      </c>
      <c r="V96" s="942"/>
      <c r="W96" s="942">
        <f t="shared" si="14"/>
        <v>0</v>
      </c>
      <c r="X96" s="945">
        <v>2705</v>
      </c>
      <c r="Y96" s="944">
        <f t="shared" si="12"/>
        <v>-360</v>
      </c>
    </row>
    <row r="97" spans="1:25" s="945" customFormat="1" ht="27" hidden="1" customHeight="1">
      <c r="A97" s="934"/>
      <c r="B97" s="939" t="s">
        <v>452</v>
      </c>
      <c r="C97" s="940">
        <f t="shared" si="10"/>
        <v>0</v>
      </c>
      <c r="D97" s="940">
        <f>'[2]2019 (co TK)'!AD19</f>
        <v>0</v>
      </c>
      <c r="E97" s="940">
        <v>0</v>
      </c>
      <c r="F97" s="940">
        <v>0</v>
      </c>
      <c r="G97" s="940">
        <v>0</v>
      </c>
      <c r="H97" s="940">
        <v>0</v>
      </c>
      <c r="I97" s="940">
        <v>0</v>
      </c>
      <c r="J97" s="940">
        <v>0</v>
      </c>
      <c r="K97" s="940">
        <v>0</v>
      </c>
      <c r="L97" s="940">
        <v>0</v>
      </c>
      <c r="M97" s="940">
        <f t="shared" si="15"/>
        <v>0</v>
      </c>
      <c r="N97" s="940">
        <v>0</v>
      </c>
      <c r="O97" s="940">
        <f>'[2]2019 (co TK)'!L19-'[2]2019 (co TK)'!AD19</f>
        <v>0</v>
      </c>
      <c r="P97" s="940">
        <v>0</v>
      </c>
      <c r="Q97" s="940">
        <v>0</v>
      </c>
      <c r="R97" s="940">
        <v>0</v>
      </c>
      <c r="S97" s="942"/>
      <c r="T97" s="942"/>
      <c r="U97" s="942">
        <f>'[2]2019 (co TK)'!AD19</f>
        <v>0</v>
      </c>
      <c r="V97" s="942"/>
      <c r="W97" s="942">
        <f t="shared" si="14"/>
        <v>0</v>
      </c>
      <c r="X97" s="945">
        <v>4932</v>
      </c>
      <c r="Y97" s="944">
        <f t="shared" si="12"/>
        <v>4932</v>
      </c>
    </row>
    <row r="98" spans="1:25" s="945" customFormat="1" ht="27" hidden="1" customHeight="1">
      <c r="A98" s="934"/>
      <c r="B98" s="939" t="s">
        <v>453</v>
      </c>
      <c r="C98" s="940">
        <f t="shared" si="10"/>
        <v>0</v>
      </c>
      <c r="D98" s="940">
        <f>'[2]2019 (co TK)'!AD20</f>
        <v>0</v>
      </c>
      <c r="E98" s="940">
        <v>0</v>
      </c>
      <c r="F98" s="940">
        <v>0</v>
      </c>
      <c r="G98" s="940">
        <v>0</v>
      </c>
      <c r="H98" s="940">
        <v>0</v>
      </c>
      <c r="I98" s="940">
        <v>0</v>
      </c>
      <c r="J98" s="940">
        <v>0</v>
      </c>
      <c r="K98" s="940">
        <v>0</v>
      </c>
      <c r="L98" s="940">
        <v>0</v>
      </c>
      <c r="M98" s="940">
        <f t="shared" si="15"/>
        <v>0</v>
      </c>
      <c r="N98" s="940">
        <v>0</v>
      </c>
      <c r="O98" s="940">
        <f>'[2]2019 (co TK)'!L20-'[2]2019 (co TK)'!AD20</f>
        <v>0</v>
      </c>
      <c r="P98" s="940">
        <v>0</v>
      </c>
      <c r="Q98" s="940">
        <v>0</v>
      </c>
      <c r="R98" s="940">
        <v>0</v>
      </c>
      <c r="S98" s="942"/>
      <c r="T98" s="942"/>
      <c r="U98" s="942">
        <f>'[2]2019 (co TK)'!AD20</f>
        <v>0</v>
      </c>
      <c r="V98" s="942"/>
      <c r="W98" s="942">
        <f t="shared" si="14"/>
        <v>0</v>
      </c>
      <c r="X98" s="945">
        <v>0</v>
      </c>
      <c r="Y98" s="944">
        <f t="shared" si="12"/>
        <v>0</v>
      </c>
    </row>
    <row r="99" spans="1:25" s="945" customFormat="1" ht="27" customHeight="1">
      <c r="A99" s="934"/>
      <c r="B99" s="939" t="s">
        <v>454</v>
      </c>
      <c r="C99" s="940">
        <f t="shared" si="10"/>
        <v>5329</v>
      </c>
      <c r="D99" s="940">
        <f>'[2]2019 (co TK)'!AD21</f>
        <v>10</v>
      </c>
      <c r="E99" s="940">
        <v>0</v>
      </c>
      <c r="F99" s="940">
        <v>0</v>
      </c>
      <c r="G99" s="940">
        <v>0</v>
      </c>
      <c r="H99" s="940">
        <v>0</v>
      </c>
      <c r="I99" s="940">
        <v>0</v>
      </c>
      <c r="J99" s="940">
        <v>0</v>
      </c>
      <c r="K99" s="940">
        <v>0</v>
      </c>
      <c r="L99" s="940">
        <v>0</v>
      </c>
      <c r="M99" s="940">
        <f t="shared" si="15"/>
        <v>5319</v>
      </c>
      <c r="N99" s="940">
        <v>0</v>
      </c>
      <c r="O99" s="940">
        <f>'[2]2019 (co TK)'!L21-'[2]2019 (co TK)'!AD21</f>
        <v>5319</v>
      </c>
      <c r="P99" s="940">
        <v>0</v>
      </c>
      <c r="Q99" s="940">
        <v>0</v>
      </c>
      <c r="R99" s="940">
        <v>0</v>
      </c>
      <c r="S99" s="942"/>
      <c r="T99" s="942"/>
      <c r="U99" s="942">
        <f>'[2]2019 (co TK)'!AD21</f>
        <v>10</v>
      </c>
      <c r="V99" s="942"/>
      <c r="W99" s="942">
        <f t="shared" si="14"/>
        <v>0</v>
      </c>
      <c r="X99" s="945">
        <v>2675</v>
      </c>
      <c r="Y99" s="944">
        <f t="shared" si="12"/>
        <v>-2654</v>
      </c>
    </row>
    <row r="100" spans="1:25" s="945" customFormat="1" ht="27" customHeight="1">
      <c r="A100" s="934"/>
      <c r="B100" s="939" t="s">
        <v>455</v>
      </c>
      <c r="C100" s="940">
        <f t="shared" si="10"/>
        <v>600</v>
      </c>
      <c r="D100" s="940">
        <f>'[2]2019 (co TK)'!AD22</f>
        <v>60</v>
      </c>
      <c r="E100" s="940">
        <v>0</v>
      </c>
      <c r="F100" s="940">
        <v>0</v>
      </c>
      <c r="G100" s="940">
        <v>0</v>
      </c>
      <c r="H100" s="940">
        <v>0</v>
      </c>
      <c r="I100" s="940">
        <v>0</v>
      </c>
      <c r="J100" s="940">
        <v>0</v>
      </c>
      <c r="K100" s="940">
        <v>0</v>
      </c>
      <c r="L100" s="940">
        <v>0</v>
      </c>
      <c r="M100" s="940">
        <f t="shared" si="15"/>
        <v>540</v>
      </c>
      <c r="N100" s="940">
        <v>0</v>
      </c>
      <c r="O100" s="940">
        <f>'[2]2019 (co TK)'!L22-'[2]2019 (co TK)'!AD22</f>
        <v>540</v>
      </c>
      <c r="P100" s="940">
        <v>0</v>
      </c>
      <c r="Q100" s="940">
        <v>0</v>
      </c>
      <c r="R100" s="940">
        <v>0</v>
      </c>
      <c r="S100" s="942"/>
      <c r="T100" s="942"/>
      <c r="U100" s="942">
        <f>'[2]2019 (co TK)'!AD22</f>
        <v>60</v>
      </c>
      <c r="V100" s="942"/>
      <c r="W100" s="942">
        <f t="shared" si="14"/>
        <v>0</v>
      </c>
      <c r="X100" s="945">
        <v>459</v>
      </c>
      <c r="Y100" s="944">
        <f t="shared" si="12"/>
        <v>-141</v>
      </c>
    </row>
    <row r="101" spans="1:25" s="945" customFormat="1" ht="27" hidden="1" customHeight="1">
      <c r="A101" s="934"/>
      <c r="B101" s="939" t="s">
        <v>456</v>
      </c>
      <c r="C101" s="940">
        <f t="shared" si="10"/>
        <v>0</v>
      </c>
      <c r="D101" s="940">
        <f>'[2]2019 (co TK)'!AD23</f>
        <v>0</v>
      </c>
      <c r="E101" s="940">
        <v>0</v>
      </c>
      <c r="F101" s="940">
        <v>0</v>
      </c>
      <c r="G101" s="940">
        <v>0</v>
      </c>
      <c r="H101" s="940">
        <v>0</v>
      </c>
      <c r="I101" s="940">
        <v>0</v>
      </c>
      <c r="J101" s="940">
        <v>0</v>
      </c>
      <c r="K101" s="940">
        <v>0</v>
      </c>
      <c r="L101" s="940">
        <v>0</v>
      </c>
      <c r="M101" s="940">
        <f t="shared" si="15"/>
        <v>0</v>
      </c>
      <c r="N101" s="940">
        <v>0</v>
      </c>
      <c r="O101" s="940">
        <f>'[2]2019 (co TK)'!L23-'[2]2019 (co TK)'!AD23</f>
        <v>0</v>
      </c>
      <c r="P101" s="940">
        <v>0</v>
      </c>
      <c r="Q101" s="940">
        <v>0</v>
      </c>
      <c r="R101" s="940">
        <v>0</v>
      </c>
      <c r="S101" s="942"/>
      <c r="T101" s="942"/>
      <c r="U101" s="942">
        <f>'[2]2019 (co TK)'!AD23</f>
        <v>0</v>
      </c>
      <c r="V101" s="942"/>
      <c r="W101" s="942">
        <f t="shared" si="14"/>
        <v>0</v>
      </c>
      <c r="X101" s="945">
        <v>1137</v>
      </c>
      <c r="Y101" s="944">
        <f t="shared" si="12"/>
        <v>1137</v>
      </c>
    </row>
    <row r="102" spans="1:25" s="945" customFormat="1" ht="27" hidden="1" customHeight="1">
      <c r="A102" s="934"/>
      <c r="B102" s="939" t="s">
        <v>457</v>
      </c>
      <c r="C102" s="940">
        <f t="shared" si="10"/>
        <v>0</v>
      </c>
      <c r="D102" s="940">
        <f>'[2]2019 (co TK)'!AD24</f>
        <v>0</v>
      </c>
      <c r="E102" s="940">
        <v>0</v>
      </c>
      <c r="F102" s="940">
        <v>0</v>
      </c>
      <c r="G102" s="940">
        <v>0</v>
      </c>
      <c r="H102" s="940">
        <v>0</v>
      </c>
      <c r="I102" s="940">
        <v>0</v>
      </c>
      <c r="J102" s="940">
        <v>0</v>
      </c>
      <c r="K102" s="940">
        <v>0</v>
      </c>
      <c r="L102" s="940">
        <v>0</v>
      </c>
      <c r="M102" s="940">
        <f t="shared" si="15"/>
        <v>0</v>
      </c>
      <c r="N102" s="940">
        <v>0</v>
      </c>
      <c r="O102" s="940">
        <f>'[2]2019 (co TK)'!L24-'[2]2019 (co TK)'!AD24</f>
        <v>0</v>
      </c>
      <c r="P102" s="940">
        <v>0</v>
      </c>
      <c r="Q102" s="940">
        <v>0</v>
      </c>
      <c r="R102" s="940">
        <v>0</v>
      </c>
      <c r="S102" s="942"/>
      <c r="T102" s="942"/>
      <c r="U102" s="942">
        <f>'[2]2019 (co TK)'!AD24</f>
        <v>0</v>
      </c>
      <c r="V102" s="942"/>
      <c r="W102" s="942">
        <f t="shared" si="14"/>
        <v>0</v>
      </c>
      <c r="X102" s="945">
        <v>0</v>
      </c>
      <c r="Y102" s="944">
        <f t="shared" si="12"/>
        <v>0</v>
      </c>
    </row>
    <row r="103" spans="1:25" s="945" customFormat="1" ht="27" customHeight="1">
      <c r="A103" s="934"/>
      <c r="B103" s="939" t="s">
        <v>458</v>
      </c>
      <c r="C103" s="940">
        <f t="shared" si="10"/>
        <v>7188</v>
      </c>
      <c r="D103" s="940">
        <f>'[2]2019 (co TK)'!AD25</f>
        <v>33</v>
      </c>
      <c r="E103" s="940">
        <v>0</v>
      </c>
      <c r="F103" s="940">
        <v>0</v>
      </c>
      <c r="G103" s="940">
        <v>0</v>
      </c>
      <c r="H103" s="940">
        <v>0</v>
      </c>
      <c r="I103" s="940">
        <v>0</v>
      </c>
      <c r="J103" s="940">
        <v>0</v>
      </c>
      <c r="K103" s="940">
        <v>0</v>
      </c>
      <c r="L103" s="940">
        <v>0</v>
      </c>
      <c r="M103" s="940">
        <f t="shared" si="15"/>
        <v>7155</v>
      </c>
      <c r="N103" s="940">
        <v>0</v>
      </c>
      <c r="O103" s="940">
        <f>'[2]2019 (co TK)'!L25-'[2]2019 (co TK)'!AD25</f>
        <v>7155</v>
      </c>
      <c r="P103" s="940">
        <v>0</v>
      </c>
      <c r="Q103" s="940">
        <v>0</v>
      </c>
      <c r="R103" s="940">
        <v>0</v>
      </c>
      <c r="S103" s="942"/>
      <c r="T103" s="942"/>
      <c r="U103" s="942">
        <f>'[2]2019 (co TK)'!AD25</f>
        <v>33</v>
      </c>
      <c r="V103" s="942"/>
      <c r="W103" s="942">
        <f t="shared" si="14"/>
        <v>0</v>
      </c>
      <c r="X103" s="945">
        <v>6778</v>
      </c>
      <c r="Y103" s="944">
        <f t="shared" si="12"/>
        <v>-410</v>
      </c>
    </row>
    <row r="104" spans="1:25" s="945" customFormat="1" ht="27" customHeight="1">
      <c r="A104" s="934"/>
      <c r="B104" s="939" t="s">
        <v>459</v>
      </c>
      <c r="C104" s="940">
        <f t="shared" si="10"/>
        <v>8271</v>
      </c>
      <c r="D104" s="940">
        <f>'[2]2019 (co TK)'!AD172</f>
        <v>100</v>
      </c>
      <c r="E104" s="940">
        <v>0</v>
      </c>
      <c r="F104" s="940">
        <v>0</v>
      </c>
      <c r="G104" s="940">
        <v>0</v>
      </c>
      <c r="H104" s="940">
        <v>0</v>
      </c>
      <c r="I104" s="940">
        <v>0</v>
      </c>
      <c r="J104" s="940">
        <v>0</v>
      </c>
      <c r="K104" s="940">
        <v>0</v>
      </c>
      <c r="L104" s="940">
        <v>0</v>
      </c>
      <c r="M104" s="940">
        <f t="shared" si="15"/>
        <v>0</v>
      </c>
      <c r="N104" s="940">
        <v>0</v>
      </c>
      <c r="O104" s="940">
        <f>'[2]2019 (co TK)'!L26-'[2]2019 (co TK)'!AD26</f>
        <v>0</v>
      </c>
      <c r="P104" s="940">
        <f>'[2]2019 (co TK)'!L172-'[2]2019 (co TK)'!AD172</f>
        <v>8171</v>
      </c>
      <c r="Q104" s="940"/>
      <c r="R104" s="940"/>
      <c r="S104" s="942"/>
      <c r="T104" s="942"/>
      <c r="U104" s="942">
        <f>'[2]2019 (co TK)'!AD172</f>
        <v>100</v>
      </c>
      <c r="V104" s="942"/>
      <c r="W104" s="942">
        <f t="shared" si="14"/>
        <v>0</v>
      </c>
      <c r="X104" s="945">
        <v>12958</v>
      </c>
      <c r="Y104" s="944">
        <f t="shared" si="12"/>
        <v>4687</v>
      </c>
    </row>
    <row r="105" spans="1:25" s="945" customFormat="1" ht="27" customHeight="1">
      <c r="A105" s="934"/>
      <c r="B105" s="939" t="s">
        <v>764</v>
      </c>
      <c r="C105" s="940">
        <f t="shared" si="10"/>
        <v>11554</v>
      </c>
      <c r="D105" s="940">
        <f>'[2]2019 (co TK)'!AD27</f>
        <v>0</v>
      </c>
      <c r="E105" s="940">
        <v>0</v>
      </c>
      <c r="F105" s="940">
        <v>0</v>
      </c>
      <c r="G105" s="940">
        <v>0</v>
      </c>
      <c r="H105" s="940">
        <v>0</v>
      </c>
      <c r="I105" s="940">
        <v>0</v>
      </c>
      <c r="J105" s="940">
        <v>0</v>
      </c>
      <c r="K105" s="940">
        <v>0</v>
      </c>
      <c r="L105" s="940">
        <v>0</v>
      </c>
      <c r="M105" s="940">
        <f t="shared" si="15"/>
        <v>11554</v>
      </c>
      <c r="N105" s="940">
        <v>0</v>
      </c>
      <c r="O105" s="940">
        <f>'[2]2019 (co TK)'!L27-'[2]2019 (co TK)'!AD27</f>
        <v>11554</v>
      </c>
      <c r="P105" s="940">
        <v>0</v>
      </c>
      <c r="Q105" s="940">
        <v>0</v>
      </c>
      <c r="R105" s="940">
        <v>0</v>
      </c>
      <c r="S105" s="942"/>
      <c r="T105" s="942"/>
      <c r="U105" s="942">
        <f>'[2]2019 (co TK)'!AD27</f>
        <v>0</v>
      </c>
      <c r="V105" s="942"/>
      <c r="W105" s="942">
        <f t="shared" si="14"/>
        <v>0</v>
      </c>
      <c r="X105" s="945">
        <v>11206</v>
      </c>
      <c r="Y105" s="944">
        <f t="shared" si="12"/>
        <v>-348</v>
      </c>
    </row>
    <row r="106" spans="1:25" s="945" customFormat="1" ht="27" customHeight="1">
      <c r="A106" s="934"/>
      <c r="B106" s="939" t="s">
        <v>765</v>
      </c>
      <c r="C106" s="940">
        <f t="shared" si="10"/>
        <v>450</v>
      </c>
      <c r="D106" s="940">
        <f>'[2]2019 (co TK)'!AD204</f>
        <v>60</v>
      </c>
      <c r="E106" s="940">
        <v>0</v>
      </c>
      <c r="F106" s="940">
        <v>0</v>
      </c>
      <c r="G106" s="940">
        <v>0</v>
      </c>
      <c r="H106" s="940">
        <v>0</v>
      </c>
      <c r="I106" s="940">
        <v>0</v>
      </c>
      <c r="J106" s="940">
        <v>0</v>
      </c>
      <c r="K106" s="940">
        <v>0</v>
      </c>
      <c r="L106" s="940">
        <v>0</v>
      </c>
      <c r="M106" s="940">
        <f t="shared" si="15"/>
        <v>0</v>
      </c>
      <c r="N106" s="940">
        <v>0</v>
      </c>
      <c r="O106" s="940">
        <v>0</v>
      </c>
      <c r="P106" s="940">
        <f>'[2]2019 (co TK)'!L204-'[2]2019 (co TK)'!AD204</f>
        <v>390</v>
      </c>
      <c r="Q106" s="940">
        <v>0</v>
      </c>
      <c r="R106" s="940"/>
      <c r="S106" s="942"/>
      <c r="T106" s="942"/>
      <c r="U106" s="942">
        <f>'[2]2019 (co TK)'!AD204</f>
        <v>60</v>
      </c>
      <c r="V106" s="942"/>
      <c r="W106" s="942">
        <f t="shared" si="14"/>
        <v>0</v>
      </c>
      <c r="X106" s="945">
        <v>452</v>
      </c>
      <c r="Y106" s="944">
        <f t="shared" si="12"/>
        <v>2</v>
      </c>
    </row>
    <row r="107" spans="1:25" s="945" customFormat="1" ht="27" customHeight="1">
      <c r="A107" s="934"/>
      <c r="B107" s="939" t="s">
        <v>766</v>
      </c>
      <c r="C107" s="940">
        <f t="shared" si="10"/>
        <v>584</v>
      </c>
      <c r="D107" s="940">
        <f>'[2]2019 (co TK)'!AD205</f>
        <v>0</v>
      </c>
      <c r="E107" s="940">
        <v>0</v>
      </c>
      <c r="F107" s="940">
        <v>0</v>
      </c>
      <c r="G107" s="940">
        <v>0</v>
      </c>
      <c r="H107" s="940">
        <v>0</v>
      </c>
      <c r="I107" s="940">
        <v>0</v>
      </c>
      <c r="J107" s="940">
        <v>0</v>
      </c>
      <c r="K107" s="940">
        <v>0</v>
      </c>
      <c r="L107" s="940">
        <v>0</v>
      </c>
      <c r="M107" s="940">
        <f t="shared" si="15"/>
        <v>0</v>
      </c>
      <c r="N107" s="940">
        <v>0</v>
      </c>
      <c r="O107" s="940">
        <v>0</v>
      </c>
      <c r="P107" s="940">
        <f>'[2]2019 (co TK)'!L205-'[2]2019 (co TK)'!AD205</f>
        <v>584</v>
      </c>
      <c r="Q107" s="940">
        <v>0</v>
      </c>
      <c r="R107" s="940"/>
      <c r="S107" s="942"/>
      <c r="T107" s="942"/>
      <c r="U107" s="942">
        <f>'[2]2019 (co TK)'!AD205</f>
        <v>0</v>
      </c>
      <c r="V107" s="942"/>
      <c r="W107" s="942">
        <f t="shared" si="14"/>
        <v>0</v>
      </c>
      <c r="X107" s="945">
        <v>527</v>
      </c>
      <c r="Y107" s="944">
        <f t="shared" si="12"/>
        <v>-57</v>
      </c>
    </row>
    <row r="108" spans="1:25" s="945" customFormat="1" ht="27" hidden="1" customHeight="1">
      <c r="A108" s="934">
        <v>16</v>
      </c>
      <c r="B108" s="939" t="s">
        <v>461</v>
      </c>
      <c r="C108" s="940">
        <f t="shared" si="10"/>
        <v>0</v>
      </c>
      <c r="D108" s="940">
        <v>0</v>
      </c>
      <c r="E108" s="940">
        <v>0</v>
      </c>
      <c r="F108" s="940">
        <v>0</v>
      </c>
      <c r="G108" s="940">
        <v>0</v>
      </c>
      <c r="H108" s="940">
        <v>0</v>
      </c>
      <c r="I108" s="940">
        <v>0</v>
      </c>
      <c r="J108" s="940">
        <v>0</v>
      </c>
      <c r="K108" s="940">
        <v>0</v>
      </c>
      <c r="L108" s="940">
        <v>0</v>
      </c>
      <c r="M108" s="940">
        <f>N108+O108</f>
        <v>0</v>
      </c>
      <c r="N108" s="940">
        <v>0</v>
      </c>
      <c r="O108" s="940"/>
      <c r="P108" s="940">
        <v>0</v>
      </c>
      <c r="Q108" s="940">
        <v>0</v>
      </c>
      <c r="R108" s="977"/>
      <c r="S108" s="978"/>
      <c r="T108" s="978"/>
      <c r="U108" s="978">
        <f>'[2]2019 (co TK)'!L28</f>
        <v>66687</v>
      </c>
      <c r="V108" s="942">
        <f>U108-C108</f>
        <v>66687</v>
      </c>
      <c r="W108" s="978"/>
      <c r="X108" s="945">
        <v>66687</v>
      </c>
      <c r="Y108" s="944">
        <f t="shared" si="12"/>
        <v>66687</v>
      </c>
    </row>
    <row r="109" spans="1:25" s="945" customFormat="1" ht="30.75" customHeight="1">
      <c r="A109" s="934">
        <v>17</v>
      </c>
      <c r="B109" s="979" t="s">
        <v>593</v>
      </c>
      <c r="C109" s="940">
        <f t="shared" si="10"/>
        <v>20707</v>
      </c>
      <c r="D109" s="940">
        <f t="shared" ref="D109:O109" si="16">SUM(D110:D112)</f>
        <v>50</v>
      </c>
      <c r="E109" s="940">
        <f t="shared" si="16"/>
        <v>0</v>
      </c>
      <c r="F109" s="940">
        <f t="shared" si="16"/>
        <v>0</v>
      </c>
      <c r="G109" s="940">
        <f t="shared" si="16"/>
        <v>0</v>
      </c>
      <c r="H109" s="940">
        <f t="shared" si="16"/>
        <v>0</v>
      </c>
      <c r="I109" s="940">
        <f t="shared" si="16"/>
        <v>0</v>
      </c>
      <c r="J109" s="940">
        <f t="shared" si="16"/>
        <v>0</v>
      </c>
      <c r="K109" s="940">
        <f t="shared" si="16"/>
        <v>0</v>
      </c>
      <c r="L109" s="940">
        <f t="shared" si="16"/>
        <v>0</v>
      </c>
      <c r="M109" s="940">
        <f t="shared" si="16"/>
        <v>2046</v>
      </c>
      <c r="N109" s="940">
        <f t="shared" si="16"/>
        <v>0</v>
      </c>
      <c r="O109" s="940">
        <f t="shared" si="16"/>
        <v>0</v>
      </c>
      <c r="P109" s="940">
        <f>SUM(P110:P112)</f>
        <v>18611</v>
      </c>
      <c r="Q109" s="940">
        <f>SUM(Q110:Q112)</f>
        <v>0</v>
      </c>
      <c r="R109" s="940">
        <f>SUM(R110:R112)</f>
        <v>0</v>
      </c>
      <c r="S109" s="942"/>
      <c r="T109" s="942"/>
      <c r="U109" s="942">
        <f>'[2]2019 (co TK)'!L43+'[2]2019 (co TK)'!L145</f>
        <v>20707</v>
      </c>
      <c r="V109" s="942">
        <f>U109-C109</f>
        <v>0</v>
      </c>
      <c r="W109" s="942"/>
      <c r="X109" s="943">
        <v>21412</v>
      </c>
      <c r="Y109" s="944">
        <f t="shared" si="12"/>
        <v>705</v>
      </c>
    </row>
    <row r="110" spans="1:25" s="945" customFormat="1" ht="30.75" customHeight="1">
      <c r="A110" s="934"/>
      <c r="B110" s="939" t="s">
        <v>594</v>
      </c>
      <c r="C110" s="940">
        <f t="shared" si="10"/>
        <v>17334</v>
      </c>
      <c r="D110" s="940">
        <f>'[2]2019 (co TK)'!AD146</f>
        <v>50</v>
      </c>
      <c r="E110" s="940">
        <v>0</v>
      </c>
      <c r="F110" s="940">
        <v>0</v>
      </c>
      <c r="G110" s="940">
        <v>0</v>
      </c>
      <c r="H110" s="940">
        <v>0</v>
      </c>
      <c r="I110" s="940">
        <v>0</v>
      </c>
      <c r="J110" s="940">
        <v>0</v>
      </c>
      <c r="K110" s="940">
        <v>0</v>
      </c>
      <c r="L110" s="940">
        <v>0</v>
      </c>
      <c r="M110" s="940">
        <v>0</v>
      </c>
      <c r="N110" s="940">
        <v>0</v>
      </c>
      <c r="O110" s="940">
        <v>0</v>
      </c>
      <c r="P110" s="940">
        <f>'[2]2019 (co TK)'!L146-'[2]2019 (co TK)'!AD146</f>
        <v>17284</v>
      </c>
      <c r="Q110" s="940">
        <v>0</v>
      </c>
      <c r="R110" s="940">
        <v>0</v>
      </c>
      <c r="S110" s="942"/>
      <c r="T110" s="942"/>
      <c r="U110" s="942"/>
      <c r="V110" s="942"/>
      <c r="W110" s="942"/>
      <c r="X110" s="945">
        <v>17683</v>
      </c>
      <c r="Y110" s="944">
        <f t="shared" si="12"/>
        <v>349</v>
      </c>
    </row>
    <row r="111" spans="1:25" s="945" customFormat="1" ht="30.75" customHeight="1">
      <c r="A111" s="934"/>
      <c r="B111" s="939" t="s">
        <v>595</v>
      </c>
      <c r="C111" s="940">
        <f t="shared" si="10"/>
        <v>1327</v>
      </c>
      <c r="D111" s="940">
        <f>'[2]2019 (co TK)'!AD147</f>
        <v>0</v>
      </c>
      <c r="E111" s="940">
        <v>0</v>
      </c>
      <c r="F111" s="940">
        <v>0</v>
      </c>
      <c r="G111" s="940">
        <v>0</v>
      </c>
      <c r="H111" s="940">
        <v>0</v>
      </c>
      <c r="I111" s="940">
        <v>0</v>
      </c>
      <c r="J111" s="940">
        <v>0</v>
      </c>
      <c r="K111" s="940">
        <v>0</v>
      </c>
      <c r="L111" s="940">
        <v>0</v>
      </c>
      <c r="M111" s="940">
        <v>0</v>
      </c>
      <c r="N111" s="940">
        <v>0</v>
      </c>
      <c r="O111" s="940">
        <v>0</v>
      </c>
      <c r="P111" s="940">
        <f>'[2]2019 (co TK)'!L147-'[2]2019 (co TK)'!AD147</f>
        <v>1327</v>
      </c>
      <c r="Q111" s="940">
        <v>0</v>
      </c>
      <c r="R111" s="940">
        <v>0</v>
      </c>
      <c r="S111" s="942"/>
      <c r="T111" s="942"/>
      <c r="U111" s="942"/>
      <c r="V111" s="942"/>
      <c r="W111" s="942"/>
      <c r="X111" s="945">
        <v>1422</v>
      </c>
      <c r="Y111" s="944">
        <f t="shared" si="12"/>
        <v>95</v>
      </c>
    </row>
    <row r="112" spans="1:25" s="945" customFormat="1" ht="30.75" customHeight="1">
      <c r="A112" s="934"/>
      <c r="B112" s="939" t="s">
        <v>767</v>
      </c>
      <c r="C112" s="940">
        <f t="shared" si="10"/>
        <v>2046</v>
      </c>
      <c r="D112" s="940">
        <f>'[2]2019 (co TK)'!AD43</f>
        <v>0</v>
      </c>
      <c r="E112" s="940">
        <v>0</v>
      </c>
      <c r="F112" s="940">
        <v>0</v>
      </c>
      <c r="G112" s="940">
        <v>0</v>
      </c>
      <c r="H112" s="940">
        <v>0</v>
      </c>
      <c r="I112" s="940">
        <v>0</v>
      </c>
      <c r="J112" s="940">
        <v>0</v>
      </c>
      <c r="K112" s="940">
        <v>0</v>
      </c>
      <c r="L112" s="940">
        <v>0</v>
      </c>
      <c r="M112" s="940">
        <f>'[2]2019 (co TK)'!L43-'[2]2019 (co TK)'!AD43</f>
        <v>2046</v>
      </c>
      <c r="N112" s="940">
        <v>0</v>
      </c>
      <c r="O112" s="940">
        <v>0</v>
      </c>
      <c r="P112" s="940">
        <v>0</v>
      </c>
      <c r="Q112" s="940">
        <v>0</v>
      </c>
      <c r="R112" s="940"/>
      <c r="S112" s="942"/>
      <c r="T112" s="942"/>
      <c r="U112" s="942"/>
      <c r="V112" s="942"/>
      <c r="W112" s="942"/>
      <c r="X112" s="945">
        <v>2307</v>
      </c>
      <c r="Y112" s="944">
        <f t="shared" si="12"/>
        <v>261</v>
      </c>
    </row>
    <row r="113" spans="1:25" s="945" customFormat="1" ht="30.75" customHeight="1">
      <c r="A113" s="934">
        <v>18</v>
      </c>
      <c r="B113" s="939" t="s">
        <v>596</v>
      </c>
      <c r="C113" s="940">
        <f t="shared" si="10"/>
        <v>11376</v>
      </c>
      <c r="D113" s="940">
        <f>'[2]2019 (co TK)'!AD148</f>
        <v>90</v>
      </c>
      <c r="E113" s="940">
        <v>0</v>
      </c>
      <c r="F113" s="940">
        <v>0</v>
      </c>
      <c r="G113" s="940">
        <v>0</v>
      </c>
      <c r="H113" s="940">
        <v>0</v>
      </c>
      <c r="I113" s="940">
        <v>0</v>
      </c>
      <c r="J113" s="940">
        <v>0</v>
      </c>
      <c r="K113" s="940">
        <v>0</v>
      </c>
      <c r="L113" s="940">
        <v>0</v>
      </c>
      <c r="M113" s="940">
        <v>0</v>
      </c>
      <c r="N113" s="940">
        <v>0</v>
      </c>
      <c r="O113" s="940">
        <v>0</v>
      </c>
      <c r="P113" s="940">
        <f>'[2]2019 (co TK)'!L148-'[2]2019 (co TK)'!AD148</f>
        <v>11286</v>
      </c>
      <c r="Q113" s="940">
        <v>0</v>
      </c>
      <c r="R113" s="940">
        <v>0</v>
      </c>
      <c r="S113" s="942"/>
      <c r="T113" s="942"/>
      <c r="U113" s="942">
        <f>'[2]2019 (co TK)'!L148</f>
        <v>11376</v>
      </c>
      <c r="V113" s="942">
        <f>U113-C113</f>
        <v>0</v>
      </c>
      <c r="W113" s="942"/>
      <c r="X113" s="943">
        <v>11830</v>
      </c>
      <c r="Y113" s="944">
        <f t="shared" si="12"/>
        <v>454</v>
      </c>
    </row>
    <row r="114" spans="1:25" s="945" customFormat="1" ht="31.5" customHeight="1">
      <c r="A114" s="934">
        <v>19</v>
      </c>
      <c r="B114" s="939" t="s">
        <v>597</v>
      </c>
      <c r="C114" s="940">
        <f t="shared" si="10"/>
        <v>10480</v>
      </c>
      <c r="D114" s="940">
        <f>D115+D116</f>
        <v>435</v>
      </c>
      <c r="E114" s="940">
        <f t="shared" ref="E114:R114" si="17">E115+E116</f>
        <v>0</v>
      </c>
      <c r="F114" s="940">
        <f t="shared" si="17"/>
        <v>0</v>
      </c>
      <c r="G114" s="940">
        <f t="shared" si="17"/>
        <v>0</v>
      </c>
      <c r="H114" s="940">
        <f t="shared" si="17"/>
        <v>0</v>
      </c>
      <c r="I114" s="940">
        <f t="shared" si="17"/>
        <v>0</v>
      </c>
      <c r="J114" s="940">
        <f t="shared" si="17"/>
        <v>0</v>
      </c>
      <c r="K114" s="940">
        <f t="shared" si="17"/>
        <v>0</v>
      </c>
      <c r="L114" s="940">
        <f t="shared" si="17"/>
        <v>0</v>
      </c>
      <c r="M114" s="940">
        <f t="shared" si="17"/>
        <v>0</v>
      </c>
      <c r="N114" s="940">
        <f t="shared" si="17"/>
        <v>0</v>
      </c>
      <c r="O114" s="940">
        <f t="shared" si="17"/>
        <v>0</v>
      </c>
      <c r="P114" s="940">
        <f t="shared" si="17"/>
        <v>8234</v>
      </c>
      <c r="Q114" s="940">
        <f t="shared" si="17"/>
        <v>0</v>
      </c>
      <c r="R114" s="940">
        <f t="shared" si="17"/>
        <v>1811</v>
      </c>
      <c r="S114" s="942"/>
      <c r="T114" s="942"/>
      <c r="U114" s="942">
        <f>'[2]2019 (co TK)'!L149+'[2]2019 (co TK)'!L225</f>
        <v>10480</v>
      </c>
      <c r="V114" s="942">
        <f>U114-C114</f>
        <v>0</v>
      </c>
      <c r="W114" s="942"/>
      <c r="X114" s="943">
        <v>8034</v>
      </c>
      <c r="Y114" s="944">
        <f t="shared" si="12"/>
        <v>-2446</v>
      </c>
    </row>
    <row r="115" spans="1:25" s="945" customFormat="1" ht="31.5" customHeight="1">
      <c r="A115" s="934"/>
      <c r="B115" s="939" t="s">
        <v>768</v>
      </c>
      <c r="C115" s="940">
        <f t="shared" si="10"/>
        <v>8480</v>
      </c>
      <c r="D115" s="940">
        <f>'[2]2019 (co TK)'!AD149</f>
        <v>246</v>
      </c>
      <c r="E115" s="940"/>
      <c r="F115" s="940"/>
      <c r="G115" s="940"/>
      <c r="H115" s="940"/>
      <c r="I115" s="940"/>
      <c r="J115" s="940"/>
      <c r="K115" s="940"/>
      <c r="L115" s="940"/>
      <c r="M115" s="940"/>
      <c r="N115" s="940"/>
      <c r="O115" s="940"/>
      <c r="P115" s="940">
        <f>'[2]2019 (co TK)'!L149-'[2]2019 (co TK)'!AD149</f>
        <v>8234</v>
      </c>
      <c r="Q115" s="940"/>
      <c r="R115" s="940"/>
      <c r="S115" s="942"/>
      <c r="T115" s="942"/>
      <c r="U115" s="942"/>
      <c r="V115" s="942"/>
      <c r="W115" s="942"/>
      <c r="X115" s="945">
        <v>7134</v>
      </c>
      <c r="Y115" s="944">
        <f t="shared" si="12"/>
        <v>-1346</v>
      </c>
    </row>
    <row r="116" spans="1:25" s="945" customFormat="1" ht="31.5" customHeight="1">
      <c r="A116" s="934"/>
      <c r="B116" s="939" t="s">
        <v>769</v>
      </c>
      <c r="C116" s="940">
        <f t="shared" si="10"/>
        <v>2000</v>
      </c>
      <c r="D116" s="940">
        <f>'[2]2019 (co TK)'!AD225</f>
        <v>189</v>
      </c>
      <c r="E116" s="940"/>
      <c r="F116" s="940"/>
      <c r="G116" s="940"/>
      <c r="H116" s="940"/>
      <c r="I116" s="940"/>
      <c r="J116" s="940"/>
      <c r="K116" s="940"/>
      <c r="L116" s="940"/>
      <c r="M116" s="940"/>
      <c r="N116" s="940"/>
      <c r="O116" s="940"/>
      <c r="P116" s="940"/>
      <c r="Q116" s="940"/>
      <c r="R116" s="940">
        <f>'[2]2019 (co TK)'!L225-'[2]2019 (co TK)'!AD225</f>
        <v>1811</v>
      </c>
      <c r="S116" s="942"/>
      <c r="T116" s="942"/>
      <c r="U116" s="942"/>
      <c r="V116" s="942"/>
      <c r="W116" s="942"/>
      <c r="X116" s="945">
        <v>900</v>
      </c>
      <c r="Y116" s="944">
        <f t="shared" si="12"/>
        <v>-1100</v>
      </c>
    </row>
    <row r="117" spans="1:25" s="945" customFormat="1" ht="31.5" customHeight="1">
      <c r="A117" s="934">
        <v>20</v>
      </c>
      <c r="B117" s="979" t="s">
        <v>598</v>
      </c>
      <c r="C117" s="940">
        <f>SUM(D117:M117,P117:R117)</f>
        <v>30144</v>
      </c>
      <c r="D117" s="940">
        <f>D118+D119+D120+D122+D123</f>
        <v>5589</v>
      </c>
      <c r="E117" s="940">
        <f t="shared" ref="E117:R117" si="18">E118+E119+E120+E122+E123</f>
        <v>0</v>
      </c>
      <c r="F117" s="940">
        <f t="shared" si="18"/>
        <v>0</v>
      </c>
      <c r="G117" s="940">
        <f t="shared" si="18"/>
        <v>0</v>
      </c>
      <c r="H117" s="940">
        <f t="shared" si="18"/>
        <v>0</v>
      </c>
      <c r="I117" s="940">
        <f t="shared" si="18"/>
        <v>0</v>
      </c>
      <c r="J117" s="940">
        <f t="shared" si="18"/>
        <v>0</v>
      </c>
      <c r="K117" s="940">
        <f t="shared" si="18"/>
        <v>0</v>
      </c>
      <c r="L117" s="940">
        <f t="shared" si="18"/>
        <v>0</v>
      </c>
      <c r="M117" s="940">
        <f t="shared" si="18"/>
        <v>0</v>
      </c>
      <c r="N117" s="940">
        <f t="shared" si="18"/>
        <v>0</v>
      </c>
      <c r="O117" s="940">
        <f t="shared" si="18"/>
        <v>0</v>
      </c>
      <c r="P117" s="940">
        <f>P118+P119+P120+P122+P123+P121</f>
        <v>24555</v>
      </c>
      <c r="Q117" s="940">
        <f t="shared" si="18"/>
        <v>0</v>
      </c>
      <c r="R117" s="940">
        <f t="shared" si="18"/>
        <v>0</v>
      </c>
      <c r="S117" s="942"/>
      <c r="T117" s="942"/>
      <c r="U117" s="942">
        <f>'[2]2019 (co TK)'!L150</f>
        <v>30144</v>
      </c>
      <c r="V117" s="942">
        <f>U117-C117</f>
        <v>0</v>
      </c>
      <c r="W117" s="942"/>
      <c r="X117" s="943">
        <v>27012</v>
      </c>
      <c r="Y117" s="944">
        <f t="shared" si="12"/>
        <v>-3132</v>
      </c>
    </row>
    <row r="118" spans="1:25" s="945" customFormat="1" ht="31.5" customHeight="1">
      <c r="A118" s="934"/>
      <c r="B118" s="939" t="s">
        <v>599</v>
      </c>
      <c r="C118" s="940">
        <f>SUM(D118:M118,P118:R118)</f>
        <v>10636</v>
      </c>
      <c r="D118" s="940">
        <f>'[2]2019 (co TK)'!AD151</f>
        <v>5000</v>
      </c>
      <c r="E118" s="940">
        <v>0</v>
      </c>
      <c r="F118" s="940">
        <v>0</v>
      </c>
      <c r="G118" s="940">
        <v>0</v>
      </c>
      <c r="H118" s="940">
        <v>0</v>
      </c>
      <c r="I118" s="940">
        <v>0</v>
      </c>
      <c r="J118" s="940">
        <v>0</v>
      </c>
      <c r="K118" s="940">
        <v>0</v>
      </c>
      <c r="L118" s="940">
        <v>0</v>
      </c>
      <c r="M118" s="940">
        <v>0</v>
      </c>
      <c r="N118" s="940">
        <v>0</v>
      </c>
      <c r="O118" s="940">
        <v>0</v>
      </c>
      <c r="P118" s="940">
        <f>'[2]2019 (co TK)'!L151-'[2]2019 (co TK)'!AD151</f>
        <v>5636</v>
      </c>
      <c r="Q118" s="940">
        <v>0</v>
      </c>
      <c r="R118" s="940">
        <v>0</v>
      </c>
      <c r="S118" s="942"/>
      <c r="T118" s="942"/>
      <c r="U118" s="942"/>
      <c r="V118" s="942"/>
      <c r="W118" s="942"/>
      <c r="X118" s="945">
        <v>10679</v>
      </c>
      <c r="Y118" s="944">
        <f t="shared" si="12"/>
        <v>43</v>
      </c>
    </row>
    <row r="119" spans="1:25" s="945" customFormat="1" ht="31.5" customHeight="1">
      <c r="A119" s="934"/>
      <c r="B119" s="939" t="s">
        <v>600</v>
      </c>
      <c r="C119" s="940">
        <f t="shared" si="10"/>
        <v>10995</v>
      </c>
      <c r="D119" s="940">
        <f>'[2]2019 (co TK)'!AD152</f>
        <v>20</v>
      </c>
      <c r="E119" s="940">
        <v>0</v>
      </c>
      <c r="F119" s="940">
        <v>0</v>
      </c>
      <c r="G119" s="940">
        <v>0</v>
      </c>
      <c r="H119" s="940">
        <v>0</v>
      </c>
      <c r="I119" s="940">
        <v>0</v>
      </c>
      <c r="J119" s="940">
        <v>0</v>
      </c>
      <c r="K119" s="940">
        <v>0</v>
      </c>
      <c r="L119" s="940">
        <v>0</v>
      </c>
      <c r="M119" s="940">
        <v>0</v>
      </c>
      <c r="N119" s="940">
        <v>0</v>
      </c>
      <c r="O119" s="940">
        <v>0</v>
      </c>
      <c r="P119" s="940">
        <f>'[2]2019 (co TK)'!L152-'[2]2019 (co TK)'!AD152</f>
        <v>10975</v>
      </c>
      <c r="Q119" s="940">
        <v>0</v>
      </c>
      <c r="R119" s="940">
        <v>0</v>
      </c>
      <c r="S119" s="942"/>
      <c r="T119" s="942"/>
      <c r="U119" s="942"/>
      <c r="V119" s="942"/>
      <c r="W119" s="942"/>
      <c r="X119" s="945">
        <v>10804</v>
      </c>
      <c r="Y119" s="944">
        <f t="shared" si="12"/>
        <v>-191</v>
      </c>
    </row>
    <row r="120" spans="1:25" s="945" customFormat="1" ht="31.5" customHeight="1">
      <c r="A120" s="934"/>
      <c r="B120" s="939" t="s">
        <v>601</v>
      </c>
      <c r="C120" s="940">
        <f t="shared" si="10"/>
        <v>4558</v>
      </c>
      <c r="D120" s="940">
        <f>'[2]2019 (co TK)'!AD153</f>
        <v>569</v>
      </c>
      <c r="E120" s="940">
        <v>0</v>
      </c>
      <c r="F120" s="940">
        <v>0</v>
      </c>
      <c r="G120" s="940">
        <v>0</v>
      </c>
      <c r="H120" s="940">
        <v>0</v>
      </c>
      <c r="I120" s="940">
        <v>0</v>
      </c>
      <c r="J120" s="940">
        <v>0</v>
      </c>
      <c r="K120" s="940">
        <v>0</v>
      </c>
      <c r="L120" s="940">
        <v>0</v>
      </c>
      <c r="M120" s="940">
        <v>0</v>
      </c>
      <c r="N120" s="940">
        <v>0</v>
      </c>
      <c r="O120" s="940">
        <v>0</v>
      </c>
      <c r="P120" s="940">
        <f>'[2]2019 (co TK)'!L153-'[2]2019 (co TK)'!AD153</f>
        <v>3989</v>
      </c>
      <c r="Q120" s="940">
        <v>0</v>
      </c>
      <c r="R120" s="940">
        <v>0</v>
      </c>
      <c r="S120" s="942"/>
      <c r="T120" s="942"/>
      <c r="U120" s="942"/>
      <c r="V120" s="942"/>
      <c r="W120" s="942"/>
      <c r="X120" s="945">
        <v>3521</v>
      </c>
      <c r="Y120" s="944">
        <f t="shared" si="12"/>
        <v>-1037</v>
      </c>
    </row>
    <row r="121" spans="1:25" s="945" customFormat="1" ht="31.5" customHeight="1">
      <c r="A121" s="934"/>
      <c r="B121" s="939" t="s">
        <v>602</v>
      </c>
      <c r="C121" s="940">
        <f t="shared" si="10"/>
        <v>1715</v>
      </c>
      <c r="D121" s="940"/>
      <c r="E121" s="940"/>
      <c r="F121" s="940"/>
      <c r="G121" s="940"/>
      <c r="H121" s="940"/>
      <c r="I121" s="940"/>
      <c r="J121" s="940"/>
      <c r="K121" s="940"/>
      <c r="L121" s="940"/>
      <c r="M121" s="940"/>
      <c r="N121" s="940"/>
      <c r="O121" s="940"/>
      <c r="P121" s="940">
        <f>'[2]2019 (co TK)'!L154-'[2]2019 (co TK)'!AD154</f>
        <v>1715</v>
      </c>
      <c r="Q121" s="940"/>
      <c r="R121" s="940"/>
      <c r="S121" s="942"/>
      <c r="T121" s="942"/>
      <c r="U121" s="942"/>
      <c r="V121" s="942"/>
      <c r="W121" s="942"/>
      <c r="Y121" s="944"/>
    </row>
    <row r="122" spans="1:25" s="945" customFormat="1" ht="31.5" customHeight="1">
      <c r="A122" s="934"/>
      <c r="B122" s="939" t="s">
        <v>603</v>
      </c>
      <c r="C122" s="940">
        <f t="shared" si="10"/>
        <v>1258</v>
      </c>
      <c r="D122" s="940">
        <f>'[2]2019 (co TK)'!AD155</f>
        <v>0</v>
      </c>
      <c r="E122" s="940">
        <v>0</v>
      </c>
      <c r="F122" s="940">
        <v>0</v>
      </c>
      <c r="G122" s="940">
        <v>0</v>
      </c>
      <c r="H122" s="940">
        <v>0</v>
      </c>
      <c r="I122" s="940">
        <v>0</v>
      </c>
      <c r="J122" s="940">
        <v>0</v>
      </c>
      <c r="K122" s="940">
        <v>0</v>
      </c>
      <c r="L122" s="940">
        <v>0</v>
      </c>
      <c r="M122" s="940">
        <v>0</v>
      </c>
      <c r="N122" s="940">
        <v>0</v>
      </c>
      <c r="O122" s="940">
        <v>0</v>
      </c>
      <c r="P122" s="940">
        <f>'[2]2019 (co TK)'!L155-'[2]2019 (co TK)'!AD155</f>
        <v>1258</v>
      </c>
      <c r="Q122" s="940">
        <v>0</v>
      </c>
      <c r="R122" s="940">
        <v>0</v>
      </c>
      <c r="S122" s="942"/>
      <c r="T122" s="942"/>
      <c r="U122" s="942"/>
      <c r="V122" s="942"/>
      <c r="W122" s="942"/>
      <c r="X122" s="945">
        <v>998</v>
      </c>
      <c r="Y122" s="944">
        <f t="shared" si="12"/>
        <v>-260</v>
      </c>
    </row>
    <row r="123" spans="1:25" s="945" customFormat="1" ht="31.5" customHeight="1">
      <c r="A123" s="934"/>
      <c r="B123" s="939" t="s">
        <v>604</v>
      </c>
      <c r="C123" s="940">
        <f t="shared" si="10"/>
        <v>982</v>
      </c>
      <c r="D123" s="940">
        <f>'[2]2019 (co TK)'!AD156</f>
        <v>0</v>
      </c>
      <c r="E123" s="940">
        <v>0</v>
      </c>
      <c r="F123" s="940">
        <v>0</v>
      </c>
      <c r="G123" s="940">
        <v>0</v>
      </c>
      <c r="H123" s="940">
        <v>0</v>
      </c>
      <c r="I123" s="940">
        <v>0</v>
      </c>
      <c r="J123" s="940">
        <v>0</v>
      </c>
      <c r="K123" s="940">
        <v>0</v>
      </c>
      <c r="L123" s="940">
        <v>0</v>
      </c>
      <c r="M123" s="940">
        <v>0</v>
      </c>
      <c r="N123" s="940">
        <v>0</v>
      </c>
      <c r="O123" s="940">
        <v>0</v>
      </c>
      <c r="P123" s="940">
        <f>'[2]2019 (co TK)'!L156-'[2]2019 (co TK)'!AD156</f>
        <v>982</v>
      </c>
      <c r="Q123" s="940">
        <v>0</v>
      </c>
      <c r="R123" s="940">
        <v>0</v>
      </c>
      <c r="S123" s="942"/>
      <c r="T123" s="942"/>
      <c r="U123" s="942"/>
      <c r="V123" s="942"/>
      <c r="W123" s="942"/>
      <c r="X123" s="945">
        <v>1010</v>
      </c>
      <c r="Y123" s="944">
        <f t="shared" si="12"/>
        <v>28</v>
      </c>
    </row>
    <row r="124" spans="1:25" s="945" customFormat="1" ht="31.5" customHeight="1">
      <c r="A124" s="934">
        <v>21</v>
      </c>
      <c r="B124" s="979" t="s">
        <v>605</v>
      </c>
      <c r="C124" s="940">
        <f t="shared" si="10"/>
        <v>9867</v>
      </c>
      <c r="D124" s="940">
        <f t="shared" ref="D124:O124" si="19">SUM(D125:D127)</f>
        <v>279</v>
      </c>
      <c r="E124" s="940">
        <f t="shared" si="19"/>
        <v>0</v>
      </c>
      <c r="F124" s="940">
        <f t="shared" si="19"/>
        <v>0</v>
      </c>
      <c r="G124" s="940">
        <f t="shared" si="19"/>
        <v>0</v>
      </c>
      <c r="H124" s="940">
        <f t="shared" si="19"/>
        <v>0</v>
      </c>
      <c r="I124" s="940">
        <f t="shared" si="19"/>
        <v>0</v>
      </c>
      <c r="J124" s="940">
        <f t="shared" si="19"/>
        <v>0</v>
      </c>
      <c r="K124" s="940">
        <f t="shared" si="19"/>
        <v>0</v>
      </c>
      <c r="L124" s="940">
        <f t="shared" si="19"/>
        <v>0</v>
      </c>
      <c r="M124" s="940">
        <f t="shared" si="19"/>
        <v>3411</v>
      </c>
      <c r="N124" s="940">
        <f t="shared" si="19"/>
        <v>0</v>
      </c>
      <c r="O124" s="940">
        <f t="shared" si="19"/>
        <v>0</v>
      </c>
      <c r="P124" s="940">
        <f>SUM(P125:P127)</f>
        <v>6177</v>
      </c>
      <c r="Q124" s="940">
        <f>SUM(Q125:Q127)</f>
        <v>0</v>
      </c>
      <c r="R124" s="940">
        <f>SUM(R125:R127)</f>
        <v>0</v>
      </c>
      <c r="S124" s="942"/>
      <c r="T124" s="942"/>
      <c r="U124" s="942">
        <f>'[2]2019 (co TK)'!L44+'[2]2019 (co TK)'!L45+'[2]2019 (co TK)'!L157</f>
        <v>9867</v>
      </c>
      <c r="V124" s="942">
        <f>U124-C124</f>
        <v>0</v>
      </c>
      <c r="W124" s="942"/>
      <c r="X124" s="943">
        <v>9714</v>
      </c>
      <c r="Y124" s="944">
        <f t="shared" si="12"/>
        <v>-153</v>
      </c>
    </row>
    <row r="125" spans="1:25" s="945" customFormat="1" ht="31.5" customHeight="1">
      <c r="A125" s="934"/>
      <c r="B125" s="979" t="s">
        <v>770</v>
      </c>
      <c r="C125" s="940">
        <f t="shared" si="10"/>
        <v>6456</v>
      </c>
      <c r="D125" s="940">
        <f>'[2]2019 (co TK)'!AD157</f>
        <v>279</v>
      </c>
      <c r="E125" s="940">
        <v>0</v>
      </c>
      <c r="F125" s="940">
        <v>0</v>
      </c>
      <c r="G125" s="940">
        <v>0</v>
      </c>
      <c r="H125" s="940">
        <v>0</v>
      </c>
      <c r="I125" s="940">
        <v>0</v>
      </c>
      <c r="J125" s="940">
        <v>0</v>
      </c>
      <c r="K125" s="940">
        <v>0</v>
      </c>
      <c r="L125" s="940">
        <v>0</v>
      </c>
      <c r="M125" s="940">
        <v>0</v>
      </c>
      <c r="N125" s="940">
        <v>0</v>
      </c>
      <c r="O125" s="940">
        <v>0</v>
      </c>
      <c r="P125" s="940">
        <f>'[2]2019 (co TK)'!L157-'[2]2019 (co TK)'!AD157</f>
        <v>6177</v>
      </c>
      <c r="Q125" s="940">
        <v>0</v>
      </c>
      <c r="R125" s="940">
        <v>0</v>
      </c>
      <c r="S125" s="942"/>
      <c r="T125" s="942"/>
      <c r="U125" s="942"/>
      <c r="V125" s="942"/>
      <c r="W125" s="942"/>
      <c r="X125" s="945">
        <v>6065</v>
      </c>
      <c r="Y125" s="944">
        <f t="shared" si="12"/>
        <v>-391</v>
      </c>
    </row>
    <row r="126" spans="1:25" s="945" customFormat="1" ht="42" customHeight="1">
      <c r="A126" s="934"/>
      <c r="B126" s="939" t="s">
        <v>771</v>
      </c>
      <c r="C126" s="940">
        <f t="shared" si="10"/>
        <v>3411</v>
      </c>
      <c r="D126" s="940">
        <f>'[2]2019 (co TK)'!AD44</f>
        <v>0</v>
      </c>
      <c r="E126" s="940">
        <v>0</v>
      </c>
      <c r="F126" s="940">
        <v>0</v>
      </c>
      <c r="G126" s="940">
        <v>0</v>
      </c>
      <c r="H126" s="940">
        <v>0</v>
      </c>
      <c r="I126" s="940">
        <v>0</v>
      </c>
      <c r="J126" s="940">
        <v>0</v>
      </c>
      <c r="K126" s="940">
        <v>0</v>
      </c>
      <c r="L126" s="940">
        <v>0</v>
      </c>
      <c r="M126" s="940">
        <f>'[2]2019 (co TK)'!L44-'[2]2019 (co TK)'!AD44</f>
        <v>3411</v>
      </c>
      <c r="N126" s="940">
        <v>0</v>
      </c>
      <c r="O126" s="940">
        <v>0</v>
      </c>
      <c r="P126" s="940">
        <v>0</v>
      </c>
      <c r="Q126" s="940">
        <v>0</v>
      </c>
      <c r="R126" s="940">
        <v>0</v>
      </c>
      <c r="S126" s="942"/>
      <c r="T126" s="942"/>
      <c r="U126" s="942"/>
      <c r="V126" s="942"/>
      <c r="W126" s="942"/>
      <c r="X126" s="945">
        <v>1171</v>
      </c>
      <c r="Y126" s="944">
        <f t="shared" si="12"/>
        <v>-2240</v>
      </c>
    </row>
    <row r="127" spans="1:25" s="945" customFormat="1" ht="31.5" hidden="1" customHeight="1">
      <c r="A127" s="934"/>
      <c r="B127" s="939" t="s">
        <v>772</v>
      </c>
      <c r="C127" s="940">
        <f t="shared" si="10"/>
        <v>0</v>
      </c>
      <c r="D127" s="940">
        <f>'[2]2019 (co TK)'!AD45</f>
        <v>0</v>
      </c>
      <c r="E127" s="940">
        <v>0</v>
      </c>
      <c r="F127" s="940">
        <v>0</v>
      </c>
      <c r="G127" s="940">
        <v>0</v>
      </c>
      <c r="H127" s="940">
        <v>0</v>
      </c>
      <c r="I127" s="940">
        <v>0</v>
      </c>
      <c r="J127" s="940">
        <v>0</v>
      </c>
      <c r="K127" s="940">
        <v>0</v>
      </c>
      <c r="L127" s="940">
        <v>0</v>
      </c>
      <c r="M127" s="940">
        <f>'[2]2019 (co TK)'!L45-'[2]2019 (co TK)'!AD45</f>
        <v>0</v>
      </c>
      <c r="N127" s="940">
        <v>0</v>
      </c>
      <c r="O127" s="940">
        <v>0</v>
      </c>
      <c r="P127" s="940">
        <v>0</v>
      </c>
      <c r="Q127" s="940">
        <v>0</v>
      </c>
      <c r="R127" s="940">
        <v>0</v>
      </c>
      <c r="S127" s="942"/>
      <c r="T127" s="942"/>
      <c r="U127" s="942"/>
      <c r="V127" s="942"/>
      <c r="W127" s="942"/>
      <c r="X127" s="945">
        <v>2478</v>
      </c>
      <c r="Y127" s="944">
        <f t="shared" si="12"/>
        <v>2478</v>
      </c>
    </row>
    <row r="128" spans="1:25" s="945" customFormat="1" ht="31.5" customHeight="1">
      <c r="A128" s="934">
        <v>22</v>
      </c>
      <c r="B128" s="939" t="s">
        <v>606</v>
      </c>
      <c r="C128" s="940">
        <f>SUM(D128:M128,P128:R128)</f>
        <v>9109</v>
      </c>
      <c r="D128" s="940">
        <f>D129+D130</f>
        <v>800</v>
      </c>
      <c r="E128" s="940">
        <f t="shared" ref="E128:R128" si="20">E129+E130</f>
        <v>0</v>
      </c>
      <c r="F128" s="940">
        <f t="shared" si="20"/>
        <v>0</v>
      </c>
      <c r="G128" s="940">
        <f t="shared" si="20"/>
        <v>0</v>
      </c>
      <c r="H128" s="940">
        <f t="shared" si="20"/>
        <v>0</v>
      </c>
      <c r="I128" s="940">
        <f t="shared" si="20"/>
        <v>0</v>
      </c>
      <c r="J128" s="940">
        <f t="shared" si="20"/>
        <v>0</v>
      </c>
      <c r="K128" s="940">
        <f t="shared" si="20"/>
        <v>0</v>
      </c>
      <c r="L128" s="940">
        <f t="shared" si="20"/>
        <v>0</v>
      </c>
      <c r="M128" s="940">
        <f t="shared" si="20"/>
        <v>0</v>
      </c>
      <c r="N128" s="940">
        <f t="shared" si="20"/>
        <v>0</v>
      </c>
      <c r="O128" s="940">
        <f t="shared" si="20"/>
        <v>0</v>
      </c>
      <c r="P128" s="940">
        <f t="shared" si="20"/>
        <v>7909</v>
      </c>
      <c r="Q128" s="940">
        <f t="shared" si="20"/>
        <v>0</v>
      </c>
      <c r="R128" s="940">
        <f t="shared" si="20"/>
        <v>400</v>
      </c>
      <c r="S128" s="942"/>
      <c r="T128" s="942"/>
      <c r="U128" s="942">
        <f>'[2]2019 (co TK)'!L158+'[2]2019 (co TK)'!L226</f>
        <v>9109</v>
      </c>
      <c r="V128" s="942">
        <f>U128-C128</f>
        <v>0</v>
      </c>
      <c r="W128" s="942"/>
      <c r="X128" s="943">
        <v>10433</v>
      </c>
      <c r="Y128" s="944">
        <f t="shared" si="12"/>
        <v>1324</v>
      </c>
    </row>
    <row r="129" spans="1:25" s="945" customFormat="1" ht="31.5" customHeight="1">
      <c r="A129" s="934"/>
      <c r="B129" s="939" t="s">
        <v>773</v>
      </c>
      <c r="C129" s="940">
        <f>SUM(D129:M129,P129:R129)</f>
        <v>8709</v>
      </c>
      <c r="D129" s="940">
        <f>'[2]2019 (co TK)'!AD158</f>
        <v>800</v>
      </c>
      <c r="E129" s="940">
        <v>0</v>
      </c>
      <c r="F129" s="940">
        <v>0</v>
      </c>
      <c r="G129" s="940">
        <v>0</v>
      </c>
      <c r="H129" s="940">
        <v>0</v>
      </c>
      <c r="I129" s="940">
        <v>0</v>
      </c>
      <c r="J129" s="940">
        <v>0</v>
      </c>
      <c r="K129" s="940">
        <v>0</v>
      </c>
      <c r="L129" s="940">
        <v>0</v>
      </c>
      <c r="M129" s="940">
        <v>0</v>
      </c>
      <c r="N129" s="940">
        <v>0</v>
      </c>
      <c r="O129" s="940">
        <v>0</v>
      </c>
      <c r="P129" s="940">
        <f>'[2]2019 (co TK)'!L158-'[2]2019 (co TK)'!AD158</f>
        <v>7909</v>
      </c>
      <c r="Q129" s="940">
        <v>0</v>
      </c>
      <c r="R129" s="940">
        <v>0</v>
      </c>
      <c r="S129" s="942"/>
      <c r="T129" s="942"/>
      <c r="U129" s="942"/>
      <c r="V129" s="942"/>
      <c r="W129" s="942"/>
      <c r="X129" s="945">
        <v>10033</v>
      </c>
      <c r="Y129" s="944">
        <f t="shared" si="12"/>
        <v>1324</v>
      </c>
    </row>
    <row r="130" spans="1:25" s="945" customFormat="1" ht="31.5" customHeight="1">
      <c r="A130" s="934"/>
      <c r="B130" s="939" t="s">
        <v>769</v>
      </c>
      <c r="C130" s="940">
        <f>SUM(D130:M130,P130:R130)</f>
        <v>400</v>
      </c>
      <c r="D130" s="940">
        <f>'[2]2019 (co TK)'!AD226</f>
        <v>0</v>
      </c>
      <c r="E130" s="940">
        <v>0</v>
      </c>
      <c r="F130" s="940">
        <v>0</v>
      </c>
      <c r="G130" s="940">
        <v>0</v>
      </c>
      <c r="H130" s="940">
        <v>0</v>
      </c>
      <c r="I130" s="940">
        <v>0</v>
      </c>
      <c r="J130" s="940">
        <v>0</v>
      </c>
      <c r="K130" s="940">
        <v>0</v>
      </c>
      <c r="L130" s="940">
        <v>0</v>
      </c>
      <c r="M130" s="940">
        <v>0</v>
      </c>
      <c r="N130" s="940">
        <v>0</v>
      </c>
      <c r="O130" s="940">
        <v>0</v>
      </c>
      <c r="P130" s="940">
        <v>0</v>
      </c>
      <c r="Q130" s="940">
        <v>0</v>
      </c>
      <c r="R130" s="940">
        <f>'[2]2019 (co TK)'!L226-'[2]2019 (co TK)'!AD226</f>
        <v>400</v>
      </c>
      <c r="S130" s="942"/>
      <c r="T130" s="942"/>
      <c r="U130" s="942"/>
      <c r="V130" s="942"/>
      <c r="W130" s="942"/>
      <c r="X130" s="945">
        <v>400</v>
      </c>
      <c r="Y130" s="944">
        <f t="shared" si="12"/>
        <v>0</v>
      </c>
    </row>
    <row r="131" spans="1:25" s="945" customFormat="1" ht="31.5" customHeight="1">
      <c r="A131" s="934">
        <v>23</v>
      </c>
      <c r="B131" s="939" t="s">
        <v>607</v>
      </c>
      <c r="C131" s="940">
        <f t="shared" si="10"/>
        <v>9273</v>
      </c>
      <c r="D131" s="940">
        <f>SUM(D132:D134)</f>
        <v>100</v>
      </c>
      <c r="E131" s="940">
        <f t="shared" ref="E131:Q131" si="21">SUM(E132:E134)</f>
        <v>0</v>
      </c>
      <c r="F131" s="940">
        <f t="shared" si="21"/>
        <v>0</v>
      </c>
      <c r="G131" s="940">
        <f t="shared" si="21"/>
        <v>0</v>
      </c>
      <c r="H131" s="940">
        <f t="shared" si="21"/>
        <v>0</v>
      </c>
      <c r="I131" s="940">
        <f t="shared" si="21"/>
        <v>0</v>
      </c>
      <c r="J131" s="940">
        <f t="shared" si="21"/>
        <v>0</v>
      </c>
      <c r="K131" s="940">
        <f t="shared" si="21"/>
        <v>0</v>
      </c>
      <c r="L131" s="940">
        <f t="shared" si="21"/>
        <v>0</v>
      </c>
      <c r="M131" s="940">
        <f>SUM(M132:M134)</f>
        <v>2839</v>
      </c>
      <c r="N131" s="940">
        <f t="shared" si="21"/>
        <v>0</v>
      </c>
      <c r="O131" s="940">
        <f t="shared" si="21"/>
        <v>0</v>
      </c>
      <c r="P131" s="940">
        <f t="shared" si="21"/>
        <v>6334</v>
      </c>
      <c r="Q131" s="940">
        <f t="shared" si="21"/>
        <v>0</v>
      </c>
      <c r="R131" s="940">
        <f>SUM(R132:R134)</f>
        <v>0</v>
      </c>
      <c r="S131" s="942"/>
      <c r="T131" s="942"/>
      <c r="U131" s="942">
        <f>'[2]2019 (co TK)'!L49+'[2]2019 (co TK)'!L159+'[2]2019 (co TK)'!L207</f>
        <v>9273</v>
      </c>
      <c r="V131" s="942">
        <f>U131-C131</f>
        <v>0</v>
      </c>
      <c r="W131" s="942"/>
      <c r="X131" s="943">
        <v>9402</v>
      </c>
      <c r="Y131" s="944">
        <f t="shared" si="12"/>
        <v>129</v>
      </c>
    </row>
    <row r="132" spans="1:25" s="945" customFormat="1" ht="31.5" customHeight="1">
      <c r="A132" s="934"/>
      <c r="B132" s="939" t="s">
        <v>774</v>
      </c>
      <c r="C132" s="940">
        <f t="shared" si="10"/>
        <v>5521</v>
      </c>
      <c r="D132" s="940">
        <f>'[2]2019 (co TK)'!AD159</f>
        <v>60</v>
      </c>
      <c r="E132" s="940">
        <v>0</v>
      </c>
      <c r="F132" s="940">
        <v>0</v>
      </c>
      <c r="G132" s="940">
        <v>0</v>
      </c>
      <c r="H132" s="940">
        <v>0</v>
      </c>
      <c r="I132" s="940">
        <v>0</v>
      </c>
      <c r="J132" s="940">
        <v>0</v>
      </c>
      <c r="K132" s="940">
        <v>0</v>
      </c>
      <c r="L132" s="940">
        <v>0</v>
      </c>
      <c r="M132" s="940">
        <f>N132+O132</f>
        <v>0</v>
      </c>
      <c r="N132" s="940">
        <v>0</v>
      </c>
      <c r="O132" s="940">
        <v>0</v>
      </c>
      <c r="P132" s="940">
        <f>'[2]2019 (co TK)'!L159-'[2]2019 (co TK)'!AD159</f>
        <v>5461</v>
      </c>
      <c r="Q132" s="940">
        <v>0</v>
      </c>
      <c r="R132" s="940">
        <v>0</v>
      </c>
      <c r="S132" s="942"/>
      <c r="T132" s="942"/>
      <c r="U132" s="942"/>
      <c r="V132" s="942"/>
      <c r="W132" s="942"/>
      <c r="X132" s="945">
        <v>5809</v>
      </c>
      <c r="Y132" s="944">
        <f t="shared" si="12"/>
        <v>288</v>
      </c>
    </row>
    <row r="133" spans="1:25" s="945" customFormat="1" ht="31.5" customHeight="1">
      <c r="A133" s="934"/>
      <c r="B133" s="939" t="s">
        <v>775</v>
      </c>
      <c r="C133" s="940">
        <f t="shared" si="10"/>
        <v>2879</v>
      </c>
      <c r="D133" s="940">
        <f>'[2]2019 (co TK)'!AD49</f>
        <v>40</v>
      </c>
      <c r="E133" s="940">
        <v>0</v>
      </c>
      <c r="F133" s="940">
        <v>0</v>
      </c>
      <c r="G133" s="940">
        <v>0</v>
      </c>
      <c r="H133" s="940">
        <v>0</v>
      </c>
      <c r="I133" s="940">
        <v>0</v>
      </c>
      <c r="J133" s="940">
        <v>0</v>
      </c>
      <c r="K133" s="940">
        <v>0</v>
      </c>
      <c r="L133" s="940">
        <v>0</v>
      </c>
      <c r="M133" s="940">
        <f>'[2]2019 (co TK)'!L49-'[2]2019 (co TK)'!AD49</f>
        <v>2839</v>
      </c>
      <c r="N133" s="940">
        <v>0</v>
      </c>
      <c r="O133" s="940">
        <v>0</v>
      </c>
      <c r="P133" s="940">
        <v>0</v>
      </c>
      <c r="Q133" s="940">
        <v>0</v>
      </c>
      <c r="R133" s="940">
        <v>0</v>
      </c>
      <c r="S133" s="942"/>
      <c r="T133" s="942"/>
      <c r="U133" s="942"/>
      <c r="V133" s="942"/>
      <c r="W133" s="942"/>
      <c r="X133" s="945">
        <v>2732</v>
      </c>
      <c r="Y133" s="944">
        <f t="shared" si="12"/>
        <v>-147</v>
      </c>
    </row>
    <row r="134" spans="1:25" s="945" customFormat="1" ht="31.5" customHeight="1">
      <c r="A134" s="934"/>
      <c r="B134" s="939" t="s">
        <v>776</v>
      </c>
      <c r="C134" s="940">
        <f t="shared" ref="C134:C162" si="22">SUM(D134:M134,P134:R134)</f>
        <v>873</v>
      </c>
      <c r="D134" s="940">
        <f>'[2]2019 (co TK)'!AD207</f>
        <v>0</v>
      </c>
      <c r="E134" s="940">
        <v>0</v>
      </c>
      <c r="F134" s="940">
        <v>0</v>
      </c>
      <c r="G134" s="940">
        <v>0</v>
      </c>
      <c r="H134" s="940">
        <v>0</v>
      </c>
      <c r="I134" s="940">
        <v>0</v>
      </c>
      <c r="J134" s="940">
        <v>0</v>
      </c>
      <c r="K134" s="940">
        <v>0</v>
      </c>
      <c r="L134" s="940">
        <v>0</v>
      </c>
      <c r="M134" s="940">
        <f>N134+O134</f>
        <v>0</v>
      </c>
      <c r="N134" s="940">
        <v>0</v>
      </c>
      <c r="O134" s="940">
        <v>0</v>
      </c>
      <c r="P134" s="940">
        <f>'[2]2019 (co TK)'!L207-'[2]2019 (co TK)'!AD207</f>
        <v>873</v>
      </c>
      <c r="Q134" s="940">
        <v>0</v>
      </c>
      <c r="R134" s="940"/>
      <c r="S134" s="942"/>
      <c r="T134" s="942"/>
      <c r="U134" s="942"/>
      <c r="V134" s="942"/>
      <c r="W134" s="942"/>
      <c r="X134" s="945">
        <v>861</v>
      </c>
      <c r="Y134" s="944">
        <f t="shared" si="12"/>
        <v>-12</v>
      </c>
    </row>
    <row r="135" spans="1:25" s="945" customFormat="1" ht="31.5" customHeight="1">
      <c r="A135" s="934">
        <v>24</v>
      </c>
      <c r="B135" s="979" t="s">
        <v>608</v>
      </c>
      <c r="C135" s="940">
        <f t="shared" si="22"/>
        <v>57553</v>
      </c>
      <c r="D135" s="940">
        <f t="shared" ref="D135:O135" si="23">SUM(D136:D138)</f>
        <v>100</v>
      </c>
      <c r="E135" s="940">
        <f t="shared" si="23"/>
        <v>0</v>
      </c>
      <c r="F135" s="940">
        <f t="shared" si="23"/>
        <v>0</v>
      </c>
      <c r="G135" s="940">
        <f t="shared" si="23"/>
        <v>0</v>
      </c>
      <c r="H135" s="940">
        <f t="shared" si="23"/>
        <v>0</v>
      </c>
      <c r="I135" s="940">
        <f t="shared" si="23"/>
        <v>0</v>
      </c>
      <c r="J135" s="940">
        <f t="shared" si="23"/>
        <v>0</v>
      </c>
      <c r="K135" s="940">
        <f t="shared" si="23"/>
        <v>0</v>
      </c>
      <c r="L135" s="940">
        <f t="shared" si="23"/>
        <v>0</v>
      </c>
      <c r="M135" s="940">
        <f t="shared" si="23"/>
        <v>46892</v>
      </c>
      <c r="N135" s="940">
        <f t="shared" si="23"/>
        <v>46892</v>
      </c>
      <c r="O135" s="940">
        <f t="shared" si="23"/>
        <v>0</v>
      </c>
      <c r="P135" s="940">
        <f>SUM(P136:P138)</f>
        <v>10561</v>
      </c>
      <c r="Q135" s="940">
        <f>SUM(Q136:Q138)</f>
        <v>0</v>
      </c>
      <c r="R135" s="940">
        <f>SUM(R136:R138)</f>
        <v>0</v>
      </c>
      <c r="S135" s="942"/>
      <c r="T135" s="942"/>
      <c r="U135" s="942">
        <f>'[2]2019 (co TK)'!L31+'[2]2019 (co TK)'!L160</f>
        <v>57553</v>
      </c>
      <c r="V135" s="942">
        <f>U135-C135</f>
        <v>0</v>
      </c>
      <c r="W135" s="942"/>
      <c r="X135" s="943">
        <v>51507</v>
      </c>
      <c r="Y135" s="944">
        <f t="shared" si="12"/>
        <v>-6046</v>
      </c>
    </row>
    <row r="136" spans="1:25" s="945" customFormat="1" ht="31.5" customHeight="1">
      <c r="A136" s="934"/>
      <c r="B136" s="939" t="s">
        <v>609</v>
      </c>
      <c r="C136" s="940">
        <f t="shared" si="22"/>
        <v>5620</v>
      </c>
      <c r="D136" s="940">
        <f>'[2]2019 (co TK)'!AD161</f>
        <v>80</v>
      </c>
      <c r="E136" s="940">
        <v>0</v>
      </c>
      <c r="F136" s="940">
        <v>0</v>
      </c>
      <c r="G136" s="940">
        <v>0</v>
      </c>
      <c r="H136" s="940">
        <v>0</v>
      </c>
      <c r="I136" s="940">
        <v>0</v>
      </c>
      <c r="J136" s="940">
        <v>0</v>
      </c>
      <c r="K136" s="940">
        <v>0</v>
      </c>
      <c r="L136" s="940">
        <v>0</v>
      </c>
      <c r="M136" s="940">
        <f>N136+O136</f>
        <v>0</v>
      </c>
      <c r="N136" s="940">
        <v>0</v>
      </c>
      <c r="O136" s="940">
        <v>0</v>
      </c>
      <c r="P136" s="940">
        <f>'[2]2019 (co TK)'!L161-'[2]2019 (co TK)'!AD161</f>
        <v>5540</v>
      </c>
      <c r="Q136" s="940">
        <v>0</v>
      </c>
      <c r="R136" s="940">
        <v>0</v>
      </c>
      <c r="S136" s="942"/>
      <c r="T136" s="942"/>
      <c r="U136" s="942"/>
      <c r="V136" s="942"/>
      <c r="W136" s="942"/>
      <c r="X136" s="945">
        <v>6790</v>
      </c>
      <c r="Y136" s="944">
        <f t="shared" si="12"/>
        <v>1170</v>
      </c>
    </row>
    <row r="137" spans="1:25" s="945" customFormat="1" ht="31.5" customHeight="1">
      <c r="A137" s="934"/>
      <c r="B137" s="939" t="s">
        <v>610</v>
      </c>
      <c r="C137" s="940">
        <f t="shared" si="22"/>
        <v>5021</v>
      </c>
      <c r="D137" s="940">
        <f>'[2]2019 (co TK)'!AD162</f>
        <v>0</v>
      </c>
      <c r="E137" s="940">
        <v>0</v>
      </c>
      <c r="F137" s="940">
        <v>0</v>
      </c>
      <c r="G137" s="940">
        <v>0</v>
      </c>
      <c r="H137" s="940">
        <v>0</v>
      </c>
      <c r="I137" s="940">
        <v>0</v>
      </c>
      <c r="J137" s="940">
        <v>0</v>
      </c>
      <c r="K137" s="940">
        <v>0</v>
      </c>
      <c r="L137" s="940">
        <v>0</v>
      </c>
      <c r="M137" s="940">
        <f>N137+O137</f>
        <v>0</v>
      </c>
      <c r="N137" s="940">
        <v>0</v>
      </c>
      <c r="O137" s="940">
        <v>0</v>
      </c>
      <c r="P137" s="940">
        <f>'[2]2019 (co TK)'!L162-'[2]2019 (co TK)'!AD162</f>
        <v>5021</v>
      </c>
      <c r="Q137" s="940">
        <v>0</v>
      </c>
      <c r="R137" s="940">
        <v>0</v>
      </c>
      <c r="S137" s="942"/>
      <c r="T137" s="942"/>
      <c r="U137" s="942"/>
      <c r="V137" s="942"/>
      <c r="W137" s="942"/>
      <c r="X137" s="945">
        <v>5386</v>
      </c>
      <c r="Y137" s="944">
        <f t="shared" si="12"/>
        <v>365</v>
      </c>
    </row>
    <row r="138" spans="1:25" s="945" customFormat="1" ht="31.5" customHeight="1">
      <c r="A138" s="934"/>
      <c r="B138" s="939" t="s">
        <v>777</v>
      </c>
      <c r="C138" s="940">
        <f t="shared" si="22"/>
        <v>46912</v>
      </c>
      <c r="D138" s="940">
        <f>'[2]2019 (co TK)'!AD31</f>
        <v>20</v>
      </c>
      <c r="E138" s="940">
        <v>0</v>
      </c>
      <c r="F138" s="940">
        <v>0</v>
      </c>
      <c r="G138" s="940">
        <v>0</v>
      </c>
      <c r="H138" s="940">
        <v>0</v>
      </c>
      <c r="I138" s="940">
        <v>0</v>
      </c>
      <c r="J138" s="940">
        <v>0</v>
      </c>
      <c r="K138" s="940">
        <v>0</v>
      </c>
      <c r="L138" s="940">
        <v>0</v>
      </c>
      <c r="M138" s="940">
        <f>N138+O138</f>
        <v>46892</v>
      </c>
      <c r="N138" s="940">
        <f>'[2]2019 (co TK)'!L31-'[2]2019 (co TK)'!AD31</f>
        <v>46892</v>
      </c>
      <c r="O138" s="940">
        <v>0</v>
      </c>
      <c r="P138" s="940"/>
      <c r="Q138" s="940"/>
      <c r="R138" s="940"/>
      <c r="S138" s="942"/>
      <c r="T138" s="942"/>
      <c r="U138" s="942"/>
      <c r="V138" s="942"/>
      <c r="W138" s="942"/>
      <c r="X138" s="945">
        <v>39331</v>
      </c>
      <c r="Y138" s="944">
        <f t="shared" si="12"/>
        <v>-7581</v>
      </c>
    </row>
    <row r="139" spans="1:25" s="945" customFormat="1" ht="31.5" customHeight="1">
      <c r="A139" s="934">
        <v>25</v>
      </c>
      <c r="B139" s="939" t="s">
        <v>611</v>
      </c>
      <c r="C139" s="940">
        <f t="shared" si="22"/>
        <v>7464</v>
      </c>
      <c r="D139" s="940">
        <f>'[2]2019 (co TK)'!AD163</f>
        <v>50</v>
      </c>
      <c r="E139" s="940">
        <v>0</v>
      </c>
      <c r="F139" s="940">
        <v>0</v>
      </c>
      <c r="G139" s="940">
        <v>0</v>
      </c>
      <c r="H139" s="940">
        <v>0</v>
      </c>
      <c r="I139" s="940">
        <v>0</v>
      </c>
      <c r="J139" s="940">
        <v>0</v>
      </c>
      <c r="K139" s="940">
        <v>0</v>
      </c>
      <c r="L139" s="940">
        <v>0</v>
      </c>
      <c r="M139" s="940">
        <v>0</v>
      </c>
      <c r="N139" s="940">
        <v>0</v>
      </c>
      <c r="O139" s="940">
        <v>0</v>
      </c>
      <c r="P139" s="940">
        <f>'[2]2019 (co TK)'!L163-'[2]2019 (co TK)'!AD163</f>
        <v>7414</v>
      </c>
      <c r="Q139" s="940">
        <v>0</v>
      </c>
      <c r="R139" s="940">
        <v>0</v>
      </c>
      <c r="S139" s="942"/>
      <c r="T139" s="942"/>
      <c r="U139" s="942">
        <f>'[2]2019 (co TK)'!L163</f>
        <v>7464</v>
      </c>
      <c r="V139" s="942">
        <f>U139-C139</f>
        <v>0</v>
      </c>
      <c r="W139" s="942"/>
      <c r="X139" s="943">
        <v>6169</v>
      </c>
      <c r="Y139" s="944">
        <f t="shared" si="12"/>
        <v>-1295</v>
      </c>
    </row>
    <row r="140" spans="1:25" s="945" customFormat="1" ht="31.5" customHeight="1">
      <c r="A140" s="934">
        <v>26</v>
      </c>
      <c r="B140" s="939" t="s">
        <v>612</v>
      </c>
      <c r="C140" s="940">
        <f t="shared" si="22"/>
        <v>11274</v>
      </c>
      <c r="D140" s="940">
        <f t="shared" ref="D140:Q140" si="24">SUM(D141:D144)</f>
        <v>321</v>
      </c>
      <c r="E140" s="940">
        <f t="shared" si="24"/>
        <v>0</v>
      </c>
      <c r="F140" s="940">
        <f t="shared" si="24"/>
        <v>0</v>
      </c>
      <c r="G140" s="940">
        <f t="shared" si="24"/>
        <v>0</v>
      </c>
      <c r="H140" s="940">
        <f t="shared" si="24"/>
        <v>0</v>
      </c>
      <c r="I140" s="940">
        <f t="shared" si="24"/>
        <v>0</v>
      </c>
      <c r="J140" s="940">
        <f t="shared" si="24"/>
        <v>0</v>
      </c>
      <c r="K140" s="940">
        <f t="shared" si="24"/>
        <v>0</v>
      </c>
      <c r="L140" s="940">
        <f t="shared" si="24"/>
        <v>0</v>
      </c>
      <c r="M140" s="940">
        <f t="shared" si="24"/>
        <v>4466</v>
      </c>
      <c r="N140" s="940">
        <f t="shared" si="24"/>
        <v>0</v>
      </c>
      <c r="O140" s="940">
        <f t="shared" si="24"/>
        <v>0</v>
      </c>
      <c r="P140" s="940">
        <f t="shared" si="24"/>
        <v>6487</v>
      </c>
      <c r="Q140" s="940">
        <f t="shared" si="24"/>
        <v>0</v>
      </c>
      <c r="R140" s="940">
        <f>SUM(R141:R144)</f>
        <v>0</v>
      </c>
      <c r="S140" s="942"/>
      <c r="T140" s="942"/>
      <c r="U140" s="942">
        <f>'[2]2019 (co TK)'!L51+'[2]2019 (co TK)'!L52+'[2]2019 (co TK)'!L164</f>
        <v>11274</v>
      </c>
      <c r="V140" s="942">
        <f>U140-C140</f>
        <v>0</v>
      </c>
      <c r="W140" s="942"/>
      <c r="X140" s="943">
        <v>20753</v>
      </c>
      <c r="Y140" s="944">
        <f t="shared" si="12"/>
        <v>9479</v>
      </c>
    </row>
    <row r="141" spans="1:25" s="945" customFormat="1" ht="31.5" customHeight="1">
      <c r="A141" s="934"/>
      <c r="B141" s="939" t="s">
        <v>613</v>
      </c>
      <c r="C141" s="940">
        <f t="shared" si="22"/>
        <v>6788</v>
      </c>
      <c r="D141" s="940">
        <f>'[2]2019 (co TK)'!AD165</f>
        <v>301</v>
      </c>
      <c r="E141" s="940"/>
      <c r="F141" s="940"/>
      <c r="G141" s="940"/>
      <c r="H141" s="940"/>
      <c r="I141" s="940"/>
      <c r="J141" s="940"/>
      <c r="K141" s="940"/>
      <c r="L141" s="940"/>
      <c r="M141" s="940"/>
      <c r="N141" s="940"/>
      <c r="O141" s="940"/>
      <c r="P141" s="940">
        <f>'[2]2019 (co TK)'!L165-'[2]2019 (co TK)'!AD165</f>
        <v>6487</v>
      </c>
      <c r="Q141" s="940"/>
      <c r="R141" s="940">
        <v>0</v>
      </c>
      <c r="S141" s="942"/>
      <c r="T141" s="942"/>
      <c r="U141" s="942"/>
      <c r="V141" s="942"/>
      <c r="W141" s="942"/>
      <c r="X141" s="945">
        <v>7304</v>
      </c>
      <c r="Y141" s="944">
        <f t="shared" si="12"/>
        <v>516</v>
      </c>
    </row>
    <row r="142" spans="1:25" s="945" customFormat="1" ht="31.5" hidden="1" customHeight="1">
      <c r="A142" s="934"/>
      <c r="B142" s="939" t="s">
        <v>614</v>
      </c>
      <c r="C142" s="940">
        <f t="shared" si="22"/>
        <v>0</v>
      </c>
      <c r="D142" s="940">
        <f>'[2]2019 (co TK)'!AD166</f>
        <v>0</v>
      </c>
      <c r="E142" s="940">
        <v>0</v>
      </c>
      <c r="F142" s="940">
        <v>0</v>
      </c>
      <c r="G142" s="940">
        <v>0</v>
      </c>
      <c r="H142" s="940">
        <v>0</v>
      </c>
      <c r="I142" s="940">
        <v>0</v>
      </c>
      <c r="J142" s="940">
        <v>0</v>
      </c>
      <c r="K142" s="940">
        <v>0</v>
      </c>
      <c r="L142" s="940">
        <v>0</v>
      </c>
      <c r="M142" s="940">
        <v>0</v>
      </c>
      <c r="N142" s="940">
        <v>0</v>
      </c>
      <c r="O142" s="940">
        <v>0</v>
      </c>
      <c r="P142" s="940">
        <f>'[2]2019 (co TK)'!L166-'[2]2019 (co TK)'!AD166</f>
        <v>0</v>
      </c>
      <c r="Q142" s="940"/>
      <c r="R142" s="940">
        <v>0</v>
      </c>
      <c r="S142" s="942"/>
      <c r="T142" s="942"/>
      <c r="U142" s="942"/>
      <c r="V142" s="942"/>
      <c r="W142" s="942"/>
      <c r="X142" s="945">
        <v>7738</v>
      </c>
      <c r="Y142" s="944">
        <f t="shared" si="12"/>
        <v>7738</v>
      </c>
    </row>
    <row r="143" spans="1:25" s="945" customFormat="1" ht="31.5" customHeight="1">
      <c r="A143" s="934"/>
      <c r="B143" s="939" t="s">
        <v>778</v>
      </c>
      <c r="C143" s="940">
        <f t="shared" si="22"/>
        <v>4486</v>
      </c>
      <c r="D143" s="940">
        <f>'[2]2019 (co TK)'!AD51</f>
        <v>20</v>
      </c>
      <c r="E143" s="940">
        <v>0</v>
      </c>
      <c r="F143" s="940">
        <v>0</v>
      </c>
      <c r="G143" s="940">
        <v>0</v>
      </c>
      <c r="H143" s="940">
        <v>0</v>
      </c>
      <c r="I143" s="940">
        <v>0</v>
      </c>
      <c r="J143" s="940">
        <v>0</v>
      </c>
      <c r="K143" s="940">
        <v>0</v>
      </c>
      <c r="L143" s="940">
        <v>0</v>
      </c>
      <c r="M143" s="940">
        <f>'[2]2019 (co TK)'!L51-'[2]2019 (co TK)'!AD51</f>
        <v>4466</v>
      </c>
      <c r="N143" s="940">
        <v>0</v>
      </c>
      <c r="O143" s="940">
        <v>0</v>
      </c>
      <c r="P143" s="940">
        <v>0</v>
      </c>
      <c r="Q143" s="940">
        <v>0</v>
      </c>
      <c r="R143" s="940">
        <v>0</v>
      </c>
      <c r="S143" s="942"/>
      <c r="T143" s="942"/>
      <c r="U143" s="942"/>
      <c r="V143" s="942"/>
      <c r="W143" s="942"/>
      <c r="X143" s="945">
        <v>3000</v>
      </c>
      <c r="Y143" s="944">
        <f t="shared" si="12"/>
        <v>-1486</v>
      </c>
    </row>
    <row r="144" spans="1:25" s="945" customFormat="1" ht="31.5" hidden="1" customHeight="1">
      <c r="A144" s="934"/>
      <c r="B144" s="939" t="s">
        <v>779</v>
      </c>
      <c r="C144" s="940">
        <f t="shared" si="22"/>
        <v>0</v>
      </c>
      <c r="D144" s="940">
        <f>'[2]2019 (co TK)'!AD52</f>
        <v>0</v>
      </c>
      <c r="E144" s="940">
        <v>0</v>
      </c>
      <c r="F144" s="940">
        <v>0</v>
      </c>
      <c r="G144" s="940">
        <v>0</v>
      </c>
      <c r="H144" s="940">
        <v>0</v>
      </c>
      <c r="I144" s="940">
        <v>0</v>
      </c>
      <c r="J144" s="940">
        <v>0</v>
      </c>
      <c r="K144" s="940">
        <v>0</v>
      </c>
      <c r="L144" s="940">
        <v>0</v>
      </c>
      <c r="M144" s="940">
        <f>'[2]2019 (co TK)'!L52-'[2]2019 (co TK)'!AD52</f>
        <v>0</v>
      </c>
      <c r="N144" s="940">
        <v>0</v>
      </c>
      <c r="O144" s="940">
        <v>0</v>
      </c>
      <c r="P144" s="940">
        <v>0</v>
      </c>
      <c r="Q144" s="940">
        <v>0</v>
      </c>
      <c r="R144" s="940">
        <v>0</v>
      </c>
      <c r="S144" s="942"/>
      <c r="T144" s="942"/>
      <c r="U144" s="942"/>
      <c r="V144" s="942"/>
      <c r="W144" s="942"/>
      <c r="X144" s="945">
        <v>2711</v>
      </c>
      <c r="Y144" s="944">
        <f t="shared" si="12"/>
        <v>2711</v>
      </c>
    </row>
    <row r="145" spans="1:25" s="945" customFormat="1" ht="31.5" customHeight="1">
      <c r="A145" s="934">
        <v>27</v>
      </c>
      <c r="B145" s="979" t="s">
        <v>615</v>
      </c>
      <c r="C145" s="940">
        <f t="shared" si="22"/>
        <v>11454</v>
      </c>
      <c r="D145" s="940">
        <f t="shared" ref="D145:O145" si="25">SUM(D146:D148)</f>
        <v>137</v>
      </c>
      <c r="E145" s="940">
        <f t="shared" si="25"/>
        <v>0</v>
      </c>
      <c r="F145" s="940">
        <f t="shared" si="25"/>
        <v>0</v>
      </c>
      <c r="G145" s="940">
        <f t="shared" si="25"/>
        <v>0</v>
      </c>
      <c r="H145" s="940">
        <f t="shared" si="25"/>
        <v>0</v>
      </c>
      <c r="I145" s="940">
        <f t="shared" si="25"/>
        <v>0</v>
      </c>
      <c r="J145" s="940">
        <f t="shared" si="25"/>
        <v>0</v>
      </c>
      <c r="K145" s="940">
        <f t="shared" si="25"/>
        <v>0</v>
      </c>
      <c r="L145" s="940">
        <f t="shared" si="25"/>
        <v>0</v>
      </c>
      <c r="M145" s="940">
        <f t="shared" si="25"/>
        <v>0</v>
      </c>
      <c r="N145" s="940">
        <f t="shared" si="25"/>
        <v>0</v>
      </c>
      <c r="O145" s="940">
        <f t="shared" si="25"/>
        <v>0</v>
      </c>
      <c r="P145" s="940">
        <f>SUM(P146:P148)</f>
        <v>11317</v>
      </c>
      <c r="Q145" s="940">
        <f>SUM(Q146:Q148)</f>
        <v>0</v>
      </c>
      <c r="R145" s="940">
        <f>SUM(R146:R148)</f>
        <v>0</v>
      </c>
      <c r="S145" s="942"/>
      <c r="T145" s="942"/>
      <c r="U145" s="942">
        <f>'[2]2019 (co TK)'!L48+'[2]2019 (co TK)'!L167</f>
        <v>11454</v>
      </c>
      <c r="V145" s="942">
        <f>U145-C145</f>
        <v>0</v>
      </c>
      <c r="W145" s="942"/>
      <c r="X145" s="943">
        <v>10097</v>
      </c>
      <c r="Y145" s="944">
        <f t="shared" si="12"/>
        <v>-1357</v>
      </c>
    </row>
    <row r="146" spans="1:25" s="945" customFormat="1" ht="31.5" customHeight="1">
      <c r="A146" s="934"/>
      <c r="B146" s="980" t="s">
        <v>616</v>
      </c>
      <c r="C146" s="940">
        <f t="shared" si="22"/>
        <v>8390</v>
      </c>
      <c r="D146" s="940">
        <f>'[2]2019 (co TK)'!AD168</f>
        <v>117</v>
      </c>
      <c r="E146" s="940">
        <v>0</v>
      </c>
      <c r="F146" s="940">
        <v>0</v>
      </c>
      <c r="G146" s="940">
        <v>0</v>
      </c>
      <c r="H146" s="940">
        <v>0</v>
      </c>
      <c r="I146" s="940">
        <v>0</v>
      </c>
      <c r="J146" s="940">
        <v>0</v>
      </c>
      <c r="K146" s="940">
        <v>0</v>
      </c>
      <c r="L146" s="940">
        <v>0</v>
      </c>
      <c r="M146" s="940">
        <v>0</v>
      </c>
      <c r="N146" s="940">
        <v>0</v>
      </c>
      <c r="O146" s="940">
        <v>0</v>
      </c>
      <c r="P146" s="940">
        <f>'[2]2019 (co TK)'!L168-'[2]2019 (co TK)'!AD168</f>
        <v>8273</v>
      </c>
      <c r="Q146" s="940">
        <v>0</v>
      </c>
      <c r="R146" s="940">
        <v>0</v>
      </c>
      <c r="S146" s="942"/>
      <c r="T146" s="942"/>
      <c r="U146" s="942"/>
      <c r="V146" s="942"/>
      <c r="W146" s="942"/>
      <c r="X146" s="945">
        <v>7211</v>
      </c>
      <c r="Y146" s="944">
        <f t="shared" si="12"/>
        <v>-1179</v>
      </c>
    </row>
    <row r="147" spans="1:25" s="945" customFormat="1" ht="31.5" customHeight="1">
      <c r="A147" s="934"/>
      <c r="B147" s="981" t="s">
        <v>617</v>
      </c>
      <c r="C147" s="940">
        <f t="shared" si="22"/>
        <v>3064</v>
      </c>
      <c r="D147" s="940">
        <f>'[2]2019 (co TK)'!AD169</f>
        <v>20</v>
      </c>
      <c r="E147" s="940">
        <v>0</v>
      </c>
      <c r="F147" s="940">
        <v>0</v>
      </c>
      <c r="G147" s="940">
        <v>0</v>
      </c>
      <c r="H147" s="940">
        <v>0</v>
      </c>
      <c r="I147" s="940">
        <v>0</v>
      </c>
      <c r="J147" s="940">
        <v>0</v>
      </c>
      <c r="K147" s="940">
        <v>0</v>
      </c>
      <c r="L147" s="940">
        <v>0</v>
      </c>
      <c r="M147" s="940">
        <v>0</v>
      </c>
      <c r="N147" s="940">
        <v>0</v>
      </c>
      <c r="O147" s="940">
        <v>0</v>
      </c>
      <c r="P147" s="940">
        <f>'[2]2019 (co TK)'!L169-'[2]2019 (co TK)'!AD169+'[2]2019 (co TK)'!AJ169</f>
        <v>3044</v>
      </c>
      <c r="Q147" s="940">
        <v>0</v>
      </c>
      <c r="R147" s="940">
        <v>0</v>
      </c>
      <c r="S147" s="942"/>
      <c r="T147" s="942"/>
      <c r="U147" s="942"/>
      <c r="V147" s="942"/>
      <c r="W147" s="942"/>
      <c r="X147" s="945">
        <v>2462</v>
      </c>
      <c r="Y147" s="944">
        <f t="shared" si="12"/>
        <v>-602</v>
      </c>
    </row>
    <row r="148" spans="1:25" s="945" customFormat="1" ht="31.5" hidden="1" customHeight="1">
      <c r="A148" s="934"/>
      <c r="B148" s="939" t="s">
        <v>780</v>
      </c>
      <c r="C148" s="940">
        <f t="shared" si="22"/>
        <v>0</v>
      </c>
      <c r="D148" s="940">
        <f>'[2]2019 (co TK)'!AD48</f>
        <v>0</v>
      </c>
      <c r="E148" s="940">
        <v>0</v>
      </c>
      <c r="F148" s="940">
        <v>0</v>
      </c>
      <c r="G148" s="940">
        <v>0</v>
      </c>
      <c r="H148" s="940">
        <v>0</v>
      </c>
      <c r="I148" s="940">
        <v>0</v>
      </c>
      <c r="J148" s="940">
        <v>0</v>
      </c>
      <c r="K148" s="940">
        <v>0</v>
      </c>
      <c r="L148" s="940">
        <v>0</v>
      </c>
      <c r="M148" s="940">
        <f>'[2]2019 (co TK)'!L48-'[2]2019 (co TK)'!AD48</f>
        <v>0</v>
      </c>
      <c r="N148" s="940">
        <v>0</v>
      </c>
      <c r="O148" s="940">
        <v>0</v>
      </c>
      <c r="P148" s="940">
        <v>0</v>
      </c>
      <c r="Q148" s="940">
        <v>0</v>
      </c>
      <c r="R148" s="940">
        <v>0</v>
      </c>
      <c r="S148" s="942"/>
      <c r="T148" s="942"/>
      <c r="U148" s="942"/>
      <c r="V148" s="942"/>
      <c r="W148" s="942"/>
      <c r="X148" s="945">
        <v>424</v>
      </c>
      <c r="Y148" s="944">
        <f t="shared" ref="Y148:Y191" si="26">X148-C148</f>
        <v>424</v>
      </c>
    </row>
    <row r="149" spans="1:25" s="945" customFormat="1" ht="31.5" customHeight="1">
      <c r="A149" s="934">
        <v>28</v>
      </c>
      <c r="B149" s="939" t="s">
        <v>618</v>
      </c>
      <c r="C149" s="940">
        <f t="shared" si="22"/>
        <v>8552</v>
      </c>
      <c r="D149" s="940">
        <f>'[2]2019 (co TK)'!AD170</f>
        <v>550</v>
      </c>
      <c r="E149" s="940">
        <v>0</v>
      </c>
      <c r="F149" s="940">
        <v>0</v>
      </c>
      <c r="G149" s="940">
        <v>0</v>
      </c>
      <c r="H149" s="940">
        <v>0</v>
      </c>
      <c r="I149" s="940">
        <v>0</v>
      </c>
      <c r="J149" s="940">
        <v>0</v>
      </c>
      <c r="K149" s="940">
        <v>0</v>
      </c>
      <c r="L149" s="940">
        <v>0</v>
      </c>
      <c r="M149" s="940">
        <v>0</v>
      </c>
      <c r="N149" s="940">
        <v>0</v>
      </c>
      <c r="O149" s="940">
        <v>0</v>
      </c>
      <c r="P149" s="940">
        <f>'[2]2019 (co TK)'!L170-'[2]2019 (co TK)'!AD170</f>
        <v>8002</v>
      </c>
      <c r="Q149" s="940">
        <v>0</v>
      </c>
      <c r="R149" s="940">
        <v>0</v>
      </c>
      <c r="S149" s="942"/>
      <c r="T149" s="942"/>
      <c r="U149" s="942">
        <f>'[2]2019 (co TK)'!L170</f>
        <v>8552</v>
      </c>
      <c r="V149" s="942">
        <f>U149-C149</f>
        <v>0</v>
      </c>
      <c r="W149" s="942"/>
      <c r="X149" s="943">
        <v>6251</v>
      </c>
      <c r="Y149" s="944">
        <f t="shared" si="26"/>
        <v>-2301</v>
      </c>
    </row>
    <row r="150" spans="1:25" s="945" customFormat="1" ht="31.5" customHeight="1">
      <c r="A150" s="934">
        <v>29</v>
      </c>
      <c r="B150" s="939" t="s">
        <v>619</v>
      </c>
      <c r="C150" s="940">
        <f t="shared" si="22"/>
        <v>10907</v>
      </c>
      <c r="D150" s="940">
        <f t="shared" ref="D150:O150" si="27">SUM(D151:D152)</f>
        <v>66</v>
      </c>
      <c r="E150" s="940">
        <f t="shared" si="27"/>
        <v>0</v>
      </c>
      <c r="F150" s="940">
        <f t="shared" si="27"/>
        <v>0</v>
      </c>
      <c r="G150" s="940">
        <f t="shared" si="27"/>
        <v>0</v>
      </c>
      <c r="H150" s="940">
        <f t="shared" si="27"/>
        <v>0</v>
      </c>
      <c r="I150" s="940">
        <f t="shared" si="27"/>
        <v>0</v>
      </c>
      <c r="J150" s="940">
        <f t="shared" si="27"/>
        <v>0</v>
      </c>
      <c r="K150" s="940">
        <f t="shared" si="27"/>
        <v>0</v>
      </c>
      <c r="L150" s="940">
        <f t="shared" si="27"/>
        <v>1354</v>
      </c>
      <c r="M150" s="940">
        <f t="shared" si="27"/>
        <v>2188</v>
      </c>
      <c r="N150" s="940">
        <f t="shared" si="27"/>
        <v>0</v>
      </c>
      <c r="O150" s="940">
        <f t="shared" si="27"/>
        <v>0</v>
      </c>
      <c r="P150" s="940">
        <f>SUM(P151:P152)</f>
        <v>7299</v>
      </c>
      <c r="Q150" s="940">
        <f>SUM(Q151:Q152)</f>
        <v>0</v>
      </c>
      <c r="R150" s="940">
        <f>SUM(R151:R152)</f>
        <v>0</v>
      </c>
      <c r="S150" s="942"/>
      <c r="T150" s="942"/>
      <c r="U150" s="942">
        <f>'[2]2019 (co TK)'!L46+'[2]2019 (co TK)'!L171</f>
        <v>10907</v>
      </c>
      <c r="V150" s="942">
        <f>U150-C150</f>
        <v>0</v>
      </c>
      <c r="W150" s="942"/>
      <c r="X150" s="945">
        <v>9829</v>
      </c>
      <c r="Y150" s="944">
        <f t="shared" si="26"/>
        <v>-1078</v>
      </c>
    </row>
    <row r="151" spans="1:25" s="945" customFormat="1" ht="31.5" customHeight="1">
      <c r="A151" s="934"/>
      <c r="B151" s="939" t="s">
        <v>781</v>
      </c>
      <c r="C151" s="940">
        <f t="shared" si="22"/>
        <v>7365</v>
      </c>
      <c r="D151" s="940">
        <f>'[2]2019 (co TK)'!AD171</f>
        <v>66</v>
      </c>
      <c r="E151" s="940">
        <v>0</v>
      </c>
      <c r="F151" s="940">
        <v>0</v>
      </c>
      <c r="G151" s="940">
        <v>0</v>
      </c>
      <c r="H151" s="940">
        <v>0</v>
      </c>
      <c r="I151" s="940">
        <v>0</v>
      </c>
      <c r="J151" s="940">
        <v>0</v>
      </c>
      <c r="K151" s="940">
        <v>0</v>
      </c>
      <c r="L151" s="940">
        <v>0</v>
      </c>
      <c r="M151" s="940">
        <v>0</v>
      </c>
      <c r="N151" s="940">
        <v>0</v>
      </c>
      <c r="O151" s="940">
        <v>0</v>
      </c>
      <c r="P151" s="940">
        <f>'[2]2019 (co TK)'!L171-'[2]2019 (co TK)'!AD171</f>
        <v>7299</v>
      </c>
      <c r="Q151" s="940">
        <v>0</v>
      </c>
      <c r="R151" s="940">
        <v>0</v>
      </c>
      <c r="S151" s="942"/>
      <c r="T151" s="942"/>
      <c r="U151" s="942"/>
      <c r="V151" s="942"/>
      <c r="W151" s="942"/>
      <c r="X151" s="945">
        <v>6009</v>
      </c>
      <c r="Y151" s="944">
        <f t="shared" si="26"/>
        <v>-1356</v>
      </c>
    </row>
    <row r="152" spans="1:25" s="945" customFormat="1" ht="46.5" customHeight="1">
      <c r="A152" s="934"/>
      <c r="B152" s="939" t="s">
        <v>782</v>
      </c>
      <c r="C152" s="940">
        <f t="shared" si="22"/>
        <v>3542</v>
      </c>
      <c r="D152" s="940">
        <f>'[2]2019 (co TK)'!AD46</f>
        <v>0</v>
      </c>
      <c r="E152" s="940">
        <v>0</v>
      </c>
      <c r="F152" s="940">
        <v>0</v>
      </c>
      <c r="G152" s="940">
        <v>0</v>
      </c>
      <c r="H152" s="940">
        <v>0</v>
      </c>
      <c r="I152" s="940">
        <v>0</v>
      </c>
      <c r="J152" s="940">
        <v>0</v>
      </c>
      <c r="K152" s="940">
        <v>0</v>
      </c>
      <c r="L152" s="940">
        <f>'[2]2019 (co TK)'!L47</f>
        <v>1354</v>
      </c>
      <c r="M152" s="940">
        <f>'[2]2019 (co TK)'!L46-'[2]2019 (co TK)'!L47-'[2]2019 (co TK)'!AD46</f>
        <v>2188</v>
      </c>
      <c r="N152" s="940">
        <v>0</v>
      </c>
      <c r="O152" s="940">
        <v>0</v>
      </c>
      <c r="P152" s="940">
        <v>0</v>
      </c>
      <c r="Q152" s="940">
        <v>0</v>
      </c>
      <c r="R152" s="940">
        <v>0</v>
      </c>
      <c r="S152" s="942"/>
      <c r="T152" s="942"/>
      <c r="U152" s="942"/>
      <c r="V152" s="942"/>
      <c r="W152" s="942"/>
      <c r="X152" s="945">
        <v>3820</v>
      </c>
      <c r="Y152" s="944">
        <f t="shared" si="26"/>
        <v>278</v>
      </c>
    </row>
    <row r="153" spans="1:25" s="945" customFormat="1" ht="31.5" customHeight="1">
      <c r="A153" s="934">
        <v>30</v>
      </c>
      <c r="B153" s="979" t="s">
        <v>629</v>
      </c>
      <c r="C153" s="940">
        <f t="shared" si="22"/>
        <v>8244</v>
      </c>
      <c r="D153" s="940">
        <f>D154+D155</f>
        <v>723</v>
      </c>
      <c r="E153" s="940">
        <f t="shared" ref="E153:O153" si="28">E154+E155</f>
        <v>0</v>
      </c>
      <c r="F153" s="940">
        <f t="shared" si="28"/>
        <v>0</v>
      </c>
      <c r="G153" s="940">
        <f t="shared" si="28"/>
        <v>0</v>
      </c>
      <c r="H153" s="940">
        <f t="shared" si="28"/>
        <v>0</v>
      </c>
      <c r="I153" s="940">
        <f t="shared" si="28"/>
        <v>0</v>
      </c>
      <c r="J153" s="940">
        <f t="shared" si="28"/>
        <v>0</v>
      </c>
      <c r="K153" s="940">
        <f t="shared" si="28"/>
        <v>0</v>
      </c>
      <c r="L153" s="940">
        <f t="shared" si="28"/>
        <v>150</v>
      </c>
      <c r="M153" s="940">
        <f t="shared" si="28"/>
        <v>0</v>
      </c>
      <c r="N153" s="940">
        <f t="shared" si="28"/>
        <v>0</v>
      </c>
      <c r="O153" s="940">
        <f t="shared" si="28"/>
        <v>0</v>
      </c>
      <c r="P153" s="940">
        <f>P154+P155</f>
        <v>7371</v>
      </c>
      <c r="Q153" s="940">
        <v>0</v>
      </c>
      <c r="R153" s="940">
        <v>0</v>
      </c>
      <c r="S153" s="942"/>
      <c r="T153" s="942"/>
      <c r="U153" s="942">
        <f>'[2]2019 (co TK)'!L181</f>
        <v>8244</v>
      </c>
      <c r="V153" s="942">
        <f>U153-C153</f>
        <v>0</v>
      </c>
      <c r="W153" s="942"/>
      <c r="X153" s="943">
        <v>7626</v>
      </c>
      <c r="Y153" s="944">
        <f t="shared" si="26"/>
        <v>-618</v>
      </c>
    </row>
    <row r="154" spans="1:25" s="945" customFormat="1" ht="31.5" customHeight="1">
      <c r="A154" s="934"/>
      <c r="B154" s="980" t="s">
        <v>630</v>
      </c>
      <c r="C154" s="940">
        <f t="shared" si="22"/>
        <v>6302</v>
      </c>
      <c r="D154" s="940">
        <f>'[2]2019 (co TK)'!AD182</f>
        <v>599</v>
      </c>
      <c r="E154" s="940">
        <v>0</v>
      </c>
      <c r="F154" s="940">
        <v>0</v>
      </c>
      <c r="G154" s="940">
        <v>0</v>
      </c>
      <c r="H154" s="940">
        <v>0</v>
      </c>
      <c r="I154" s="940">
        <v>0</v>
      </c>
      <c r="J154" s="940">
        <v>0</v>
      </c>
      <c r="K154" s="940">
        <v>0</v>
      </c>
      <c r="L154" s="940">
        <f>'[2]2019 (co TK)'!L184</f>
        <v>150</v>
      </c>
      <c r="M154" s="940">
        <v>0</v>
      </c>
      <c r="N154" s="940">
        <v>0</v>
      </c>
      <c r="O154" s="940">
        <v>0</v>
      </c>
      <c r="P154" s="940">
        <f>'[2]2019 (co TK)'!L182-'[2]2019 (co TK)'!AD182-'[2]2019 (co TK)'!L184</f>
        <v>5553</v>
      </c>
      <c r="Q154" s="940">
        <v>0</v>
      </c>
      <c r="R154" s="940">
        <v>0</v>
      </c>
      <c r="S154" s="942"/>
      <c r="T154" s="942"/>
      <c r="U154" s="942"/>
      <c r="V154" s="942"/>
      <c r="W154" s="942"/>
      <c r="X154" s="945">
        <v>5992</v>
      </c>
      <c r="Y154" s="944">
        <f t="shared" si="26"/>
        <v>-310</v>
      </c>
    </row>
    <row r="155" spans="1:25" s="945" customFormat="1" ht="31.5" customHeight="1">
      <c r="A155" s="934"/>
      <c r="B155" s="980" t="s">
        <v>631</v>
      </c>
      <c r="C155" s="940">
        <f t="shared" si="22"/>
        <v>1942</v>
      </c>
      <c r="D155" s="940">
        <f>'[2]2019 (co TK)'!AD183</f>
        <v>124</v>
      </c>
      <c r="E155" s="940">
        <v>0</v>
      </c>
      <c r="F155" s="940">
        <v>0</v>
      </c>
      <c r="G155" s="940">
        <v>0</v>
      </c>
      <c r="H155" s="940">
        <v>0</v>
      </c>
      <c r="I155" s="940">
        <v>0</v>
      </c>
      <c r="J155" s="940">
        <v>0</v>
      </c>
      <c r="K155" s="940">
        <v>0</v>
      </c>
      <c r="L155" s="940">
        <v>0</v>
      </c>
      <c r="M155" s="940">
        <v>0</v>
      </c>
      <c r="N155" s="940">
        <v>0</v>
      </c>
      <c r="O155" s="940">
        <v>0</v>
      </c>
      <c r="P155" s="940">
        <f>'[2]2019 (co TK)'!L183-'[2]2019 (co TK)'!AD183</f>
        <v>1818</v>
      </c>
      <c r="Q155" s="940">
        <v>0</v>
      </c>
      <c r="R155" s="940">
        <v>0</v>
      </c>
      <c r="S155" s="942"/>
      <c r="T155" s="942"/>
      <c r="U155" s="942"/>
      <c r="V155" s="942"/>
      <c r="W155" s="942"/>
      <c r="X155" s="945">
        <v>1634</v>
      </c>
      <c r="Y155" s="944">
        <f t="shared" si="26"/>
        <v>-308</v>
      </c>
    </row>
    <row r="156" spans="1:25" s="945" customFormat="1" ht="31.5" customHeight="1">
      <c r="A156" s="934">
        <v>31</v>
      </c>
      <c r="B156" s="939" t="s">
        <v>632</v>
      </c>
      <c r="C156" s="940">
        <f t="shared" si="22"/>
        <v>9481</v>
      </c>
      <c r="D156" s="940">
        <f t="shared" ref="D156:Q156" si="29">SUM(D157:D158)</f>
        <v>1515</v>
      </c>
      <c r="E156" s="940">
        <f t="shared" si="29"/>
        <v>0</v>
      </c>
      <c r="F156" s="940">
        <f t="shared" si="29"/>
        <v>0</v>
      </c>
      <c r="G156" s="940">
        <f t="shared" si="29"/>
        <v>0</v>
      </c>
      <c r="H156" s="940">
        <f t="shared" si="29"/>
        <v>0</v>
      </c>
      <c r="I156" s="940">
        <f t="shared" si="29"/>
        <v>0</v>
      </c>
      <c r="J156" s="940">
        <f t="shared" si="29"/>
        <v>0</v>
      </c>
      <c r="K156" s="940">
        <f t="shared" si="29"/>
        <v>0</v>
      </c>
      <c r="L156" s="940">
        <f t="shared" si="29"/>
        <v>121</v>
      </c>
      <c r="M156" s="940">
        <f t="shared" si="29"/>
        <v>0</v>
      </c>
      <c r="N156" s="940">
        <f t="shared" si="29"/>
        <v>0</v>
      </c>
      <c r="O156" s="940">
        <f t="shared" si="29"/>
        <v>0</v>
      </c>
      <c r="P156" s="940">
        <f t="shared" si="29"/>
        <v>7845</v>
      </c>
      <c r="Q156" s="940">
        <f t="shared" si="29"/>
        <v>0</v>
      </c>
      <c r="R156" s="940">
        <f>SUM(R157:R158)</f>
        <v>0</v>
      </c>
      <c r="S156" s="942"/>
      <c r="T156" s="942"/>
      <c r="U156" s="942">
        <f>'[2]2019 (co TK)'!L185+'[2]2019 (co TK)'!L208</f>
        <v>9481</v>
      </c>
      <c r="V156" s="942">
        <f>U156-C156</f>
        <v>0</v>
      </c>
      <c r="W156" s="942"/>
      <c r="X156" s="943">
        <v>8963</v>
      </c>
      <c r="Y156" s="944">
        <f t="shared" si="26"/>
        <v>-518</v>
      </c>
    </row>
    <row r="157" spans="1:25" s="945" customFormat="1" ht="31.5" customHeight="1">
      <c r="A157" s="934"/>
      <c r="B157" s="939" t="s">
        <v>783</v>
      </c>
      <c r="C157" s="940">
        <f t="shared" si="22"/>
        <v>8122</v>
      </c>
      <c r="D157" s="940">
        <f>'[2]2019 (co TK)'!AD185</f>
        <v>1035</v>
      </c>
      <c r="E157" s="940"/>
      <c r="F157" s="940"/>
      <c r="G157" s="940"/>
      <c r="H157" s="940"/>
      <c r="I157" s="940"/>
      <c r="J157" s="940"/>
      <c r="K157" s="940"/>
      <c r="L157" s="940">
        <f>'[2]2019 (co TK)'!L186</f>
        <v>121</v>
      </c>
      <c r="M157" s="940"/>
      <c r="N157" s="940"/>
      <c r="O157" s="940"/>
      <c r="P157" s="940">
        <f>'[2]2019 (co TK)'!L185-'[2]2019 (co TK)'!AD185-'[2]2019 (co TK)'!L186</f>
        <v>6966</v>
      </c>
      <c r="Q157" s="940"/>
      <c r="R157" s="940"/>
      <c r="S157" s="942"/>
      <c r="T157" s="942"/>
      <c r="U157" s="942"/>
      <c r="V157" s="942"/>
      <c r="W157" s="942"/>
      <c r="X157" s="945">
        <v>7780</v>
      </c>
      <c r="Y157" s="944">
        <f t="shared" si="26"/>
        <v>-342</v>
      </c>
    </row>
    <row r="158" spans="1:25" s="945" customFormat="1" ht="31.5" customHeight="1">
      <c r="A158" s="934"/>
      <c r="B158" s="939" t="s">
        <v>784</v>
      </c>
      <c r="C158" s="940">
        <f t="shared" si="22"/>
        <v>1359</v>
      </c>
      <c r="D158" s="940">
        <f>'[2]2019 (co TK)'!AD208</f>
        <v>480</v>
      </c>
      <c r="E158" s="940"/>
      <c r="F158" s="940"/>
      <c r="G158" s="940"/>
      <c r="H158" s="940"/>
      <c r="I158" s="940"/>
      <c r="J158" s="940"/>
      <c r="K158" s="940"/>
      <c r="L158" s="940"/>
      <c r="M158" s="940"/>
      <c r="N158" s="940"/>
      <c r="O158" s="940"/>
      <c r="P158" s="940">
        <f>'[2]2019 (co TK)'!L208-'[2]2019 (co TK)'!AD208</f>
        <v>879</v>
      </c>
      <c r="Q158" s="940"/>
      <c r="R158" s="940"/>
      <c r="S158" s="942"/>
      <c r="T158" s="942"/>
      <c r="U158" s="942"/>
      <c r="V158" s="942"/>
      <c r="W158" s="942"/>
      <c r="X158" s="945">
        <v>1183</v>
      </c>
      <c r="Y158" s="944">
        <f t="shared" si="26"/>
        <v>-176</v>
      </c>
    </row>
    <row r="159" spans="1:25" s="945" customFormat="1" ht="31.5" customHeight="1">
      <c r="A159" s="934">
        <v>32</v>
      </c>
      <c r="B159" s="939" t="s">
        <v>633</v>
      </c>
      <c r="C159" s="940">
        <f t="shared" si="22"/>
        <v>4748</v>
      </c>
      <c r="D159" s="940">
        <f t="shared" ref="D159:O159" si="30">D160+D161</f>
        <v>397</v>
      </c>
      <c r="E159" s="940">
        <f t="shared" si="30"/>
        <v>0</v>
      </c>
      <c r="F159" s="940">
        <f t="shared" si="30"/>
        <v>0</v>
      </c>
      <c r="G159" s="940">
        <f t="shared" si="30"/>
        <v>0</v>
      </c>
      <c r="H159" s="940">
        <f t="shared" si="30"/>
        <v>0</v>
      </c>
      <c r="I159" s="940">
        <f t="shared" si="30"/>
        <v>0</v>
      </c>
      <c r="J159" s="940">
        <f t="shared" si="30"/>
        <v>0</v>
      </c>
      <c r="K159" s="940">
        <f t="shared" si="30"/>
        <v>0</v>
      </c>
      <c r="L159" s="940">
        <f t="shared" si="30"/>
        <v>137</v>
      </c>
      <c r="M159" s="940">
        <f t="shared" si="30"/>
        <v>0</v>
      </c>
      <c r="N159" s="940">
        <f t="shared" si="30"/>
        <v>0</v>
      </c>
      <c r="O159" s="940">
        <f t="shared" si="30"/>
        <v>0</v>
      </c>
      <c r="P159" s="940">
        <f>P160+P161</f>
        <v>4214</v>
      </c>
      <c r="Q159" s="940">
        <v>0</v>
      </c>
      <c r="R159" s="940">
        <v>0</v>
      </c>
      <c r="S159" s="942"/>
      <c r="T159" s="942"/>
      <c r="U159" s="942">
        <f>'[2]2019 (co TK)'!L67+'[2]2019 (co TK)'!L187</f>
        <v>4748</v>
      </c>
      <c r="V159" s="942">
        <f>U159-C159</f>
        <v>0</v>
      </c>
      <c r="W159" s="942"/>
      <c r="X159" s="943">
        <v>5876</v>
      </c>
      <c r="Y159" s="944">
        <f t="shared" si="26"/>
        <v>1128</v>
      </c>
    </row>
    <row r="160" spans="1:25" s="945" customFormat="1" ht="31.5" customHeight="1">
      <c r="A160" s="934"/>
      <c r="B160" s="939" t="s">
        <v>785</v>
      </c>
      <c r="C160" s="940">
        <f t="shared" si="22"/>
        <v>4748</v>
      </c>
      <c r="D160" s="940">
        <f>'[2]2019 (co TK)'!AD187</f>
        <v>397</v>
      </c>
      <c r="E160" s="940">
        <v>0</v>
      </c>
      <c r="F160" s="940">
        <v>0</v>
      </c>
      <c r="G160" s="940">
        <v>0</v>
      </c>
      <c r="H160" s="940">
        <v>0</v>
      </c>
      <c r="I160" s="940">
        <v>0</v>
      </c>
      <c r="J160" s="940">
        <v>0</v>
      </c>
      <c r="K160" s="940">
        <v>0</v>
      </c>
      <c r="L160" s="940">
        <f>'[2]2019 (co TK)'!L189</f>
        <v>137</v>
      </c>
      <c r="M160" s="940">
        <v>0</v>
      </c>
      <c r="N160" s="940">
        <v>0</v>
      </c>
      <c r="O160" s="940">
        <v>0</v>
      </c>
      <c r="P160" s="940">
        <f>'[2]2019 (co TK)'!L187-'[2]2019 (co TK)'!AD187-'[2]2019 (co TK)'!L189</f>
        <v>4214</v>
      </c>
      <c r="Q160" s="940"/>
      <c r="R160" s="940"/>
      <c r="S160" s="942"/>
      <c r="T160" s="942"/>
      <c r="U160" s="942"/>
      <c r="V160" s="942"/>
      <c r="W160" s="942"/>
      <c r="X160" s="945">
        <v>5450</v>
      </c>
      <c r="Y160" s="944">
        <f t="shared" si="26"/>
        <v>702</v>
      </c>
    </row>
    <row r="161" spans="1:25" s="945" customFormat="1" ht="31.5" customHeight="1">
      <c r="A161" s="934"/>
      <c r="B161" s="939" t="s">
        <v>786</v>
      </c>
      <c r="C161" s="940">
        <f t="shared" si="22"/>
        <v>0</v>
      </c>
      <c r="D161" s="940">
        <f>'[2]2019 (co TK)'!L67</f>
        <v>0</v>
      </c>
      <c r="E161" s="940">
        <v>0</v>
      </c>
      <c r="F161" s="940">
        <v>0</v>
      </c>
      <c r="G161" s="940">
        <v>0</v>
      </c>
      <c r="H161" s="940">
        <v>0</v>
      </c>
      <c r="I161" s="940">
        <v>0</v>
      </c>
      <c r="J161" s="940">
        <v>0</v>
      </c>
      <c r="K161" s="940">
        <v>0</v>
      </c>
      <c r="L161" s="940">
        <v>0</v>
      </c>
      <c r="M161" s="940">
        <v>0</v>
      </c>
      <c r="N161" s="940">
        <v>0</v>
      </c>
      <c r="O161" s="940">
        <v>0</v>
      </c>
      <c r="P161" s="940">
        <v>0</v>
      </c>
      <c r="Q161" s="940">
        <v>0</v>
      </c>
      <c r="R161" s="940">
        <v>0</v>
      </c>
      <c r="S161" s="942"/>
      <c r="T161" s="942"/>
      <c r="U161" s="942"/>
      <c r="V161" s="942"/>
      <c r="W161" s="942"/>
      <c r="X161" s="945">
        <v>426</v>
      </c>
      <c r="Y161" s="944">
        <f t="shared" si="26"/>
        <v>426</v>
      </c>
    </row>
    <row r="162" spans="1:25" s="976" customFormat="1" ht="31.5" customHeight="1">
      <c r="A162" s="974"/>
      <c r="B162" s="753" t="s">
        <v>787</v>
      </c>
      <c r="C162" s="975">
        <f t="shared" si="22"/>
        <v>1000</v>
      </c>
      <c r="D162" s="940">
        <v>0</v>
      </c>
      <c r="E162" s="940">
        <v>0</v>
      </c>
      <c r="F162" s="940">
        <v>0</v>
      </c>
      <c r="G162" s="940">
        <v>0</v>
      </c>
      <c r="H162" s="940">
        <v>0</v>
      </c>
      <c r="I162" s="940">
        <v>0</v>
      </c>
      <c r="J162" s="940">
        <v>0</v>
      </c>
      <c r="K162" s="940">
        <v>0</v>
      </c>
      <c r="L162" s="940">
        <v>0</v>
      </c>
      <c r="M162" s="940">
        <v>0</v>
      </c>
      <c r="N162" s="940">
        <v>0</v>
      </c>
      <c r="O162" s="940">
        <v>0</v>
      </c>
      <c r="P162" s="975">
        <f>'[2]2019 (co TK)'!L188</f>
        <v>1000</v>
      </c>
      <c r="Q162" s="940">
        <v>0</v>
      </c>
      <c r="R162" s="940">
        <v>0</v>
      </c>
      <c r="S162" s="942"/>
      <c r="T162" s="942"/>
      <c r="U162" s="942"/>
      <c r="V162" s="942"/>
      <c r="W162" s="942"/>
      <c r="X162" s="976">
        <v>1000</v>
      </c>
      <c r="Y162" s="944">
        <f t="shared" si="26"/>
        <v>0</v>
      </c>
    </row>
    <row r="163" spans="1:25" s="945" customFormat="1" ht="31.5" customHeight="1">
      <c r="A163" s="934">
        <v>33</v>
      </c>
      <c r="B163" s="939" t="s">
        <v>637</v>
      </c>
      <c r="C163" s="940">
        <f t="shared" ref="C163:O163" si="31">C164+C165</f>
        <v>5021</v>
      </c>
      <c r="D163" s="940">
        <f t="shared" si="31"/>
        <v>438</v>
      </c>
      <c r="E163" s="940">
        <f t="shared" si="31"/>
        <v>0</v>
      </c>
      <c r="F163" s="940">
        <f t="shared" si="31"/>
        <v>0</v>
      </c>
      <c r="G163" s="940">
        <f t="shared" si="31"/>
        <v>0</v>
      </c>
      <c r="H163" s="940">
        <f t="shared" si="31"/>
        <v>0</v>
      </c>
      <c r="I163" s="940">
        <f t="shared" si="31"/>
        <v>0</v>
      </c>
      <c r="J163" s="940">
        <f t="shared" si="31"/>
        <v>0</v>
      </c>
      <c r="K163" s="940">
        <f t="shared" si="31"/>
        <v>0</v>
      </c>
      <c r="L163" s="940">
        <f t="shared" si="31"/>
        <v>247</v>
      </c>
      <c r="M163" s="940">
        <f t="shared" si="31"/>
        <v>0</v>
      </c>
      <c r="N163" s="940">
        <f t="shared" si="31"/>
        <v>0</v>
      </c>
      <c r="O163" s="940">
        <f t="shared" si="31"/>
        <v>0</v>
      </c>
      <c r="P163" s="940">
        <f>P164+P165</f>
        <v>4336</v>
      </c>
      <c r="Q163" s="940">
        <f>Q164+Q165</f>
        <v>0</v>
      </c>
      <c r="R163" s="940">
        <f>R164+R165</f>
        <v>0</v>
      </c>
      <c r="S163" s="942"/>
      <c r="T163" s="942"/>
      <c r="U163" s="942">
        <f>'[2]2019 (co TK)'!L190+'[2]2019 (co TK)'!L68</f>
        <v>5021</v>
      </c>
      <c r="V163" s="942">
        <f>U163-C163</f>
        <v>0</v>
      </c>
      <c r="W163" s="942"/>
      <c r="X163" s="943">
        <v>4013</v>
      </c>
      <c r="Y163" s="944">
        <f t="shared" si="26"/>
        <v>-1008</v>
      </c>
    </row>
    <row r="164" spans="1:25" s="945" customFormat="1" ht="31.5" customHeight="1">
      <c r="A164" s="934"/>
      <c r="B164" s="939" t="s">
        <v>788</v>
      </c>
      <c r="C164" s="940">
        <f t="shared" ref="C164:C191" si="32">SUM(D164:M164,P164:R164)</f>
        <v>5021</v>
      </c>
      <c r="D164" s="940">
        <f>'[2]2019 (co TK)'!AD190</f>
        <v>438</v>
      </c>
      <c r="E164" s="940">
        <v>0</v>
      </c>
      <c r="F164" s="940">
        <v>0</v>
      </c>
      <c r="G164" s="940">
        <v>0</v>
      </c>
      <c r="H164" s="940">
        <v>0</v>
      </c>
      <c r="I164" s="940">
        <v>0</v>
      </c>
      <c r="J164" s="940">
        <v>0</v>
      </c>
      <c r="K164" s="940">
        <v>0</v>
      </c>
      <c r="L164" s="940">
        <f>'[2]2019 (co TK)'!L191</f>
        <v>247</v>
      </c>
      <c r="M164" s="940">
        <v>0</v>
      </c>
      <c r="N164" s="940">
        <v>0</v>
      </c>
      <c r="O164" s="940">
        <v>0</v>
      </c>
      <c r="P164" s="940">
        <f>'[2]2019 (co TK)'!L190-'[2]2019 (co TK)'!AD190-'[2]2019 (co TK)'!L191</f>
        <v>4336</v>
      </c>
      <c r="Q164" s="940">
        <v>0</v>
      </c>
      <c r="R164" s="940">
        <v>0</v>
      </c>
      <c r="S164" s="942"/>
      <c r="T164" s="942"/>
      <c r="U164" s="942"/>
      <c r="V164" s="942"/>
      <c r="W164" s="942"/>
      <c r="X164" s="945">
        <v>3745</v>
      </c>
      <c r="Y164" s="944">
        <f t="shared" si="26"/>
        <v>-1276</v>
      </c>
    </row>
    <row r="165" spans="1:25" s="945" customFormat="1" ht="31.5" hidden="1" customHeight="1">
      <c r="A165" s="934"/>
      <c r="B165" s="939" t="s">
        <v>786</v>
      </c>
      <c r="C165" s="940">
        <f t="shared" si="32"/>
        <v>0</v>
      </c>
      <c r="D165" s="940">
        <f>'[2]2019 (co TK)'!L68</f>
        <v>0</v>
      </c>
      <c r="E165" s="940">
        <v>0</v>
      </c>
      <c r="F165" s="940">
        <v>0</v>
      </c>
      <c r="G165" s="940">
        <v>0</v>
      </c>
      <c r="H165" s="940">
        <v>0</v>
      </c>
      <c r="I165" s="940">
        <v>0</v>
      </c>
      <c r="J165" s="940">
        <v>0</v>
      </c>
      <c r="K165" s="940">
        <v>0</v>
      </c>
      <c r="L165" s="940">
        <v>0</v>
      </c>
      <c r="M165" s="940">
        <v>0</v>
      </c>
      <c r="N165" s="940">
        <v>0</v>
      </c>
      <c r="O165" s="940">
        <v>0</v>
      </c>
      <c r="P165" s="940">
        <v>0</v>
      </c>
      <c r="Q165" s="940">
        <v>0</v>
      </c>
      <c r="R165" s="940">
        <v>0</v>
      </c>
      <c r="S165" s="942"/>
      <c r="T165" s="942"/>
      <c r="U165" s="942"/>
      <c r="V165" s="942"/>
      <c r="W165" s="942"/>
      <c r="X165" s="945">
        <v>268</v>
      </c>
      <c r="Y165" s="944">
        <f t="shared" si="26"/>
        <v>268</v>
      </c>
    </row>
    <row r="166" spans="1:25" s="945" customFormat="1" ht="31.5" customHeight="1">
      <c r="A166" s="934">
        <v>34</v>
      </c>
      <c r="B166" s="939" t="s">
        <v>638</v>
      </c>
      <c r="C166" s="940">
        <f t="shared" si="32"/>
        <v>3273</v>
      </c>
      <c r="D166" s="940">
        <f>'[2]2019 (co TK)'!AD192</f>
        <v>92</v>
      </c>
      <c r="E166" s="940">
        <v>0</v>
      </c>
      <c r="F166" s="940">
        <v>0</v>
      </c>
      <c r="G166" s="940">
        <v>0</v>
      </c>
      <c r="H166" s="940">
        <v>0</v>
      </c>
      <c r="I166" s="940">
        <v>0</v>
      </c>
      <c r="J166" s="940">
        <v>0</v>
      </c>
      <c r="K166" s="940">
        <v>0</v>
      </c>
      <c r="L166" s="940">
        <v>0</v>
      </c>
      <c r="M166" s="940">
        <v>0</v>
      </c>
      <c r="N166" s="940">
        <v>0</v>
      </c>
      <c r="O166" s="940">
        <v>0</v>
      </c>
      <c r="P166" s="940">
        <f>'[2]2019 (co TK)'!L192-'[2]2019 (co TK)'!AD192</f>
        <v>3181</v>
      </c>
      <c r="Q166" s="940">
        <v>0</v>
      </c>
      <c r="R166" s="940">
        <v>0</v>
      </c>
      <c r="S166" s="942"/>
      <c r="T166" s="942"/>
      <c r="U166" s="942">
        <f>'[2]2019 (co TK)'!L192</f>
        <v>3273</v>
      </c>
      <c r="V166" s="942">
        <f>U166-C166</f>
        <v>0</v>
      </c>
      <c r="W166" s="942"/>
      <c r="X166" s="943">
        <v>2954</v>
      </c>
      <c r="Y166" s="944">
        <f t="shared" si="26"/>
        <v>-319</v>
      </c>
    </row>
    <row r="167" spans="1:25" s="945" customFormat="1" ht="31.5" customHeight="1">
      <c r="A167" s="934">
        <v>35</v>
      </c>
      <c r="B167" s="939" t="s">
        <v>645</v>
      </c>
      <c r="C167" s="940">
        <f t="shared" si="32"/>
        <v>2565</v>
      </c>
      <c r="D167" s="940">
        <f>'[2]2019 (co TK)'!AD197</f>
        <v>517</v>
      </c>
      <c r="E167" s="940">
        <v>0</v>
      </c>
      <c r="F167" s="940">
        <v>0</v>
      </c>
      <c r="G167" s="940">
        <v>0</v>
      </c>
      <c r="H167" s="940">
        <v>0</v>
      </c>
      <c r="I167" s="940">
        <v>0</v>
      </c>
      <c r="J167" s="940">
        <v>0</v>
      </c>
      <c r="K167" s="940">
        <v>0</v>
      </c>
      <c r="L167" s="940">
        <v>0</v>
      </c>
      <c r="M167" s="940">
        <v>0</v>
      </c>
      <c r="N167" s="940">
        <v>0</v>
      </c>
      <c r="O167" s="940">
        <v>0</v>
      </c>
      <c r="P167" s="940">
        <f>'[2]2019 (co TK)'!L197-'[2]2019 (co TK)'!AD197</f>
        <v>2048</v>
      </c>
      <c r="Q167" s="940">
        <v>0</v>
      </c>
      <c r="R167" s="940"/>
      <c r="S167" s="942"/>
      <c r="T167" s="942"/>
      <c r="U167" s="942">
        <f>'[2]2019 (co TK)'!L197</f>
        <v>2565</v>
      </c>
      <c r="V167" s="942">
        <f>U167-C167</f>
        <v>0</v>
      </c>
      <c r="W167" s="942"/>
      <c r="X167" s="944">
        <v>2391</v>
      </c>
      <c r="Y167" s="944">
        <f t="shared" si="26"/>
        <v>-174</v>
      </c>
    </row>
    <row r="168" spans="1:25" s="945" customFormat="1" ht="31.5" hidden="1" customHeight="1">
      <c r="A168" s="934"/>
      <c r="B168" s="982" t="s">
        <v>646</v>
      </c>
      <c r="C168" s="940">
        <f t="shared" si="32"/>
        <v>0</v>
      </c>
      <c r="D168" s="940">
        <v>0</v>
      </c>
      <c r="E168" s="940">
        <v>0</v>
      </c>
      <c r="F168" s="940">
        <v>0</v>
      </c>
      <c r="G168" s="940">
        <v>0</v>
      </c>
      <c r="H168" s="940">
        <v>0</v>
      </c>
      <c r="I168" s="940">
        <v>0</v>
      </c>
      <c r="J168" s="940">
        <v>0</v>
      </c>
      <c r="K168" s="940">
        <v>0</v>
      </c>
      <c r="L168" s="940">
        <v>0</v>
      </c>
      <c r="M168" s="940">
        <v>0</v>
      </c>
      <c r="N168" s="940">
        <v>0</v>
      </c>
      <c r="O168" s="940">
        <v>0</v>
      </c>
      <c r="P168" s="940">
        <v>0</v>
      </c>
      <c r="Q168" s="940">
        <v>0</v>
      </c>
      <c r="R168" s="940">
        <f>'[2]2019 (co TK)'!L198</f>
        <v>0</v>
      </c>
      <c r="S168" s="942"/>
      <c r="T168" s="942"/>
      <c r="U168" s="942"/>
      <c r="V168" s="942"/>
      <c r="W168" s="942"/>
      <c r="X168" s="944">
        <v>0</v>
      </c>
      <c r="Y168" s="944">
        <f t="shared" si="26"/>
        <v>0</v>
      </c>
    </row>
    <row r="169" spans="1:25" s="945" customFormat="1" ht="31.5" customHeight="1">
      <c r="A169" s="934">
        <v>36</v>
      </c>
      <c r="B169" s="939" t="s">
        <v>647</v>
      </c>
      <c r="C169" s="940">
        <f t="shared" si="32"/>
        <v>538</v>
      </c>
      <c r="D169" s="940">
        <f>'[2]2019 (co TK)'!AD199</f>
        <v>0</v>
      </c>
      <c r="E169" s="940">
        <v>0</v>
      </c>
      <c r="F169" s="940">
        <v>0</v>
      </c>
      <c r="G169" s="940">
        <v>0</v>
      </c>
      <c r="H169" s="940">
        <v>0</v>
      </c>
      <c r="I169" s="940">
        <v>0</v>
      </c>
      <c r="J169" s="940">
        <v>0</v>
      </c>
      <c r="K169" s="940">
        <v>0</v>
      </c>
      <c r="L169" s="940">
        <v>0</v>
      </c>
      <c r="M169" s="940">
        <v>0</v>
      </c>
      <c r="N169" s="940">
        <v>0</v>
      </c>
      <c r="O169" s="940">
        <v>0</v>
      </c>
      <c r="P169" s="940">
        <f>'[2]2019 (co TK)'!L199-'[2]2019 (co TK)'!AD199+'[2]2019 (co TK)'!AJ199</f>
        <v>538</v>
      </c>
      <c r="Q169" s="940">
        <v>0</v>
      </c>
      <c r="R169" s="940"/>
      <c r="S169" s="942"/>
      <c r="T169" s="942"/>
      <c r="U169" s="942">
        <f>'[2]2019 (co TK)'!L199</f>
        <v>538</v>
      </c>
      <c r="V169" s="942">
        <f t="shared" ref="V169:V177" si="33">U169-C169</f>
        <v>0</v>
      </c>
      <c r="W169" s="942"/>
      <c r="X169" s="944">
        <v>428</v>
      </c>
      <c r="Y169" s="944">
        <f t="shared" si="26"/>
        <v>-110</v>
      </c>
    </row>
    <row r="170" spans="1:25" s="945" customFormat="1" ht="28.5" customHeight="1">
      <c r="A170" s="934">
        <v>37</v>
      </c>
      <c r="B170" s="939" t="s">
        <v>657</v>
      </c>
      <c r="C170" s="940">
        <f t="shared" si="32"/>
        <v>1580</v>
      </c>
      <c r="D170" s="940">
        <f>'[2]2019 (co TK)'!AD209</f>
        <v>0</v>
      </c>
      <c r="E170" s="940">
        <v>0</v>
      </c>
      <c r="F170" s="940">
        <v>0</v>
      </c>
      <c r="G170" s="940">
        <v>0</v>
      </c>
      <c r="H170" s="940">
        <v>0</v>
      </c>
      <c r="I170" s="940">
        <v>0</v>
      </c>
      <c r="J170" s="940">
        <v>0</v>
      </c>
      <c r="K170" s="940">
        <v>0</v>
      </c>
      <c r="L170" s="940">
        <v>0</v>
      </c>
      <c r="M170" s="940">
        <v>0</v>
      </c>
      <c r="N170" s="940">
        <v>0</v>
      </c>
      <c r="O170" s="940">
        <v>0</v>
      </c>
      <c r="P170" s="940">
        <f>'[2]2019 (co TK)'!L209-'[2]2019 (co TK)'!AD209</f>
        <v>1580</v>
      </c>
      <c r="Q170" s="940">
        <v>0</v>
      </c>
      <c r="R170" s="940"/>
      <c r="S170" s="942"/>
      <c r="T170" s="942"/>
      <c r="U170" s="942">
        <f>'[2]2019 (co TK)'!L209</f>
        <v>1580</v>
      </c>
      <c r="V170" s="942">
        <f t="shared" si="33"/>
        <v>0</v>
      </c>
      <c r="W170" s="942"/>
      <c r="X170" s="944">
        <v>1527</v>
      </c>
      <c r="Y170" s="944">
        <f t="shared" si="26"/>
        <v>-53</v>
      </c>
    </row>
    <row r="171" spans="1:25" s="945" customFormat="1" ht="28.5" customHeight="1">
      <c r="A171" s="934">
        <v>38</v>
      </c>
      <c r="B171" s="939" t="s">
        <v>658</v>
      </c>
      <c r="C171" s="940">
        <f t="shared" si="32"/>
        <v>1626</v>
      </c>
      <c r="D171" s="940">
        <f>'[2]2019 (co TK)'!AD210</f>
        <v>50</v>
      </c>
      <c r="E171" s="940">
        <v>0</v>
      </c>
      <c r="F171" s="940">
        <v>0</v>
      </c>
      <c r="G171" s="940">
        <v>0</v>
      </c>
      <c r="H171" s="940">
        <v>0</v>
      </c>
      <c r="I171" s="940">
        <v>0</v>
      </c>
      <c r="J171" s="940">
        <v>0</v>
      </c>
      <c r="K171" s="940">
        <v>0</v>
      </c>
      <c r="L171" s="940">
        <v>0</v>
      </c>
      <c r="M171" s="940">
        <v>0</v>
      </c>
      <c r="N171" s="940">
        <v>0</v>
      </c>
      <c r="O171" s="940">
        <v>0</v>
      </c>
      <c r="P171" s="940">
        <f>'[2]2019 (co TK)'!L210-'[2]2019 (co TK)'!AD210+'[2]2019 (co TK)'!AJ210</f>
        <v>1576</v>
      </c>
      <c r="Q171" s="940">
        <v>0</v>
      </c>
      <c r="R171" s="940">
        <v>0</v>
      </c>
      <c r="S171" s="942"/>
      <c r="T171" s="942"/>
      <c r="U171" s="942">
        <f>'[2]2019 (co TK)'!L210</f>
        <v>1626</v>
      </c>
      <c r="V171" s="942">
        <f t="shared" si="33"/>
        <v>0</v>
      </c>
      <c r="W171" s="942"/>
      <c r="X171" s="944">
        <v>1472</v>
      </c>
      <c r="Y171" s="944">
        <f t="shared" si="26"/>
        <v>-154</v>
      </c>
    </row>
    <row r="172" spans="1:25" s="945" customFormat="1" ht="28.5" customHeight="1">
      <c r="A172" s="934">
        <v>39</v>
      </c>
      <c r="B172" s="939" t="s">
        <v>659</v>
      </c>
      <c r="C172" s="940">
        <f t="shared" si="32"/>
        <v>447</v>
      </c>
      <c r="D172" s="940">
        <f>'[2]2019 (co TK)'!AD211</f>
        <v>0</v>
      </c>
      <c r="E172" s="940">
        <v>0</v>
      </c>
      <c r="F172" s="940">
        <v>0</v>
      </c>
      <c r="G172" s="940">
        <v>0</v>
      </c>
      <c r="H172" s="940">
        <v>0</v>
      </c>
      <c r="I172" s="940">
        <v>0</v>
      </c>
      <c r="J172" s="940">
        <v>0</v>
      </c>
      <c r="K172" s="940">
        <v>0</v>
      </c>
      <c r="L172" s="940">
        <v>0</v>
      </c>
      <c r="M172" s="940">
        <v>0</v>
      </c>
      <c r="N172" s="940">
        <v>0</v>
      </c>
      <c r="O172" s="940">
        <v>0</v>
      </c>
      <c r="P172" s="940">
        <f>'[2]2019 (co TK)'!L211-'[2]2019 (co TK)'!AD211</f>
        <v>447</v>
      </c>
      <c r="Q172" s="940">
        <v>0</v>
      </c>
      <c r="R172" s="940">
        <v>0</v>
      </c>
      <c r="S172" s="942"/>
      <c r="T172" s="942"/>
      <c r="U172" s="942">
        <f>'[2]2019 (co TK)'!L211</f>
        <v>447</v>
      </c>
      <c r="V172" s="942">
        <f t="shared" si="33"/>
        <v>0</v>
      </c>
      <c r="W172" s="942"/>
      <c r="X172" s="944">
        <v>912</v>
      </c>
      <c r="Y172" s="944">
        <f t="shared" si="26"/>
        <v>465</v>
      </c>
    </row>
    <row r="173" spans="1:25" s="945" customFormat="1" ht="28.5" customHeight="1">
      <c r="A173" s="934">
        <v>40</v>
      </c>
      <c r="B173" s="939" t="s">
        <v>660</v>
      </c>
      <c r="C173" s="940">
        <f t="shared" si="32"/>
        <v>444</v>
      </c>
      <c r="D173" s="940">
        <f>'[2]2019 (co TK)'!AD212</f>
        <v>0</v>
      </c>
      <c r="E173" s="940">
        <v>0</v>
      </c>
      <c r="F173" s="940">
        <v>0</v>
      </c>
      <c r="G173" s="940">
        <v>0</v>
      </c>
      <c r="H173" s="940">
        <v>0</v>
      </c>
      <c r="I173" s="940">
        <v>0</v>
      </c>
      <c r="J173" s="940">
        <v>0</v>
      </c>
      <c r="K173" s="940">
        <v>0</v>
      </c>
      <c r="L173" s="940">
        <v>0</v>
      </c>
      <c r="M173" s="940">
        <v>0</v>
      </c>
      <c r="N173" s="940">
        <v>0</v>
      </c>
      <c r="O173" s="940">
        <v>0</v>
      </c>
      <c r="P173" s="940">
        <f>'[2]2019 (co TK)'!L212-'[2]2019 (co TK)'!AD212</f>
        <v>444</v>
      </c>
      <c r="Q173" s="940">
        <v>0</v>
      </c>
      <c r="R173" s="940">
        <v>0</v>
      </c>
      <c r="S173" s="942"/>
      <c r="T173" s="942"/>
      <c r="U173" s="942">
        <f>'[2]2019 (co TK)'!L212</f>
        <v>444</v>
      </c>
      <c r="V173" s="942">
        <f t="shared" si="33"/>
        <v>0</v>
      </c>
      <c r="W173" s="942"/>
      <c r="X173" s="944">
        <v>394</v>
      </c>
      <c r="Y173" s="944">
        <f t="shared" si="26"/>
        <v>-50</v>
      </c>
    </row>
    <row r="174" spans="1:25" s="945" customFormat="1" ht="28.5" customHeight="1">
      <c r="A174" s="934">
        <v>41</v>
      </c>
      <c r="B174" s="939" t="s">
        <v>661</v>
      </c>
      <c r="C174" s="940">
        <f t="shared" si="32"/>
        <v>1917</v>
      </c>
      <c r="D174" s="940">
        <f>'[2]2019 (co TK)'!AD213</f>
        <v>221</v>
      </c>
      <c r="E174" s="940">
        <v>0</v>
      </c>
      <c r="F174" s="940">
        <v>0</v>
      </c>
      <c r="G174" s="940">
        <v>0</v>
      </c>
      <c r="H174" s="940">
        <v>0</v>
      </c>
      <c r="I174" s="940">
        <v>0</v>
      </c>
      <c r="J174" s="940">
        <v>0</v>
      </c>
      <c r="K174" s="940">
        <v>0</v>
      </c>
      <c r="L174" s="940">
        <v>0</v>
      </c>
      <c r="M174" s="940">
        <v>0</v>
      </c>
      <c r="N174" s="940">
        <v>0</v>
      </c>
      <c r="O174" s="940">
        <v>0</v>
      </c>
      <c r="P174" s="940">
        <f>'[2]2019 (co TK)'!L213-'[2]2019 (co TK)'!AD213</f>
        <v>1696</v>
      </c>
      <c r="Q174" s="940">
        <v>0</v>
      </c>
      <c r="R174" s="940">
        <v>0</v>
      </c>
      <c r="S174" s="942"/>
      <c r="T174" s="942"/>
      <c r="U174" s="942">
        <f>'[2]2019 (co TK)'!L213</f>
        <v>1917</v>
      </c>
      <c r="V174" s="942">
        <f t="shared" si="33"/>
        <v>0</v>
      </c>
      <c r="W174" s="942"/>
      <c r="X174" s="944">
        <v>1968</v>
      </c>
      <c r="Y174" s="944">
        <f t="shared" si="26"/>
        <v>51</v>
      </c>
    </row>
    <row r="175" spans="1:25" s="945" customFormat="1" ht="28.5" customHeight="1">
      <c r="A175" s="934">
        <v>42</v>
      </c>
      <c r="B175" s="939" t="s">
        <v>641</v>
      </c>
      <c r="C175" s="940">
        <f t="shared" si="32"/>
        <v>74520</v>
      </c>
      <c r="D175" s="940">
        <f>'[2]2019 (co TK)'!AD194</f>
        <v>2000</v>
      </c>
      <c r="E175" s="940">
        <v>0</v>
      </c>
      <c r="F175" s="940">
        <v>0</v>
      </c>
      <c r="G175" s="940">
        <v>0</v>
      </c>
      <c r="H175" s="940">
        <v>0</v>
      </c>
      <c r="I175" s="940">
        <v>0</v>
      </c>
      <c r="J175" s="940"/>
      <c r="K175" s="940">
        <v>0</v>
      </c>
      <c r="L175" s="940">
        <v>0</v>
      </c>
      <c r="M175" s="940">
        <v>0</v>
      </c>
      <c r="N175" s="940">
        <v>0</v>
      </c>
      <c r="O175" s="940">
        <v>0</v>
      </c>
      <c r="P175" s="940">
        <f>'[2]2019 (co TK)'!L194-'[2]2019 (co TK)'!AD194</f>
        <v>72520</v>
      </c>
      <c r="Q175" s="940">
        <v>0</v>
      </c>
      <c r="R175" s="940">
        <v>0</v>
      </c>
      <c r="S175" s="942"/>
      <c r="T175" s="942"/>
      <c r="U175" s="942">
        <f>'[2]2019 (co TK)'!L194</f>
        <v>74520</v>
      </c>
      <c r="V175" s="942">
        <f t="shared" si="33"/>
        <v>0</v>
      </c>
      <c r="W175" s="942"/>
      <c r="X175" s="943">
        <v>74241</v>
      </c>
      <c r="Y175" s="944">
        <f t="shared" si="26"/>
        <v>-279</v>
      </c>
    </row>
    <row r="176" spans="1:25" s="945" customFormat="1" ht="28.5" hidden="1" customHeight="1">
      <c r="A176" s="934">
        <v>43</v>
      </c>
      <c r="B176" s="939" t="s">
        <v>642</v>
      </c>
      <c r="C176" s="940">
        <f t="shared" si="32"/>
        <v>0</v>
      </c>
      <c r="D176" s="940">
        <f>'[2]2019 (co TK)'!AD195</f>
        <v>0</v>
      </c>
      <c r="E176" s="940">
        <v>0</v>
      </c>
      <c r="F176" s="940">
        <v>0</v>
      </c>
      <c r="G176" s="940">
        <v>0</v>
      </c>
      <c r="H176" s="940">
        <v>0</v>
      </c>
      <c r="I176" s="940">
        <v>0</v>
      </c>
      <c r="J176" s="940">
        <v>0</v>
      </c>
      <c r="K176" s="940">
        <v>0</v>
      </c>
      <c r="L176" s="940">
        <v>0</v>
      </c>
      <c r="M176" s="940">
        <v>0</v>
      </c>
      <c r="N176" s="940">
        <v>0</v>
      </c>
      <c r="O176" s="940">
        <v>0</v>
      </c>
      <c r="P176" s="940">
        <f>'[2]2019 (co TK)'!L195-'[2]2019 (co TK)'!AD195</f>
        <v>0</v>
      </c>
      <c r="Q176" s="940">
        <v>0</v>
      </c>
      <c r="R176" s="940">
        <v>0</v>
      </c>
      <c r="S176" s="942"/>
      <c r="T176" s="942"/>
      <c r="U176" s="942">
        <f>'[2]2019 (co TK)'!L195</f>
        <v>0</v>
      </c>
      <c r="V176" s="942">
        <f t="shared" si="33"/>
        <v>0</v>
      </c>
      <c r="W176" s="942"/>
      <c r="X176" s="943">
        <v>6395</v>
      </c>
      <c r="Y176" s="944">
        <f t="shared" si="26"/>
        <v>6395</v>
      </c>
    </row>
    <row r="177" spans="1:25" s="945" customFormat="1" ht="28.5" customHeight="1">
      <c r="A177" s="934">
        <v>44</v>
      </c>
      <c r="B177" s="980" t="s">
        <v>625</v>
      </c>
      <c r="C177" s="940">
        <f t="shared" si="32"/>
        <v>49307</v>
      </c>
      <c r="D177" s="940">
        <f t="shared" ref="D177:Q177" si="34">SUM(D178:D187)</f>
        <v>6216</v>
      </c>
      <c r="E177" s="940">
        <f t="shared" si="34"/>
        <v>0</v>
      </c>
      <c r="F177" s="940">
        <f t="shared" si="34"/>
        <v>0</v>
      </c>
      <c r="G177" s="940">
        <f t="shared" si="34"/>
        <v>0</v>
      </c>
      <c r="H177" s="940">
        <f t="shared" si="34"/>
        <v>0</v>
      </c>
      <c r="I177" s="940">
        <f t="shared" si="34"/>
        <v>0</v>
      </c>
      <c r="J177" s="940">
        <f t="shared" si="34"/>
        <v>0</v>
      </c>
      <c r="K177" s="940">
        <f t="shared" si="34"/>
        <v>0</v>
      </c>
      <c r="L177" s="940">
        <f t="shared" si="34"/>
        <v>0</v>
      </c>
      <c r="M177" s="940">
        <f t="shared" si="34"/>
        <v>0</v>
      </c>
      <c r="N177" s="940">
        <f t="shared" si="34"/>
        <v>0</v>
      </c>
      <c r="O177" s="940">
        <f t="shared" si="34"/>
        <v>0</v>
      </c>
      <c r="P177" s="940">
        <f t="shared" si="34"/>
        <v>8299</v>
      </c>
      <c r="Q177" s="940">
        <f t="shared" si="34"/>
        <v>34792</v>
      </c>
      <c r="R177" s="940">
        <f>SUM(R178:R187)</f>
        <v>0</v>
      </c>
      <c r="S177" s="942"/>
      <c r="T177" s="942"/>
      <c r="U177" s="942">
        <f>'[2]2019 (co TK)'!L127+'[2]2019 (co TK)'!L66+'[2]2019 (co TK)'!L178+'[2]2019 (co TK)'!L200+'[2]2019 (co TK)'!L201+'[2]2019 (co TK)'!L202</f>
        <v>49307</v>
      </c>
      <c r="V177" s="942">
        <f t="shared" si="33"/>
        <v>0</v>
      </c>
      <c r="W177" s="942"/>
      <c r="X177" s="943">
        <v>45242</v>
      </c>
      <c r="Y177" s="944">
        <f t="shared" si="26"/>
        <v>-4065</v>
      </c>
    </row>
    <row r="178" spans="1:25" s="945" customFormat="1" ht="28.5" customHeight="1">
      <c r="A178" s="934"/>
      <c r="B178" s="939" t="s">
        <v>573</v>
      </c>
      <c r="C178" s="940">
        <f t="shared" si="32"/>
        <v>20381</v>
      </c>
      <c r="D178" s="940">
        <f>'[2]2019 (co TK)'!AD178</f>
        <v>450</v>
      </c>
      <c r="E178" s="940">
        <v>0</v>
      </c>
      <c r="F178" s="940">
        <v>0</v>
      </c>
      <c r="G178" s="940">
        <v>0</v>
      </c>
      <c r="H178" s="940">
        <v>0</v>
      </c>
      <c r="I178" s="940">
        <v>0</v>
      </c>
      <c r="J178" s="940">
        <v>0</v>
      </c>
      <c r="K178" s="940">
        <v>0</v>
      </c>
      <c r="L178" s="940">
        <v>0</v>
      </c>
      <c r="M178" s="940">
        <v>0</v>
      </c>
      <c r="N178" s="940">
        <v>0</v>
      </c>
      <c r="O178" s="940">
        <v>0</v>
      </c>
      <c r="P178" s="940">
        <f>'[2]2019 (co TK)'!L178-'[2]2019 (co TK)'!AD178</f>
        <v>7185</v>
      </c>
      <c r="Q178" s="940">
        <f>'[2]2019 (co TK)'!L128-'[2]2019 (co TK)'!AD128+'[2]2019 (co TK)'!AJ128</f>
        <v>12746</v>
      </c>
      <c r="R178" s="940">
        <v>0</v>
      </c>
      <c r="S178" s="942"/>
      <c r="T178" s="942"/>
      <c r="U178" s="942"/>
      <c r="V178" s="942"/>
      <c r="W178" s="942"/>
      <c r="X178" s="945">
        <v>18965</v>
      </c>
      <c r="Y178" s="944">
        <f t="shared" si="26"/>
        <v>-1416</v>
      </c>
    </row>
    <row r="179" spans="1:25" s="945" customFormat="1" ht="28.5" hidden="1" customHeight="1">
      <c r="A179" s="934"/>
      <c r="B179" s="939" t="s">
        <v>574</v>
      </c>
      <c r="C179" s="940">
        <f t="shared" si="32"/>
        <v>0</v>
      </c>
      <c r="D179" s="940">
        <f>'[2]2019 (co TK)'!AD129</f>
        <v>0</v>
      </c>
      <c r="E179" s="940">
        <v>0</v>
      </c>
      <c r="F179" s="940">
        <v>0</v>
      </c>
      <c r="G179" s="940">
        <v>0</v>
      </c>
      <c r="H179" s="940">
        <v>0</v>
      </c>
      <c r="I179" s="940">
        <v>0</v>
      </c>
      <c r="J179" s="940">
        <v>0</v>
      </c>
      <c r="K179" s="940">
        <v>0</v>
      </c>
      <c r="L179" s="940">
        <v>0</v>
      </c>
      <c r="M179" s="940">
        <v>0</v>
      </c>
      <c r="N179" s="940">
        <v>0</v>
      </c>
      <c r="O179" s="940">
        <v>0</v>
      </c>
      <c r="P179" s="940">
        <v>0</v>
      </c>
      <c r="Q179" s="940">
        <f>'[2]2019 (co TK)'!L129-'[2]2019 (co TK)'!AD129+'[2]2019 (co TK)'!AJ129</f>
        <v>0</v>
      </c>
      <c r="R179" s="940">
        <v>0</v>
      </c>
      <c r="S179" s="942"/>
      <c r="T179" s="942"/>
      <c r="U179" s="942"/>
      <c r="V179" s="942"/>
      <c r="W179" s="942"/>
      <c r="X179" s="945">
        <v>1301</v>
      </c>
      <c r="Y179" s="944">
        <f t="shared" si="26"/>
        <v>1301</v>
      </c>
    </row>
    <row r="180" spans="1:25" s="945" customFormat="1" ht="28.5" customHeight="1">
      <c r="A180" s="934"/>
      <c r="B180" s="939" t="s">
        <v>575</v>
      </c>
      <c r="C180" s="940">
        <f t="shared" si="32"/>
        <v>6579</v>
      </c>
      <c r="D180" s="940">
        <f>'[2]2019 (co TK)'!AD130</f>
        <v>0</v>
      </c>
      <c r="E180" s="940">
        <v>0</v>
      </c>
      <c r="F180" s="940">
        <v>0</v>
      </c>
      <c r="G180" s="940">
        <v>0</v>
      </c>
      <c r="H180" s="940">
        <v>0</v>
      </c>
      <c r="I180" s="940">
        <v>0</v>
      </c>
      <c r="J180" s="940">
        <v>0</v>
      </c>
      <c r="K180" s="940">
        <v>0</v>
      </c>
      <c r="L180" s="940">
        <v>0</v>
      </c>
      <c r="M180" s="940">
        <v>0</v>
      </c>
      <c r="N180" s="940">
        <v>0</v>
      </c>
      <c r="O180" s="940">
        <v>0</v>
      </c>
      <c r="P180" s="940">
        <v>0</v>
      </c>
      <c r="Q180" s="940">
        <f>'[2]2019 (co TK)'!L130-'[2]2019 (co TK)'!AD130</f>
        <v>6579</v>
      </c>
      <c r="R180" s="940">
        <v>0</v>
      </c>
      <c r="S180" s="942"/>
      <c r="T180" s="942"/>
      <c r="U180" s="942"/>
      <c r="V180" s="942"/>
      <c r="W180" s="942"/>
      <c r="X180" s="945">
        <v>4710</v>
      </c>
      <c r="Y180" s="944">
        <f t="shared" si="26"/>
        <v>-1869</v>
      </c>
    </row>
    <row r="181" spans="1:25" s="945" customFormat="1" ht="28.5" customHeight="1">
      <c r="A181" s="934"/>
      <c r="B181" s="939" t="s">
        <v>576</v>
      </c>
      <c r="C181" s="940">
        <f t="shared" si="32"/>
        <v>12605</v>
      </c>
      <c r="D181" s="940">
        <f>'[2]2019 (co TK)'!AD131</f>
        <v>0</v>
      </c>
      <c r="E181" s="940">
        <v>0</v>
      </c>
      <c r="F181" s="940">
        <v>0</v>
      </c>
      <c r="G181" s="940">
        <v>0</v>
      </c>
      <c r="H181" s="940">
        <v>0</v>
      </c>
      <c r="I181" s="940">
        <v>0</v>
      </c>
      <c r="J181" s="940">
        <v>0</v>
      </c>
      <c r="K181" s="940">
        <v>0</v>
      </c>
      <c r="L181" s="940">
        <v>0</v>
      </c>
      <c r="M181" s="940">
        <v>0</v>
      </c>
      <c r="N181" s="940">
        <v>0</v>
      </c>
      <c r="O181" s="940">
        <v>0</v>
      </c>
      <c r="P181" s="940">
        <v>0</v>
      </c>
      <c r="Q181" s="940">
        <f>'[2]2019 (co TK)'!L131-'[2]2019 (co TK)'!AD131</f>
        <v>12605</v>
      </c>
      <c r="R181" s="940">
        <v>0</v>
      </c>
      <c r="S181" s="942"/>
      <c r="T181" s="942"/>
      <c r="U181" s="942"/>
      <c r="V181" s="942"/>
      <c r="W181" s="942"/>
      <c r="X181" s="945">
        <v>10312</v>
      </c>
      <c r="Y181" s="944">
        <f t="shared" si="26"/>
        <v>-2293</v>
      </c>
    </row>
    <row r="182" spans="1:25" s="945" customFormat="1" ht="28.5" customHeight="1">
      <c r="A182" s="934"/>
      <c r="B182" s="939" t="s">
        <v>577</v>
      </c>
      <c r="C182" s="940">
        <f t="shared" si="32"/>
        <v>1649</v>
      </c>
      <c r="D182" s="940">
        <f>'[2]2019 (co TK)'!AD132</f>
        <v>0</v>
      </c>
      <c r="E182" s="940">
        <v>0</v>
      </c>
      <c r="F182" s="940">
        <v>0</v>
      </c>
      <c r="G182" s="940">
        <v>0</v>
      </c>
      <c r="H182" s="940">
        <v>0</v>
      </c>
      <c r="I182" s="940">
        <v>0</v>
      </c>
      <c r="J182" s="940">
        <v>0</v>
      </c>
      <c r="K182" s="940">
        <v>0</v>
      </c>
      <c r="L182" s="940">
        <v>0</v>
      </c>
      <c r="M182" s="940">
        <v>0</v>
      </c>
      <c r="N182" s="940">
        <v>0</v>
      </c>
      <c r="O182" s="940">
        <v>0</v>
      </c>
      <c r="P182" s="940">
        <v>0</v>
      </c>
      <c r="Q182" s="940">
        <f>'[2]2019 (co TK)'!L132-'[2]2019 (co TK)'!AD132</f>
        <v>1649</v>
      </c>
      <c r="R182" s="940">
        <v>0</v>
      </c>
      <c r="S182" s="942"/>
      <c r="T182" s="942"/>
      <c r="U182" s="942"/>
      <c r="V182" s="942"/>
      <c r="W182" s="942"/>
      <c r="X182" s="945">
        <v>1481</v>
      </c>
      <c r="Y182" s="944">
        <f t="shared" si="26"/>
        <v>-168</v>
      </c>
    </row>
    <row r="183" spans="1:25" s="945" customFormat="1" ht="28.5" customHeight="1">
      <c r="A183" s="934"/>
      <c r="B183" s="939" t="s">
        <v>578</v>
      </c>
      <c r="C183" s="940">
        <f t="shared" si="32"/>
        <v>1213</v>
      </c>
      <c r="D183" s="940">
        <f>'[2]2019 (co TK)'!AD133</f>
        <v>0</v>
      </c>
      <c r="E183" s="940">
        <v>0</v>
      </c>
      <c r="F183" s="940">
        <v>0</v>
      </c>
      <c r="G183" s="940">
        <v>0</v>
      </c>
      <c r="H183" s="940">
        <v>0</v>
      </c>
      <c r="I183" s="940">
        <v>0</v>
      </c>
      <c r="J183" s="940">
        <v>0</v>
      </c>
      <c r="K183" s="940">
        <v>0</v>
      </c>
      <c r="L183" s="940">
        <v>0</v>
      </c>
      <c r="M183" s="940">
        <v>0</v>
      </c>
      <c r="N183" s="940">
        <v>0</v>
      </c>
      <c r="O183" s="940">
        <v>0</v>
      </c>
      <c r="P183" s="940">
        <v>0</v>
      </c>
      <c r="Q183" s="940">
        <f>'[2]2019 (co TK)'!L133-'[2]2019 (co TK)'!AD133</f>
        <v>1213</v>
      </c>
      <c r="R183" s="940">
        <v>0</v>
      </c>
      <c r="S183" s="942"/>
      <c r="T183" s="942"/>
      <c r="U183" s="942"/>
      <c r="V183" s="942"/>
      <c r="W183" s="942"/>
      <c r="X183" s="945">
        <v>1171</v>
      </c>
      <c r="Y183" s="944">
        <f t="shared" si="26"/>
        <v>-42</v>
      </c>
    </row>
    <row r="184" spans="1:25" s="945" customFormat="1" ht="28.5" customHeight="1">
      <c r="A184" s="934"/>
      <c r="B184" s="939" t="s">
        <v>789</v>
      </c>
      <c r="C184" s="940">
        <f t="shared" si="32"/>
        <v>5766</v>
      </c>
      <c r="D184" s="940">
        <f>'[2]2019 (co TK)'!L66</f>
        <v>5766</v>
      </c>
      <c r="E184" s="940">
        <v>0</v>
      </c>
      <c r="F184" s="940">
        <v>0</v>
      </c>
      <c r="G184" s="940">
        <v>0</v>
      </c>
      <c r="H184" s="940">
        <v>0</v>
      </c>
      <c r="I184" s="940">
        <v>0</v>
      </c>
      <c r="J184" s="940">
        <v>0</v>
      </c>
      <c r="K184" s="940">
        <v>0</v>
      </c>
      <c r="L184" s="940">
        <v>0</v>
      </c>
      <c r="M184" s="940">
        <v>0</v>
      </c>
      <c r="N184" s="940">
        <v>0</v>
      </c>
      <c r="O184" s="940">
        <v>0</v>
      </c>
      <c r="P184" s="940">
        <v>0</v>
      </c>
      <c r="Q184" s="940">
        <v>0</v>
      </c>
      <c r="R184" s="940"/>
      <c r="S184" s="942"/>
      <c r="T184" s="942"/>
      <c r="U184" s="942"/>
      <c r="V184" s="942"/>
      <c r="W184" s="942"/>
      <c r="X184" s="945">
        <v>5994</v>
      </c>
      <c r="Y184" s="944">
        <f t="shared" si="26"/>
        <v>228</v>
      </c>
    </row>
    <row r="185" spans="1:25" s="945" customFormat="1" ht="28.5" customHeight="1">
      <c r="A185" s="934"/>
      <c r="B185" s="939" t="s">
        <v>790</v>
      </c>
      <c r="C185" s="940">
        <f t="shared" si="32"/>
        <v>0</v>
      </c>
      <c r="D185" s="940">
        <f>'[2]2019 (co TK)'!AD200</f>
        <v>0</v>
      </c>
      <c r="E185" s="940">
        <v>0</v>
      </c>
      <c r="F185" s="940">
        <v>0</v>
      </c>
      <c r="G185" s="940">
        <v>0</v>
      </c>
      <c r="H185" s="940">
        <v>0</v>
      </c>
      <c r="I185" s="940">
        <v>0</v>
      </c>
      <c r="J185" s="940">
        <v>0</v>
      </c>
      <c r="K185" s="940">
        <v>0</v>
      </c>
      <c r="L185" s="940">
        <v>0</v>
      </c>
      <c r="M185" s="940">
        <v>0</v>
      </c>
      <c r="N185" s="940">
        <v>0</v>
      </c>
      <c r="O185" s="940">
        <v>0</v>
      </c>
      <c r="P185" s="940">
        <f>'[2]2019 (co TK)'!L200-'[2]2019 (co TK)'!AD200</f>
        <v>0</v>
      </c>
      <c r="Q185" s="940"/>
      <c r="R185" s="940"/>
      <c r="S185" s="942"/>
      <c r="T185" s="942"/>
      <c r="U185" s="942"/>
      <c r="V185" s="942"/>
      <c r="W185" s="942"/>
      <c r="X185" s="945">
        <v>289</v>
      </c>
      <c r="Y185" s="944">
        <f t="shared" si="26"/>
        <v>289</v>
      </c>
    </row>
    <row r="186" spans="1:25" s="945" customFormat="1" ht="28.5" customHeight="1">
      <c r="A186" s="934"/>
      <c r="B186" s="939" t="s">
        <v>791</v>
      </c>
      <c r="C186" s="940">
        <f t="shared" si="32"/>
        <v>0</v>
      </c>
      <c r="D186" s="940">
        <f>'[2]2019 (co TK)'!AD201</f>
        <v>0</v>
      </c>
      <c r="E186" s="940">
        <v>0</v>
      </c>
      <c r="F186" s="940">
        <v>0</v>
      </c>
      <c r="G186" s="940">
        <v>0</v>
      </c>
      <c r="H186" s="940">
        <v>0</v>
      </c>
      <c r="I186" s="940">
        <v>0</v>
      </c>
      <c r="J186" s="940">
        <v>0</v>
      </c>
      <c r="K186" s="940">
        <v>0</v>
      </c>
      <c r="L186" s="940">
        <v>0</v>
      </c>
      <c r="M186" s="940">
        <v>0</v>
      </c>
      <c r="N186" s="940">
        <v>0</v>
      </c>
      <c r="O186" s="940">
        <v>0</v>
      </c>
      <c r="P186" s="940">
        <f>'[2]2019 (co TK)'!L201-'[2]2019 (co TK)'!AD201</f>
        <v>0</v>
      </c>
      <c r="Q186" s="940"/>
      <c r="R186" s="940"/>
      <c r="S186" s="942"/>
      <c r="T186" s="942"/>
      <c r="U186" s="942"/>
      <c r="V186" s="942"/>
      <c r="W186" s="942"/>
      <c r="X186" s="945">
        <v>380</v>
      </c>
      <c r="Y186" s="944">
        <f t="shared" si="26"/>
        <v>380</v>
      </c>
    </row>
    <row r="187" spans="1:25" s="945" customFormat="1" ht="28.5" customHeight="1">
      <c r="A187" s="934"/>
      <c r="B187" s="939" t="s">
        <v>792</v>
      </c>
      <c r="C187" s="940">
        <f t="shared" si="32"/>
        <v>1114</v>
      </c>
      <c r="D187" s="940">
        <f>'[2]2019 (co TK)'!AD202</f>
        <v>0</v>
      </c>
      <c r="E187" s="940">
        <v>0</v>
      </c>
      <c r="F187" s="940">
        <v>0</v>
      </c>
      <c r="G187" s="940">
        <v>0</v>
      </c>
      <c r="H187" s="940">
        <v>0</v>
      </c>
      <c r="I187" s="940">
        <v>0</v>
      </c>
      <c r="J187" s="940">
        <v>0</v>
      </c>
      <c r="K187" s="940">
        <v>0</v>
      </c>
      <c r="L187" s="940">
        <v>0</v>
      </c>
      <c r="M187" s="940">
        <v>0</v>
      </c>
      <c r="N187" s="940">
        <v>0</v>
      </c>
      <c r="O187" s="940">
        <v>0</v>
      </c>
      <c r="P187" s="940">
        <f>'[2]2019 (co TK)'!L202-'[2]2019 (co TK)'!AD202</f>
        <v>1114</v>
      </c>
      <c r="Q187" s="940"/>
      <c r="R187" s="940"/>
      <c r="S187" s="942"/>
      <c r="T187" s="942"/>
      <c r="U187" s="942"/>
      <c r="V187" s="942"/>
      <c r="W187" s="942"/>
      <c r="X187" s="945">
        <v>639</v>
      </c>
      <c r="Y187" s="944">
        <f t="shared" si="26"/>
        <v>-475</v>
      </c>
    </row>
    <row r="188" spans="1:25" s="945" customFormat="1" ht="28.5" customHeight="1">
      <c r="A188" s="934">
        <v>45</v>
      </c>
      <c r="B188" s="939" t="s">
        <v>793</v>
      </c>
      <c r="C188" s="940">
        <f t="shared" si="32"/>
        <v>9400</v>
      </c>
      <c r="D188" s="940">
        <v>0</v>
      </c>
      <c r="E188" s="940">
        <v>0</v>
      </c>
      <c r="F188" s="940">
        <v>0</v>
      </c>
      <c r="G188" s="940">
        <v>0</v>
      </c>
      <c r="H188" s="940">
        <v>0</v>
      </c>
      <c r="I188" s="940">
        <v>0</v>
      </c>
      <c r="J188" s="940">
        <v>0</v>
      </c>
      <c r="K188" s="940">
        <v>0</v>
      </c>
      <c r="L188" s="940">
        <v>0</v>
      </c>
      <c r="M188" s="940">
        <v>0</v>
      </c>
      <c r="N188" s="940">
        <v>0</v>
      </c>
      <c r="O188" s="940">
        <v>0</v>
      </c>
      <c r="P188" s="940">
        <v>0</v>
      </c>
      <c r="Q188" s="940">
        <v>0</v>
      </c>
      <c r="R188" s="940">
        <f>R189+R190+R191</f>
        <v>9400</v>
      </c>
      <c r="S188" s="942"/>
      <c r="T188" s="942"/>
      <c r="U188" s="942">
        <f>'[2]2019 (co TK)'!L215</f>
        <v>9400</v>
      </c>
      <c r="V188" s="942"/>
      <c r="W188" s="942"/>
      <c r="X188" s="945">
        <v>8780</v>
      </c>
      <c r="Y188" s="944">
        <f t="shared" si="26"/>
        <v>-620</v>
      </c>
    </row>
    <row r="189" spans="1:25" s="945" customFormat="1" ht="44.25" customHeight="1">
      <c r="A189" s="934"/>
      <c r="B189" s="939" t="s">
        <v>665</v>
      </c>
      <c r="C189" s="940">
        <f t="shared" si="32"/>
        <v>1980</v>
      </c>
      <c r="D189" s="940">
        <v>0</v>
      </c>
      <c r="E189" s="940">
        <v>0</v>
      </c>
      <c r="F189" s="940">
        <v>0</v>
      </c>
      <c r="G189" s="940">
        <v>0</v>
      </c>
      <c r="H189" s="940">
        <v>0</v>
      </c>
      <c r="I189" s="940">
        <v>0</v>
      </c>
      <c r="J189" s="940">
        <v>0</v>
      </c>
      <c r="K189" s="940">
        <v>0</v>
      </c>
      <c r="L189" s="940">
        <v>0</v>
      </c>
      <c r="M189" s="940">
        <v>0</v>
      </c>
      <c r="N189" s="940">
        <v>0</v>
      </c>
      <c r="O189" s="940">
        <v>0</v>
      </c>
      <c r="P189" s="940">
        <v>0</v>
      </c>
      <c r="Q189" s="940">
        <v>0</v>
      </c>
      <c r="R189" s="940">
        <f>'[2]2019 (co TK)'!L216</f>
        <v>1980</v>
      </c>
      <c r="S189" s="942"/>
      <c r="T189" s="942"/>
      <c r="U189" s="942"/>
      <c r="V189" s="942"/>
      <c r="W189" s="942"/>
      <c r="X189" s="943">
        <v>1980</v>
      </c>
      <c r="Y189" s="944">
        <f t="shared" si="26"/>
        <v>0</v>
      </c>
    </row>
    <row r="190" spans="1:25" s="945" customFormat="1" ht="33.75" customHeight="1">
      <c r="A190" s="934"/>
      <c r="B190" s="983" t="s">
        <v>666</v>
      </c>
      <c r="C190" s="940">
        <f t="shared" si="32"/>
        <v>6820</v>
      </c>
      <c r="D190" s="940">
        <v>0</v>
      </c>
      <c r="E190" s="940">
        <v>0</v>
      </c>
      <c r="F190" s="940">
        <v>0</v>
      </c>
      <c r="G190" s="940">
        <v>0</v>
      </c>
      <c r="H190" s="940">
        <v>0</v>
      </c>
      <c r="I190" s="940">
        <v>0</v>
      </c>
      <c r="J190" s="940">
        <v>0</v>
      </c>
      <c r="K190" s="940">
        <v>0</v>
      </c>
      <c r="L190" s="940">
        <v>0</v>
      </c>
      <c r="M190" s="940">
        <v>0</v>
      </c>
      <c r="N190" s="940">
        <v>0</v>
      </c>
      <c r="O190" s="940">
        <v>0</v>
      </c>
      <c r="P190" s="940">
        <v>0</v>
      </c>
      <c r="Q190" s="940">
        <v>0</v>
      </c>
      <c r="R190" s="940">
        <f>'[2]2019 (co TK)'!L217</f>
        <v>6820</v>
      </c>
      <c r="S190" s="942"/>
      <c r="T190" s="942"/>
      <c r="U190" s="942"/>
      <c r="V190" s="942"/>
      <c r="W190" s="942"/>
      <c r="X190" s="943">
        <v>6200</v>
      </c>
      <c r="Y190" s="944">
        <f t="shared" si="26"/>
        <v>-620</v>
      </c>
    </row>
    <row r="191" spans="1:25" s="945" customFormat="1" ht="46.5" customHeight="1">
      <c r="A191" s="934"/>
      <c r="B191" s="983" t="s">
        <v>667</v>
      </c>
      <c r="C191" s="940">
        <f t="shared" si="32"/>
        <v>600</v>
      </c>
      <c r="D191" s="940">
        <v>0</v>
      </c>
      <c r="E191" s="940">
        <v>0</v>
      </c>
      <c r="F191" s="940">
        <v>0</v>
      </c>
      <c r="G191" s="940">
        <v>0</v>
      </c>
      <c r="H191" s="940">
        <v>0</v>
      </c>
      <c r="I191" s="940">
        <v>0</v>
      </c>
      <c r="J191" s="940">
        <v>0</v>
      </c>
      <c r="K191" s="940">
        <v>0</v>
      </c>
      <c r="L191" s="940">
        <v>0</v>
      </c>
      <c r="M191" s="940">
        <v>0</v>
      </c>
      <c r="N191" s="940">
        <v>0</v>
      </c>
      <c r="O191" s="940">
        <v>0</v>
      </c>
      <c r="P191" s="940">
        <v>0</v>
      </c>
      <c r="Q191" s="940">
        <v>0</v>
      </c>
      <c r="R191" s="940">
        <f>'[2]2019 (co TK)'!L218</f>
        <v>600</v>
      </c>
      <c r="S191" s="942"/>
      <c r="T191" s="942"/>
      <c r="U191" s="942"/>
      <c r="V191" s="942"/>
      <c r="W191" s="942"/>
      <c r="X191" s="943">
        <v>600</v>
      </c>
      <c r="Y191" s="944">
        <f t="shared" si="26"/>
        <v>0</v>
      </c>
    </row>
    <row r="192" spans="1:25" s="945" customFormat="1" ht="27" customHeight="1">
      <c r="A192" s="934"/>
      <c r="B192" s="983"/>
      <c r="C192" s="940"/>
      <c r="D192" s="940"/>
      <c r="E192" s="940"/>
      <c r="F192" s="940"/>
      <c r="G192" s="940"/>
      <c r="H192" s="940"/>
      <c r="I192" s="940"/>
      <c r="J192" s="940"/>
      <c r="K192" s="940"/>
      <c r="L192" s="940"/>
      <c r="M192" s="940"/>
      <c r="N192" s="940"/>
      <c r="O192" s="940"/>
      <c r="P192" s="940"/>
      <c r="Q192" s="940"/>
      <c r="R192" s="940"/>
      <c r="S192" s="942"/>
      <c r="T192" s="942"/>
      <c r="U192" s="942"/>
      <c r="V192" s="942"/>
      <c r="W192" s="942"/>
      <c r="Y192" s="944">
        <f>X192-C192</f>
        <v>0</v>
      </c>
    </row>
    <row r="193" spans="1:23" ht="18">
      <c r="A193" s="984"/>
      <c r="B193" s="985"/>
      <c r="C193" s="986"/>
      <c r="D193" s="986"/>
      <c r="E193" s="986"/>
      <c r="F193" s="986"/>
      <c r="G193" s="986"/>
      <c r="H193" s="986"/>
      <c r="I193" s="986"/>
      <c r="J193" s="986"/>
      <c r="K193" s="986"/>
      <c r="L193" s="986"/>
      <c r="M193" s="986"/>
      <c r="N193" s="986"/>
      <c r="O193" s="986"/>
      <c r="P193" s="986"/>
      <c r="Q193" s="986"/>
      <c r="R193" s="986"/>
      <c r="S193" s="942"/>
      <c r="T193" s="942"/>
      <c r="U193" s="942"/>
      <c r="V193" s="942"/>
      <c r="W193" s="942"/>
    </row>
    <row r="194" spans="1:23" ht="18">
      <c r="A194" s="987"/>
      <c r="B194" s="976"/>
      <c r="C194" s="945"/>
      <c r="D194" s="945"/>
      <c r="E194" s="945"/>
      <c r="F194" s="945"/>
      <c r="G194" s="945"/>
      <c r="H194" s="945"/>
      <c r="I194" s="945"/>
      <c r="J194" s="945"/>
      <c r="K194" s="945"/>
      <c r="L194" s="945"/>
      <c r="M194" s="945"/>
      <c r="N194" s="945"/>
      <c r="O194" s="945"/>
      <c r="P194" s="945"/>
      <c r="Q194" s="945"/>
      <c r="R194" s="945"/>
      <c r="S194" s="945"/>
      <c r="T194" s="945"/>
      <c r="U194" s="945"/>
      <c r="V194" s="945"/>
      <c r="W194" s="945"/>
    </row>
    <row r="195" spans="1:23" ht="18">
      <c r="A195" s="987"/>
      <c r="B195" s="976"/>
      <c r="C195" s="945"/>
      <c r="D195" s="945"/>
      <c r="E195" s="945"/>
      <c r="F195" s="945"/>
      <c r="G195" s="945"/>
      <c r="H195" s="945"/>
      <c r="I195" s="945"/>
      <c r="J195" s="945"/>
      <c r="K195" s="945"/>
      <c r="L195" s="945"/>
      <c r="M195" s="945"/>
      <c r="N195" s="945"/>
      <c r="O195" s="945"/>
      <c r="P195" s="945"/>
      <c r="Q195" s="945"/>
      <c r="R195" s="945"/>
      <c r="S195" s="945"/>
      <c r="T195" s="945"/>
      <c r="U195" s="945"/>
      <c r="V195" s="945"/>
      <c r="W195" s="945"/>
    </row>
    <row r="196" spans="1:23" ht="18">
      <c r="B196" s="976"/>
      <c r="C196" s="945"/>
      <c r="D196" s="945"/>
      <c r="E196" s="945"/>
      <c r="F196" s="945"/>
      <c r="G196" s="945"/>
      <c r="H196" s="945"/>
      <c r="I196" s="945"/>
      <c r="J196" s="945"/>
      <c r="K196" s="945"/>
      <c r="L196" s="945"/>
      <c r="M196" s="945"/>
      <c r="N196" s="945"/>
      <c r="O196" s="945"/>
      <c r="P196" s="945"/>
      <c r="Q196" s="945"/>
      <c r="R196" s="945"/>
      <c r="S196" s="945"/>
      <c r="T196" s="945"/>
      <c r="U196" s="945"/>
      <c r="V196" s="945"/>
      <c r="W196" s="945"/>
    </row>
    <row r="197" spans="1:23" ht="18">
      <c r="B197" s="945"/>
      <c r="C197" s="945"/>
      <c r="D197" s="945"/>
      <c r="E197" s="945"/>
      <c r="F197" s="945"/>
      <c r="G197" s="945"/>
      <c r="H197" s="945"/>
      <c r="I197" s="945"/>
      <c r="J197" s="945"/>
      <c r="K197" s="945"/>
      <c r="L197" s="945"/>
      <c r="M197" s="945"/>
      <c r="N197" s="945"/>
      <c r="O197" s="945"/>
      <c r="P197" s="945"/>
      <c r="Q197" s="945"/>
      <c r="R197" s="945"/>
      <c r="S197" s="945"/>
      <c r="T197" s="945"/>
      <c r="U197" s="945"/>
      <c r="V197" s="945"/>
      <c r="W197" s="945"/>
    </row>
    <row r="198" spans="1:23" ht="18">
      <c r="B198" s="945"/>
      <c r="C198" s="945"/>
      <c r="D198" s="945"/>
      <c r="E198" s="945"/>
      <c r="F198" s="945"/>
      <c r="G198" s="945"/>
      <c r="H198" s="945"/>
      <c r="I198" s="945"/>
      <c r="J198" s="945"/>
      <c r="K198" s="945"/>
      <c r="L198" s="945"/>
      <c r="M198" s="945"/>
      <c r="N198" s="945"/>
      <c r="O198" s="945"/>
      <c r="P198" s="945"/>
      <c r="Q198" s="945"/>
      <c r="R198" s="945"/>
      <c r="S198" s="945"/>
      <c r="T198" s="945"/>
      <c r="U198" s="945"/>
      <c r="V198" s="945"/>
      <c r="W198" s="945"/>
    </row>
    <row r="199" spans="1:23" ht="18">
      <c r="B199" s="945"/>
      <c r="C199" s="945"/>
      <c r="D199" s="945"/>
      <c r="E199" s="945"/>
      <c r="F199" s="945"/>
      <c r="G199" s="945"/>
      <c r="H199" s="945"/>
      <c r="I199" s="945"/>
      <c r="J199" s="945"/>
      <c r="K199" s="945"/>
      <c r="L199" s="945"/>
      <c r="M199" s="945"/>
      <c r="N199" s="945"/>
      <c r="O199" s="945"/>
      <c r="P199" s="945"/>
      <c r="Q199" s="945"/>
      <c r="R199" s="945"/>
      <c r="S199" s="945"/>
      <c r="T199" s="945"/>
      <c r="U199" s="945"/>
      <c r="V199" s="945"/>
      <c r="W199" s="945"/>
    </row>
    <row r="200" spans="1:23" ht="18">
      <c r="B200" s="945"/>
      <c r="C200" s="945"/>
      <c r="D200" s="945"/>
      <c r="E200" s="945"/>
      <c r="F200" s="945"/>
      <c r="G200" s="945"/>
      <c r="H200" s="945"/>
      <c r="I200" s="945"/>
      <c r="J200" s="945"/>
      <c r="K200" s="945"/>
      <c r="L200" s="945"/>
      <c r="M200" s="945"/>
      <c r="N200" s="945"/>
      <c r="O200" s="945"/>
      <c r="P200" s="945"/>
      <c r="Q200" s="945"/>
      <c r="R200" s="945"/>
      <c r="S200" s="945"/>
      <c r="T200" s="945"/>
      <c r="U200" s="945"/>
      <c r="V200" s="945"/>
      <c r="W200" s="945"/>
    </row>
    <row r="201" spans="1:23" ht="18">
      <c r="B201" s="945"/>
      <c r="C201" s="945"/>
      <c r="D201" s="945"/>
      <c r="E201" s="945"/>
      <c r="F201" s="945"/>
      <c r="G201" s="945"/>
      <c r="H201" s="945"/>
      <c r="I201" s="945"/>
      <c r="J201" s="945"/>
      <c r="K201" s="945"/>
      <c r="L201" s="945"/>
      <c r="M201" s="945"/>
      <c r="N201" s="945"/>
      <c r="O201" s="945"/>
      <c r="P201" s="945"/>
      <c r="Q201" s="945"/>
      <c r="R201" s="945"/>
      <c r="S201" s="945"/>
      <c r="T201" s="945"/>
      <c r="U201" s="945"/>
      <c r="V201" s="945"/>
      <c r="W201" s="945"/>
    </row>
    <row r="202" spans="1:23" ht="18">
      <c r="A202" s="987" t="s">
        <v>794</v>
      </c>
      <c r="B202" s="976"/>
      <c r="C202" s="945"/>
      <c r="D202" s="945"/>
      <c r="E202" s="945"/>
      <c r="F202" s="945"/>
      <c r="G202" s="945"/>
      <c r="H202" s="945"/>
      <c r="I202" s="945"/>
      <c r="J202" s="945"/>
      <c r="K202" s="945"/>
      <c r="L202" s="945"/>
      <c r="M202" s="945"/>
      <c r="N202" s="945"/>
      <c r="O202" s="945"/>
      <c r="P202" s="945"/>
      <c r="Q202" s="945"/>
      <c r="R202" s="945"/>
      <c r="S202" s="945"/>
      <c r="T202" s="945"/>
      <c r="U202" s="945"/>
      <c r="V202" s="945"/>
      <c r="W202" s="945"/>
    </row>
    <row r="203" spans="1:23" ht="18">
      <c r="A203" s="987"/>
      <c r="B203" s="976" t="s">
        <v>795</v>
      </c>
      <c r="C203" s="945"/>
      <c r="D203" s="945"/>
      <c r="E203" s="945"/>
      <c r="F203" s="945"/>
      <c r="G203" s="945"/>
      <c r="H203" s="945"/>
      <c r="I203" s="945"/>
      <c r="J203" s="945"/>
      <c r="K203" s="945"/>
      <c r="L203" s="945"/>
      <c r="M203" s="945"/>
      <c r="N203" s="945"/>
      <c r="O203" s="945"/>
      <c r="P203" s="945"/>
      <c r="Q203" s="945"/>
      <c r="R203" s="945"/>
      <c r="S203" s="945"/>
      <c r="T203" s="945"/>
      <c r="U203" s="945"/>
      <c r="V203" s="945"/>
      <c r="W203" s="945"/>
    </row>
    <row r="204" spans="1:23" ht="18">
      <c r="B204" s="945"/>
      <c r="C204" s="945"/>
      <c r="D204" s="945"/>
      <c r="E204" s="945"/>
      <c r="F204" s="945"/>
      <c r="G204" s="945"/>
      <c r="H204" s="945"/>
      <c r="I204" s="945"/>
      <c r="J204" s="945"/>
      <c r="K204" s="945"/>
      <c r="L204" s="945"/>
      <c r="M204" s="945"/>
      <c r="N204" s="945"/>
      <c r="O204" s="945"/>
      <c r="P204" s="945"/>
      <c r="Q204" s="945"/>
      <c r="R204" s="945"/>
      <c r="S204" s="945"/>
      <c r="T204" s="945"/>
      <c r="U204" s="945"/>
      <c r="V204" s="945"/>
      <c r="W204" s="945"/>
    </row>
    <row r="205" spans="1:23" ht="18">
      <c r="B205" s="945"/>
      <c r="C205" s="945"/>
      <c r="D205" s="945"/>
      <c r="E205" s="945"/>
      <c r="F205" s="945"/>
      <c r="G205" s="945"/>
      <c r="H205" s="945"/>
      <c r="I205" s="945"/>
      <c r="J205" s="945"/>
      <c r="K205" s="945"/>
      <c r="L205" s="945"/>
      <c r="M205" s="945"/>
      <c r="N205" s="945"/>
      <c r="O205" s="945"/>
      <c r="P205" s="945"/>
      <c r="Q205" s="945"/>
      <c r="R205" s="945"/>
      <c r="S205" s="945"/>
      <c r="T205" s="945"/>
      <c r="U205" s="945"/>
      <c r="V205" s="945"/>
      <c r="W205" s="945"/>
    </row>
    <row r="206" spans="1:23" ht="18">
      <c r="B206" s="945"/>
      <c r="C206" s="945"/>
      <c r="D206" s="945"/>
      <c r="E206" s="945"/>
      <c r="F206" s="945"/>
      <c r="G206" s="945"/>
      <c r="H206" s="945"/>
      <c r="I206" s="945"/>
      <c r="J206" s="945"/>
      <c r="K206" s="945"/>
      <c r="L206" s="945"/>
      <c r="M206" s="945"/>
      <c r="N206" s="945"/>
      <c r="O206" s="945"/>
      <c r="P206" s="945"/>
      <c r="Q206" s="945"/>
      <c r="R206" s="945"/>
      <c r="S206" s="945"/>
      <c r="T206" s="945"/>
      <c r="U206" s="945"/>
      <c r="V206" s="945"/>
      <c r="W206" s="945"/>
    </row>
    <row r="207" spans="1:23" ht="18">
      <c r="B207" s="945"/>
      <c r="C207" s="945"/>
      <c r="D207" s="945"/>
      <c r="E207" s="945"/>
      <c r="F207" s="945"/>
      <c r="G207" s="945"/>
      <c r="H207" s="945"/>
      <c r="I207" s="945"/>
      <c r="J207" s="945"/>
      <c r="K207" s="945"/>
      <c r="L207" s="945"/>
      <c r="M207" s="945"/>
      <c r="N207" s="945"/>
      <c r="O207" s="945"/>
      <c r="P207" s="945"/>
      <c r="Q207" s="945"/>
      <c r="R207" s="945"/>
      <c r="S207" s="945"/>
      <c r="T207" s="945"/>
      <c r="U207" s="945"/>
      <c r="V207" s="945"/>
      <c r="W207" s="945"/>
    </row>
    <row r="208" spans="1:23" ht="18">
      <c r="B208" s="945"/>
      <c r="C208" s="945"/>
      <c r="D208" s="945"/>
      <c r="E208" s="945"/>
      <c r="F208" s="945"/>
      <c r="G208" s="945"/>
      <c r="H208" s="945"/>
      <c r="I208" s="945"/>
      <c r="J208" s="945"/>
      <c r="K208" s="945"/>
      <c r="L208" s="945"/>
      <c r="M208" s="945"/>
      <c r="N208" s="945"/>
      <c r="O208" s="945"/>
      <c r="P208" s="945"/>
      <c r="Q208" s="945"/>
      <c r="R208" s="945"/>
      <c r="S208" s="945"/>
      <c r="T208" s="945"/>
      <c r="U208" s="945"/>
      <c r="V208" s="945"/>
      <c r="W208" s="945"/>
    </row>
    <row r="209" spans="2:23" ht="18">
      <c r="B209" s="945"/>
      <c r="C209" s="945"/>
      <c r="D209" s="945"/>
      <c r="E209" s="945"/>
      <c r="F209" s="945"/>
      <c r="G209" s="945"/>
      <c r="H209" s="945"/>
      <c r="I209" s="945"/>
      <c r="J209" s="945"/>
      <c r="K209" s="945"/>
      <c r="L209" s="945"/>
      <c r="M209" s="945"/>
      <c r="N209" s="945"/>
      <c r="O209" s="945"/>
      <c r="P209" s="945"/>
      <c r="Q209" s="945"/>
      <c r="R209" s="945"/>
      <c r="S209" s="945"/>
      <c r="T209" s="945"/>
      <c r="U209" s="945"/>
      <c r="V209" s="945"/>
      <c r="W209" s="945"/>
    </row>
    <row r="210" spans="2:23" ht="18">
      <c r="B210" s="945"/>
      <c r="C210" s="945"/>
      <c r="D210" s="945"/>
      <c r="E210" s="945"/>
      <c r="F210" s="945"/>
      <c r="G210" s="945"/>
      <c r="H210" s="945"/>
      <c r="I210" s="945"/>
      <c r="J210" s="945"/>
      <c r="K210" s="945"/>
      <c r="L210" s="945"/>
      <c r="M210" s="945"/>
      <c r="N210" s="945"/>
      <c r="O210" s="945"/>
      <c r="P210" s="945"/>
      <c r="Q210" s="945"/>
      <c r="R210" s="945"/>
      <c r="S210" s="945"/>
      <c r="T210" s="945"/>
      <c r="U210" s="945"/>
      <c r="V210" s="945"/>
      <c r="W210" s="945"/>
    </row>
  </sheetData>
  <mergeCells count="19">
    <mergeCell ref="L10:L13"/>
    <mergeCell ref="A10:A13"/>
    <mergeCell ref="B10:B13"/>
    <mergeCell ref="C10:C13"/>
    <mergeCell ref="D10:D13"/>
    <mergeCell ref="E10:E13"/>
    <mergeCell ref="F10:F13"/>
    <mergeCell ref="G10:G13"/>
    <mergeCell ref="H10:H13"/>
    <mergeCell ref="I10:I13"/>
    <mergeCell ref="J10:J13"/>
    <mergeCell ref="K10:K13"/>
    <mergeCell ref="M10:M13"/>
    <mergeCell ref="N10:O10"/>
    <mergeCell ref="P10:P13"/>
    <mergeCell ref="Q10:Q13"/>
    <mergeCell ref="R10:R13"/>
    <mergeCell ref="N11:N13"/>
    <mergeCell ref="O11:O13"/>
  </mergeCells>
  <printOptions horizontalCentered="1"/>
  <pageMargins left="0.2" right="0.23" top="0.38" bottom="0.28000000000000003" header="0.36" footer="0.17"/>
  <pageSetup paperSize="9" scale="58" fitToHeight="0" orientation="landscape" r:id="rId1"/>
  <headerFooter alignWithMargins="0">
    <oddHeader>&amp;C41</oddHeader>
    <oddFooter>&amp;C&amp;".VnTime,Italic"&amp;8&amp;".VnTime,Regular"&amp;Z&amp;F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topLeftCell="A25" workbookViewId="0">
      <selection activeCell="A37" sqref="A37"/>
    </sheetView>
  </sheetViews>
  <sheetFormatPr defaultRowHeight="13.2"/>
  <cols>
    <col min="1" max="1" width="5" style="1841" customWidth="1"/>
    <col min="2" max="2" width="38" style="1841" customWidth="1"/>
    <col min="3" max="3" width="11.5546875" style="1841" customWidth="1"/>
    <col min="4" max="4" width="12" style="1841" customWidth="1"/>
    <col min="5" max="5" width="11.109375" style="1841" customWidth="1"/>
    <col min="6" max="6" width="11.21875" style="1841" customWidth="1"/>
    <col min="7" max="256" width="8.88671875" style="1841"/>
    <col min="257" max="257" width="5" style="1841" customWidth="1"/>
    <col min="258" max="258" width="38" style="1841" customWidth="1"/>
    <col min="259" max="259" width="11.5546875" style="1841" customWidth="1"/>
    <col min="260" max="260" width="10.6640625" style="1841" customWidth="1"/>
    <col min="261" max="261" width="11.109375" style="1841" customWidth="1"/>
    <col min="262" max="262" width="14" style="1841" customWidth="1"/>
    <col min="263" max="512" width="8.88671875" style="1841"/>
    <col min="513" max="513" width="5" style="1841" customWidth="1"/>
    <col min="514" max="514" width="38" style="1841" customWidth="1"/>
    <col min="515" max="515" width="11.5546875" style="1841" customWidth="1"/>
    <col min="516" max="516" width="10.6640625" style="1841" customWidth="1"/>
    <col min="517" max="517" width="11.109375" style="1841" customWidth="1"/>
    <col min="518" max="518" width="14" style="1841" customWidth="1"/>
    <col min="519" max="768" width="8.88671875" style="1841"/>
    <col min="769" max="769" width="5" style="1841" customWidth="1"/>
    <col min="770" max="770" width="38" style="1841" customWidth="1"/>
    <col min="771" max="771" width="11.5546875" style="1841" customWidth="1"/>
    <col min="772" max="772" width="10.6640625" style="1841" customWidth="1"/>
    <col min="773" max="773" width="11.109375" style="1841" customWidth="1"/>
    <col min="774" max="774" width="14" style="1841" customWidth="1"/>
    <col min="775" max="1024" width="8.88671875" style="1841"/>
    <col min="1025" max="1025" width="5" style="1841" customWidth="1"/>
    <col min="1026" max="1026" width="38" style="1841" customWidth="1"/>
    <col min="1027" max="1027" width="11.5546875" style="1841" customWidth="1"/>
    <col min="1028" max="1028" width="10.6640625" style="1841" customWidth="1"/>
    <col min="1029" max="1029" width="11.109375" style="1841" customWidth="1"/>
    <col min="1030" max="1030" width="14" style="1841" customWidth="1"/>
    <col min="1031" max="1280" width="8.88671875" style="1841"/>
    <col min="1281" max="1281" width="5" style="1841" customWidth="1"/>
    <col min="1282" max="1282" width="38" style="1841" customWidth="1"/>
    <col min="1283" max="1283" width="11.5546875" style="1841" customWidth="1"/>
    <col min="1284" max="1284" width="10.6640625" style="1841" customWidth="1"/>
    <col min="1285" max="1285" width="11.109375" style="1841" customWidth="1"/>
    <col min="1286" max="1286" width="14" style="1841" customWidth="1"/>
    <col min="1287" max="1536" width="8.88671875" style="1841"/>
    <col min="1537" max="1537" width="5" style="1841" customWidth="1"/>
    <col min="1538" max="1538" width="38" style="1841" customWidth="1"/>
    <col min="1539" max="1539" width="11.5546875" style="1841" customWidth="1"/>
    <col min="1540" max="1540" width="10.6640625" style="1841" customWidth="1"/>
    <col min="1541" max="1541" width="11.109375" style="1841" customWidth="1"/>
    <col min="1542" max="1542" width="14" style="1841" customWidth="1"/>
    <col min="1543" max="1792" width="8.88671875" style="1841"/>
    <col min="1793" max="1793" width="5" style="1841" customWidth="1"/>
    <col min="1794" max="1794" width="38" style="1841" customWidth="1"/>
    <col min="1795" max="1795" width="11.5546875" style="1841" customWidth="1"/>
    <col min="1796" max="1796" width="10.6640625" style="1841" customWidth="1"/>
    <col min="1797" max="1797" width="11.109375" style="1841" customWidth="1"/>
    <col min="1798" max="1798" width="14" style="1841" customWidth="1"/>
    <col min="1799" max="2048" width="8.88671875" style="1841"/>
    <col min="2049" max="2049" width="5" style="1841" customWidth="1"/>
    <col min="2050" max="2050" width="38" style="1841" customWidth="1"/>
    <col min="2051" max="2051" width="11.5546875" style="1841" customWidth="1"/>
    <col min="2052" max="2052" width="10.6640625" style="1841" customWidth="1"/>
    <col min="2053" max="2053" width="11.109375" style="1841" customWidth="1"/>
    <col min="2054" max="2054" width="14" style="1841" customWidth="1"/>
    <col min="2055" max="2304" width="8.88671875" style="1841"/>
    <col min="2305" max="2305" width="5" style="1841" customWidth="1"/>
    <col min="2306" max="2306" width="38" style="1841" customWidth="1"/>
    <col min="2307" max="2307" width="11.5546875" style="1841" customWidth="1"/>
    <col min="2308" max="2308" width="10.6640625" style="1841" customWidth="1"/>
    <col min="2309" max="2309" width="11.109375" style="1841" customWidth="1"/>
    <col min="2310" max="2310" width="14" style="1841" customWidth="1"/>
    <col min="2311" max="2560" width="8.88671875" style="1841"/>
    <col min="2561" max="2561" width="5" style="1841" customWidth="1"/>
    <col min="2562" max="2562" width="38" style="1841" customWidth="1"/>
    <col min="2563" max="2563" width="11.5546875" style="1841" customWidth="1"/>
    <col min="2564" max="2564" width="10.6640625" style="1841" customWidth="1"/>
    <col min="2565" max="2565" width="11.109375" style="1841" customWidth="1"/>
    <col min="2566" max="2566" width="14" style="1841" customWidth="1"/>
    <col min="2567" max="2816" width="8.88671875" style="1841"/>
    <col min="2817" max="2817" width="5" style="1841" customWidth="1"/>
    <col min="2818" max="2818" width="38" style="1841" customWidth="1"/>
    <col min="2819" max="2819" width="11.5546875" style="1841" customWidth="1"/>
    <col min="2820" max="2820" width="10.6640625" style="1841" customWidth="1"/>
    <col min="2821" max="2821" width="11.109375" style="1841" customWidth="1"/>
    <col min="2822" max="2822" width="14" style="1841" customWidth="1"/>
    <col min="2823" max="3072" width="8.88671875" style="1841"/>
    <col min="3073" max="3073" width="5" style="1841" customWidth="1"/>
    <col min="3074" max="3074" width="38" style="1841" customWidth="1"/>
    <col min="3075" max="3075" width="11.5546875" style="1841" customWidth="1"/>
    <col min="3076" max="3076" width="10.6640625" style="1841" customWidth="1"/>
    <col min="3077" max="3077" width="11.109375" style="1841" customWidth="1"/>
    <col min="3078" max="3078" width="14" style="1841" customWidth="1"/>
    <col min="3079" max="3328" width="8.88671875" style="1841"/>
    <col min="3329" max="3329" width="5" style="1841" customWidth="1"/>
    <col min="3330" max="3330" width="38" style="1841" customWidth="1"/>
    <col min="3331" max="3331" width="11.5546875" style="1841" customWidth="1"/>
    <col min="3332" max="3332" width="10.6640625" style="1841" customWidth="1"/>
    <col min="3333" max="3333" width="11.109375" style="1841" customWidth="1"/>
    <col min="3334" max="3334" width="14" style="1841" customWidth="1"/>
    <col min="3335" max="3584" width="8.88671875" style="1841"/>
    <col min="3585" max="3585" width="5" style="1841" customWidth="1"/>
    <col min="3586" max="3586" width="38" style="1841" customWidth="1"/>
    <col min="3587" max="3587" width="11.5546875" style="1841" customWidth="1"/>
    <col min="3588" max="3588" width="10.6640625" style="1841" customWidth="1"/>
    <col min="3589" max="3589" width="11.109375" style="1841" customWidth="1"/>
    <col min="3590" max="3590" width="14" style="1841" customWidth="1"/>
    <col min="3591" max="3840" width="8.88671875" style="1841"/>
    <col min="3841" max="3841" width="5" style="1841" customWidth="1"/>
    <col min="3842" max="3842" width="38" style="1841" customWidth="1"/>
    <col min="3843" max="3843" width="11.5546875" style="1841" customWidth="1"/>
    <col min="3844" max="3844" width="10.6640625" style="1841" customWidth="1"/>
    <col min="3845" max="3845" width="11.109375" style="1841" customWidth="1"/>
    <col min="3846" max="3846" width="14" style="1841" customWidth="1"/>
    <col min="3847" max="4096" width="8.88671875" style="1841"/>
    <col min="4097" max="4097" width="5" style="1841" customWidth="1"/>
    <col min="4098" max="4098" width="38" style="1841" customWidth="1"/>
    <col min="4099" max="4099" width="11.5546875" style="1841" customWidth="1"/>
    <col min="4100" max="4100" width="10.6640625" style="1841" customWidth="1"/>
    <col min="4101" max="4101" width="11.109375" style="1841" customWidth="1"/>
    <col min="4102" max="4102" width="14" style="1841" customWidth="1"/>
    <col min="4103" max="4352" width="8.88671875" style="1841"/>
    <col min="4353" max="4353" width="5" style="1841" customWidth="1"/>
    <col min="4354" max="4354" width="38" style="1841" customWidth="1"/>
    <col min="4355" max="4355" width="11.5546875" style="1841" customWidth="1"/>
    <col min="4356" max="4356" width="10.6640625" style="1841" customWidth="1"/>
    <col min="4357" max="4357" width="11.109375" style="1841" customWidth="1"/>
    <col min="4358" max="4358" width="14" style="1841" customWidth="1"/>
    <col min="4359" max="4608" width="8.88671875" style="1841"/>
    <col min="4609" max="4609" width="5" style="1841" customWidth="1"/>
    <col min="4610" max="4610" width="38" style="1841" customWidth="1"/>
    <col min="4611" max="4611" width="11.5546875" style="1841" customWidth="1"/>
    <col min="4612" max="4612" width="10.6640625" style="1841" customWidth="1"/>
    <col min="4613" max="4613" width="11.109375" style="1841" customWidth="1"/>
    <col min="4614" max="4614" width="14" style="1841" customWidth="1"/>
    <col min="4615" max="4864" width="8.88671875" style="1841"/>
    <col min="4865" max="4865" width="5" style="1841" customWidth="1"/>
    <col min="4866" max="4866" width="38" style="1841" customWidth="1"/>
    <col min="4867" max="4867" width="11.5546875" style="1841" customWidth="1"/>
    <col min="4868" max="4868" width="10.6640625" style="1841" customWidth="1"/>
    <col min="4869" max="4869" width="11.109375" style="1841" customWidth="1"/>
    <col min="4870" max="4870" width="14" style="1841" customWidth="1"/>
    <col min="4871" max="5120" width="8.88671875" style="1841"/>
    <col min="5121" max="5121" width="5" style="1841" customWidth="1"/>
    <col min="5122" max="5122" width="38" style="1841" customWidth="1"/>
    <col min="5123" max="5123" width="11.5546875" style="1841" customWidth="1"/>
    <col min="5124" max="5124" width="10.6640625" style="1841" customWidth="1"/>
    <col min="5125" max="5125" width="11.109375" style="1841" customWidth="1"/>
    <col min="5126" max="5126" width="14" style="1841" customWidth="1"/>
    <col min="5127" max="5376" width="8.88671875" style="1841"/>
    <col min="5377" max="5377" width="5" style="1841" customWidth="1"/>
    <col min="5378" max="5378" width="38" style="1841" customWidth="1"/>
    <col min="5379" max="5379" width="11.5546875" style="1841" customWidth="1"/>
    <col min="5380" max="5380" width="10.6640625" style="1841" customWidth="1"/>
    <col min="5381" max="5381" width="11.109375" style="1841" customWidth="1"/>
    <col min="5382" max="5382" width="14" style="1841" customWidth="1"/>
    <col min="5383" max="5632" width="8.88671875" style="1841"/>
    <col min="5633" max="5633" width="5" style="1841" customWidth="1"/>
    <col min="5634" max="5634" width="38" style="1841" customWidth="1"/>
    <col min="5635" max="5635" width="11.5546875" style="1841" customWidth="1"/>
    <col min="5636" max="5636" width="10.6640625" style="1841" customWidth="1"/>
    <col min="5637" max="5637" width="11.109375" style="1841" customWidth="1"/>
    <col min="5638" max="5638" width="14" style="1841" customWidth="1"/>
    <col min="5639" max="5888" width="8.88671875" style="1841"/>
    <col min="5889" max="5889" width="5" style="1841" customWidth="1"/>
    <col min="5890" max="5890" width="38" style="1841" customWidth="1"/>
    <col min="5891" max="5891" width="11.5546875" style="1841" customWidth="1"/>
    <col min="5892" max="5892" width="10.6640625" style="1841" customWidth="1"/>
    <col min="5893" max="5893" width="11.109375" style="1841" customWidth="1"/>
    <col min="5894" max="5894" width="14" style="1841" customWidth="1"/>
    <col min="5895" max="6144" width="8.88671875" style="1841"/>
    <col min="6145" max="6145" width="5" style="1841" customWidth="1"/>
    <col min="6146" max="6146" width="38" style="1841" customWidth="1"/>
    <col min="6147" max="6147" width="11.5546875" style="1841" customWidth="1"/>
    <col min="6148" max="6148" width="10.6640625" style="1841" customWidth="1"/>
    <col min="6149" max="6149" width="11.109375" style="1841" customWidth="1"/>
    <col min="6150" max="6150" width="14" style="1841" customWidth="1"/>
    <col min="6151" max="6400" width="8.88671875" style="1841"/>
    <col min="6401" max="6401" width="5" style="1841" customWidth="1"/>
    <col min="6402" max="6402" width="38" style="1841" customWidth="1"/>
    <col min="6403" max="6403" width="11.5546875" style="1841" customWidth="1"/>
    <col min="6404" max="6404" width="10.6640625" style="1841" customWidth="1"/>
    <col min="6405" max="6405" width="11.109375" style="1841" customWidth="1"/>
    <col min="6406" max="6406" width="14" style="1841" customWidth="1"/>
    <col min="6407" max="6656" width="8.88671875" style="1841"/>
    <col min="6657" max="6657" width="5" style="1841" customWidth="1"/>
    <col min="6658" max="6658" width="38" style="1841" customWidth="1"/>
    <col min="6659" max="6659" width="11.5546875" style="1841" customWidth="1"/>
    <col min="6660" max="6660" width="10.6640625" style="1841" customWidth="1"/>
    <col min="6661" max="6661" width="11.109375" style="1841" customWidth="1"/>
    <col min="6662" max="6662" width="14" style="1841" customWidth="1"/>
    <col min="6663" max="6912" width="8.88671875" style="1841"/>
    <col min="6913" max="6913" width="5" style="1841" customWidth="1"/>
    <col min="6914" max="6914" width="38" style="1841" customWidth="1"/>
    <col min="6915" max="6915" width="11.5546875" style="1841" customWidth="1"/>
    <col min="6916" max="6916" width="10.6640625" style="1841" customWidth="1"/>
    <col min="6917" max="6917" width="11.109375" style="1841" customWidth="1"/>
    <col min="6918" max="6918" width="14" style="1841" customWidth="1"/>
    <col min="6919" max="7168" width="8.88671875" style="1841"/>
    <col min="7169" max="7169" width="5" style="1841" customWidth="1"/>
    <col min="7170" max="7170" width="38" style="1841" customWidth="1"/>
    <col min="7171" max="7171" width="11.5546875" style="1841" customWidth="1"/>
    <col min="7172" max="7172" width="10.6640625" style="1841" customWidth="1"/>
    <col min="7173" max="7173" width="11.109375" style="1841" customWidth="1"/>
    <col min="7174" max="7174" width="14" style="1841" customWidth="1"/>
    <col min="7175" max="7424" width="8.88671875" style="1841"/>
    <col min="7425" max="7425" width="5" style="1841" customWidth="1"/>
    <col min="7426" max="7426" width="38" style="1841" customWidth="1"/>
    <col min="7427" max="7427" width="11.5546875" style="1841" customWidth="1"/>
    <col min="7428" max="7428" width="10.6640625" style="1841" customWidth="1"/>
    <col min="7429" max="7429" width="11.109375" style="1841" customWidth="1"/>
    <col min="7430" max="7430" width="14" style="1841" customWidth="1"/>
    <col min="7431" max="7680" width="8.88671875" style="1841"/>
    <col min="7681" max="7681" width="5" style="1841" customWidth="1"/>
    <col min="7682" max="7682" width="38" style="1841" customWidth="1"/>
    <col min="7683" max="7683" width="11.5546875" style="1841" customWidth="1"/>
    <col min="7684" max="7684" width="10.6640625" style="1841" customWidth="1"/>
    <col min="7685" max="7685" width="11.109375" style="1841" customWidth="1"/>
    <col min="7686" max="7686" width="14" style="1841" customWidth="1"/>
    <col min="7687" max="7936" width="8.88671875" style="1841"/>
    <col min="7937" max="7937" width="5" style="1841" customWidth="1"/>
    <col min="7938" max="7938" width="38" style="1841" customWidth="1"/>
    <col min="7939" max="7939" width="11.5546875" style="1841" customWidth="1"/>
    <col min="7940" max="7940" width="10.6640625" style="1841" customWidth="1"/>
    <col min="7941" max="7941" width="11.109375" style="1841" customWidth="1"/>
    <col min="7942" max="7942" width="14" style="1841" customWidth="1"/>
    <col min="7943" max="8192" width="8.88671875" style="1841"/>
    <col min="8193" max="8193" width="5" style="1841" customWidth="1"/>
    <col min="8194" max="8194" width="38" style="1841" customWidth="1"/>
    <col min="8195" max="8195" width="11.5546875" style="1841" customWidth="1"/>
    <col min="8196" max="8196" width="10.6640625" style="1841" customWidth="1"/>
    <col min="8197" max="8197" width="11.109375" style="1841" customWidth="1"/>
    <col min="8198" max="8198" width="14" style="1841" customWidth="1"/>
    <col min="8199" max="8448" width="8.88671875" style="1841"/>
    <col min="8449" max="8449" width="5" style="1841" customWidth="1"/>
    <col min="8450" max="8450" width="38" style="1841" customWidth="1"/>
    <col min="8451" max="8451" width="11.5546875" style="1841" customWidth="1"/>
    <col min="8452" max="8452" width="10.6640625" style="1841" customWidth="1"/>
    <col min="8453" max="8453" width="11.109375" style="1841" customWidth="1"/>
    <col min="8454" max="8454" width="14" style="1841" customWidth="1"/>
    <col min="8455" max="8704" width="8.88671875" style="1841"/>
    <col min="8705" max="8705" width="5" style="1841" customWidth="1"/>
    <col min="8706" max="8706" width="38" style="1841" customWidth="1"/>
    <col min="8707" max="8707" width="11.5546875" style="1841" customWidth="1"/>
    <col min="8708" max="8708" width="10.6640625" style="1841" customWidth="1"/>
    <col min="8709" max="8709" width="11.109375" style="1841" customWidth="1"/>
    <col min="8710" max="8710" width="14" style="1841" customWidth="1"/>
    <col min="8711" max="8960" width="8.88671875" style="1841"/>
    <col min="8961" max="8961" width="5" style="1841" customWidth="1"/>
    <col min="8962" max="8962" width="38" style="1841" customWidth="1"/>
    <col min="8963" max="8963" width="11.5546875" style="1841" customWidth="1"/>
    <col min="8964" max="8964" width="10.6640625" style="1841" customWidth="1"/>
    <col min="8965" max="8965" width="11.109375" style="1841" customWidth="1"/>
    <col min="8966" max="8966" width="14" style="1841" customWidth="1"/>
    <col min="8967" max="9216" width="8.88671875" style="1841"/>
    <col min="9217" max="9217" width="5" style="1841" customWidth="1"/>
    <col min="9218" max="9218" width="38" style="1841" customWidth="1"/>
    <col min="9219" max="9219" width="11.5546875" style="1841" customWidth="1"/>
    <col min="9220" max="9220" width="10.6640625" style="1841" customWidth="1"/>
    <col min="9221" max="9221" width="11.109375" style="1841" customWidth="1"/>
    <col min="9222" max="9222" width="14" style="1841" customWidth="1"/>
    <col min="9223" max="9472" width="8.88671875" style="1841"/>
    <col min="9473" max="9473" width="5" style="1841" customWidth="1"/>
    <col min="9474" max="9474" width="38" style="1841" customWidth="1"/>
    <col min="9475" max="9475" width="11.5546875" style="1841" customWidth="1"/>
    <col min="9476" max="9476" width="10.6640625" style="1841" customWidth="1"/>
    <col min="9477" max="9477" width="11.109375" style="1841" customWidth="1"/>
    <col min="9478" max="9478" width="14" style="1841" customWidth="1"/>
    <col min="9479" max="9728" width="8.88671875" style="1841"/>
    <col min="9729" max="9729" width="5" style="1841" customWidth="1"/>
    <col min="9730" max="9730" width="38" style="1841" customWidth="1"/>
    <col min="9731" max="9731" width="11.5546875" style="1841" customWidth="1"/>
    <col min="9732" max="9732" width="10.6640625" style="1841" customWidth="1"/>
    <col min="9733" max="9733" width="11.109375" style="1841" customWidth="1"/>
    <col min="9734" max="9734" width="14" style="1841" customWidth="1"/>
    <col min="9735" max="9984" width="8.88671875" style="1841"/>
    <col min="9985" max="9985" width="5" style="1841" customWidth="1"/>
    <col min="9986" max="9986" width="38" style="1841" customWidth="1"/>
    <col min="9987" max="9987" width="11.5546875" style="1841" customWidth="1"/>
    <col min="9988" max="9988" width="10.6640625" style="1841" customWidth="1"/>
    <col min="9989" max="9989" width="11.109375" style="1841" customWidth="1"/>
    <col min="9990" max="9990" width="14" style="1841" customWidth="1"/>
    <col min="9991" max="10240" width="8.88671875" style="1841"/>
    <col min="10241" max="10241" width="5" style="1841" customWidth="1"/>
    <col min="10242" max="10242" width="38" style="1841" customWidth="1"/>
    <col min="10243" max="10243" width="11.5546875" style="1841" customWidth="1"/>
    <col min="10244" max="10244" width="10.6640625" style="1841" customWidth="1"/>
    <col min="10245" max="10245" width="11.109375" style="1841" customWidth="1"/>
    <col min="10246" max="10246" width="14" style="1841" customWidth="1"/>
    <col min="10247" max="10496" width="8.88671875" style="1841"/>
    <col min="10497" max="10497" width="5" style="1841" customWidth="1"/>
    <col min="10498" max="10498" width="38" style="1841" customWidth="1"/>
    <col min="10499" max="10499" width="11.5546875" style="1841" customWidth="1"/>
    <col min="10500" max="10500" width="10.6640625" style="1841" customWidth="1"/>
    <col min="10501" max="10501" width="11.109375" style="1841" customWidth="1"/>
    <col min="10502" max="10502" width="14" style="1841" customWidth="1"/>
    <col min="10503" max="10752" width="8.88671875" style="1841"/>
    <col min="10753" max="10753" width="5" style="1841" customWidth="1"/>
    <col min="10754" max="10754" width="38" style="1841" customWidth="1"/>
    <col min="10755" max="10755" width="11.5546875" style="1841" customWidth="1"/>
    <col min="10756" max="10756" width="10.6640625" style="1841" customWidth="1"/>
    <col min="10757" max="10757" width="11.109375" style="1841" customWidth="1"/>
    <col min="10758" max="10758" width="14" style="1841" customWidth="1"/>
    <col min="10759" max="11008" width="8.88671875" style="1841"/>
    <col min="11009" max="11009" width="5" style="1841" customWidth="1"/>
    <col min="11010" max="11010" width="38" style="1841" customWidth="1"/>
    <col min="11011" max="11011" width="11.5546875" style="1841" customWidth="1"/>
    <col min="11012" max="11012" width="10.6640625" style="1841" customWidth="1"/>
    <col min="11013" max="11013" width="11.109375" style="1841" customWidth="1"/>
    <col min="11014" max="11014" width="14" style="1841" customWidth="1"/>
    <col min="11015" max="11264" width="8.88671875" style="1841"/>
    <col min="11265" max="11265" width="5" style="1841" customWidth="1"/>
    <col min="11266" max="11266" width="38" style="1841" customWidth="1"/>
    <col min="11267" max="11267" width="11.5546875" style="1841" customWidth="1"/>
    <col min="11268" max="11268" width="10.6640625" style="1841" customWidth="1"/>
    <col min="11269" max="11269" width="11.109375" style="1841" customWidth="1"/>
    <col min="11270" max="11270" width="14" style="1841" customWidth="1"/>
    <col min="11271" max="11520" width="8.88671875" style="1841"/>
    <col min="11521" max="11521" width="5" style="1841" customWidth="1"/>
    <col min="11522" max="11522" width="38" style="1841" customWidth="1"/>
    <col min="11523" max="11523" width="11.5546875" style="1841" customWidth="1"/>
    <col min="11524" max="11524" width="10.6640625" style="1841" customWidth="1"/>
    <col min="11525" max="11525" width="11.109375" style="1841" customWidth="1"/>
    <col min="11526" max="11526" width="14" style="1841" customWidth="1"/>
    <col min="11527" max="11776" width="8.88671875" style="1841"/>
    <col min="11777" max="11777" width="5" style="1841" customWidth="1"/>
    <col min="11778" max="11778" width="38" style="1841" customWidth="1"/>
    <col min="11779" max="11779" width="11.5546875" style="1841" customWidth="1"/>
    <col min="11780" max="11780" width="10.6640625" style="1841" customWidth="1"/>
    <col min="11781" max="11781" width="11.109375" style="1841" customWidth="1"/>
    <col min="11782" max="11782" width="14" style="1841" customWidth="1"/>
    <col min="11783" max="12032" width="8.88671875" style="1841"/>
    <col min="12033" max="12033" width="5" style="1841" customWidth="1"/>
    <col min="12034" max="12034" width="38" style="1841" customWidth="1"/>
    <col min="12035" max="12035" width="11.5546875" style="1841" customWidth="1"/>
    <col min="12036" max="12036" width="10.6640625" style="1841" customWidth="1"/>
    <col min="12037" max="12037" width="11.109375" style="1841" customWidth="1"/>
    <col min="12038" max="12038" width="14" style="1841" customWidth="1"/>
    <col min="12039" max="12288" width="8.88671875" style="1841"/>
    <col min="12289" max="12289" width="5" style="1841" customWidth="1"/>
    <col min="12290" max="12290" width="38" style="1841" customWidth="1"/>
    <col min="12291" max="12291" width="11.5546875" style="1841" customWidth="1"/>
    <col min="12292" max="12292" width="10.6640625" style="1841" customWidth="1"/>
    <col min="12293" max="12293" width="11.109375" style="1841" customWidth="1"/>
    <col min="12294" max="12294" width="14" style="1841" customWidth="1"/>
    <col min="12295" max="12544" width="8.88671875" style="1841"/>
    <col min="12545" max="12545" width="5" style="1841" customWidth="1"/>
    <col min="12546" max="12546" width="38" style="1841" customWidth="1"/>
    <col min="12547" max="12547" width="11.5546875" style="1841" customWidth="1"/>
    <col min="12548" max="12548" width="10.6640625" style="1841" customWidth="1"/>
    <col min="12549" max="12549" width="11.109375" style="1841" customWidth="1"/>
    <col min="12550" max="12550" width="14" style="1841" customWidth="1"/>
    <col min="12551" max="12800" width="8.88671875" style="1841"/>
    <col min="12801" max="12801" width="5" style="1841" customWidth="1"/>
    <col min="12802" max="12802" width="38" style="1841" customWidth="1"/>
    <col min="12803" max="12803" width="11.5546875" style="1841" customWidth="1"/>
    <col min="12804" max="12804" width="10.6640625" style="1841" customWidth="1"/>
    <col min="12805" max="12805" width="11.109375" style="1841" customWidth="1"/>
    <col min="12806" max="12806" width="14" style="1841" customWidth="1"/>
    <col min="12807" max="13056" width="8.88671875" style="1841"/>
    <col min="13057" max="13057" width="5" style="1841" customWidth="1"/>
    <col min="13058" max="13058" width="38" style="1841" customWidth="1"/>
    <col min="13059" max="13059" width="11.5546875" style="1841" customWidth="1"/>
    <col min="13060" max="13060" width="10.6640625" style="1841" customWidth="1"/>
    <col min="13061" max="13061" width="11.109375" style="1841" customWidth="1"/>
    <col min="13062" max="13062" width="14" style="1841" customWidth="1"/>
    <col min="13063" max="13312" width="8.88671875" style="1841"/>
    <col min="13313" max="13313" width="5" style="1841" customWidth="1"/>
    <col min="13314" max="13314" width="38" style="1841" customWidth="1"/>
    <col min="13315" max="13315" width="11.5546875" style="1841" customWidth="1"/>
    <col min="13316" max="13316" width="10.6640625" style="1841" customWidth="1"/>
    <col min="13317" max="13317" width="11.109375" style="1841" customWidth="1"/>
    <col min="13318" max="13318" width="14" style="1841" customWidth="1"/>
    <col min="13319" max="13568" width="8.88671875" style="1841"/>
    <col min="13569" max="13569" width="5" style="1841" customWidth="1"/>
    <col min="13570" max="13570" width="38" style="1841" customWidth="1"/>
    <col min="13571" max="13571" width="11.5546875" style="1841" customWidth="1"/>
    <col min="13572" max="13572" width="10.6640625" style="1841" customWidth="1"/>
    <col min="13573" max="13573" width="11.109375" style="1841" customWidth="1"/>
    <col min="13574" max="13574" width="14" style="1841" customWidth="1"/>
    <col min="13575" max="13824" width="8.88671875" style="1841"/>
    <col min="13825" max="13825" width="5" style="1841" customWidth="1"/>
    <col min="13826" max="13826" width="38" style="1841" customWidth="1"/>
    <col min="13827" max="13827" width="11.5546875" style="1841" customWidth="1"/>
    <col min="13828" max="13828" width="10.6640625" style="1841" customWidth="1"/>
    <col min="13829" max="13829" width="11.109375" style="1841" customWidth="1"/>
    <col min="13830" max="13830" width="14" style="1841" customWidth="1"/>
    <col min="13831" max="14080" width="8.88671875" style="1841"/>
    <col min="14081" max="14081" width="5" style="1841" customWidth="1"/>
    <col min="14082" max="14082" width="38" style="1841" customWidth="1"/>
    <col min="14083" max="14083" width="11.5546875" style="1841" customWidth="1"/>
    <col min="14084" max="14084" width="10.6640625" style="1841" customWidth="1"/>
    <col min="14085" max="14085" width="11.109375" style="1841" customWidth="1"/>
    <col min="14086" max="14086" width="14" style="1841" customWidth="1"/>
    <col min="14087" max="14336" width="8.88671875" style="1841"/>
    <col min="14337" max="14337" width="5" style="1841" customWidth="1"/>
    <col min="14338" max="14338" width="38" style="1841" customWidth="1"/>
    <col min="14339" max="14339" width="11.5546875" style="1841" customWidth="1"/>
    <col min="14340" max="14340" width="10.6640625" style="1841" customWidth="1"/>
    <col min="14341" max="14341" width="11.109375" style="1841" customWidth="1"/>
    <col min="14342" max="14342" width="14" style="1841" customWidth="1"/>
    <col min="14343" max="14592" width="8.88671875" style="1841"/>
    <col min="14593" max="14593" width="5" style="1841" customWidth="1"/>
    <col min="14594" max="14594" width="38" style="1841" customWidth="1"/>
    <col min="14595" max="14595" width="11.5546875" style="1841" customWidth="1"/>
    <col min="14596" max="14596" width="10.6640625" style="1841" customWidth="1"/>
    <col min="14597" max="14597" width="11.109375" style="1841" customWidth="1"/>
    <col min="14598" max="14598" width="14" style="1841" customWidth="1"/>
    <col min="14599" max="14848" width="8.88671875" style="1841"/>
    <col min="14849" max="14849" width="5" style="1841" customWidth="1"/>
    <col min="14850" max="14850" width="38" style="1841" customWidth="1"/>
    <col min="14851" max="14851" width="11.5546875" style="1841" customWidth="1"/>
    <col min="14852" max="14852" width="10.6640625" style="1841" customWidth="1"/>
    <col min="14853" max="14853" width="11.109375" style="1841" customWidth="1"/>
    <col min="14854" max="14854" width="14" style="1841" customWidth="1"/>
    <col min="14855" max="15104" width="8.88671875" style="1841"/>
    <col min="15105" max="15105" width="5" style="1841" customWidth="1"/>
    <col min="15106" max="15106" width="38" style="1841" customWidth="1"/>
    <col min="15107" max="15107" width="11.5546875" style="1841" customWidth="1"/>
    <col min="15108" max="15108" width="10.6640625" style="1841" customWidth="1"/>
    <col min="15109" max="15109" width="11.109375" style="1841" customWidth="1"/>
    <col min="15110" max="15110" width="14" style="1841" customWidth="1"/>
    <col min="15111" max="15360" width="8.88671875" style="1841"/>
    <col min="15361" max="15361" width="5" style="1841" customWidth="1"/>
    <col min="15362" max="15362" width="38" style="1841" customWidth="1"/>
    <col min="15363" max="15363" width="11.5546875" style="1841" customWidth="1"/>
    <col min="15364" max="15364" width="10.6640625" style="1841" customWidth="1"/>
    <col min="15365" max="15365" width="11.109375" style="1841" customWidth="1"/>
    <col min="15366" max="15366" width="14" style="1841" customWidth="1"/>
    <col min="15367" max="15616" width="8.88671875" style="1841"/>
    <col min="15617" max="15617" width="5" style="1841" customWidth="1"/>
    <col min="15618" max="15618" width="38" style="1841" customWidth="1"/>
    <col min="15619" max="15619" width="11.5546875" style="1841" customWidth="1"/>
    <col min="15620" max="15620" width="10.6640625" style="1841" customWidth="1"/>
    <col min="15621" max="15621" width="11.109375" style="1841" customWidth="1"/>
    <col min="15622" max="15622" width="14" style="1841" customWidth="1"/>
    <col min="15623" max="15872" width="8.88671875" style="1841"/>
    <col min="15873" max="15873" width="5" style="1841" customWidth="1"/>
    <col min="15874" max="15874" width="38" style="1841" customWidth="1"/>
    <col min="15875" max="15875" width="11.5546875" style="1841" customWidth="1"/>
    <col min="15876" max="15876" width="10.6640625" style="1841" customWidth="1"/>
    <col min="15877" max="15877" width="11.109375" style="1841" customWidth="1"/>
    <col min="15878" max="15878" width="14" style="1841" customWidth="1"/>
    <col min="15879" max="16128" width="8.88671875" style="1841"/>
    <col min="16129" max="16129" width="5" style="1841" customWidth="1"/>
    <col min="16130" max="16130" width="38" style="1841" customWidth="1"/>
    <col min="16131" max="16131" width="11.5546875" style="1841" customWidth="1"/>
    <col min="16132" max="16132" width="10.6640625" style="1841" customWidth="1"/>
    <col min="16133" max="16133" width="11.109375" style="1841" customWidth="1"/>
    <col min="16134" max="16134" width="14" style="1841" customWidth="1"/>
    <col min="16135" max="16384" width="8.88671875" style="1841"/>
  </cols>
  <sheetData>
    <row r="1" spans="1:6">
      <c r="A1" s="1840" t="s">
        <v>69</v>
      </c>
      <c r="E1" s="1840" t="s">
        <v>1054</v>
      </c>
    </row>
    <row r="3" spans="1:6">
      <c r="A3" s="2985" t="s">
        <v>1259</v>
      </c>
      <c r="B3" s="2985"/>
      <c r="C3" s="2985"/>
      <c r="D3" s="2985"/>
      <c r="E3" s="2985"/>
      <c r="F3" s="2985"/>
    </row>
    <row r="4" spans="1:6">
      <c r="A4" s="2986" t="s">
        <v>1055</v>
      </c>
      <c r="B4" s="2986"/>
      <c r="C4" s="2986"/>
      <c r="D4" s="2986"/>
      <c r="E4" s="2986"/>
      <c r="F4" s="2986"/>
    </row>
    <row r="5" spans="1:6">
      <c r="F5" s="1842" t="s">
        <v>1056</v>
      </c>
    </row>
    <row r="6" spans="1:6" ht="49.8" customHeight="1">
      <c r="A6" s="1843" t="s">
        <v>49</v>
      </c>
      <c r="B6" s="1843" t="s">
        <v>39</v>
      </c>
      <c r="C6" s="1843" t="s">
        <v>910</v>
      </c>
      <c r="D6" s="1843" t="s">
        <v>1258</v>
      </c>
      <c r="E6" s="1843" t="s">
        <v>909</v>
      </c>
      <c r="F6" s="1843" t="s">
        <v>1057</v>
      </c>
    </row>
    <row r="7" spans="1:6">
      <c r="A7" s="1845" t="s">
        <v>80</v>
      </c>
      <c r="B7" s="1845" t="s">
        <v>81</v>
      </c>
      <c r="C7" s="1845">
        <v>1</v>
      </c>
      <c r="D7" s="1845">
        <v>2</v>
      </c>
      <c r="E7" s="1845">
        <v>3</v>
      </c>
      <c r="F7" s="1846">
        <v>4</v>
      </c>
    </row>
    <row r="8" spans="1:6" ht="15" customHeight="1">
      <c r="A8" s="3257" t="s">
        <v>80</v>
      </c>
      <c r="B8" s="3258" t="s">
        <v>1058</v>
      </c>
      <c r="C8" s="3259">
        <f>SUM(C9,C12,C15,C16,C17)</f>
        <v>8865023</v>
      </c>
      <c r="D8" s="3259">
        <f>SUM(D9,D12,D15,D16,D17)</f>
        <v>9354353.0999999996</v>
      </c>
      <c r="E8" s="3259">
        <f>SUM(E9,E12,E15,E16,E17)</f>
        <v>9166448</v>
      </c>
      <c r="F8" s="3260">
        <f>E8/D8%</f>
        <v>97.991255001909209</v>
      </c>
    </row>
    <row r="9" spans="1:6" ht="17.399999999999999" customHeight="1">
      <c r="A9" s="3253" t="s">
        <v>54</v>
      </c>
      <c r="B9" s="3254" t="s">
        <v>1059</v>
      </c>
      <c r="C9" s="3255">
        <f>C10+C11</f>
        <v>3211800</v>
      </c>
      <c r="D9" s="3255">
        <f>D10+D11</f>
        <v>3292260</v>
      </c>
      <c r="E9" s="3255">
        <f>E10+E11</f>
        <v>3456722</v>
      </c>
      <c r="F9" s="3256">
        <f t="shared" ref="F9:F16" si="0">E9/D9%</f>
        <v>104.9954134849617</v>
      </c>
    </row>
    <row r="10" spans="1:6" ht="17.399999999999999" customHeight="1">
      <c r="A10" s="1849">
        <v>1</v>
      </c>
      <c r="B10" s="1850" t="s">
        <v>1060</v>
      </c>
      <c r="C10" s="3249">
        <v>1341600</v>
      </c>
      <c r="D10" s="3249">
        <v>1387060</v>
      </c>
      <c r="E10" s="3249">
        <v>1420422</v>
      </c>
      <c r="F10" s="2708">
        <f t="shared" si="0"/>
        <v>102.40523120845529</v>
      </c>
    </row>
    <row r="11" spans="1:6" ht="30" customHeight="1">
      <c r="A11" s="1849">
        <v>2</v>
      </c>
      <c r="B11" s="1850" t="s">
        <v>1061</v>
      </c>
      <c r="C11" s="3249">
        <v>1870200</v>
      </c>
      <c r="D11" s="3249">
        <v>1905200</v>
      </c>
      <c r="E11" s="3249">
        <v>2036300</v>
      </c>
      <c r="F11" s="2708">
        <f t="shared" si="0"/>
        <v>106.88116733151375</v>
      </c>
    </row>
    <row r="12" spans="1:6" ht="18.600000000000001" customHeight="1">
      <c r="A12" s="1847" t="s">
        <v>60</v>
      </c>
      <c r="B12" s="1848" t="s">
        <v>1062</v>
      </c>
      <c r="C12" s="2668">
        <f>C13+C14</f>
        <v>5577424</v>
      </c>
      <c r="D12" s="2668">
        <f>D13+D14</f>
        <v>5577424</v>
      </c>
      <c r="E12" s="2668">
        <f>E13+E14</f>
        <v>5555726</v>
      </c>
      <c r="F12" s="2707">
        <f t="shared" si="0"/>
        <v>99.610967356973404</v>
      </c>
    </row>
    <row r="13" spans="1:6">
      <c r="A13" s="1849">
        <v>1</v>
      </c>
      <c r="B13" s="1850" t="s">
        <v>1063</v>
      </c>
      <c r="C13" s="2663">
        <f>'34'!C13</f>
        <v>3682602</v>
      </c>
      <c r="D13" s="2670">
        <f>'34'!D13</f>
        <v>3682602</v>
      </c>
      <c r="E13" s="2663">
        <f>'34'!E13</f>
        <v>3808100</v>
      </c>
      <c r="F13" s="2708">
        <f t="shared" si="0"/>
        <v>103.40786215833262</v>
      </c>
    </row>
    <row r="14" spans="1:6" ht="15.6" customHeight="1">
      <c r="A14" s="1849">
        <v>2</v>
      </c>
      <c r="B14" s="1850" t="s">
        <v>1064</v>
      </c>
      <c r="C14" s="2663">
        <f>'34'!C14</f>
        <v>1894822</v>
      </c>
      <c r="D14" s="2670">
        <f>'34'!D14</f>
        <v>1894822</v>
      </c>
      <c r="E14" s="2663">
        <f>'34'!E14</f>
        <v>1747626</v>
      </c>
      <c r="F14" s="2708">
        <f t="shared" si="0"/>
        <v>92.231671365436952</v>
      </c>
    </row>
    <row r="15" spans="1:6" ht="16.8" customHeight="1">
      <c r="A15" s="1847" t="s">
        <v>315</v>
      </c>
      <c r="B15" s="1848" t="s">
        <v>1065</v>
      </c>
      <c r="C15" s="2664"/>
      <c r="D15" s="2664"/>
      <c r="E15" s="2664"/>
      <c r="F15" s="2708"/>
    </row>
    <row r="16" spans="1:6" ht="16.2" customHeight="1">
      <c r="A16" s="1847" t="s">
        <v>317</v>
      </c>
      <c r="B16" s="1848" t="s">
        <v>1066</v>
      </c>
      <c r="C16" s="2663">
        <f>'34'!C16</f>
        <v>75799</v>
      </c>
      <c r="D16" s="2670">
        <f>'34'!D16</f>
        <v>484669.1</v>
      </c>
      <c r="E16" s="2670">
        <f>'34'!E16</f>
        <v>154000</v>
      </c>
      <c r="F16" s="2708">
        <f t="shared" si="0"/>
        <v>31.774255878907898</v>
      </c>
    </row>
    <row r="17" spans="1:6" ht="26.4">
      <c r="A17" s="3261" t="s">
        <v>319</v>
      </c>
      <c r="B17" s="3262" t="s">
        <v>1067</v>
      </c>
      <c r="C17" s="3263"/>
      <c r="D17" s="3263"/>
      <c r="E17" s="3263"/>
      <c r="F17" s="3264"/>
    </row>
    <row r="18" spans="1:6" ht="17.399999999999999" customHeight="1">
      <c r="A18" s="3266" t="s">
        <v>81</v>
      </c>
      <c r="B18" s="3267" t="s">
        <v>1068</v>
      </c>
      <c r="C18" s="3268">
        <f>SUM(C19,C26,C30,C31)</f>
        <v>8814223</v>
      </c>
      <c r="D18" s="3268">
        <f t="shared" ref="D18:E18" si="1">SUM(D19,D26,D30,D31)</f>
        <v>7773328.4825564716</v>
      </c>
      <c r="E18" s="3268">
        <f t="shared" si="1"/>
        <v>9111948.303580001</v>
      </c>
      <c r="F18" s="3269">
        <f>E18/C18%</f>
        <v>103.37778274477513</v>
      </c>
    </row>
    <row r="19" spans="1:6">
      <c r="A19" s="3253" t="s">
        <v>1069</v>
      </c>
      <c r="B19" s="3254" t="s">
        <v>1070</v>
      </c>
      <c r="C19" s="3265">
        <f>SUM(C20:C25)</f>
        <v>6843602</v>
      </c>
      <c r="D19" s="3265">
        <f t="shared" ref="D19:E19" si="2">SUM(D20:D25)</f>
        <v>6325875.6499999994</v>
      </c>
      <c r="E19" s="3265">
        <f t="shared" si="2"/>
        <v>7210322.3035800001</v>
      </c>
      <c r="F19" s="3256">
        <f t="shared" ref="F19:F38" si="3">E19/C19%</f>
        <v>105.35858607177916</v>
      </c>
    </row>
    <row r="20" spans="1:6" ht="17.399999999999999" customHeight="1">
      <c r="A20" s="1849">
        <v>1</v>
      </c>
      <c r="B20" s="1850" t="s">
        <v>824</v>
      </c>
      <c r="C20" s="2663">
        <f>'07'!H29</f>
        <v>1578230</v>
      </c>
      <c r="D20" s="2663">
        <f>'07'!J29</f>
        <v>1136196</v>
      </c>
      <c r="E20" s="2663">
        <f>'36'!C13</f>
        <v>1713785</v>
      </c>
      <c r="F20" s="2708">
        <f t="shared" si="3"/>
        <v>108.58905229275835</v>
      </c>
    </row>
    <row r="21" spans="1:6" ht="14.4" customHeight="1">
      <c r="A21" s="1849">
        <v>2</v>
      </c>
      <c r="B21" s="1850" t="s">
        <v>286</v>
      </c>
      <c r="C21" s="2663">
        <f>'07'!H30</f>
        <v>5033370</v>
      </c>
      <c r="D21" s="2663">
        <f>'07'!J30</f>
        <v>4962897.6499999994</v>
      </c>
      <c r="E21" s="2663">
        <f>'36'!C23</f>
        <v>5350237.3035800001</v>
      </c>
      <c r="F21" s="2708">
        <f t="shared" si="3"/>
        <v>106.29533103229051</v>
      </c>
    </row>
    <row r="22" spans="1:6" ht="26.4">
      <c r="A22" s="1849">
        <v>3</v>
      </c>
      <c r="B22" s="1850" t="s">
        <v>1071</v>
      </c>
      <c r="C22" s="2663">
        <f>'07'!H31</f>
        <v>100</v>
      </c>
      <c r="D22" s="2663">
        <f>'07'!J31</f>
        <v>100</v>
      </c>
      <c r="E22" s="2663">
        <f>'36'!C39</f>
        <v>0</v>
      </c>
      <c r="F22" s="2708">
        <f t="shared" si="3"/>
        <v>0</v>
      </c>
    </row>
    <row r="23" spans="1:6" ht="17.399999999999999" customHeight="1">
      <c r="A23" s="1849">
        <v>4</v>
      </c>
      <c r="B23" s="1850" t="s">
        <v>1072</v>
      </c>
      <c r="C23" s="2663">
        <f>'07'!H32</f>
        <v>1000</v>
      </c>
      <c r="D23" s="2663">
        <f>'07'!J32</f>
        <v>1000</v>
      </c>
      <c r="E23" s="2663">
        <f>'36'!C40</f>
        <v>1000</v>
      </c>
      <c r="F23" s="2708">
        <f t="shared" si="3"/>
        <v>100</v>
      </c>
    </row>
    <row r="24" spans="1:6" ht="16.2" customHeight="1">
      <c r="A24" s="1849">
        <v>5</v>
      </c>
      <c r="B24" s="1850" t="s">
        <v>320</v>
      </c>
      <c r="C24" s="2663">
        <f>'07'!H33</f>
        <v>137890</v>
      </c>
      <c r="D24" s="2663">
        <f>'07'!J33</f>
        <v>132670</v>
      </c>
      <c r="E24" s="2663">
        <f>'36'!C41</f>
        <v>145300</v>
      </c>
      <c r="F24" s="2708">
        <f t="shared" si="3"/>
        <v>105.37384871999419</v>
      </c>
    </row>
    <row r="25" spans="1:6" ht="18.600000000000001" customHeight="1">
      <c r="A25" s="1849">
        <v>6</v>
      </c>
      <c r="B25" s="1850" t="s">
        <v>322</v>
      </c>
      <c r="C25" s="2663">
        <f>'07'!H34</f>
        <v>93012</v>
      </c>
      <c r="D25" s="2663">
        <f>'07'!J34</f>
        <v>93012</v>
      </c>
      <c r="E25" s="2664"/>
      <c r="F25" s="2708">
        <f t="shared" si="3"/>
        <v>0</v>
      </c>
    </row>
    <row r="26" spans="1:6">
      <c r="A26" s="1847" t="s">
        <v>60</v>
      </c>
      <c r="B26" s="1848" t="s">
        <v>1073</v>
      </c>
      <c r="C26" s="2668">
        <f>SUM(C27:C29)</f>
        <v>1894822</v>
      </c>
      <c r="D26" s="2668">
        <f>SUM(D27:D29)</f>
        <v>1371653.8325564719</v>
      </c>
      <c r="E26" s="2668">
        <f>SUM(E27:E29)</f>
        <v>1747626</v>
      </c>
      <c r="F26" s="2707">
        <f t="shared" si="3"/>
        <v>92.231671365436952</v>
      </c>
    </row>
    <row r="27" spans="1:6" ht="18.600000000000001" customHeight="1">
      <c r="A27" s="1849">
        <v>1</v>
      </c>
      <c r="B27" s="1850" t="s">
        <v>324</v>
      </c>
      <c r="C27" s="2663">
        <f>'07'!H37</f>
        <v>178753</v>
      </c>
      <c r="D27" s="2663">
        <f>'07'!J37</f>
        <v>174874.83255647187</v>
      </c>
      <c r="E27" s="2670">
        <f>'36'!C44</f>
        <v>322200</v>
      </c>
      <c r="F27" s="2708">
        <f t="shared" si="3"/>
        <v>180.24872309835359</v>
      </c>
    </row>
    <row r="28" spans="1:6" ht="18" customHeight="1">
      <c r="A28" s="1849">
        <v>2</v>
      </c>
      <c r="B28" s="1850" t="s">
        <v>1074</v>
      </c>
      <c r="C28" s="2663">
        <f>'07'!H38</f>
        <v>1356818</v>
      </c>
      <c r="D28" s="2663">
        <f>'07'!J38</f>
        <v>837528</v>
      </c>
      <c r="E28" s="2670">
        <f>'36'!C52</f>
        <v>975461</v>
      </c>
      <c r="F28" s="2708">
        <f t="shared" si="3"/>
        <v>71.89328266576652</v>
      </c>
    </row>
    <row r="29" spans="1:6" ht="26.4">
      <c r="A29" s="1849">
        <v>3</v>
      </c>
      <c r="B29" s="3250" t="s">
        <v>1301</v>
      </c>
      <c r="C29" s="2663">
        <f>'07'!H39</f>
        <v>359251</v>
      </c>
      <c r="D29" s="2663">
        <f>'07'!J39</f>
        <v>359251</v>
      </c>
      <c r="E29" s="2670">
        <f>'36'!C60</f>
        <v>449965</v>
      </c>
      <c r="F29" s="2708">
        <f t="shared" si="3"/>
        <v>125.25086916946647</v>
      </c>
    </row>
    <row r="30" spans="1:6" ht="18.600000000000001" customHeight="1">
      <c r="A30" s="1847" t="s">
        <v>315</v>
      </c>
      <c r="B30" s="1848" t="s">
        <v>1075</v>
      </c>
      <c r="C30" s="2669"/>
      <c r="D30" s="2669"/>
      <c r="E30" s="2669"/>
      <c r="F30" s="2707"/>
    </row>
    <row r="31" spans="1:6" ht="22.8" customHeight="1">
      <c r="A31" s="3261" t="s">
        <v>317</v>
      </c>
      <c r="B31" s="3262" t="s">
        <v>1302</v>
      </c>
      <c r="C31" s="3270">
        <f>'07'!H41</f>
        <v>75799</v>
      </c>
      <c r="D31" s="3270">
        <f>'07'!J41</f>
        <v>75799</v>
      </c>
      <c r="E31" s="3271">
        <f>'36'!C65</f>
        <v>154000</v>
      </c>
      <c r="F31" s="3264">
        <f t="shared" si="3"/>
        <v>203.16890724152034</v>
      </c>
    </row>
    <row r="32" spans="1:6" ht="17.399999999999999" customHeight="1">
      <c r="A32" s="3276" t="s">
        <v>362</v>
      </c>
      <c r="B32" s="3277" t="s">
        <v>1076</v>
      </c>
      <c r="C32" s="3278">
        <f>C8-C18</f>
        <v>50800</v>
      </c>
      <c r="D32" s="3278">
        <f>D8-D18</f>
        <v>1581024.617443528</v>
      </c>
      <c r="E32" s="3278">
        <f>E8-E18</f>
        <v>54499.696419999003</v>
      </c>
      <c r="F32" s="3269">
        <f t="shared" si="3"/>
        <v>107.28286696850198</v>
      </c>
    </row>
    <row r="33" spans="1:6" ht="18" customHeight="1">
      <c r="A33" s="3279" t="s">
        <v>371</v>
      </c>
      <c r="B33" s="3280" t="s">
        <v>1077</v>
      </c>
      <c r="C33" s="3281">
        <f>C34+C35</f>
        <v>91000</v>
      </c>
      <c r="D33" s="3281">
        <f t="shared" ref="D33:E33" si="4">D34+D35</f>
        <v>91000</v>
      </c>
      <c r="E33" s="3281">
        <f t="shared" si="4"/>
        <v>54500</v>
      </c>
      <c r="F33" s="3282">
        <f t="shared" si="3"/>
        <v>59.890109890109891</v>
      </c>
    </row>
    <row r="34" spans="1:6" ht="18" customHeight="1">
      <c r="A34" s="3272">
        <v>1</v>
      </c>
      <c r="B34" s="3273" t="s">
        <v>1078</v>
      </c>
      <c r="C34" s="3274">
        <f>'07'!H47</f>
        <v>40200</v>
      </c>
      <c r="D34" s="3274"/>
      <c r="E34" s="3275"/>
      <c r="F34" s="3256"/>
    </row>
    <row r="35" spans="1:6" ht="31.2" customHeight="1">
      <c r="A35" s="3283" t="s">
        <v>1079</v>
      </c>
      <c r="B35" s="3284" t="s">
        <v>1080</v>
      </c>
      <c r="C35" s="3285">
        <f>'07'!H48</f>
        <v>50800</v>
      </c>
      <c r="D35" s="3285">
        <f>'07'!J48</f>
        <v>91000</v>
      </c>
      <c r="E35" s="3286">
        <f>'07'!N48</f>
        <v>54500</v>
      </c>
      <c r="F35" s="3287">
        <f t="shared" si="3"/>
        <v>107.28346456692914</v>
      </c>
    </row>
    <row r="36" spans="1:6">
      <c r="A36" s="3289" t="s">
        <v>912</v>
      </c>
      <c r="B36" s="3290" t="s">
        <v>1081</v>
      </c>
      <c r="C36" s="3291">
        <f>C37+C38</f>
        <v>369350</v>
      </c>
      <c r="D36" s="3291">
        <f t="shared" ref="D36:E36" si="5">D37+D38</f>
        <v>40200</v>
      </c>
      <c r="E36" s="3291">
        <f t="shared" si="5"/>
        <v>512544.4</v>
      </c>
      <c r="F36" s="3292">
        <f t="shared" si="3"/>
        <v>138.76929741437661</v>
      </c>
    </row>
    <row r="37" spans="1:6" ht="15.6" customHeight="1">
      <c r="A37" s="3272">
        <v>1</v>
      </c>
      <c r="B37" s="3273" t="s">
        <v>1082</v>
      </c>
      <c r="C37" s="3288">
        <f>'07'!H50</f>
        <v>0</v>
      </c>
      <c r="D37" s="3288"/>
      <c r="E37" s="3288"/>
      <c r="F37" s="3256"/>
    </row>
    <row r="38" spans="1:6" ht="18.600000000000001" customHeight="1">
      <c r="A38" s="1853">
        <v>2</v>
      </c>
      <c r="B38" s="3251" t="s">
        <v>1311</v>
      </c>
      <c r="C38" s="2705">
        <f>'07'!H52</f>
        <v>369350</v>
      </c>
      <c r="D38" s="2705">
        <f>'07'!J52</f>
        <v>40200</v>
      </c>
      <c r="E38" s="2705">
        <f>'07'!N52</f>
        <v>512544.4</v>
      </c>
      <c r="F38" s="3252">
        <f t="shared" si="3"/>
        <v>138.76929741437661</v>
      </c>
    </row>
    <row r="39" spans="1:6">
      <c r="A39" s="1855" t="s">
        <v>68</v>
      </c>
    </row>
    <row r="40" spans="1:6">
      <c r="A40" s="1855" t="s">
        <v>1084</v>
      </c>
    </row>
    <row r="41" spans="1:6">
      <c r="A41" s="1841" t="s">
        <v>1085</v>
      </c>
    </row>
  </sheetData>
  <mergeCells count="2">
    <mergeCell ref="A3:F3"/>
    <mergeCell ref="A4:F4"/>
  </mergeCells>
  <pageMargins left="0.76" right="0.39" top="0.31" bottom="0.17" header="0.17" footer="0.17"/>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topLeftCell="B4" workbookViewId="0">
      <selection activeCell="E21" sqref="E21"/>
    </sheetView>
  </sheetViews>
  <sheetFormatPr defaultRowHeight="13.2"/>
  <cols>
    <col min="1" max="1" width="6" style="2635" customWidth="1"/>
    <col min="2" max="2" width="39.44140625" style="2635" customWidth="1"/>
    <col min="3" max="3" width="12.6640625" style="2635" customWidth="1"/>
    <col min="4" max="4" width="13.109375" style="2635" customWidth="1"/>
    <col min="5" max="6" width="12.5546875" style="2635" customWidth="1"/>
    <col min="7" max="7" width="12.5546875" style="2685" customWidth="1"/>
    <col min="8" max="8" width="16" style="2635" customWidth="1"/>
    <col min="9" max="9" width="11.5546875" style="2635" customWidth="1"/>
    <col min="10" max="10" width="13.21875" style="2635" customWidth="1"/>
    <col min="11" max="11" width="11.6640625" style="2635" customWidth="1"/>
    <col min="12" max="257" width="8.88671875" style="2635"/>
    <col min="258" max="258" width="6" style="2635" customWidth="1"/>
    <col min="259" max="259" width="36.5546875" style="2635" customWidth="1"/>
    <col min="260" max="260" width="12.6640625" style="2635" customWidth="1"/>
    <col min="261" max="261" width="12.109375" style="2635" customWidth="1"/>
    <col min="262" max="262" width="11.5546875" style="2635" customWidth="1"/>
    <col min="263" max="263" width="11.109375" style="2635" customWidth="1"/>
    <col min="264" max="513" width="8.88671875" style="2635"/>
    <col min="514" max="514" width="6" style="2635" customWidth="1"/>
    <col min="515" max="515" width="36.5546875" style="2635" customWidth="1"/>
    <col min="516" max="516" width="12.6640625" style="2635" customWidth="1"/>
    <col min="517" max="517" width="12.109375" style="2635" customWidth="1"/>
    <col min="518" max="518" width="11.5546875" style="2635" customWidth="1"/>
    <col min="519" max="519" width="11.109375" style="2635" customWidth="1"/>
    <col min="520" max="769" width="8.88671875" style="2635"/>
    <col min="770" max="770" width="6" style="2635" customWidth="1"/>
    <col min="771" max="771" width="36.5546875" style="2635" customWidth="1"/>
    <col min="772" max="772" width="12.6640625" style="2635" customWidth="1"/>
    <col min="773" max="773" width="12.109375" style="2635" customWidth="1"/>
    <col min="774" max="774" width="11.5546875" style="2635" customWidth="1"/>
    <col min="775" max="775" width="11.109375" style="2635" customWidth="1"/>
    <col min="776" max="1025" width="8.88671875" style="2635"/>
    <col min="1026" max="1026" width="6" style="2635" customWidth="1"/>
    <col min="1027" max="1027" width="36.5546875" style="2635" customWidth="1"/>
    <col min="1028" max="1028" width="12.6640625" style="2635" customWidth="1"/>
    <col min="1029" max="1029" width="12.109375" style="2635" customWidth="1"/>
    <col min="1030" max="1030" width="11.5546875" style="2635" customWidth="1"/>
    <col min="1031" max="1031" width="11.109375" style="2635" customWidth="1"/>
    <col min="1032" max="1281" width="8.88671875" style="2635"/>
    <col min="1282" max="1282" width="6" style="2635" customWidth="1"/>
    <col min="1283" max="1283" width="36.5546875" style="2635" customWidth="1"/>
    <col min="1284" max="1284" width="12.6640625" style="2635" customWidth="1"/>
    <col min="1285" max="1285" width="12.109375" style="2635" customWidth="1"/>
    <col min="1286" max="1286" width="11.5546875" style="2635" customWidth="1"/>
    <col min="1287" max="1287" width="11.109375" style="2635" customWidth="1"/>
    <col min="1288" max="1537" width="8.88671875" style="2635"/>
    <col min="1538" max="1538" width="6" style="2635" customWidth="1"/>
    <col min="1539" max="1539" width="36.5546875" style="2635" customWidth="1"/>
    <col min="1540" max="1540" width="12.6640625" style="2635" customWidth="1"/>
    <col min="1541" max="1541" width="12.109375" style="2635" customWidth="1"/>
    <col min="1542" max="1542" width="11.5546875" style="2635" customWidth="1"/>
    <col min="1543" max="1543" width="11.109375" style="2635" customWidth="1"/>
    <col min="1544" max="1793" width="8.88671875" style="2635"/>
    <col min="1794" max="1794" width="6" style="2635" customWidth="1"/>
    <col min="1795" max="1795" width="36.5546875" style="2635" customWidth="1"/>
    <col min="1796" max="1796" width="12.6640625" style="2635" customWidth="1"/>
    <col min="1797" max="1797" width="12.109375" style="2635" customWidth="1"/>
    <col min="1798" max="1798" width="11.5546875" style="2635" customWidth="1"/>
    <col min="1799" max="1799" width="11.109375" style="2635" customWidth="1"/>
    <col min="1800" max="2049" width="8.88671875" style="2635"/>
    <col min="2050" max="2050" width="6" style="2635" customWidth="1"/>
    <col min="2051" max="2051" width="36.5546875" style="2635" customWidth="1"/>
    <col min="2052" max="2052" width="12.6640625" style="2635" customWidth="1"/>
    <col min="2053" max="2053" width="12.109375" style="2635" customWidth="1"/>
    <col min="2054" max="2054" width="11.5546875" style="2635" customWidth="1"/>
    <col min="2055" max="2055" width="11.109375" style="2635" customWidth="1"/>
    <col min="2056" max="2305" width="8.88671875" style="2635"/>
    <col min="2306" max="2306" width="6" style="2635" customWidth="1"/>
    <col min="2307" max="2307" width="36.5546875" style="2635" customWidth="1"/>
    <col min="2308" max="2308" width="12.6640625" style="2635" customWidth="1"/>
    <col min="2309" max="2309" width="12.109375" style="2635" customWidth="1"/>
    <col min="2310" max="2310" width="11.5546875" style="2635" customWidth="1"/>
    <col min="2311" max="2311" width="11.109375" style="2635" customWidth="1"/>
    <col min="2312" max="2561" width="8.88671875" style="2635"/>
    <col min="2562" max="2562" width="6" style="2635" customWidth="1"/>
    <col min="2563" max="2563" width="36.5546875" style="2635" customWidth="1"/>
    <col min="2564" max="2564" width="12.6640625" style="2635" customWidth="1"/>
    <col min="2565" max="2565" width="12.109375" style="2635" customWidth="1"/>
    <col min="2566" max="2566" width="11.5546875" style="2635" customWidth="1"/>
    <col min="2567" max="2567" width="11.109375" style="2635" customWidth="1"/>
    <col min="2568" max="2817" width="8.88671875" style="2635"/>
    <col min="2818" max="2818" width="6" style="2635" customWidth="1"/>
    <col min="2819" max="2819" width="36.5546875" style="2635" customWidth="1"/>
    <col min="2820" max="2820" width="12.6640625" style="2635" customWidth="1"/>
    <col min="2821" max="2821" width="12.109375" style="2635" customWidth="1"/>
    <col min="2822" max="2822" width="11.5546875" style="2635" customWidth="1"/>
    <col min="2823" max="2823" width="11.109375" style="2635" customWidth="1"/>
    <col min="2824" max="3073" width="8.88671875" style="2635"/>
    <col min="3074" max="3074" width="6" style="2635" customWidth="1"/>
    <col min="3075" max="3075" width="36.5546875" style="2635" customWidth="1"/>
    <col min="3076" max="3076" width="12.6640625" style="2635" customWidth="1"/>
    <col min="3077" max="3077" width="12.109375" style="2635" customWidth="1"/>
    <col min="3078" max="3078" width="11.5546875" style="2635" customWidth="1"/>
    <col min="3079" max="3079" width="11.109375" style="2635" customWidth="1"/>
    <col min="3080" max="3329" width="8.88671875" style="2635"/>
    <col min="3330" max="3330" width="6" style="2635" customWidth="1"/>
    <col min="3331" max="3331" width="36.5546875" style="2635" customWidth="1"/>
    <col min="3332" max="3332" width="12.6640625" style="2635" customWidth="1"/>
    <col min="3333" max="3333" width="12.109375" style="2635" customWidth="1"/>
    <col min="3334" max="3334" width="11.5546875" style="2635" customWidth="1"/>
    <col min="3335" max="3335" width="11.109375" style="2635" customWidth="1"/>
    <col min="3336" max="3585" width="8.88671875" style="2635"/>
    <col min="3586" max="3586" width="6" style="2635" customWidth="1"/>
    <col min="3587" max="3587" width="36.5546875" style="2635" customWidth="1"/>
    <col min="3588" max="3588" width="12.6640625" style="2635" customWidth="1"/>
    <col min="3589" max="3589" width="12.109375" style="2635" customWidth="1"/>
    <col min="3590" max="3590" width="11.5546875" style="2635" customWidth="1"/>
    <col min="3591" max="3591" width="11.109375" style="2635" customWidth="1"/>
    <col min="3592" max="3841" width="8.88671875" style="2635"/>
    <col min="3842" max="3842" width="6" style="2635" customWidth="1"/>
    <col min="3843" max="3843" width="36.5546875" style="2635" customWidth="1"/>
    <col min="3844" max="3844" width="12.6640625" style="2635" customWidth="1"/>
    <col min="3845" max="3845" width="12.109375" style="2635" customWidth="1"/>
    <col min="3846" max="3846" width="11.5546875" style="2635" customWidth="1"/>
    <col min="3847" max="3847" width="11.109375" style="2635" customWidth="1"/>
    <col min="3848" max="4097" width="8.88671875" style="2635"/>
    <col min="4098" max="4098" width="6" style="2635" customWidth="1"/>
    <col min="4099" max="4099" width="36.5546875" style="2635" customWidth="1"/>
    <col min="4100" max="4100" width="12.6640625" style="2635" customWidth="1"/>
    <col min="4101" max="4101" width="12.109375" style="2635" customWidth="1"/>
    <col min="4102" max="4102" width="11.5546875" style="2635" customWidth="1"/>
    <col min="4103" max="4103" width="11.109375" style="2635" customWidth="1"/>
    <col min="4104" max="4353" width="8.88671875" style="2635"/>
    <col min="4354" max="4354" width="6" style="2635" customWidth="1"/>
    <col min="4355" max="4355" width="36.5546875" style="2635" customWidth="1"/>
    <col min="4356" max="4356" width="12.6640625" style="2635" customWidth="1"/>
    <col min="4357" max="4357" width="12.109375" style="2635" customWidth="1"/>
    <col min="4358" max="4358" width="11.5546875" style="2635" customWidth="1"/>
    <col min="4359" max="4359" width="11.109375" style="2635" customWidth="1"/>
    <col min="4360" max="4609" width="8.88671875" style="2635"/>
    <col min="4610" max="4610" width="6" style="2635" customWidth="1"/>
    <col min="4611" max="4611" width="36.5546875" style="2635" customWidth="1"/>
    <col min="4612" max="4612" width="12.6640625" style="2635" customWidth="1"/>
    <col min="4613" max="4613" width="12.109375" style="2635" customWidth="1"/>
    <col min="4614" max="4614" width="11.5546875" style="2635" customWidth="1"/>
    <col min="4615" max="4615" width="11.109375" style="2635" customWidth="1"/>
    <col min="4616" max="4865" width="8.88671875" style="2635"/>
    <col min="4866" max="4866" width="6" style="2635" customWidth="1"/>
    <col min="4867" max="4867" width="36.5546875" style="2635" customWidth="1"/>
    <col min="4868" max="4868" width="12.6640625" style="2635" customWidth="1"/>
    <col min="4869" max="4869" width="12.109375" style="2635" customWidth="1"/>
    <col min="4870" max="4870" width="11.5546875" style="2635" customWidth="1"/>
    <col min="4871" max="4871" width="11.109375" style="2635" customWidth="1"/>
    <col min="4872" max="5121" width="8.88671875" style="2635"/>
    <col min="5122" max="5122" width="6" style="2635" customWidth="1"/>
    <col min="5123" max="5123" width="36.5546875" style="2635" customWidth="1"/>
    <col min="5124" max="5124" width="12.6640625" style="2635" customWidth="1"/>
    <col min="5125" max="5125" width="12.109375" style="2635" customWidth="1"/>
    <col min="5126" max="5126" width="11.5546875" style="2635" customWidth="1"/>
    <col min="5127" max="5127" width="11.109375" style="2635" customWidth="1"/>
    <col min="5128" max="5377" width="8.88671875" style="2635"/>
    <col min="5378" max="5378" width="6" style="2635" customWidth="1"/>
    <col min="5379" max="5379" width="36.5546875" style="2635" customWidth="1"/>
    <col min="5380" max="5380" width="12.6640625" style="2635" customWidth="1"/>
    <col min="5381" max="5381" width="12.109375" style="2635" customWidth="1"/>
    <col min="5382" max="5382" width="11.5546875" style="2635" customWidth="1"/>
    <col min="5383" max="5383" width="11.109375" style="2635" customWidth="1"/>
    <col min="5384" max="5633" width="8.88671875" style="2635"/>
    <col min="5634" max="5634" width="6" style="2635" customWidth="1"/>
    <col min="5635" max="5635" width="36.5546875" style="2635" customWidth="1"/>
    <col min="5636" max="5636" width="12.6640625" style="2635" customWidth="1"/>
    <col min="5637" max="5637" width="12.109375" style="2635" customWidth="1"/>
    <col min="5638" max="5638" width="11.5546875" style="2635" customWidth="1"/>
    <col min="5639" max="5639" width="11.109375" style="2635" customWidth="1"/>
    <col min="5640" max="5889" width="8.88671875" style="2635"/>
    <col min="5890" max="5890" width="6" style="2635" customWidth="1"/>
    <col min="5891" max="5891" width="36.5546875" style="2635" customWidth="1"/>
    <col min="5892" max="5892" width="12.6640625" style="2635" customWidth="1"/>
    <col min="5893" max="5893" width="12.109375" style="2635" customWidth="1"/>
    <col min="5894" max="5894" width="11.5546875" style="2635" customWidth="1"/>
    <col min="5895" max="5895" width="11.109375" style="2635" customWidth="1"/>
    <col min="5896" max="6145" width="8.88671875" style="2635"/>
    <col min="6146" max="6146" width="6" style="2635" customWidth="1"/>
    <col min="6147" max="6147" width="36.5546875" style="2635" customWidth="1"/>
    <col min="6148" max="6148" width="12.6640625" style="2635" customWidth="1"/>
    <col min="6149" max="6149" width="12.109375" style="2635" customWidth="1"/>
    <col min="6150" max="6150" width="11.5546875" style="2635" customWidth="1"/>
    <col min="6151" max="6151" width="11.109375" style="2635" customWidth="1"/>
    <col min="6152" max="6401" width="8.88671875" style="2635"/>
    <col min="6402" max="6402" width="6" style="2635" customWidth="1"/>
    <col min="6403" max="6403" width="36.5546875" style="2635" customWidth="1"/>
    <col min="6404" max="6404" width="12.6640625" style="2635" customWidth="1"/>
    <col min="6405" max="6405" width="12.109375" style="2635" customWidth="1"/>
    <col min="6406" max="6406" width="11.5546875" style="2635" customWidth="1"/>
    <col min="6407" max="6407" width="11.109375" style="2635" customWidth="1"/>
    <col min="6408" max="6657" width="8.88671875" style="2635"/>
    <col min="6658" max="6658" width="6" style="2635" customWidth="1"/>
    <col min="6659" max="6659" width="36.5546875" style="2635" customWidth="1"/>
    <col min="6660" max="6660" width="12.6640625" style="2635" customWidth="1"/>
    <col min="6661" max="6661" width="12.109375" style="2635" customWidth="1"/>
    <col min="6662" max="6662" width="11.5546875" style="2635" customWidth="1"/>
    <col min="6663" max="6663" width="11.109375" style="2635" customWidth="1"/>
    <col min="6664" max="6913" width="8.88671875" style="2635"/>
    <col min="6914" max="6914" width="6" style="2635" customWidth="1"/>
    <col min="6915" max="6915" width="36.5546875" style="2635" customWidth="1"/>
    <col min="6916" max="6916" width="12.6640625" style="2635" customWidth="1"/>
    <col min="6917" max="6917" width="12.109375" style="2635" customWidth="1"/>
    <col min="6918" max="6918" width="11.5546875" style="2635" customWidth="1"/>
    <col min="6919" max="6919" width="11.109375" style="2635" customWidth="1"/>
    <col min="6920" max="7169" width="8.88671875" style="2635"/>
    <col min="7170" max="7170" width="6" style="2635" customWidth="1"/>
    <col min="7171" max="7171" width="36.5546875" style="2635" customWidth="1"/>
    <col min="7172" max="7172" width="12.6640625" style="2635" customWidth="1"/>
    <col min="7173" max="7173" width="12.109375" style="2635" customWidth="1"/>
    <col min="7174" max="7174" width="11.5546875" style="2635" customWidth="1"/>
    <col min="7175" max="7175" width="11.109375" style="2635" customWidth="1"/>
    <col min="7176" max="7425" width="8.88671875" style="2635"/>
    <col min="7426" max="7426" width="6" style="2635" customWidth="1"/>
    <col min="7427" max="7427" width="36.5546875" style="2635" customWidth="1"/>
    <col min="7428" max="7428" width="12.6640625" style="2635" customWidth="1"/>
    <col min="7429" max="7429" width="12.109375" style="2635" customWidth="1"/>
    <col min="7430" max="7430" width="11.5546875" style="2635" customWidth="1"/>
    <col min="7431" max="7431" width="11.109375" style="2635" customWidth="1"/>
    <col min="7432" max="7681" width="8.88671875" style="2635"/>
    <col min="7682" max="7682" width="6" style="2635" customWidth="1"/>
    <col min="7683" max="7683" width="36.5546875" style="2635" customWidth="1"/>
    <col min="7684" max="7684" width="12.6640625" style="2635" customWidth="1"/>
    <col min="7685" max="7685" width="12.109375" style="2635" customWidth="1"/>
    <col min="7686" max="7686" width="11.5546875" style="2635" customWidth="1"/>
    <col min="7687" max="7687" width="11.109375" style="2635" customWidth="1"/>
    <col min="7688" max="7937" width="8.88671875" style="2635"/>
    <col min="7938" max="7938" width="6" style="2635" customWidth="1"/>
    <col min="7939" max="7939" width="36.5546875" style="2635" customWidth="1"/>
    <col min="7940" max="7940" width="12.6640625" style="2635" customWidth="1"/>
    <col min="7941" max="7941" width="12.109375" style="2635" customWidth="1"/>
    <col min="7942" max="7942" width="11.5546875" style="2635" customWidth="1"/>
    <col min="7943" max="7943" width="11.109375" style="2635" customWidth="1"/>
    <col min="7944" max="8193" width="8.88671875" style="2635"/>
    <col min="8194" max="8194" width="6" style="2635" customWidth="1"/>
    <col min="8195" max="8195" width="36.5546875" style="2635" customWidth="1"/>
    <col min="8196" max="8196" width="12.6640625" style="2635" customWidth="1"/>
    <col min="8197" max="8197" width="12.109375" style="2635" customWidth="1"/>
    <col min="8198" max="8198" width="11.5546875" style="2635" customWidth="1"/>
    <col min="8199" max="8199" width="11.109375" style="2635" customWidth="1"/>
    <col min="8200" max="8449" width="8.88671875" style="2635"/>
    <col min="8450" max="8450" width="6" style="2635" customWidth="1"/>
    <col min="8451" max="8451" width="36.5546875" style="2635" customWidth="1"/>
    <col min="8452" max="8452" width="12.6640625" style="2635" customWidth="1"/>
    <col min="8453" max="8453" width="12.109375" style="2635" customWidth="1"/>
    <col min="8454" max="8454" width="11.5546875" style="2635" customWidth="1"/>
    <col min="8455" max="8455" width="11.109375" style="2635" customWidth="1"/>
    <col min="8456" max="8705" width="8.88671875" style="2635"/>
    <col min="8706" max="8706" width="6" style="2635" customWidth="1"/>
    <col min="8707" max="8707" width="36.5546875" style="2635" customWidth="1"/>
    <col min="8708" max="8708" width="12.6640625" style="2635" customWidth="1"/>
    <col min="8709" max="8709" width="12.109375" style="2635" customWidth="1"/>
    <col min="8710" max="8710" width="11.5546875" style="2635" customWidth="1"/>
    <col min="8711" max="8711" width="11.109375" style="2635" customWidth="1"/>
    <col min="8712" max="8961" width="8.88671875" style="2635"/>
    <col min="8962" max="8962" width="6" style="2635" customWidth="1"/>
    <col min="8963" max="8963" width="36.5546875" style="2635" customWidth="1"/>
    <col min="8964" max="8964" width="12.6640625" style="2635" customWidth="1"/>
    <col min="8965" max="8965" width="12.109375" style="2635" customWidth="1"/>
    <col min="8966" max="8966" width="11.5546875" style="2635" customWidth="1"/>
    <col min="8967" max="8967" width="11.109375" style="2635" customWidth="1"/>
    <col min="8968" max="9217" width="8.88671875" style="2635"/>
    <col min="9218" max="9218" width="6" style="2635" customWidth="1"/>
    <col min="9219" max="9219" width="36.5546875" style="2635" customWidth="1"/>
    <col min="9220" max="9220" width="12.6640625" style="2635" customWidth="1"/>
    <col min="9221" max="9221" width="12.109375" style="2635" customWidth="1"/>
    <col min="9222" max="9222" width="11.5546875" style="2635" customWidth="1"/>
    <col min="9223" max="9223" width="11.109375" style="2635" customWidth="1"/>
    <col min="9224" max="9473" width="8.88671875" style="2635"/>
    <col min="9474" max="9474" width="6" style="2635" customWidth="1"/>
    <col min="9475" max="9475" width="36.5546875" style="2635" customWidth="1"/>
    <col min="9476" max="9476" width="12.6640625" style="2635" customWidth="1"/>
    <col min="9477" max="9477" width="12.109375" style="2635" customWidth="1"/>
    <col min="9478" max="9478" width="11.5546875" style="2635" customWidth="1"/>
    <col min="9479" max="9479" width="11.109375" style="2635" customWidth="1"/>
    <col min="9480" max="9729" width="8.88671875" style="2635"/>
    <col min="9730" max="9730" width="6" style="2635" customWidth="1"/>
    <col min="9731" max="9731" width="36.5546875" style="2635" customWidth="1"/>
    <col min="9732" max="9732" width="12.6640625" style="2635" customWidth="1"/>
    <col min="9733" max="9733" width="12.109375" style="2635" customWidth="1"/>
    <col min="9734" max="9734" width="11.5546875" style="2635" customWidth="1"/>
    <col min="9735" max="9735" width="11.109375" style="2635" customWidth="1"/>
    <col min="9736" max="9985" width="8.88671875" style="2635"/>
    <col min="9986" max="9986" width="6" style="2635" customWidth="1"/>
    <col min="9987" max="9987" width="36.5546875" style="2635" customWidth="1"/>
    <col min="9988" max="9988" width="12.6640625" style="2635" customWidth="1"/>
    <col min="9989" max="9989" width="12.109375" style="2635" customWidth="1"/>
    <col min="9990" max="9990" width="11.5546875" style="2635" customWidth="1"/>
    <col min="9991" max="9991" width="11.109375" style="2635" customWidth="1"/>
    <col min="9992" max="10241" width="8.88671875" style="2635"/>
    <col min="10242" max="10242" width="6" style="2635" customWidth="1"/>
    <col min="10243" max="10243" width="36.5546875" style="2635" customWidth="1"/>
    <col min="10244" max="10244" width="12.6640625" style="2635" customWidth="1"/>
    <col min="10245" max="10245" width="12.109375" style="2635" customWidth="1"/>
    <col min="10246" max="10246" width="11.5546875" style="2635" customWidth="1"/>
    <col min="10247" max="10247" width="11.109375" style="2635" customWidth="1"/>
    <col min="10248" max="10497" width="8.88671875" style="2635"/>
    <col min="10498" max="10498" width="6" style="2635" customWidth="1"/>
    <col min="10499" max="10499" width="36.5546875" style="2635" customWidth="1"/>
    <col min="10500" max="10500" width="12.6640625" style="2635" customWidth="1"/>
    <col min="10501" max="10501" width="12.109375" style="2635" customWidth="1"/>
    <col min="10502" max="10502" width="11.5546875" style="2635" customWidth="1"/>
    <col min="10503" max="10503" width="11.109375" style="2635" customWidth="1"/>
    <col min="10504" max="10753" width="8.88671875" style="2635"/>
    <col min="10754" max="10754" width="6" style="2635" customWidth="1"/>
    <col min="10755" max="10755" width="36.5546875" style="2635" customWidth="1"/>
    <col min="10756" max="10756" width="12.6640625" style="2635" customWidth="1"/>
    <col min="10757" max="10757" width="12.109375" style="2635" customWidth="1"/>
    <col min="10758" max="10758" width="11.5546875" style="2635" customWidth="1"/>
    <col min="10759" max="10759" width="11.109375" style="2635" customWidth="1"/>
    <col min="10760" max="11009" width="8.88671875" style="2635"/>
    <col min="11010" max="11010" width="6" style="2635" customWidth="1"/>
    <col min="11011" max="11011" width="36.5546875" style="2635" customWidth="1"/>
    <col min="11012" max="11012" width="12.6640625" style="2635" customWidth="1"/>
    <col min="11013" max="11013" width="12.109375" style="2635" customWidth="1"/>
    <col min="11014" max="11014" width="11.5546875" style="2635" customWidth="1"/>
    <col min="11015" max="11015" width="11.109375" style="2635" customWidth="1"/>
    <col min="11016" max="11265" width="8.88671875" style="2635"/>
    <col min="11266" max="11266" width="6" style="2635" customWidth="1"/>
    <col min="11267" max="11267" width="36.5546875" style="2635" customWidth="1"/>
    <col min="11268" max="11268" width="12.6640625" style="2635" customWidth="1"/>
    <col min="11269" max="11269" width="12.109375" style="2635" customWidth="1"/>
    <col min="11270" max="11270" width="11.5546875" style="2635" customWidth="1"/>
    <col min="11271" max="11271" width="11.109375" style="2635" customWidth="1"/>
    <col min="11272" max="11521" width="8.88671875" style="2635"/>
    <col min="11522" max="11522" width="6" style="2635" customWidth="1"/>
    <col min="11523" max="11523" width="36.5546875" style="2635" customWidth="1"/>
    <col min="11524" max="11524" width="12.6640625" style="2635" customWidth="1"/>
    <col min="11525" max="11525" width="12.109375" style="2635" customWidth="1"/>
    <col min="11526" max="11526" width="11.5546875" style="2635" customWidth="1"/>
    <col min="11527" max="11527" width="11.109375" style="2635" customWidth="1"/>
    <col min="11528" max="11777" width="8.88671875" style="2635"/>
    <col min="11778" max="11778" width="6" style="2635" customWidth="1"/>
    <col min="11779" max="11779" width="36.5546875" style="2635" customWidth="1"/>
    <col min="11780" max="11780" width="12.6640625" style="2635" customWidth="1"/>
    <col min="11781" max="11781" width="12.109375" style="2635" customWidth="1"/>
    <col min="11782" max="11782" width="11.5546875" style="2635" customWidth="1"/>
    <col min="11783" max="11783" width="11.109375" style="2635" customWidth="1"/>
    <col min="11784" max="12033" width="8.88671875" style="2635"/>
    <col min="12034" max="12034" width="6" style="2635" customWidth="1"/>
    <col min="12035" max="12035" width="36.5546875" style="2635" customWidth="1"/>
    <col min="12036" max="12036" width="12.6640625" style="2635" customWidth="1"/>
    <col min="12037" max="12037" width="12.109375" style="2635" customWidth="1"/>
    <col min="12038" max="12038" width="11.5546875" style="2635" customWidth="1"/>
    <col min="12039" max="12039" width="11.109375" style="2635" customWidth="1"/>
    <col min="12040" max="12289" width="8.88671875" style="2635"/>
    <col min="12290" max="12290" width="6" style="2635" customWidth="1"/>
    <col min="12291" max="12291" width="36.5546875" style="2635" customWidth="1"/>
    <col min="12292" max="12292" width="12.6640625" style="2635" customWidth="1"/>
    <col min="12293" max="12293" width="12.109375" style="2635" customWidth="1"/>
    <col min="12294" max="12294" width="11.5546875" style="2635" customWidth="1"/>
    <col min="12295" max="12295" width="11.109375" style="2635" customWidth="1"/>
    <col min="12296" max="12545" width="8.88671875" style="2635"/>
    <col min="12546" max="12546" width="6" style="2635" customWidth="1"/>
    <col min="12547" max="12547" width="36.5546875" style="2635" customWidth="1"/>
    <col min="12548" max="12548" width="12.6640625" style="2635" customWidth="1"/>
    <col min="12549" max="12549" width="12.109375" style="2635" customWidth="1"/>
    <col min="12550" max="12550" width="11.5546875" style="2635" customWidth="1"/>
    <col min="12551" max="12551" width="11.109375" style="2635" customWidth="1"/>
    <col min="12552" max="12801" width="8.88671875" style="2635"/>
    <col min="12802" max="12802" width="6" style="2635" customWidth="1"/>
    <col min="12803" max="12803" width="36.5546875" style="2635" customWidth="1"/>
    <col min="12804" max="12804" width="12.6640625" style="2635" customWidth="1"/>
    <col min="12805" max="12805" width="12.109375" style="2635" customWidth="1"/>
    <col min="12806" max="12806" width="11.5546875" style="2635" customWidth="1"/>
    <col min="12807" max="12807" width="11.109375" style="2635" customWidth="1"/>
    <col min="12808" max="13057" width="8.88671875" style="2635"/>
    <col min="13058" max="13058" width="6" style="2635" customWidth="1"/>
    <col min="13059" max="13059" width="36.5546875" style="2635" customWidth="1"/>
    <col min="13060" max="13060" width="12.6640625" style="2635" customWidth="1"/>
    <col min="13061" max="13061" width="12.109375" style="2635" customWidth="1"/>
    <col min="13062" max="13062" width="11.5546875" style="2635" customWidth="1"/>
    <col min="13063" max="13063" width="11.109375" style="2635" customWidth="1"/>
    <col min="13064" max="13313" width="8.88671875" style="2635"/>
    <col min="13314" max="13314" width="6" style="2635" customWidth="1"/>
    <col min="13315" max="13315" width="36.5546875" style="2635" customWidth="1"/>
    <col min="13316" max="13316" width="12.6640625" style="2635" customWidth="1"/>
    <col min="13317" max="13317" width="12.109375" style="2635" customWidth="1"/>
    <col min="13318" max="13318" width="11.5546875" style="2635" customWidth="1"/>
    <col min="13319" max="13319" width="11.109375" style="2635" customWidth="1"/>
    <col min="13320" max="13569" width="8.88671875" style="2635"/>
    <col min="13570" max="13570" width="6" style="2635" customWidth="1"/>
    <col min="13571" max="13571" width="36.5546875" style="2635" customWidth="1"/>
    <col min="13572" max="13572" width="12.6640625" style="2635" customWidth="1"/>
    <col min="13573" max="13573" width="12.109375" style="2635" customWidth="1"/>
    <col min="13574" max="13574" width="11.5546875" style="2635" customWidth="1"/>
    <col min="13575" max="13575" width="11.109375" style="2635" customWidth="1"/>
    <col min="13576" max="13825" width="8.88671875" style="2635"/>
    <col min="13826" max="13826" width="6" style="2635" customWidth="1"/>
    <col min="13827" max="13827" width="36.5546875" style="2635" customWidth="1"/>
    <col min="13828" max="13828" width="12.6640625" style="2635" customWidth="1"/>
    <col min="13829" max="13829" width="12.109375" style="2635" customWidth="1"/>
    <col min="13830" max="13830" width="11.5546875" style="2635" customWidth="1"/>
    <col min="13831" max="13831" width="11.109375" style="2635" customWidth="1"/>
    <col min="13832" max="14081" width="8.88671875" style="2635"/>
    <col min="14082" max="14082" width="6" style="2635" customWidth="1"/>
    <col min="14083" max="14083" width="36.5546875" style="2635" customWidth="1"/>
    <col min="14084" max="14084" width="12.6640625" style="2635" customWidth="1"/>
    <col min="14085" max="14085" width="12.109375" style="2635" customWidth="1"/>
    <col min="14086" max="14086" width="11.5546875" style="2635" customWidth="1"/>
    <col min="14087" max="14087" width="11.109375" style="2635" customWidth="1"/>
    <col min="14088" max="14337" width="8.88671875" style="2635"/>
    <col min="14338" max="14338" width="6" style="2635" customWidth="1"/>
    <col min="14339" max="14339" width="36.5546875" style="2635" customWidth="1"/>
    <col min="14340" max="14340" width="12.6640625" style="2635" customWidth="1"/>
    <col min="14341" max="14341" width="12.109375" style="2635" customWidth="1"/>
    <col min="14342" max="14342" width="11.5546875" style="2635" customWidth="1"/>
    <col min="14343" max="14343" width="11.109375" style="2635" customWidth="1"/>
    <col min="14344" max="14593" width="8.88671875" style="2635"/>
    <col min="14594" max="14594" width="6" style="2635" customWidth="1"/>
    <col min="14595" max="14595" width="36.5546875" style="2635" customWidth="1"/>
    <col min="14596" max="14596" width="12.6640625" style="2635" customWidth="1"/>
    <col min="14597" max="14597" width="12.109375" style="2635" customWidth="1"/>
    <col min="14598" max="14598" width="11.5546875" style="2635" customWidth="1"/>
    <col min="14599" max="14599" width="11.109375" style="2635" customWidth="1"/>
    <col min="14600" max="14849" width="8.88671875" style="2635"/>
    <col min="14850" max="14850" width="6" style="2635" customWidth="1"/>
    <col min="14851" max="14851" width="36.5546875" style="2635" customWidth="1"/>
    <col min="14852" max="14852" width="12.6640625" style="2635" customWidth="1"/>
    <col min="14853" max="14853" width="12.109375" style="2635" customWidth="1"/>
    <col min="14854" max="14854" width="11.5546875" style="2635" customWidth="1"/>
    <col min="14855" max="14855" width="11.109375" style="2635" customWidth="1"/>
    <col min="14856" max="15105" width="8.88671875" style="2635"/>
    <col min="15106" max="15106" width="6" style="2635" customWidth="1"/>
    <col min="15107" max="15107" width="36.5546875" style="2635" customWidth="1"/>
    <col min="15108" max="15108" width="12.6640625" style="2635" customWidth="1"/>
    <col min="15109" max="15109" width="12.109375" style="2635" customWidth="1"/>
    <col min="15110" max="15110" width="11.5546875" style="2635" customWidth="1"/>
    <col min="15111" max="15111" width="11.109375" style="2635" customWidth="1"/>
    <col min="15112" max="15361" width="8.88671875" style="2635"/>
    <col min="15362" max="15362" width="6" style="2635" customWidth="1"/>
    <col min="15363" max="15363" width="36.5546875" style="2635" customWidth="1"/>
    <col min="15364" max="15364" width="12.6640625" style="2635" customWidth="1"/>
    <col min="15365" max="15365" width="12.109375" style="2635" customWidth="1"/>
    <col min="15366" max="15366" width="11.5546875" style="2635" customWidth="1"/>
    <col min="15367" max="15367" width="11.109375" style="2635" customWidth="1"/>
    <col min="15368" max="15617" width="8.88671875" style="2635"/>
    <col min="15618" max="15618" width="6" style="2635" customWidth="1"/>
    <col min="15619" max="15619" width="36.5546875" style="2635" customWidth="1"/>
    <col min="15620" max="15620" width="12.6640625" style="2635" customWidth="1"/>
    <col min="15621" max="15621" width="12.109375" style="2635" customWidth="1"/>
    <col min="15622" max="15622" width="11.5546875" style="2635" customWidth="1"/>
    <col min="15623" max="15623" width="11.109375" style="2635" customWidth="1"/>
    <col min="15624" max="15873" width="8.88671875" style="2635"/>
    <col min="15874" max="15874" width="6" style="2635" customWidth="1"/>
    <col min="15875" max="15875" width="36.5546875" style="2635" customWidth="1"/>
    <col min="15876" max="15876" width="12.6640625" style="2635" customWidth="1"/>
    <col min="15877" max="15877" width="12.109375" style="2635" customWidth="1"/>
    <col min="15878" max="15878" width="11.5546875" style="2635" customWidth="1"/>
    <col min="15879" max="15879" width="11.109375" style="2635" customWidth="1"/>
    <col min="15880" max="16129" width="8.88671875" style="2635"/>
    <col min="16130" max="16130" width="6" style="2635" customWidth="1"/>
    <col min="16131" max="16131" width="36.5546875" style="2635" customWidth="1"/>
    <col min="16132" max="16132" width="12.6640625" style="2635" customWidth="1"/>
    <col min="16133" max="16133" width="12.109375" style="2635" customWidth="1"/>
    <col min="16134" max="16134" width="11.5546875" style="2635" customWidth="1"/>
    <col min="16135" max="16135" width="11.109375" style="2635" customWidth="1"/>
    <col min="16136" max="16384" width="8.88671875" style="2635"/>
  </cols>
  <sheetData>
    <row r="1" spans="1:12">
      <c r="A1" s="1840" t="s">
        <v>69</v>
      </c>
      <c r="E1" s="1840" t="s">
        <v>1086</v>
      </c>
    </row>
    <row r="4" spans="1:12">
      <c r="A4" s="2988" t="s">
        <v>1260</v>
      </c>
      <c r="B4" s="2988"/>
      <c r="C4" s="2988"/>
      <c r="D4" s="2988"/>
      <c r="E4" s="2988"/>
      <c r="F4" s="2988"/>
      <c r="G4" s="2686"/>
    </row>
    <row r="5" spans="1:12">
      <c r="A5" s="2986" t="s">
        <v>1055</v>
      </c>
      <c r="B5" s="2986"/>
      <c r="C5" s="2986"/>
      <c r="D5" s="2986"/>
      <c r="E5" s="2986"/>
      <c r="F5" s="2986"/>
      <c r="G5" s="2687"/>
    </row>
    <row r="6" spans="1:12">
      <c r="F6" s="1842" t="s">
        <v>1056</v>
      </c>
      <c r="G6" s="2688"/>
    </row>
    <row r="7" spans="1:12" ht="66" customHeight="1">
      <c r="A7" s="2634" t="s">
        <v>49</v>
      </c>
      <c r="B7" s="2634" t="s">
        <v>39</v>
      </c>
      <c r="C7" s="2646" t="s">
        <v>910</v>
      </c>
      <c r="D7" s="2646" t="s">
        <v>1258</v>
      </c>
      <c r="E7" s="2634" t="s">
        <v>909</v>
      </c>
      <c r="F7" s="2634" t="s">
        <v>1057</v>
      </c>
      <c r="G7" s="2689"/>
      <c r="J7" s="2648"/>
      <c r="K7" s="2680"/>
    </row>
    <row r="8" spans="1:12" ht="17.25" customHeight="1">
      <c r="A8" s="2634" t="s">
        <v>80</v>
      </c>
      <c r="B8" s="2634" t="s">
        <v>81</v>
      </c>
      <c r="C8" s="1844">
        <v>1</v>
      </c>
      <c r="D8" s="1844">
        <v>2</v>
      </c>
      <c r="E8" s="1844">
        <v>3</v>
      </c>
      <c r="F8" s="1844">
        <v>4</v>
      </c>
      <c r="G8" s="2690"/>
      <c r="H8" s="2987" t="s">
        <v>1350</v>
      </c>
      <c r="I8" s="2987"/>
      <c r="J8" s="2987"/>
      <c r="K8" s="2987"/>
    </row>
    <row r="9" spans="1:12">
      <c r="A9" s="1856" t="s">
        <v>80</v>
      </c>
      <c r="B9" s="1857" t="s">
        <v>377</v>
      </c>
      <c r="C9" s="1858"/>
      <c r="D9" s="1858"/>
      <c r="E9" s="1858"/>
      <c r="F9" s="2671"/>
      <c r="G9" s="2691"/>
      <c r="H9" s="2698"/>
      <c r="I9" s="2699" t="s">
        <v>1447</v>
      </c>
      <c r="J9" s="2699" t="s">
        <v>1449</v>
      </c>
      <c r="K9" s="2699" t="s">
        <v>1448</v>
      </c>
      <c r="L9" s="2678"/>
    </row>
    <row r="10" spans="1:12" s="1864" customFormat="1" ht="21" customHeight="1">
      <c r="A10" s="1847" t="s">
        <v>54</v>
      </c>
      <c r="B10" s="1848" t="s">
        <v>1087</v>
      </c>
      <c r="C10" s="2668">
        <f>SUM(C11,C12,C15,C16,C17)</f>
        <v>8337223</v>
      </c>
      <c r="D10" s="2668">
        <f t="shared" ref="D10:E10" si="0">SUM(D11,D12,D15,D16,D17)</f>
        <v>8794885.0999999996</v>
      </c>
      <c r="E10" s="2668">
        <f t="shared" si="0"/>
        <v>8604248</v>
      </c>
      <c r="F10" s="2672">
        <f>E10/D10%</f>
        <v>97.832409430795181</v>
      </c>
      <c r="G10" s="2692"/>
      <c r="H10" s="2700" t="s">
        <v>1450</v>
      </c>
      <c r="I10" s="2701">
        <f>C10+C27</f>
        <v>8865023</v>
      </c>
      <c r="J10" s="2701">
        <f t="shared" ref="J10:K10" si="1">D10+D27</f>
        <v>9354353.0999999996</v>
      </c>
      <c r="K10" s="2701">
        <f t="shared" si="1"/>
        <v>9166448</v>
      </c>
    </row>
    <row r="11" spans="1:12">
      <c r="A11" s="1849">
        <v>1</v>
      </c>
      <c r="B11" s="1850" t="s">
        <v>1088</v>
      </c>
      <c r="C11" s="2663">
        <f>'09 '!D19</f>
        <v>2684000</v>
      </c>
      <c r="D11" s="2670">
        <f>'07'!J15-586848+27380</f>
        <v>2732792</v>
      </c>
      <c r="E11" s="2663">
        <f>'09 '!E19</f>
        <v>2894522</v>
      </c>
      <c r="F11" s="2675">
        <f t="shared" ref="F11:F16" si="2">E11/D11%</f>
        <v>105.91812329661387</v>
      </c>
      <c r="G11" s="2693"/>
      <c r="H11" s="2700" t="s">
        <v>1106</v>
      </c>
      <c r="I11" s="2702">
        <f>C11+C27</f>
        <v>3211800</v>
      </c>
      <c r="J11" s="2702">
        <f t="shared" ref="J11:K11" si="3">D11+D27</f>
        <v>3292260</v>
      </c>
      <c r="K11" s="2702">
        <f t="shared" si="3"/>
        <v>3456722</v>
      </c>
    </row>
    <row r="12" spans="1:12">
      <c r="A12" s="1849">
        <v>2</v>
      </c>
      <c r="B12" s="1850" t="s">
        <v>1062</v>
      </c>
      <c r="C12" s="2663">
        <f>C13+C14</f>
        <v>5577424</v>
      </c>
      <c r="D12" s="2663">
        <f t="shared" ref="D12:E12" si="4">D13+D14</f>
        <v>5577424</v>
      </c>
      <c r="E12" s="2663">
        <f t="shared" si="4"/>
        <v>5555726</v>
      </c>
      <c r="F12" s="2675">
        <f t="shared" si="2"/>
        <v>99.610967356973404</v>
      </c>
      <c r="G12" s="2693"/>
      <c r="H12" s="2698"/>
      <c r="I12" s="2698"/>
      <c r="J12" s="2703"/>
      <c r="K12" s="2698"/>
    </row>
    <row r="13" spans="1:12">
      <c r="A13" s="1849"/>
      <c r="B13" s="2667" t="s">
        <v>1442</v>
      </c>
      <c r="C13" s="2663">
        <f>'09 '!D21</f>
        <v>3682602</v>
      </c>
      <c r="D13" s="2670">
        <f>'35'!D67</f>
        <v>3682602</v>
      </c>
      <c r="E13" s="2663">
        <f>'09 '!E21</f>
        <v>3808100</v>
      </c>
      <c r="F13" s="2675">
        <f t="shared" si="2"/>
        <v>103.40786215833262</v>
      </c>
      <c r="G13" s="2693"/>
      <c r="H13" s="2698"/>
      <c r="I13" s="2698"/>
      <c r="J13" s="2704"/>
      <c r="K13" s="2698"/>
    </row>
    <row r="14" spans="1:12">
      <c r="A14" s="1849"/>
      <c r="B14" s="2667" t="s">
        <v>1443</v>
      </c>
      <c r="C14" s="2663">
        <f>'09 '!D22</f>
        <v>1894822</v>
      </c>
      <c r="D14" s="2670">
        <f>'35'!D68</f>
        <v>1894822</v>
      </c>
      <c r="E14" s="2663">
        <f>'09 '!E22</f>
        <v>1747626</v>
      </c>
      <c r="F14" s="2675">
        <f t="shared" si="2"/>
        <v>92.231671365436952</v>
      </c>
      <c r="G14" s="2693"/>
      <c r="H14" s="2698"/>
      <c r="I14" s="2698"/>
      <c r="J14" s="2698"/>
      <c r="K14" s="2698"/>
    </row>
    <row r="15" spans="1:12">
      <c r="A15" s="1849">
        <v>3</v>
      </c>
      <c r="B15" s="1850" t="s">
        <v>1065</v>
      </c>
      <c r="C15" s="2664"/>
      <c r="D15" s="2664"/>
      <c r="E15" s="2664"/>
      <c r="F15" s="2672"/>
      <c r="G15" s="2692"/>
      <c r="H15" s="2698"/>
      <c r="I15" s="2698"/>
      <c r="J15" s="2698"/>
      <c r="K15" s="2698"/>
    </row>
    <row r="16" spans="1:12">
      <c r="A16" s="1849">
        <v>4</v>
      </c>
      <c r="B16" s="1850" t="s">
        <v>1446</v>
      </c>
      <c r="C16" s="2663">
        <f>'09 '!D24</f>
        <v>75799</v>
      </c>
      <c r="D16" s="2670">
        <v>484669.1</v>
      </c>
      <c r="E16" s="2663">
        <f>'09 '!E24</f>
        <v>154000</v>
      </c>
      <c r="F16" s="2675">
        <f t="shared" si="2"/>
        <v>31.774255878907898</v>
      </c>
      <c r="G16" s="2693"/>
      <c r="H16" s="2698"/>
      <c r="I16" s="2698"/>
      <c r="J16" s="2698"/>
      <c r="K16" s="2698"/>
    </row>
    <row r="17" spans="1:11" hidden="1">
      <c r="A17" s="1849">
        <v>5</v>
      </c>
      <c r="B17" s="1850" t="s">
        <v>1067</v>
      </c>
      <c r="C17" s="2663"/>
      <c r="D17" s="2670"/>
      <c r="E17" s="2664"/>
      <c r="F17" s="2672"/>
      <c r="G17" s="2692"/>
      <c r="H17" s="2698"/>
      <c r="I17" s="2698"/>
      <c r="J17" s="2698"/>
      <c r="K17" s="2698"/>
    </row>
    <row r="18" spans="1:11">
      <c r="A18" s="1847" t="s">
        <v>60</v>
      </c>
      <c r="B18" s="1848" t="s">
        <v>1090</v>
      </c>
      <c r="C18" s="2668">
        <f>SUM(C19,C20,C23)</f>
        <v>8286423</v>
      </c>
      <c r="D18" s="2668">
        <f t="shared" ref="D18:E18" si="5">SUM(D19,D20,D23)</f>
        <v>8029827.6499999994</v>
      </c>
      <c r="E18" s="2668">
        <f t="shared" si="5"/>
        <v>8549748</v>
      </c>
      <c r="F18" s="2672">
        <f>E18/C18%</f>
        <v>103.177788534329</v>
      </c>
      <c r="G18" s="2692"/>
      <c r="H18" s="2700" t="s">
        <v>1451</v>
      </c>
      <c r="I18" s="2701">
        <f>C19+C33</f>
        <v>8814223</v>
      </c>
      <c r="J18" s="2701">
        <f>D19+D33</f>
        <v>8589295.6199999992</v>
      </c>
      <c r="K18" s="2701">
        <f>E19+E33</f>
        <v>9111948</v>
      </c>
    </row>
    <row r="19" spans="1:11">
      <c r="A19" s="1849">
        <v>1</v>
      </c>
      <c r="B19" s="1850" t="s">
        <v>1091</v>
      </c>
      <c r="C19" s="2663">
        <f>'09 '!D27</f>
        <v>5131907</v>
      </c>
      <c r="D19" s="2670">
        <f>C19*95%</f>
        <v>4875311.6499999994</v>
      </c>
      <c r="E19" s="2663">
        <f>'09 '!E27</f>
        <v>4770143</v>
      </c>
      <c r="F19" s="2675">
        <f>E19/C19%</f>
        <v>92.950690649694153</v>
      </c>
      <c r="G19" s="2693"/>
      <c r="H19" s="2700"/>
      <c r="I19" s="2698"/>
      <c r="J19" s="2698"/>
      <c r="K19" s="2698"/>
    </row>
    <row r="20" spans="1:11">
      <c r="A20" s="1849">
        <v>2</v>
      </c>
      <c r="B20" s="1850" t="s">
        <v>1092</v>
      </c>
      <c r="C20" s="2663">
        <f>C21+C22</f>
        <v>3154516</v>
      </c>
      <c r="D20" s="2663">
        <f t="shared" ref="D20:E20" si="6">D21+D22</f>
        <v>3154516</v>
      </c>
      <c r="E20" s="2663">
        <f t="shared" si="6"/>
        <v>3779605</v>
      </c>
      <c r="F20" s="2675">
        <f t="shared" ref="F20:F22" si="7">E20/C20%</f>
        <v>119.81568646347014</v>
      </c>
      <c r="G20" s="2693"/>
      <c r="H20" s="2698"/>
      <c r="I20" s="2698"/>
      <c r="J20" s="2698"/>
      <c r="K20" s="2698"/>
    </row>
    <row r="21" spans="1:11">
      <c r="A21" s="1849"/>
      <c r="B21" s="2667" t="s">
        <v>1444</v>
      </c>
      <c r="C21" s="2663">
        <f>'09 '!D29</f>
        <v>3061564</v>
      </c>
      <c r="D21" s="2663">
        <f>C21</f>
        <v>3061564</v>
      </c>
      <c r="E21" s="2663">
        <f>'09 '!E29</f>
        <v>3281298</v>
      </c>
      <c r="F21" s="2675">
        <f t="shared" si="7"/>
        <v>107.17718133607529</v>
      </c>
      <c r="G21" s="2693"/>
      <c r="H21" s="2698"/>
      <c r="I21" s="2698"/>
      <c r="J21" s="2698"/>
      <c r="K21" s="2698"/>
    </row>
    <row r="22" spans="1:11">
      <c r="A22" s="1849"/>
      <c r="B22" s="2667" t="s">
        <v>1445</v>
      </c>
      <c r="C22" s="2663">
        <f>'09 '!D30</f>
        <v>92952</v>
      </c>
      <c r="D22" s="2663">
        <f>C22</f>
        <v>92952</v>
      </c>
      <c r="E22" s="2663">
        <f>'09 '!E30</f>
        <v>498307</v>
      </c>
      <c r="F22" s="2675">
        <f t="shared" si="7"/>
        <v>536.09067045356744</v>
      </c>
      <c r="G22" s="2693"/>
      <c r="H22" s="2698"/>
      <c r="I22" s="2698"/>
      <c r="J22" s="2698"/>
      <c r="K22" s="2698"/>
    </row>
    <row r="23" spans="1:11">
      <c r="A23" s="1849">
        <v>3</v>
      </c>
      <c r="B23" s="1850" t="s">
        <v>1075</v>
      </c>
      <c r="C23" s="2664"/>
      <c r="D23" s="2664"/>
      <c r="E23" s="2664"/>
      <c r="F23" s="2673"/>
      <c r="G23" s="2694"/>
      <c r="H23" s="2698"/>
      <c r="I23" s="2698"/>
      <c r="J23" s="2698"/>
      <c r="K23" s="2698"/>
    </row>
    <row r="24" spans="1:11" ht="19.8" customHeight="1">
      <c r="A24" s="1847" t="s">
        <v>315</v>
      </c>
      <c r="B24" s="1848" t="s">
        <v>1094</v>
      </c>
      <c r="C24" s="2668">
        <f>C10-C18</f>
        <v>50800</v>
      </c>
      <c r="D24" s="2668">
        <f>D10-D18</f>
        <v>765057.45000000019</v>
      </c>
      <c r="E24" s="2668">
        <f>E10-E18</f>
        <v>54500</v>
      </c>
      <c r="F24" s="2672">
        <f>E24/C24%</f>
        <v>107.28346456692914</v>
      </c>
      <c r="G24" s="2692"/>
      <c r="H24" s="2700" t="s">
        <v>1360</v>
      </c>
      <c r="I24" s="2701">
        <f>I10-I18</f>
        <v>50800</v>
      </c>
      <c r="J24" s="2701">
        <f>J10-J18</f>
        <v>765057.48000000045</v>
      </c>
      <c r="K24" s="2701">
        <f>K10-K18</f>
        <v>54500</v>
      </c>
    </row>
    <row r="25" spans="1:11">
      <c r="A25" s="1851" t="s">
        <v>81</v>
      </c>
      <c r="B25" s="1852" t="s">
        <v>378</v>
      </c>
      <c r="C25" s="2665"/>
      <c r="D25" s="2665"/>
      <c r="E25" s="2665"/>
      <c r="F25" s="2674"/>
      <c r="G25" s="2694"/>
      <c r="H25" s="2698"/>
      <c r="I25" s="2698"/>
      <c r="J25" s="2698"/>
      <c r="K25" s="2698"/>
    </row>
    <row r="26" spans="1:11">
      <c r="A26" s="1847" t="s">
        <v>54</v>
      </c>
      <c r="B26" s="1848" t="s">
        <v>1087</v>
      </c>
      <c r="C26" s="2668">
        <f>SUM(C27,C28)</f>
        <v>3682316</v>
      </c>
      <c r="D26" s="2668">
        <f t="shared" ref="D26:E26" si="8">SUM(D27,D28)</f>
        <v>3713984</v>
      </c>
      <c r="E26" s="2668">
        <f t="shared" si="8"/>
        <v>4341805</v>
      </c>
      <c r="F26" s="2672">
        <f>E26/D26%</f>
        <v>116.90424622184696</v>
      </c>
      <c r="G26" s="2692"/>
    </row>
    <row r="27" spans="1:11" ht="26.4">
      <c r="A27" s="1849">
        <v>1</v>
      </c>
      <c r="B27" s="1850" t="s">
        <v>1095</v>
      </c>
      <c r="C27" s="2663">
        <f>'09 '!D35</f>
        <v>527800</v>
      </c>
      <c r="D27" s="2670">
        <f>C27*106%</f>
        <v>559468</v>
      </c>
      <c r="E27" s="2663">
        <f>'09 '!E35</f>
        <v>562200</v>
      </c>
      <c r="F27" s="2677">
        <f>E27/D27%</f>
        <v>100.48832104785259</v>
      </c>
      <c r="G27" s="2695"/>
    </row>
    <row r="28" spans="1:11">
      <c r="A28" s="1849">
        <v>2</v>
      </c>
      <c r="B28" s="1850" t="s">
        <v>1096</v>
      </c>
      <c r="C28" s="2663">
        <f>C29+C30</f>
        <v>3154516</v>
      </c>
      <c r="D28" s="2663">
        <f t="shared" ref="D28:E28" si="9">D29+D30</f>
        <v>3154516</v>
      </c>
      <c r="E28" s="2663">
        <f t="shared" si="9"/>
        <v>3779605</v>
      </c>
      <c r="F28" s="2677">
        <f t="shared" ref="F28:F30" si="10">E28/D28%</f>
        <v>119.81568646347014</v>
      </c>
      <c r="G28" s="2695"/>
    </row>
    <row r="29" spans="1:11">
      <c r="A29" s="1849"/>
      <c r="B29" s="2667" t="s">
        <v>1442</v>
      </c>
      <c r="C29" s="2663">
        <f>C21</f>
        <v>3061564</v>
      </c>
      <c r="D29" s="2663">
        <f>C29</f>
        <v>3061564</v>
      </c>
      <c r="E29" s="2663">
        <f>E21</f>
        <v>3281298</v>
      </c>
      <c r="F29" s="2677">
        <f t="shared" si="10"/>
        <v>107.17718133607529</v>
      </c>
      <c r="G29" s="2695"/>
    </row>
    <row r="30" spans="1:11">
      <c r="A30" s="1849"/>
      <c r="B30" s="2667" t="s">
        <v>1443</v>
      </c>
      <c r="C30" s="2663">
        <f>C22</f>
        <v>92952</v>
      </c>
      <c r="D30" s="2663">
        <f>C30</f>
        <v>92952</v>
      </c>
      <c r="E30" s="2663">
        <f>E22</f>
        <v>498307</v>
      </c>
      <c r="F30" s="2677">
        <f t="shared" si="10"/>
        <v>536.09067045356744</v>
      </c>
      <c r="G30" s="2695"/>
    </row>
    <row r="31" spans="1:11">
      <c r="A31" s="1849">
        <v>3</v>
      </c>
      <c r="B31" s="1850" t="s">
        <v>1066</v>
      </c>
      <c r="C31" s="2664"/>
      <c r="D31" s="2664"/>
      <c r="E31" s="2664"/>
      <c r="F31" s="2676"/>
      <c r="G31" s="2696"/>
    </row>
    <row r="32" spans="1:11" hidden="1">
      <c r="A32" s="1849">
        <v>4</v>
      </c>
      <c r="B32" s="1850" t="s">
        <v>1067</v>
      </c>
      <c r="C32" s="2664"/>
      <c r="D32" s="2664"/>
      <c r="E32" s="2664"/>
      <c r="F32" s="2676"/>
      <c r="G32" s="2696"/>
    </row>
    <row r="33" spans="1:10">
      <c r="A33" s="1847" t="s">
        <v>60</v>
      </c>
      <c r="B33" s="1848" t="s">
        <v>1090</v>
      </c>
      <c r="C33" s="2668">
        <f>SUM(C34:C35)</f>
        <v>3682316</v>
      </c>
      <c r="D33" s="2668">
        <f t="shared" ref="D33:E33" si="11">SUM(D34:D35)</f>
        <v>3713983.9699999997</v>
      </c>
      <c r="E33" s="2668">
        <f t="shared" si="11"/>
        <v>4341805</v>
      </c>
      <c r="F33" s="2672">
        <f>E33/C33%</f>
        <v>117.909625355347</v>
      </c>
      <c r="G33" s="2692"/>
      <c r="J33" s="2679">
        <f>D26-D33</f>
        <v>3.0000000260770321E-2</v>
      </c>
    </row>
    <row r="34" spans="1:10">
      <c r="A34" s="1849">
        <v>1</v>
      </c>
      <c r="B34" s="1850" t="s">
        <v>1097</v>
      </c>
      <c r="C34" s="2663">
        <f>'09 '!D42</f>
        <v>1631880.5999999999</v>
      </c>
      <c r="D34" s="2670">
        <f>C34*95%+113262</f>
        <v>1663548.5699999998</v>
      </c>
      <c r="E34" s="2663">
        <f>'09 '!E42</f>
        <v>1885061.75</v>
      </c>
      <c r="F34" s="2675">
        <f>E34/C34%</f>
        <v>115.51468593964535</v>
      </c>
      <c r="G34" s="2693"/>
    </row>
    <row r="35" spans="1:10">
      <c r="A35" s="1849">
        <v>2</v>
      </c>
      <c r="B35" s="1850" t="s">
        <v>1098</v>
      </c>
      <c r="C35" s="2663">
        <f>'09 '!D43</f>
        <v>2050435.4000000001</v>
      </c>
      <c r="D35" s="2663">
        <f>C35</f>
        <v>2050435.4000000001</v>
      </c>
      <c r="E35" s="2663">
        <f>'09 '!E43</f>
        <v>2456743.25</v>
      </c>
      <c r="F35" s="2675">
        <f>E35/C35%</f>
        <v>119.81568646347013</v>
      </c>
      <c r="G35" s="2693"/>
    </row>
    <row r="36" spans="1:10">
      <c r="A36" s="1853">
        <v>3</v>
      </c>
      <c r="B36" s="1854" t="s">
        <v>1075</v>
      </c>
      <c r="C36" s="2666"/>
      <c r="D36" s="2666"/>
      <c r="E36" s="2666"/>
      <c r="F36" s="2666"/>
      <c r="G36" s="2697"/>
    </row>
    <row r="38" spans="1:10">
      <c r="A38" s="2635" t="s">
        <v>68</v>
      </c>
    </row>
    <row r="39" spans="1:10">
      <c r="A39" s="1855" t="s">
        <v>1084</v>
      </c>
    </row>
    <row r="40" spans="1:10">
      <c r="A40" s="2635" t="s">
        <v>1085</v>
      </c>
    </row>
  </sheetData>
  <mergeCells count="3">
    <mergeCell ref="H8:K8"/>
    <mergeCell ref="A4:F4"/>
    <mergeCell ref="A5:F5"/>
  </mergeCells>
  <pageMargins left="0.48" right="0.34" top="0.44"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zoomScale="110" zoomScaleNormal="110" workbookViewId="0">
      <selection activeCell="F41" sqref="F41"/>
    </sheetView>
  </sheetViews>
  <sheetFormatPr defaultRowHeight="13.2"/>
  <cols>
    <col min="1" max="1" width="5.109375" style="2635" customWidth="1"/>
    <col min="2" max="2" width="47.77734375" style="2635" customWidth="1"/>
    <col min="3" max="3" width="14.33203125" style="2635" customWidth="1"/>
    <col min="4" max="4" width="12.21875" style="2635" customWidth="1"/>
    <col min="5" max="5" width="12.5546875" style="2635" customWidth="1"/>
    <col min="6" max="6" width="12.77734375" style="2635" customWidth="1"/>
    <col min="7" max="7" width="12.21875" style="2635" customWidth="1"/>
    <col min="8" max="8" width="12.33203125" style="2635" customWidth="1"/>
    <col min="9" max="256" width="8.88671875" style="2635"/>
    <col min="257" max="257" width="5.109375" style="2635" customWidth="1"/>
    <col min="258" max="258" width="33.33203125" style="2635" customWidth="1"/>
    <col min="259" max="259" width="10.109375" style="2635" customWidth="1"/>
    <col min="260" max="260" width="9.5546875" style="2635" customWidth="1"/>
    <col min="261" max="262" width="10.6640625" style="2635" customWidth="1"/>
    <col min="263" max="263" width="10.33203125" style="2635" customWidth="1"/>
    <col min="264" max="264" width="11" style="2635" customWidth="1"/>
    <col min="265" max="512" width="8.88671875" style="2635"/>
    <col min="513" max="513" width="5.109375" style="2635" customWidth="1"/>
    <col min="514" max="514" width="33.33203125" style="2635" customWidth="1"/>
    <col min="515" max="515" width="10.109375" style="2635" customWidth="1"/>
    <col min="516" max="516" width="9.5546875" style="2635" customWidth="1"/>
    <col min="517" max="518" width="10.6640625" style="2635" customWidth="1"/>
    <col min="519" max="519" width="10.33203125" style="2635" customWidth="1"/>
    <col min="520" max="520" width="11" style="2635" customWidth="1"/>
    <col min="521" max="768" width="8.88671875" style="2635"/>
    <col min="769" max="769" width="5.109375" style="2635" customWidth="1"/>
    <col min="770" max="770" width="33.33203125" style="2635" customWidth="1"/>
    <col min="771" max="771" width="10.109375" style="2635" customWidth="1"/>
    <col min="772" max="772" width="9.5546875" style="2635" customWidth="1"/>
    <col min="773" max="774" width="10.6640625" style="2635" customWidth="1"/>
    <col min="775" max="775" width="10.33203125" style="2635" customWidth="1"/>
    <col min="776" max="776" width="11" style="2635" customWidth="1"/>
    <col min="777" max="1024" width="8.88671875" style="2635"/>
    <col min="1025" max="1025" width="5.109375" style="2635" customWidth="1"/>
    <col min="1026" max="1026" width="33.33203125" style="2635" customWidth="1"/>
    <col min="1027" max="1027" width="10.109375" style="2635" customWidth="1"/>
    <col min="1028" max="1028" width="9.5546875" style="2635" customWidth="1"/>
    <col min="1029" max="1030" width="10.6640625" style="2635" customWidth="1"/>
    <col min="1031" max="1031" width="10.33203125" style="2635" customWidth="1"/>
    <col min="1032" max="1032" width="11" style="2635" customWidth="1"/>
    <col min="1033" max="1280" width="8.88671875" style="2635"/>
    <col min="1281" max="1281" width="5.109375" style="2635" customWidth="1"/>
    <col min="1282" max="1282" width="33.33203125" style="2635" customWidth="1"/>
    <col min="1283" max="1283" width="10.109375" style="2635" customWidth="1"/>
    <col min="1284" max="1284" width="9.5546875" style="2635" customWidth="1"/>
    <col min="1285" max="1286" width="10.6640625" style="2635" customWidth="1"/>
    <col min="1287" max="1287" width="10.33203125" style="2635" customWidth="1"/>
    <col min="1288" max="1288" width="11" style="2635" customWidth="1"/>
    <col min="1289" max="1536" width="8.88671875" style="2635"/>
    <col min="1537" max="1537" width="5.109375" style="2635" customWidth="1"/>
    <col min="1538" max="1538" width="33.33203125" style="2635" customWidth="1"/>
    <col min="1539" max="1539" width="10.109375" style="2635" customWidth="1"/>
    <col min="1540" max="1540" width="9.5546875" style="2635" customWidth="1"/>
    <col min="1541" max="1542" width="10.6640625" style="2635" customWidth="1"/>
    <col min="1543" max="1543" width="10.33203125" style="2635" customWidth="1"/>
    <col min="1544" max="1544" width="11" style="2635" customWidth="1"/>
    <col min="1545" max="1792" width="8.88671875" style="2635"/>
    <col min="1793" max="1793" width="5.109375" style="2635" customWidth="1"/>
    <col min="1794" max="1794" width="33.33203125" style="2635" customWidth="1"/>
    <col min="1795" max="1795" width="10.109375" style="2635" customWidth="1"/>
    <col min="1796" max="1796" width="9.5546875" style="2635" customWidth="1"/>
    <col min="1797" max="1798" width="10.6640625" style="2635" customWidth="1"/>
    <col min="1799" max="1799" width="10.33203125" style="2635" customWidth="1"/>
    <col min="1800" max="1800" width="11" style="2635" customWidth="1"/>
    <col min="1801" max="2048" width="8.88671875" style="2635"/>
    <col min="2049" max="2049" width="5.109375" style="2635" customWidth="1"/>
    <col min="2050" max="2050" width="33.33203125" style="2635" customWidth="1"/>
    <col min="2051" max="2051" width="10.109375" style="2635" customWidth="1"/>
    <col min="2052" max="2052" width="9.5546875" style="2635" customWidth="1"/>
    <col min="2053" max="2054" width="10.6640625" style="2635" customWidth="1"/>
    <col min="2055" max="2055" width="10.33203125" style="2635" customWidth="1"/>
    <col min="2056" max="2056" width="11" style="2635" customWidth="1"/>
    <col min="2057" max="2304" width="8.88671875" style="2635"/>
    <col min="2305" max="2305" width="5.109375" style="2635" customWidth="1"/>
    <col min="2306" max="2306" width="33.33203125" style="2635" customWidth="1"/>
    <col min="2307" max="2307" width="10.109375" style="2635" customWidth="1"/>
    <col min="2308" max="2308" width="9.5546875" style="2635" customWidth="1"/>
    <col min="2309" max="2310" width="10.6640625" style="2635" customWidth="1"/>
    <col min="2311" max="2311" width="10.33203125" style="2635" customWidth="1"/>
    <col min="2312" max="2312" width="11" style="2635" customWidth="1"/>
    <col min="2313" max="2560" width="8.88671875" style="2635"/>
    <col min="2561" max="2561" width="5.109375" style="2635" customWidth="1"/>
    <col min="2562" max="2562" width="33.33203125" style="2635" customWidth="1"/>
    <col min="2563" max="2563" width="10.109375" style="2635" customWidth="1"/>
    <col min="2564" max="2564" width="9.5546875" style="2635" customWidth="1"/>
    <col min="2565" max="2566" width="10.6640625" style="2635" customWidth="1"/>
    <col min="2567" max="2567" width="10.33203125" style="2635" customWidth="1"/>
    <col min="2568" max="2568" width="11" style="2635" customWidth="1"/>
    <col min="2569" max="2816" width="8.88671875" style="2635"/>
    <col min="2817" max="2817" width="5.109375" style="2635" customWidth="1"/>
    <col min="2818" max="2818" width="33.33203125" style="2635" customWidth="1"/>
    <col min="2819" max="2819" width="10.109375" style="2635" customWidth="1"/>
    <col min="2820" max="2820" width="9.5546875" style="2635" customWidth="1"/>
    <col min="2821" max="2822" width="10.6640625" style="2635" customWidth="1"/>
    <col min="2823" max="2823" width="10.33203125" style="2635" customWidth="1"/>
    <col min="2824" max="2824" width="11" style="2635" customWidth="1"/>
    <col min="2825" max="3072" width="8.88671875" style="2635"/>
    <col min="3073" max="3073" width="5.109375" style="2635" customWidth="1"/>
    <col min="3074" max="3074" width="33.33203125" style="2635" customWidth="1"/>
    <col min="3075" max="3075" width="10.109375" style="2635" customWidth="1"/>
    <col min="3076" max="3076" width="9.5546875" style="2635" customWidth="1"/>
    <col min="3077" max="3078" width="10.6640625" style="2635" customWidth="1"/>
    <col min="3079" max="3079" width="10.33203125" style="2635" customWidth="1"/>
    <col min="3080" max="3080" width="11" style="2635" customWidth="1"/>
    <col min="3081" max="3328" width="8.88671875" style="2635"/>
    <col min="3329" max="3329" width="5.109375" style="2635" customWidth="1"/>
    <col min="3330" max="3330" width="33.33203125" style="2635" customWidth="1"/>
    <col min="3331" max="3331" width="10.109375" style="2635" customWidth="1"/>
    <col min="3332" max="3332" width="9.5546875" style="2635" customWidth="1"/>
    <col min="3333" max="3334" width="10.6640625" style="2635" customWidth="1"/>
    <col min="3335" max="3335" width="10.33203125" style="2635" customWidth="1"/>
    <col min="3336" max="3336" width="11" style="2635" customWidth="1"/>
    <col min="3337" max="3584" width="8.88671875" style="2635"/>
    <col min="3585" max="3585" width="5.109375" style="2635" customWidth="1"/>
    <col min="3586" max="3586" width="33.33203125" style="2635" customWidth="1"/>
    <col min="3587" max="3587" width="10.109375" style="2635" customWidth="1"/>
    <col min="3588" max="3588" width="9.5546875" style="2635" customWidth="1"/>
    <col min="3589" max="3590" width="10.6640625" style="2635" customWidth="1"/>
    <col min="3591" max="3591" width="10.33203125" style="2635" customWidth="1"/>
    <col min="3592" max="3592" width="11" style="2635" customWidth="1"/>
    <col min="3593" max="3840" width="8.88671875" style="2635"/>
    <col min="3841" max="3841" width="5.109375" style="2635" customWidth="1"/>
    <col min="3842" max="3842" width="33.33203125" style="2635" customWidth="1"/>
    <col min="3843" max="3843" width="10.109375" style="2635" customWidth="1"/>
    <col min="3844" max="3844" width="9.5546875" style="2635" customWidth="1"/>
    <col min="3845" max="3846" width="10.6640625" style="2635" customWidth="1"/>
    <col min="3847" max="3847" width="10.33203125" style="2635" customWidth="1"/>
    <col min="3848" max="3848" width="11" style="2635" customWidth="1"/>
    <col min="3849" max="4096" width="8.88671875" style="2635"/>
    <col min="4097" max="4097" width="5.109375" style="2635" customWidth="1"/>
    <col min="4098" max="4098" width="33.33203125" style="2635" customWidth="1"/>
    <col min="4099" max="4099" width="10.109375" style="2635" customWidth="1"/>
    <col min="4100" max="4100" width="9.5546875" style="2635" customWidth="1"/>
    <col min="4101" max="4102" width="10.6640625" style="2635" customWidth="1"/>
    <col min="4103" max="4103" width="10.33203125" style="2635" customWidth="1"/>
    <col min="4104" max="4104" width="11" style="2635" customWidth="1"/>
    <col min="4105" max="4352" width="8.88671875" style="2635"/>
    <col min="4353" max="4353" width="5.109375" style="2635" customWidth="1"/>
    <col min="4354" max="4354" width="33.33203125" style="2635" customWidth="1"/>
    <col min="4355" max="4355" width="10.109375" style="2635" customWidth="1"/>
    <col min="4356" max="4356" width="9.5546875" style="2635" customWidth="1"/>
    <col min="4357" max="4358" width="10.6640625" style="2635" customWidth="1"/>
    <col min="4359" max="4359" width="10.33203125" style="2635" customWidth="1"/>
    <col min="4360" max="4360" width="11" style="2635" customWidth="1"/>
    <col min="4361" max="4608" width="8.88671875" style="2635"/>
    <col min="4609" max="4609" width="5.109375" style="2635" customWidth="1"/>
    <col min="4610" max="4610" width="33.33203125" style="2635" customWidth="1"/>
    <col min="4611" max="4611" width="10.109375" style="2635" customWidth="1"/>
    <col min="4612" max="4612" width="9.5546875" style="2635" customWidth="1"/>
    <col min="4613" max="4614" width="10.6640625" style="2635" customWidth="1"/>
    <col min="4615" max="4615" width="10.33203125" style="2635" customWidth="1"/>
    <col min="4616" max="4616" width="11" style="2635" customWidth="1"/>
    <col min="4617" max="4864" width="8.88671875" style="2635"/>
    <col min="4865" max="4865" width="5.109375" style="2635" customWidth="1"/>
    <col min="4866" max="4866" width="33.33203125" style="2635" customWidth="1"/>
    <col min="4867" max="4867" width="10.109375" style="2635" customWidth="1"/>
    <col min="4868" max="4868" width="9.5546875" style="2635" customWidth="1"/>
    <col min="4869" max="4870" width="10.6640625" style="2635" customWidth="1"/>
    <col min="4871" max="4871" width="10.33203125" style="2635" customWidth="1"/>
    <col min="4872" max="4872" width="11" style="2635" customWidth="1"/>
    <col min="4873" max="5120" width="8.88671875" style="2635"/>
    <col min="5121" max="5121" width="5.109375" style="2635" customWidth="1"/>
    <col min="5122" max="5122" width="33.33203125" style="2635" customWidth="1"/>
    <col min="5123" max="5123" width="10.109375" style="2635" customWidth="1"/>
    <col min="5124" max="5124" width="9.5546875" style="2635" customWidth="1"/>
    <col min="5125" max="5126" width="10.6640625" style="2635" customWidth="1"/>
    <col min="5127" max="5127" width="10.33203125" style="2635" customWidth="1"/>
    <col min="5128" max="5128" width="11" style="2635" customWidth="1"/>
    <col min="5129" max="5376" width="8.88671875" style="2635"/>
    <col min="5377" max="5377" width="5.109375" style="2635" customWidth="1"/>
    <col min="5378" max="5378" width="33.33203125" style="2635" customWidth="1"/>
    <col min="5379" max="5379" width="10.109375" style="2635" customWidth="1"/>
    <col min="5380" max="5380" width="9.5546875" style="2635" customWidth="1"/>
    <col min="5381" max="5382" width="10.6640625" style="2635" customWidth="1"/>
    <col min="5383" max="5383" width="10.33203125" style="2635" customWidth="1"/>
    <col min="5384" max="5384" width="11" style="2635" customWidth="1"/>
    <col min="5385" max="5632" width="8.88671875" style="2635"/>
    <col min="5633" max="5633" width="5.109375" style="2635" customWidth="1"/>
    <col min="5634" max="5634" width="33.33203125" style="2635" customWidth="1"/>
    <col min="5635" max="5635" width="10.109375" style="2635" customWidth="1"/>
    <col min="5636" max="5636" width="9.5546875" style="2635" customWidth="1"/>
    <col min="5637" max="5638" width="10.6640625" style="2635" customWidth="1"/>
    <col min="5639" max="5639" width="10.33203125" style="2635" customWidth="1"/>
    <col min="5640" max="5640" width="11" style="2635" customWidth="1"/>
    <col min="5641" max="5888" width="8.88671875" style="2635"/>
    <col min="5889" max="5889" width="5.109375" style="2635" customWidth="1"/>
    <col min="5890" max="5890" width="33.33203125" style="2635" customWidth="1"/>
    <col min="5891" max="5891" width="10.109375" style="2635" customWidth="1"/>
    <col min="5892" max="5892" width="9.5546875" style="2635" customWidth="1"/>
    <col min="5893" max="5894" width="10.6640625" style="2635" customWidth="1"/>
    <col min="5895" max="5895" width="10.33203125" style="2635" customWidth="1"/>
    <col min="5896" max="5896" width="11" style="2635" customWidth="1"/>
    <col min="5897" max="6144" width="8.88671875" style="2635"/>
    <col min="6145" max="6145" width="5.109375" style="2635" customWidth="1"/>
    <col min="6146" max="6146" width="33.33203125" style="2635" customWidth="1"/>
    <col min="6147" max="6147" width="10.109375" style="2635" customWidth="1"/>
    <col min="6148" max="6148" width="9.5546875" style="2635" customWidth="1"/>
    <col min="6149" max="6150" width="10.6640625" style="2635" customWidth="1"/>
    <col min="6151" max="6151" width="10.33203125" style="2635" customWidth="1"/>
    <col min="6152" max="6152" width="11" style="2635" customWidth="1"/>
    <col min="6153" max="6400" width="8.88671875" style="2635"/>
    <col min="6401" max="6401" width="5.109375" style="2635" customWidth="1"/>
    <col min="6402" max="6402" width="33.33203125" style="2635" customWidth="1"/>
    <col min="6403" max="6403" width="10.109375" style="2635" customWidth="1"/>
    <col min="6404" max="6404" width="9.5546875" style="2635" customWidth="1"/>
    <col min="6405" max="6406" width="10.6640625" style="2635" customWidth="1"/>
    <col min="6407" max="6407" width="10.33203125" style="2635" customWidth="1"/>
    <col min="6408" max="6408" width="11" style="2635" customWidth="1"/>
    <col min="6409" max="6656" width="8.88671875" style="2635"/>
    <col min="6657" max="6657" width="5.109375" style="2635" customWidth="1"/>
    <col min="6658" max="6658" width="33.33203125" style="2635" customWidth="1"/>
    <col min="6659" max="6659" width="10.109375" style="2635" customWidth="1"/>
    <col min="6660" max="6660" width="9.5546875" style="2635" customWidth="1"/>
    <col min="6661" max="6662" width="10.6640625" style="2635" customWidth="1"/>
    <col min="6663" max="6663" width="10.33203125" style="2635" customWidth="1"/>
    <col min="6664" max="6664" width="11" style="2635" customWidth="1"/>
    <col min="6665" max="6912" width="8.88671875" style="2635"/>
    <col min="6913" max="6913" width="5.109375" style="2635" customWidth="1"/>
    <col min="6914" max="6914" width="33.33203125" style="2635" customWidth="1"/>
    <col min="6915" max="6915" width="10.109375" style="2635" customWidth="1"/>
    <col min="6916" max="6916" width="9.5546875" style="2635" customWidth="1"/>
    <col min="6917" max="6918" width="10.6640625" style="2635" customWidth="1"/>
    <col min="6919" max="6919" width="10.33203125" style="2635" customWidth="1"/>
    <col min="6920" max="6920" width="11" style="2635" customWidth="1"/>
    <col min="6921" max="7168" width="8.88671875" style="2635"/>
    <col min="7169" max="7169" width="5.109375" style="2635" customWidth="1"/>
    <col min="7170" max="7170" width="33.33203125" style="2635" customWidth="1"/>
    <col min="7171" max="7171" width="10.109375" style="2635" customWidth="1"/>
    <col min="7172" max="7172" width="9.5546875" style="2635" customWidth="1"/>
    <col min="7173" max="7174" width="10.6640625" style="2635" customWidth="1"/>
    <col min="7175" max="7175" width="10.33203125" style="2635" customWidth="1"/>
    <col min="7176" max="7176" width="11" style="2635" customWidth="1"/>
    <col min="7177" max="7424" width="8.88671875" style="2635"/>
    <col min="7425" max="7425" width="5.109375" style="2635" customWidth="1"/>
    <col min="7426" max="7426" width="33.33203125" style="2635" customWidth="1"/>
    <col min="7427" max="7427" width="10.109375" style="2635" customWidth="1"/>
    <col min="7428" max="7428" width="9.5546875" style="2635" customWidth="1"/>
    <col min="7429" max="7430" width="10.6640625" style="2635" customWidth="1"/>
    <col min="7431" max="7431" width="10.33203125" style="2635" customWidth="1"/>
    <col min="7432" max="7432" width="11" style="2635" customWidth="1"/>
    <col min="7433" max="7680" width="8.88671875" style="2635"/>
    <col min="7681" max="7681" width="5.109375" style="2635" customWidth="1"/>
    <col min="7682" max="7682" width="33.33203125" style="2635" customWidth="1"/>
    <col min="7683" max="7683" width="10.109375" style="2635" customWidth="1"/>
    <col min="7684" max="7684" width="9.5546875" style="2635" customWidth="1"/>
    <col min="7685" max="7686" width="10.6640625" style="2635" customWidth="1"/>
    <col min="7687" max="7687" width="10.33203125" style="2635" customWidth="1"/>
    <col min="7688" max="7688" width="11" style="2635" customWidth="1"/>
    <col min="7689" max="7936" width="8.88671875" style="2635"/>
    <col min="7937" max="7937" width="5.109375" style="2635" customWidth="1"/>
    <col min="7938" max="7938" width="33.33203125" style="2635" customWidth="1"/>
    <col min="7939" max="7939" width="10.109375" style="2635" customWidth="1"/>
    <col min="7940" max="7940" width="9.5546875" style="2635" customWidth="1"/>
    <col min="7941" max="7942" width="10.6640625" style="2635" customWidth="1"/>
    <col min="7943" max="7943" width="10.33203125" style="2635" customWidth="1"/>
    <col min="7944" max="7944" width="11" style="2635" customWidth="1"/>
    <col min="7945" max="8192" width="8.88671875" style="2635"/>
    <col min="8193" max="8193" width="5.109375" style="2635" customWidth="1"/>
    <col min="8194" max="8194" width="33.33203125" style="2635" customWidth="1"/>
    <col min="8195" max="8195" width="10.109375" style="2635" customWidth="1"/>
    <col min="8196" max="8196" width="9.5546875" style="2635" customWidth="1"/>
    <col min="8197" max="8198" width="10.6640625" style="2635" customWidth="1"/>
    <col min="8199" max="8199" width="10.33203125" style="2635" customWidth="1"/>
    <col min="8200" max="8200" width="11" style="2635" customWidth="1"/>
    <col min="8201" max="8448" width="8.88671875" style="2635"/>
    <col min="8449" max="8449" width="5.109375" style="2635" customWidth="1"/>
    <col min="8450" max="8450" width="33.33203125" style="2635" customWidth="1"/>
    <col min="8451" max="8451" width="10.109375" style="2635" customWidth="1"/>
    <col min="8452" max="8452" width="9.5546875" style="2635" customWidth="1"/>
    <col min="8453" max="8454" width="10.6640625" style="2635" customWidth="1"/>
    <col min="8455" max="8455" width="10.33203125" style="2635" customWidth="1"/>
    <col min="8456" max="8456" width="11" style="2635" customWidth="1"/>
    <col min="8457" max="8704" width="8.88671875" style="2635"/>
    <col min="8705" max="8705" width="5.109375" style="2635" customWidth="1"/>
    <col min="8706" max="8706" width="33.33203125" style="2635" customWidth="1"/>
    <col min="8707" max="8707" width="10.109375" style="2635" customWidth="1"/>
    <col min="8708" max="8708" width="9.5546875" style="2635" customWidth="1"/>
    <col min="8709" max="8710" width="10.6640625" style="2635" customWidth="1"/>
    <col min="8711" max="8711" width="10.33203125" style="2635" customWidth="1"/>
    <col min="8712" max="8712" width="11" style="2635" customWidth="1"/>
    <col min="8713" max="8960" width="8.88671875" style="2635"/>
    <col min="8961" max="8961" width="5.109375" style="2635" customWidth="1"/>
    <col min="8962" max="8962" width="33.33203125" style="2635" customWidth="1"/>
    <col min="8963" max="8963" width="10.109375" style="2635" customWidth="1"/>
    <col min="8964" max="8964" width="9.5546875" style="2635" customWidth="1"/>
    <col min="8965" max="8966" width="10.6640625" style="2635" customWidth="1"/>
    <col min="8967" max="8967" width="10.33203125" style="2635" customWidth="1"/>
    <col min="8968" max="8968" width="11" style="2635" customWidth="1"/>
    <col min="8969" max="9216" width="8.88671875" style="2635"/>
    <col min="9217" max="9217" width="5.109375" style="2635" customWidth="1"/>
    <col min="9218" max="9218" width="33.33203125" style="2635" customWidth="1"/>
    <col min="9219" max="9219" width="10.109375" style="2635" customWidth="1"/>
    <col min="9220" max="9220" width="9.5546875" style="2635" customWidth="1"/>
    <col min="9221" max="9222" width="10.6640625" style="2635" customWidth="1"/>
    <col min="9223" max="9223" width="10.33203125" style="2635" customWidth="1"/>
    <col min="9224" max="9224" width="11" style="2635" customWidth="1"/>
    <col min="9225" max="9472" width="8.88671875" style="2635"/>
    <col min="9473" max="9473" width="5.109375" style="2635" customWidth="1"/>
    <col min="9474" max="9474" width="33.33203125" style="2635" customWidth="1"/>
    <col min="9475" max="9475" width="10.109375" style="2635" customWidth="1"/>
    <col min="9476" max="9476" width="9.5546875" style="2635" customWidth="1"/>
    <col min="9477" max="9478" width="10.6640625" style="2635" customWidth="1"/>
    <col min="9479" max="9479" width="10.33203125" style="2635" customWidth="1"/>
    <col min="9480" max="9480" width="11" style="2635" customWidth="1"/>
    <col min="9481" max="9728" width="8.88671875" style="2635"/>
    <col min="9729" max="9729" width="5.109375" style="2635" customWidth="1"/>
    <col min="9730" max="9730" width="33.33203125" style="2635" customWidth="1"/>
    <col min="9731" max="9731" width="10.109375" style="2635" customWidth="1"/>
    <col min="9732" max="9732" width="9.5546875" style="2635" customWidth="1"/>
    <col min="9733" max="9734" width="10.6640625" style="2635" customWidth="1"/>
    <col min="9735" max="9735" width="10.33203125" style="2635" customWidth="1"/>
    <col min="9736" max="9736" width="11" style="2635" customWidth="1"/>
    <col min="9737" max="9984" width="8.88671875" style="2635"/>
    <col min="9985" max="9985" width="5.109375" style="2635" customWidth="1"/>
    <col min="9986" max="9986" width="33.33203125" style="2635" customWidth="1"/>
    <col min="9987" max="9987" width="10.109375" style="2635" customWidth="1"/>
    <col min="9988" max="9988" width="9.5546875" style="2635" customWidth="1"/>
    <col min="9989" max="9990" width="10.6640625" style="2635" customWidth="1"/>
    <col min="9991" max="9991" width="10.33203125" style="2635" customWidth="1"/>
    <col min="9992" max="9992" width="11" style="2635" customWidth="1"/>
    <col min="9993" max="10240" width="8.88671875" style="2635"/>
    <col min="10241" max="10241" width="5.109375" style="2635" customWidth="1"/>
    <col min="10242" max="10242" width="33.33203125" style="2635" customWidth="1"/>
    <col min="10243" max="10243" width="10.109375" style="2635" customWidth="1"/>
    <col min="10244" max="10244" width="9.5546875" style="2635" customWidth="1"/>
    <col min="10245" max="10246" width="10.6640625" style="2635" customWidth="1"/>
    <col min="10247" max="10247" width="10.33203125" style="2635" customWidth="1"/>
    <col min="10248" max="10248" width="11" style="2635" customWidth="1"/>
    <col min="10249" max="10496" width="8.88671875" style="2635"/>
    <col min="10497" max="10497" width="5.109375" style="2635" customWidth="1"/>
    <col min="10498" max="10498" width="33.33203125" style="2635" customWidth="1"/>
    <col min="10499" max="10499" width="10.109375" style="2635" customWidth="1"/>
    <col min="10500" max="10500" width="9.5546875" style="2635" customWidth="1"/>
    <col min="10501" max="10502" width="10.6640625" style="2635" customWidth="1"/>
    <col min="10503" max="10503" width="10.33203125" style="2635" customWidth="1"/>
    <col min="10504" max="10504" width="11" style="2635" customWidth="1"/>
    <col min="10505" max="10752" width="8.88671875" style="2635"/>
    <col min="10753" max="10753" width="5.109375" style="2635" customWidth="1"/>
    <col min="10754" max="10754" width="33.33203125" style="2635" customWidth="1"/>
    <col min="10755" max="10755" width="10.109375" style="2635" customWidth="1"/>
    <col min="10756" max="10756" width="9.5546875" style="2635" customWidth="1"/>
    <col min="10757" max="10758" width="10.6640625" style="2635" customWidth="1"/>
    <col min="10759" max="10759" width="10.33203125" style="2635" customWidth="1"/>
    <col min="10760" max="10760" width="11" style="2635" customWidth="1"/>
    <col min="10761" max="11008" width="8.88671875" style="2635"/>
    <col min="11009" max="11009" width="5.109375" style="2635" customWidth="1"/>
    <col min="11010" max="11010" width="33.33203125" style="2635" customWidth="1"/>
    <col min="11011" max="11011" width="10.109375" style="2635" customWidth="1"/>
    <col min="11012" max="11012" width="9.5546875" style="2635" customWidth="1"/>
    <col min="11013" max="11014" width="10.6640625" style="2635" customWidth="1"/>
    <col min="11015" max="11015" width="10.33203125" style="2635" customWidth="1"/>
    <col min="11016" max="11016" width="11" style="2635" customWidth="1"/>
    <col min="11017" max="11264" width="8.88671875" style="2635"/>
    <col min="11265" max="11265" width="5.109375" style="2635" customWidth="1"/>
    <col min="11266" max="11266" width="33.33203125" style="2635" customWidth="1"/>
    <col min="11267" max="11267" width="10.109375" style="2635" customWidth="1"/>
    <col min="11268" max="11268" width="9.5546875" style="2635" customWidth="1"/>
    <col min="11269" max="11270" width="10.6640625" style="2635" customWidth="1"/>
    <col min="11271" max="11271" width="10.33203125" style="2635" customWidth="1"/>
    <col min="11272" max="11272" width="11" style="2635" customWidth="1"/>
    <col min="11273" max="11520" width="8.88671875" style="2635"/>
    <col min="11521" max="11521" width="5.109375" style="2635" customWidth="1"/>
    <col min="11522" max="11522" width="33.33203125" style="2635" customWidth="1"/>
    <col min="11523" max="11523" width="10.109375" style="2635" customWidth="1"/>
    <col min="11524" max="11524" width="9.5546875" style="2635" customWidth="1"/>
    <col min="11525" max="11526" width="10.6640625" style="2635" customWidth="1"/>
    <col min="11527" max="11527" width="10.33203125" style="2635" customWidth="1"/>
    <col min="11528" max="11528" width="11" style="2635" customWidth="1"/>
    <col min="11529" max="11776" width="8.88671875" style="2635"/>
    <col min="11777" max="11777" width="5.109375" style="2635" customWidth="1"/>
    <col min="11778" max="11778" width="33.33203125" style="2635" customWidth="1"/>
    <col min="11779" max="11779" width="10.109375" style="2635" customWidth="1"/>
    <col min="11780" max="11780" width="9.5546875" style="2635" customWidth="1"/>
    <col min="11781" max="11782" width="10.6640625" style="2635" customWidth="1"/>
    <col min="11783" max="11783" width="10.33203125" style="2635" customWidth="1"/>
    <col min="11784" max="11784" width="11" style="2635" customWidth="1"/>
    <col min="11785" max="12032" width="8.88671875" style="2635"/>
    <col min="12033" max="12033" width="5.109375" style="2635" customWidth="1"/>
    <col min="12034" max="12034" width="33.33203125" style="2635" customWidth="1"/>
    <col min="12035" max="12035" width="10.109375" style="2635" customWidth="1"/>
    <col min="12036" max="12036" width="9.5546875" style="2635" customWidth="1"/>
    <col min="12037" max="12038" width="10.6640625" style="2635" customWidth="1"/>
    <col min="12039" max="12039" width="10.33203125" style="2635" customWidth="1"/>
    <col min="12040" max="12040" width="11" style="2635" customWidth="1"/>
    <col min="12041" max="12288" width="8.88671875" style="2635"/>
    <col min="12289" max="12289" width="5.109375" style="2635" customWidth="1"/>
    <col min="12290" max="12290" width="33.33203125" style="2635" customWidth="1"/>
    <col min="12291" max="12291" width="10.109375" style="2635" customWidth="1"/>
    <col min="12292" max="12292" width="9.5546875" style="2635" customWidth="1"/>
    <col min="12293" max="12294" width="10.6640625" style="2635" customWidth="1"/>
    <col min="12295" max="12295" width="10.33203125" style="2635" customWidth="1"/>
    <col min="12296" max="12296" width="11" style="2635" customWidth="1"/>
    <col min="12297" max="12544" width="8.88671875" style="2635"/>
    <col min="12545" max="12545" width="5.109375" style="2635" customWidth="1"/>
    <col min="12546" max="12546" width="33.33203125" style="2635" customWidth="1"/>
    <col min="12547" max="12547" width="10.109375" style="2635" customWidth="1"/>
    <col min="12548" max="12548" width="9.5546875" style="2635" customWidth="1"/>
    <col min="12549" max="12550" width="10.6640625" style="2635" customWidth="1"/>
    <col min="12551" max="12551" width="10.33203125" style="2635" customWidth="1"/>
    <col min="12552" max="12552" width="11" style="2635" customWidth="1"/>
    <col min="12553" max="12800" width="8.88671875" style="2635"/>
    <col min="12801" max="12801" width="5.109375" style="2635" customWidth="1"/>
    <col min="12802" max="12802" width="33.33203125" style="2635" customWidth="1"/>
    <col min="12803" max="12803" width="10.109375" style="2635" customWidth="1"/>
    <col min="12804" max="12804" width="9.5546875" style="2635" customWidth="1"/>
    <col min="12805" max="12806" width="10.6640625" style="2635" customWidth="1"/>
    <col min="12807" max="12807" width="10.33203125" style="2635" customWidth="1"/>
    <col min="12808" max="12808" width="11" style="2635" customWidth="1"/>
    <col min="12809" max="13056" width="8.88671875" style="2635"/>
    <col min="13057" max="13057" width="5.109375" style="2635" customWidth="1"/>
    <col min="13058" max="13058" width="33.33203125" style="2635" customWidth="1"/>
    <col min="13059" max="13059" width="10.109375" style="2635" customWidth="1"/>
    <col min="13060" max="13060" width="9.5546875" style="2635" customWidth="1"/>
    <col min="13061" max="13062" width="10.6640625" style="2635" customWidth="1"/>
    <col min="13063" max="13063" width="10.33203125" style="2635" customWidth="1"/>
    <col min="13064" max="13064" width="11" style="2635" customWidth="1"/>
    <col min="13065" max="13312" width="8.88671875" style="2635"/>
    <col min="13313" max="13313" width="5.109375" style="2635" customWidth="1"/>
    <col min="13314" max="13314" width="33.33203125" style="2635" customWidth="1"/>
    <col min="13315" max="13315" width="10.109375" style="2635" customWidth="1"/>
    <col min="13316" max="13316" width="9.5546875" style="2635" customWidth="1"/>
    <col min="13317" max="13318" width="10.6640625" style="2635" customWidth="1"/>
    <col min="13319" max="13319" width="10.33203125" style="2635" customWidth="1"/>
    <col min="13320" max="13320" width="11" style="2635" customWidth="1"/>
    <col min="13321" max="13568" width="8.88671875" style="2635"/>
    <col min="13569" max="13569" width="5.109375" style="2635" customWidth="1"/>
    <col min="13570" max="13570" width="33.33203125" style="2635" customWidth="1"/>
    <col min="13571" max="13571" width="10.109375" style="2635" customWidth="1"/>
    <col min="13572" max="13572" width="9.5546875" style="2635" customWidth="1"/>
    <col min="13573" max="13574" width="10.6640625" style="2635" customWidth="1"/>
    <col min="13575" max="13575" width="10.33203125" style="2635" customWidth="1"/>
    <col min="13576" max="13576" width="11" style="2635" customWidth="1"/>
    <col min="13577" max="13824" width="8.88671875" style="2635"/>
    <col min="13825" max="13825" width="5.109375" style="2635" customWidth="1"/>
    <col min="13826" max="13826" width="33.33203125" style="2635" customWidth="1"/>
    <col min="13827" max="13827" width="10.109375" style="2635" customWidth="1"/>
    <col min="13828" max="13828" width="9.5546875" style="2635" customWidth="1"/>
    <col min="13829" max="13830" width="10.6640625" style="2635" customWidth="1"/>
    <col min="13831" max="13831" width="10.33203125" style="2635" customWidth="1"/>
    <col min="13832" max="13832" width="11" style="2635" customWidth="1"/>
    <col min="13833" max="14080" width="8.88671875" style="2635"/>
    <col min="14081" max="14081" width="5.109375" style="2635" customWidth="1"/>
    <col min="14082" max="14082" width="33.33203125" style="2635" customWidth="1"/>
    <col min="14083" max="14083" width="10.109375" style="2635" customWidth="1"/>
    <col min="14084" max="14084" width="9.5546875" style="2635" customWidth="1"/>
    <col min="14085" max="14086" width="10.6640625" style="2635" customWidth="1"/>
    <col min="14087" max="14087" width="10.33203125" style="2635" customWidth="1"/>
    <col min="14088" max="14088" width="11" style="2635" customWidth="1"/>
    <col min="14089" max="14336" width="8.88671875" style="2635"/>
    <col min="14337" max="14337" width="5.109375" style="2635" customWidth="1"/>
    <col min="14338" max="14338" width="33.33203125" style="2635" customWidth="1"/>
    <col min="14339" max="14339" width="10.109375" style="2635" customWidth="1"/>
    <col min="14340" max="14340" width="9.5546875" style="2635" customWidth="1"/>
    <col min="14341" max="14342" width="10.6640625" style="2635" customWidth="1"/>
    <col min="14343" max="14343" width="10.33203125" style="2635" customWidth="1"/>
    <col min="14344" max="14344" width="11" style="2635" customWidth="1"/>
    <col min="14345" max="14592" width="8.88671875" style="2635"/>
    <col min="14593" max="14593" width="5.109375" style="2635" customWidth="1"/>
    <col min="14594" max="14594" width="33.33203125" style="2635" customWidth="1"/>
    <col min="14595" max="14595" width="10.109375" style="2635" customWidth="1"/>
    <col min="14596" max="14596" width="9.5546875" style="2635" customWidth="1"/>
    <col min="14597" max="14598" width="10.6640625" style="2635" customWidth="1"/>
    <col min="14599" max="14599" width="10.33203125" style="2635" customWidth="1"/>
    <col min="14600" max="14600" width="11" style="2635" customWidth="1"/>
    <col min="14601" max="14848" width="8.88671875" style="2635"/>
    <col min="14849" max="14849" width="5.109375" style="2635" customWidth="1"/>
    <col min="14850" max="14850" width="33.33203125" style="2635" customWidth="1"/>
    <col min="14851" max="14851" width="10.109375" style="2635" customWidth="1"/>
    <col min="14852" max="14852" width="9.5546875" style="2635" customWidth="1"/>
    <col min="14853" max="14854" width="10.6640625" style="2635" customWidth="1"/>
    <col min="14855" max="14855" width="10.33203125" style="2635" customWidth="1"/>
    <col min="14856" max="14856" width="11" style="2635" customWidth="1"/>
    <col min="14857" max="15104" width="8.88671875" style="2635"/>
    <col min="15105" max="15105" width="5.109375" style="2635" customWidth="1"/>
    <col min="15106" max="15106" width="33.33203125" style="2635" customWidth="1"/>
    <col min="15107" max="15107" width="10.109375" style="2635" customWidth="1"/>
    <col min="15108" max="15108" width="9.5546875" style="2635" customWidth="1"/>
    <col min="15109" max="15110" width="10.6640625" style="2635" customWidth="1"/>
    <col min="15111" max="15111" width="10.33203125" style="2635" customWidth="1"/>
    <col min="15112" max="15112" width="11" style="2635" customWidth="1"/>
    <col min="15113" max="15360" width="8.88671875" style="2635"/>
    <col min="15361" max="15361" width="5.109375" style="2635" customWidth="1"/>
    <col min="15362" max="15362" width="33.33203125" style="2635" customWidth="1"/>
    <col min="15363" max="15363" width="10.109375" style="2635" customWidth="1"/>
    <col min="15364" max="15364" width="9.5546875" style="2635" customWidth="1"/>
    <col min="15365" max="15366" width="10.6640625" style="2635" customWidth="1"/>
    <col min="15367" max="15367" width="10.33203125" style="2635" customWidth="1"/>
    <col min="15368" max="15368" width="11" style="2635" customWidth="1"/>
    <col min="15369" max="15616" width="8.88671875" style="2635"/>
    <col min="15617" max="15617" width="5.109375" style="2635" customWidth="1"/>
    <col min="15618" max="15618" width="33.33203125" style="2635" customWidth="1"/>
    <col min="15619" max="15619" width="10.109375" style="2635" customWidth="1"/>
    <col min="15620" max="15620" width="9.5546875" style="2635" customWidth="1"/>
    <col min="15621" max="15622" width="10.6640625" style="2635" customWidth="1"/>
    <col min="15623" max="15623" width="10.33203125" style="2635" customWidth="1"/>
    <col min="15624" max="15624" width="11" style="2635" customWidth="1"/>
    <col min="15625" max="15872" width="8.88671875" style="2635"/>
    <col min="15873" max="15873" width="5.109375" style="2635" customWidth="1"/>
    <col min="15874" max="15874" width="33.33203125" style="2635" customWidth="1"/>
    <col min="15875" max="15875" width="10.109375" style="2635" customWidth="1"/>
    <col min="15876" max="15876" width="9.5546875" style="2635" customWidth="1"/>
    <col min="15877" max="15878" width="10.6640625" style="2635" customWidth="1"/>
    <col min="15879" max="15879" width="10.33203125" style="2635" customWidth="1"/>
    <col min="15880" max="15880" width="11" style="2635" customWidth="1"/>
    <col min="15881" max="16128" width="8.88671875" style="2635"/>
    <col min="16129" max="16129" width="5.109375" style="2635" customWidth="1"/>
    <col min="16130" max="16130" width="33.33203125" style="2635" customWidth="1"/>
    <col min="16131" max="16131" width="10.109375" style="2635" customWidth="1"/>
    <col min="16132" max="16132" width="9.5546875" style="2635" customWidth="1"/>
    <col min="16133" max="16134" width="10.6640625" style="2635" customWidth="1"/>
    <col min="16135" max="16135" width="10.33203125" style="2635" customWidth="1"/>
    <col min="16136" max="16136" width="11" style="2635" customWidth="1"/>
    <col min="16137" max="16384" width="8.88671875" style="2635"/>
  </cols>
  <sheetData>
    <row r="1" spans="1:8">
      <c r="A1" s="1840" t="s">
        <v>69</v>
      </c>
      <c r="G1" s="1840" t="s">
        <v>1099</v>
      </c>
    </row>
    <row r="3" spans="1:8">
      <c r="A3" s="2988" t="s">
        <v>1441</v>
      </c>
      <c r="B3" s="2988"/>
      <c r="C3" s="2988"/>
      <c r="D3" s="2988"/>
      <c r="E3" s="2988"/>
      <c r="F3" s="2988"/>
      <c r="G3" s="2988"/>
      <c r="H3" s="2988"/>
    </row>
    <row r="4" spans="1:8">
      <c r="A4" s="2986" t="s">
        <v>1055</v>
      </c>
      <c r="B4" s="2986"/>
      <c r="C4" s="2986"/>
      <c r="D4" s="2986"/>
      <c r="E4" s="2986"/>
      <c r="F4" s="2986"/>
      <c r="G4" s="2986"/>
      <c r="H4" s="2986"/>
    </row>
    <row r="5" spans="1:8">
      <c r="D5" s="2635">
        <v>3292260</v>
      </c>
      <c r="E5" s="2680">
        <f>D10-D5</f>
        <v>0</v>
      </c>
      <c r="H5" s="1842" t="s">
        <v>1056</v>
      </c>
    </row>
    <row r="6" spans="1:8" ht="27.6" customHeight="1">
      <c r="A6" s="2989" t="s">
        <v>49</v>
      </c>
      <c r="B6" s="2989" t="s">
        <v>39</v>
      </c>
      <c r="C6" s="2989" t="s">
        <v>1261</v>
      </c>
      <c r="D6" s="2989"/>
      <c r="E6" s="2989" t="s">
        <v>909</v>
      </c>
      <c r="F6" s="2989"/>
      <c r="G6" s="2989" t="s">
        <v>1100</v>
      </c>
      <c r="H6" s="2989"/>
    </row>
    <row r="7" spans="1:8" ht="48.6" customHeight="1">
      <c r="A7" s="2989"/>
      <c r="B7" s="2989"/>
      <c r="C7" s="2634" t="s">
        <v>1101</v>
      </c>
      <c r="D7" s="2634" t="s">
        <v>1102</v>
      </c>
      <c r="E7" s="2634" t="s">
        <v>1101</v>
      </c>
      <c r="F7" s="2634" t="s">
        <v>1102</v>
      </c>
      <c r="G7" s="2634" t="s">
        <v>1101</v>
      </c>
      <c r="H7" s="2634" t="s">
        <v>1102</v>
      </c>
    </row>
    <row r="8" spans="1:8">
      <c r="A8" s="1844" t="s">
        <v>80</v>
      </c>
      <c r="B8" s="1844" t="s">
        <v>81</v>
      </c>
      <c r="C8" s="1844">
        <v>1</v>
      </c>
      <c r="D8" s="1844">
        <v>2</v>
      </c>
      <c r="E8" s="1844">
        <v>3</v>
      </c>
      <c r="F8" s="1844">
        <v>4</v>
      </c>
      <c r="G8" s="1844" t="s">
        <v>1103</v>
      </c>
      <c r="H8" s="1844" t="s">
        <v>1104</v>
      </c>
    </row>
    <row r="9" spans="1:8" ht="21.6" customHeight="1">
      <c r="A9" s="2681"/>
      <c r="B9" s="2682" t="s">
        <v>1105</v>
      </c>
      <c r="C9" s="2683">
        <f>SUM(C10,C66,C69)</f>
        <v>9576953.0999999996</v>
      </c>
      <c r="D9" s="2683">
        <f>SUM(D10,D66,D69)</f>
        <v>9354353.0999999996</v>
      </c>
      <c r="E9" s="2683">
        <f>SUM(E10,E66,E69)</f>
        <v>9481526</v>
      </c>
      <c r="F9" s="2683">
        <f>SUM(F10,F66,F69)</f>
        <v>9166448</v>
      </c>
      <c r="G9" s="2684">
        <f>E9/C9%</f>
        <v>99.003575573529744</v>
      </c>
      <c r="H9" s="2684">
        <f>F9/D9%</f>
        <v>97.991255001909209</v>
      </c>
    </row>
    <row r="10" spans="1:8" ht="17.399999999999999" customHeight="1">
      <c r="A10" s="2809" t="s">
        <v>54</v>
      </c>
      <c r="B10" s="3185" t="s">
        <v>197</v>
      </c>
      <c r="C10" s="2906">
        <f>SUM(C11,C18,C25,C32,C39,C40,C43,C44,C49,C50,C51,C52,C53,C54,C57,C58,C63,C64,C65)</f>
        <v>3514860</v>
      </c>
      <c r="D10" s="2906">
        <f>SUM(D11,D18,D25,D32,D39,D40,D43,D44,D49,D50,D51,D52,D53,D54,D57,D58,D63,D64,D65)</f>
        <v>3292260</v>
      </c>
      <c r="E10" s="2906">
        <f>SUM(E11,E18,E25,E32,E39,E40,E43,E44,E49,E50,E51,E52,E53,E54,E57,E58,E63,E64,E65)</f>
        <v>3771800</v>
      </c>
      <c r="F10" s="2906">
        <f>SUM(F11,F18,F25,F32,F39,F40,F43,F44,F49,F50,F51,F52,F53,F54,F57,F58,F63,F64,F65)</f>
        <v>3456722</v>
      </c>
      <c r="G10" s="3232">
        <f t="shared" ref="G10:G69" si="0">E10/C10%</f>
        <v>107.31010623467222</v>
      </c>
      <c r="H10" s="3232">
        <f t="shared" ref="H10:H69" si="1">F10/D10%</f>
        <v>104.9954134849617</v>
      </c>
    </row>
    <row r="11" spans="1:8">
      <c r="A11" s="3228">
        <v>1</v>
      </c>
      <c r="B11" s="3229" t="s">
        <v>201</v>
      </c>
      <c r="C11" s="3230">
        <v>970000</v>
      </c>
      <c r="D11" s="3230">
        <v>970000</v>
      </c>
      <c r="E11" s="3230">
        <f>'Bieu so 02'!C18</f>
        <v>925800</v>
      </c>
      <c r="F11" s="3230">
        <v>925800</v>
      </c>
      <c r="G11" s="3231">
        <f t="shared" si="0"/>
        <v>95.44329896907216</v>
      </c>
      <c r="H11" s="3231">
        <f t="shared" si="1"/>
        <v>95.44329896907216</v>
      </c>
    </row>
    <row r="12" spans="1:8" hidden="1">
      <c r="A12" s="2649"/>
      <c r="B12" s="2650" t="s">
        <v>202</v>
      </c>
      <c r="C12" s="2083"/>
      <c r="D12" s="2083"/>
      <c r="E12" s="2083"/>
      <c r="F12" s="2083"/>
      <c r="G12" s="2660" t="e">
        <f t="shared" si="0"/>
        <v>#DIV/0!</v>
      </c>
      <c r="H12" s="2660" t="e">
        <f t="shared" si="1"/>
        <v>#DIV/0!</v>
      </c>
    </row>
    <row r="13" spans="1:8" hidden="1">
      <c r="A13" s="2649"/>
      <c r="B13" s="2650" t="s">
        <v>203</v>
      </c>
      <c r="C13" s="2083"/>
      <c r="D13" s="2083"/>
      <c r="E13" s="2083"/>
      <c r="F13" s="2083"/>
      <c r="G13" s="2660" t="e">
        <f t="shared" si="0"/>
        <v>#DIV/0!</v>
      </c>
      <c r="H13" s="2660" t="e">
        <f t="shared" si="1"/>
        <v>#DIV/0!</v>
      </c>
    </row>
    <row r="14" spans="1:8" hidden="1">
      <c r="A14" s="2649"/>
      <c r="B14" s="2650" t="s">
        <v>204</v>
      </c>
      <c r="C14" s="2083"/>
      <c r="D14" s="2083"/>
      <c r="E14" s="2083"/>
      <c r="F14" s="2083"/>
      <c r="G14" s="2660" t="e">
        <f t="shared" si="0"/>
        <v>#DIV/0!</v>
      </c>
      <c r="H14" s="2660" t="e">
        <f t="shared" si="1"/>
        <v>#DIV/0!</v>
      </c>
    </row>
    <row r="15" spans="1:8" hidden="1">
      <c r="A15" s="2649"/>
      <c r="B15" s="2650" t="s">
        <v>205</v>
      </c>
      <c r="C15" s="2083"/>
      <c r="D15" s="2083"/>
      <c r="E15" s="2083"/>
      <c r="F15" s="2083"/>
      <c r="G15" s="2660" t="e">
        <f t="shared" si="0"/>
        <v>#DIV/0!</v>
      </c>
      <c r="H15" s="2660" t="e">
        <f t="shared" si="1"/>
        <v>#DIV/0!</v>
      </c>
    </row>
    <row r="16" spans="1:8" hidden="1">
      <c r="A16" s="2649"/>
      <c r="B16" s="2650" t="s">
        <v>206</v>
      </c>
      <c r="C16" s="2083"/>
      <c r="D16" s="2083"/>
      <c r="E16" s="2083"/>
      <c r="F16" s="2083"/>
      <c r="G16" s="2660" t="e">
        <f t="shared" si="0"/>
        <v>#DIV/0!</v>
      </c>
      <c r="H16" s="2660" t="e">
        <f t="shared" si="1"/>
        <v>#DIV/0!</v>
      </c>
    </row>
    <row r="17" spans="1:8" hidden="1">
      <c r="A17" s="2649"/>
      <c r="B17" s="2650" t="s">
        <v>207</v>
      </c>
      <c r="C17" s="2083"/>
      <c r="D17" s="2083"/>
      <c r="E17" s="2083"/>
      <c r="F17" s="2083"/>
      <c r="G17" s="2660" t="e">
        <f t="shared" si="0"/>
        <v>#DIV/0!</v>
      </c>
      <c r="H17" s="2660" t="e">
        <f t="shared" si="1"/>
        <v>#DIV/0!</v>
      </c>
    </row>
    <row r="18" spans="1:8">
      <c r="A18" s="2649">
        <v>2</v>
      </c>
      <c r="B18" s="2650" t="s">
        <v>209</v>
      </c>
      <c r="C18" s="2083">
        <v>60000</v>
      </c>
      <c r="D18" s="2083">
        <v>60000</v>
      </c>
      <c r="E18" s="2083">
        <f>'Bieu so 02'!C25</f>
        <v>68000</v>
      </c>
      <c r="F18" s="2083">
        <v>68000</v>
      </c>
      <c r="G18" s="2660">
        <f t="shared" si="0"/>
        <v>113.33333333333333</v>
      </c>
      <c r="H18" s="2660">
        <f t="shared" si="1"/>
        <v>113.33333333333333</v>
      </c>
    </row>
    <row r="19" spans="1:8" hidden="1">
      <c r="A19" s="2649">
        <v>3</v>
      </c>
      <c r="B19" s="2650" t="s">
        <v>202</v>
      </c>
      <c r="C19" s="2083"/>
      <c r="D19" s="2083"/>
      <c r="E19" s="2083"/>
      <c r="F19" s="2083"/>
      <c r="G19" s="2660" t="e">
        <f t="shared" si="0"/>
        <v>#DIV/0!</v>
      </c>
      <c r="H19" s="2660" t="e">
        <f t="shared" si="1"/>
        <v>#DIV/0!</v>
      </c>
    </row>
    <row r="20" spans="1:8" hidden="1">
      <c r="A20" s="2649"/>
      <c r="B20" s="2650" t="s">
        <v>203</v>
      </c>
      <c r="C20" s="2083"/>
      <c r="D20" s="2083"/>
      <c r="E20" s="2083"/>
      <c r="F20" s="2083"/>
      <c r="G20" s="2660" t="e">
        <f t="shared" si="0"/>
        <v>#DIV/0!</v>
      </c>
      <c r="H20" s="2660" t="e">
        <f t="shared" si="1"/>
        <v>#DIV/0!</v>
      </c>
    </row>
    <row r="21" spans="1:8" hidden="1">
      <c r="A21" s="2649"/>
      <c r="B21" s="2650" t="s">
        <v>204</v>
      </c>
      <c r="C21" s="2647"/>
      <c r="D21" s="2647"/>
      <c r="E21" s="2647"/>
      <c r="F21" s="2647"/>
      <c r="G21" s="2660" t="e">
        <f t="shared" si="0"/>
        <v>#DIV/0!</v>
      </c>
      <c r="H21" s="2660" t="e">
        <f t="shared" si="1"/>
        <v>#DIV/0!</v>
      </c>
    </row>
    <row r="22" spans="1:8" hidden="1">
      <c r="A22" s="2649"/>
      <c r="B22" s="2650" t="s">
        <v>205</v>
      </c>
      <c r="C22" s="2647"/>
      <c r="D22" s="2647"/>
      <c r="E22" s="2647"/>
      <c r="F22" s="2647"/>
      <c r="G22" s="2660" t="e">
        <f t="shared" si="0"/>
        <v>#DIV/0!</v>
      </c>
      <c r="H22" s="2660" t="e">
        <f t="shared" si="1"/>
        <v>#DIV/0!</v>
      </c>
    </row>
    <row r="23" spans="1:8" hidden="1">
      <c r="A23" s="2649"/>
      <c r="B23" s="2650" t="s">
        <v>206</v>
      </c>
      <c r="C23" s="2083"/>
      <c r="D23" s="2083"/>
      <c r="E23" s="2083"/>
      <c r="F23" s="2083"/>
      <c r="G23" s="2660" t="e">
        <f t="shared" si="0"/>
        <v>#DIV/0!</v>
      </c>
      <c r="H23" s="2660" t="e">
        <f t="shared" si="1"/>
        <v>#DIV/0!</v>
      </c>
    </row>
    <row r="24" spans="1:8" hidden="1">
      <c r="A24" s="2649"/>
      <c r="B24" s="2650" t="s">
        <v>207</v>
      </c>
      <c r="C24" s="2083"/>
      <c r="D24" s="2083"/>
      <c r="E24" s="2083"/>
      <c r="F24" s="2083"/>
      <c r="G24" s="2660" t="e">
        <f t="shared" si="0"/>
        <v>#DIV/0!</v>
      </c>
      <c r="H24" s="2660" t="e">
        <f t="shared" si="1"/>
        <v>#DIV/0!</v>
      </c>
    </row>
    <row r="25" spans="1:8">
      <c r="A25" s="2649">
        <v>3</v>
      </c>
      <c r="B25" s="2650" t="s">
        <v>210</v>
      </c>
      <c r="C25" s="2083">
        <v>170000</v>
      </c>
      <c r="D25" s="2083">
        <v>170000</v>
      </c>
      <c r="E25" s="2083">
        <f>'Bieu so 02'!C32</f>
        <v>232000</v>
      </c>
      <c r="F25" s="2083">
        <v>232000</v>
      </c>
      <c r="G25" s="2660">
        <f t="shared" si="0"/>
        <v>136.47058823529412</v>
      </c>
      <c r="H25" s="2660">
        <f t="shared" si="1"/>
        <v>136.47058823529412</v>
      </c>
    </row>
    <row r="26" spans="1:8" hidden="1">
      <c r="A26" s="2649">
        <v>4</v>
      </c>
      <c r="B26" s="2650" t="s">
        <v>202</v>
      </c>
      <c r="C26" s="2647"/>
      <c r="D26" s="2647"/>
      <c r="E26" s="2647"/>
      <c r="F26" s="2647"/>
      <c r="G26" s="2660" t="e">
        <f t="shared" si="0"/>
        <v>#DIV/0!</v>
      </c>
      <c r="H26" s="2660" t="e">
        <f t="shared" si="1"/>
        <v>#DIV/0!</v>
      </c>
    </row>
    <row r="27" spans="1:8" hidden="1">
      <c r="A27" s="2649">
        <v>5</v>
      </c>
      <c r="B27" s="2650" t="s">
        <v>203</v>
      </c>
      <c r="C27" s="2647"/>
      <c r="D27" s="2647"/>
      <c r="E27" s="2647"/>
      <c r="F27" s="2647"/>
      <c r="G27" s="2660" t="e">
        <f t="shared" si="0"/>
        <v>#DIV/0!</v>
      </c>
      <c r="H27" s="2660" t="e">
        <f t="shared" si="1"/>
        <v>#DIV/0!</v>
      </c>
    </row>
    <row r="28" spans="1:8" hidden="1">
      <c r="A28" s="2649"/>
      <c r="B28" s="2650" t="s">
        <v>204</v>
      </c>
      <c r="C28" s="2647"/>
      <c r="D28" s="2647"/>
      <c r="E28" s="2647"/>
      <c r="F28" s="2647"/>
      <c r="G28" s="2660" t="e">
        <f t="shared" si="0"/>
        <v>#DIV/0!</v>
      </c>
      <c r="H28" s="2660" t="e">
        <f t="shared" si="1"/>
        <v>#DIV/0!</v>
      </c>
    </row>
    <row r="29" spans="1:8" hidden="1">
      <c r="A29" s="2649"/>
      <c r="B29" s="2650" t="s">
        <v>205</v>
      </c>
      <c r="C29" s="2083"/>
      <c r="D29" s="2083"/>
      <c r="E29" s="2083"/>
      <c r="F29" s="2083"/>
      <c r="G29" s="2660" t="e">
        <f t="shared" si="0"/>
        <v>#DIV/0!</v>
      </c>
      <c r="H29" s="2660" t="e">
        <f t="shared" si="1"/>
        <v>#DIV/0!</v>
      </c>
    </row>
    <row r="30" spans="1:8" hidden="1">
      <c r="A30" s="2649"/>
      <c r="B30" s="2650" t="s">
        <v>206</v>
      </c>
      <c r="C30" s="2083"/>
      <c r="D30" s="2083"/>
      <c r="E30" s="2083"/>
      <c r="F30" s="2083"/>
      <c r="G30" s="2660" t="e">
        <f t="shared" si="0"/>
        <v>#DIV/0!</v>
      </c>
      <c r="H30" s="2660" t="e">
        <f t="shared" si="1"/>
        <v>#DIV/0!</v>
      </c>
    </row>
    <row r="31" spans="1:8" hidden="1">
      <c r="A31" s="2649"/>
      <c r="B31" s="2650" t="s">
        <v>207</v>
      </c>
      <c r="C31" s="2083"/>
      <c r="D31" s="2083"/>
      <c r="E31" s="2083"/>
      <c r="F31" s="2083"/>
      <c r="G31" s="2660" t="e">
        <f t="shared" si="0"/>
        <v>#DIV/0!</v>
      </c>
      <c r="H31" s="2660" t="e">
        <f t="shared" si="1"/>
        <v>#DIV/0!</v>
      </c>
    </row>
    <row r="32" spans="1:8">
      <c r="A32" s="2649">
        <v>4</v>
      </c>
      <c r="B32" s="2650" t="s">
        <v>211</v>
      </c>
      <c r="C32" s="2083">
        <v>350000</v>
      </c>
      <c r="D32" s="2083">
        <v>350000</v>
      </c>
      <c r="E32" s="2083">
        <f>'Bieu so 02'!C39</f>
        <v>350000</v>
      </c>
      <c r="F32" s="2083">
        <v>350000</v>
      </c>
      <c r="G32" s="2660">
        <f t="shared" si="0"/>
        <v>100</v>
      </c>
      <c r="H32" s="2660">
        <f t="shared" si="1"/>
        <v>100</v>
      </c>
    </row>
    <row r="33" spans="1:8" hidden="1">
      <c r="A33" s="2649"/>
      <c r="B33" s="2650" t="s">
        <v>202</v>
      </c>
      <c r="C33" s="2083"/>
      <c r="D33" s="2083"/>
      <c r="E33" s="2083"/>
      <c r="F33" s="2083"/>
      <c r="G33" s="2660" t="e">
        <f t="shared" si="0"/>
        <v>#DIV/0!</v>
      </c>
      <c r="H33" s="2660" t="e">
        <f t="shared" si="1"/>
        <v>#DIV/0!</v>
      </c>
    </row>
    <row r="34" spans="1:8" hidden="1">
      <c r="A34" s="2649">
        <v>6</v>
      </c>
      <c r="B34" s="2650" t="s">
        <v>203</v>
      </c>
      <c r="C34" s="2083"/>
      <c r="D34" s="2083"/>
      <c r="E34" s="2083"/>
      <c r="F34" s="2083"/>
      <c r="G34" s="2660" t="e">
        <f t="shared" si="0"/>
        <v>#DIV/0!</v>
      </c>
      <c r="H34" s="2660" t="e">
        <f t="shared" si="1"/>
        <v>#DIV/0!</v>
      </c>
    </row>
    <row r="35" spans="1:8" hidden="1">
      <c r="A35" s="2649">
        <v>7</v>
      </c>
      <c r="B35" s="2650" t="s">
        <v>204</v>
      </c>
      <c r="C35" s="2083"/>
      <c r="D35" s="2083"/>
      <c r="E35" s="2083"/>
      <c r="F35" s="2083"/>
      <c r="G35" s="2660" t="e">
        <f t="shared" si="0"/>
        <v>#DIV/0!</v>
      </c>
      <c r="H35" s="2660" t="e">
        <f t="shared" si="1"/>
        <v>#DIV/0!</v>
      </c>
    </row>
    <row r="36" spans="1:8" hidden="1">
      <c r="A36" s="2649"/>
      <c r="B36" s="2650" t="s">
        <v>205</v>
      </c>
      <c r="C36" s="2083"/>
      <c r="D36" s="2083"/>
      <c r="E36" s="2083"/>
      <c r="F36" s="2083"/>
      <c r="G36" s="2660" t="e">
        <f t="shared" si="0"/>
        <v>#DIV/0!</v>
      </c>
      <c r="H36" s="2660" t="e">
        <f t="shared" si="1"/>
        <v>#DIV/0!</v>
      </c>
    </row>
    <row r="37" spans="1:8" hidden="1">
      <c r="A37" s="2649"/>
      <c r="B37" s="2651" t="s">
        <v>206</v>
      </c>
      <c r="C37" s="2083"/>
      <c r="D37" s="2083"/>
      <c r="E37" s="2083"/>
      <c r="F37" s="2083"/>
      <c r="G37" s="2660" t="e">
        <f t="shared" si="0"/>
        <v>#DIV/0!</v>
      </c>
      <c r="H37" s="2660" t="e">
        <f t="shared" si="1"/>
        <v>#DIV/0!</v>
      </c>
    </row>
    <row r="38" spans="1:8" hidden="1">
      <c r="A38" s="2649"/>
      <c r="B38" s="2650" t="s">
        <v>207</v>
      </c>
      <c r="C38" s="2083"/>
      <c r="D38" s="2083"/>
      <c r="E38" s="2083"/>
      <c r="F38" s="2083"/>
      <c r="G38" s="2660" t="e">
        <f t="shared" si="0"/>
        <v>#DIV/0!</v>
      </c>
      <c r="H38" s="2660" t="e">
        <f t="shared" si="1"/>
        <v>#DIV/0!</v>
      </c>
    </row>
    <row r="39" spans="1:8">
      <c r="A39" s="2649">
        <v>5</v>
      </c>
      <c r="B39" s="2650" t="s">
        <v>216</v>
      </c>
      <c r="C39" s="2633">
        <v>273000</v>
      </c>
      <c r="D39" s="2633">
        <v>273000</v>
      </c>
      <c r="E39" s="2633">
        <f>'Bieu so 02'!C58</f>
        <v>335000</v>
      </c>
      <c r="F39" s="2633">
        <v>335000</v>
      </c>
      <c r="G39" s="2660">
        <f t="shared" si="0"/>
        <v>122.71062271062272</v>
      </c>
      <c r="H39" s="2660">
        <f t="shared" si="1"/>
        <v>122.71062271062272</v>
      </c>
    </row>
    <row r="40" spans="1:8">
      <c r="A40" s="2649">
        <v>6</v>
      </c>
      <c r="B40" s="2650" t="s">
        <v>217</v>
      </c>
      <c r="C40" s="2633">
        <v>250000</v>
      </c>
      <c r="D40" s="2633">
        <f>D41+D42</f>
        <v>92500</v>
      </c>
      <c r="E40" s="2633">
        <f t="shared" ref="E40:F40" si="2">E41+E42</f>
        <v>366000</v>
      </c>
      <c r="F40" s="2633">
        <f t="shared" si="2"/>
        <v>136200</v>
      </c>
      <c r="G40" s="2660">
        <f t="shared" si="0"/>
        <v>146.4</v>
      </c>
      <c r="H40" s="2660">
        <f t="shared" si="1"/>
        <v>147.24324324324326</v>
      </c>
    </row>
    <row r="41" spans="1:8">
      <c r="A41" s="2649"/>
      <c r="B41" s="2731" t="s">
        <v>140</v>
      </c>
      <c r="C41" s="2661">
        <f>C40*63%</f>
        <v>157500</v>
      </c>
      <c r="D41" s="2661"/>
      <c r="E41" s="2661">
        <f>'Bieu so 02'!C60</f>
        <v>229800</v>
      </c>
      <c r="F41" s="2661"/>
      <c r="G41" s="2660">
        <f t="shared" si="0"/>
        <v>145.9047619047619</v>
      </c>
      <c r="H41" s="2660"/>
    </row>
    <row r="42" spans="1:8">
      <c r="A42" s="2649"/>
      <c r="B42" s="2729" t="s">
        <v>141</v>
      </c>
      <c r="C42" s="2633">
        <v>92500</v>
      </c>
      <c r="D42" s="2633">
        <v>92500</v>
      </c>
      <c r="E42" s="2633">
        <f>'Bieu so 02'!C61</f>
        <v>136200</v>
      </c>
      <c r="F42" s="2633">
        <v>136200</v>
      </c>
      <c r="G42" s="2660">
        <f t="shared" si="0"/>
        <v>147.24324324324326</v>
      </c>
      <c r="H42" s="2660">
        <f t="shared" si="1"/>
        <v>147.24324324324326</v>
      </c>
    </row>
    <row r="43" spans="1:8">
      <c r="A43" s="2649">
        <v>7</v>
      </c>
      <c r="B43" s="2650" t="s">
        <v>218</v>
      </c>
      <c r="C43" s="2633">
        <v>112630</v>
      </c>
      <c r="D43" s="2633">
        <f>112630+27380</f>
        <v>140010</v>
      </c>
      <c r="E43" s="2633">
        <f>'Bieu so 02'!C62</f>
        <v>115000</v>
      </c>
      <c r="F43" s="2633">
        <v>115000</v>
      </c>
      <c r="G43" s="2660">
        <f t="shared" si="0"/>
        <v>102.10423510609962</v>
      </c>
      <c r="H43" s="2660">
        <f t="shared" si="1"/>
        <v>82.13699021498465</v>
      </c>
    </row>
    <row r="44" spans="1:8">
      <c r="A44" s="2649">
        <v>8</v>
      </c>
      <c r="B44" s="2650" t="s">
        <v>219</v>
      </c>
      <c r="C44" s="2633">
        <v>90000</v>
      </c>
      <c r="D44" s="2633">
        <f>D46+D47</f>
        <v>54000</v>
      </c>
      <c r="E44" s="2633">
        <f>E46+E47</f>
        <v>85000</v>
      </c>
      <c r="F44" s="2633">
        <f>F46+F47</f>
        <v>51000</v>
      </c>
      <c r="G44" s="2660">
        <f t="shared" si="0"/>
        <v>94.444444444444443</v>
      </c>
      <c r="H44" s="2660">
        <f t="shared" si="1"/>
        <v>94.444444444444443</v>
      </c>
    </row>
    <row r="45" spans="1:8">
      <c r="A45" s="2649"/>
      <c r="B45" s="2652" t="s">
        <v>220</v>
      </c>
      <c r="C45" s="2633"/>
      <c r="D45" s="2633"/>
      <c r="E45" s="2662">
        <f>'Bieu so 02'!C64</f>
        <v>11000</v>
      </c>
      <c r="F45" s="2662">
        <v>11000</v>
      </c>
      <c r="G45" s="2660"/>
      <c r="H45" s="2660"/>
    </row>
    <row r="46" spans="1:8">
      <c r="A46" s="2653"/>
      <c r="B46" s="2654" t="s">
        <v>145</v>
      </c>
      <c r="C46" s="2661">
        <f>C44*40%</f>
        <v>36000</v>
      </c>
      <c r="D46" s="2661"/>
      <c r="E46" s="2661">
        <f>'Bieu so 02'!C65</f>
        <v>34000</v>
      </c>
      <c r="F46" s="2661"/>
      <c r="G46" s="2660">
        <f t="shared" si="0"/>
        <v>94.444444444444443</v>
      </c>
      <c r="H46" s="2660"/>
    </row>
    <row r="47" spans="1:8">
      <c r="A47" s="2649"/>
      <c r="B47" s="2655" t="s">
        <v>146</v>
      </c>
      <c r="C47" s="2633">
        <v>54000</v>
      </c>
      <c r="D47" s="2633">
        <v>54000</v>
      </c>
      <c r="E47" s="2633">
        <f>'Bieu so 02'!C66</f>
        <v>51000</v>
      </c>
      <c r="F47" s="2633">
        <v>51000</v>
      </c>
      <c r="G47" s="2660">
        <f t="shared" si="0"/>
        <v>94.444444444444443</v>
      </c>
      <c r="H47" s="2660">
        <f t="shared" si="1"/>
        <v>94.444444444444443</v>
      </c>
    </row>
    <row r="48" spans="1:8">
      <c r="A48" s="2649">
        <v>9</v>
      </c>
      <c r="B48" s="2650" t="s">
        <v>221</v>
      </c>
      <c r="C48" s="2633"/>
      <c r="D48" s="2633"/>
      <c r="E48" s="2633"/>
      <c r="F48" s="2633"/>
      <c r="G48" s="2660"/>
      <c r="H48" s="2660"/>
    </row>
    <row r="49" spans="1:8">
      <c r="A49" s="2649">
        <v>10</v>
      </c>
      <c r="B49" s="2650" t="s">
        <v>222</v>
      </c>
      <c r="C49" s="2633">
        <v>4410</v>
      </c>
      <c r="D49" s="2633">
        <v>4410</v>
      </c>
      <c r="E49" s="2633">
        <f>'Bieu so 02'!C68</f>
        <v>5100</v>
      </c>
      <c r="F49" s="2633">
        <v>5100</v>
      </c>
      <c r="G49" s="2660">
        <f t="shared" si="0"/>
        <v>115.64625850340136</v>
      </c>
      <c r="H49" s="2660">
        <f t="shared" si="1"/>
        <v>115.64625850340136</v>
      </c>
    </row>
    <row r="50" spans="1:8">
      <c r="A50" s="2649">
        <v>11</v>
      </c>
      <c r="B50" s="2650" t="s">
        <v>223</v>
      </c>
      <c r="C50" s="2633">
        <v>23000</v>
      </c>
      <c r="D50" s="2633">
        <v>23000</v>
      </c>
      <c r="E50" s="2633">
        <f>'Bieu so 02'!C69</f>
        <v>28000</v>
      </c>
      <c r="F50" s="2633">
        <v>28000</v>
      </c>
      <c r="G50" s="2660">
        <f t="shared" si="0"/>
        <v>121.73913043478261</v>
      </c>
      <c r="H50" s="2660">
        <f t="shared" si="1"/>
        <v>121.73913043478261</v>
      </c>
    </row>
    <row r="51" spans="1:8">
      <c r="A51" s="2649">
        <v>12</v>
      </c>
      <c r="B51" s="2650" t="s">
        <v>224</v>
      </c>
      <c r="C51" s="2633">
        <v>130000</v>
      </c>
      <c r="D51" s="2633">
        <v>130000</v>
      </c>
      <c r="E51" s="2633">
        <f>'Bieu so 02'!C70</f>
        <v>140000</v>
      </c>
      <c r="F51" s="2633">
        <v>140000</v>
      </c>
      <c r="G51" s="2660">
        <f t="shared" si="0"/>
        <v>107.69230769230769</v>
      </c>
      <c r="H51" s="2660">
        <f t="shared" si="1"/>
        <v>107.69230769230769</v>
      </c>
    </row>
    <row r="52" spans="1:8">
      <c r="A52" s="2649">
        <v>13</v>
      </c>
      <c r="B52" s="2650" t="s">
        <v>225</v>
      </c>
      <c r="C52" s="2633">
        <v>1000</v>
      </c>
      <c r="D52" s="2633">
        <v>1000</v>
      </c>
      <c r="E52" s="2633">
        <f>'Bieu so 02'!C71</f>
        <v>500</v>
      </c>
      <c r="F52" s="2633">
        <v>500</v>
      </c>
      <c r="G52" s="2660">
        <f t="shared" si="0"/>
        <v>50</v>
      </c>
      <c r="H52" s="2660">
        <f t="shared" si="1"/>
        <v>50</v>
      </c>
    </row>
    <row r="53" spans="1:8">
      <c r="A53" s="2649">
        <v>14</v>
      </c>
      <c r="B53" s="2650" t="s">
        <v>226</v>
      </c>
      <c r="C53" s="2633">
        <v>900000</v>
      </c>
      <c r="D53" s="2633">
        <v>900000</v>
      </c>
      <c r="E53" s="2633">
        <f>'Bieu so 02'!C72</f>
        <v>960000</v>
      </c>
      <c r="F53" s="2633">
        <v>960000</v>
      </c>
      <c r="G53" s="2660">
        <f t="shared" si="0"/>
        <v>106.66666666666667</v>
      </c>
      <c r="H53" s="2660">
        <f t="shared" si="1"/>
        <v>106.66666666666667</v>
      </c>
    </row>
    <row r="54" spans="1:8" ht="26.4">
      <c r="A54" s="2649">
        <v>15</v>
      </c>
      <c r="B54" s="2650" t="s">
        <v>227</v>
      </c>
      <c r="C54" s="2633"/>
      <c r="D54" s="2633"/>
      <c r="E54" s="2633">
        <f>E55+E56</f>
        <v>4500</v>
      </c>
      <c r="F54" s="2633">
        <f>F55+F56</f>
        <v>4000</v>
      </c>
      <c r="G54" s="2660"/>
      <c r="H54" s="2660"/>
    </row>
    <row r="55" spans="1:8">
      <c r="A55" s="2649"/>
      <c r="B55" s="2731" t="s">
        <v>157</v>
      </c>
      <c r="C55" s="2633"/>
      <c r="D55" s="2633"/>
      <c r="E55" s="2661">
        <f>'Bieu so 02'!C74</f>
        <v>500</v>
      </c>
      <c r="F55" s="2661"/>
      <c r="G55" s="2660"/>
      <c r="H55" s="2660"/>
    </row>
    <row r="56" spans="1:8" ht="26.4">
      <c r="A56" s="2649"/>
      <c r="B56" s="2729" t="s">
        <v>158</v>
      </c>
      <c r="C56" s="2633"/>
      <c r="D56" s="2633"/>
      <c r="E56" s="2633">
        <f>'Bieu so 02'!C75</f>
        <v>4000</v>
      </c>
      <c r="F56" s="2633">
        <v>4000</v>
      </c>
      <c r="G56" s="2660"/>
      <c r="H56" s="2660"/>
    </row>
    <row r="57" spans="1:8">
      <c r="A57" s="2649">
        <v>16</v>
      </c>
      <c r="B57" s="2650" t="s">
        <v>228</v>
      </c>
      <c r="C57" s="2633"/>
      <c r="D57" s="2633"/>
      <c r="E57" s="2633"/>
      <c r="F57" s="2633"/>
      <c r="G57" s="2660"/>
      <c r="H57" s="2660"/>
    </row>
    <row r="58" spans="1:8">
      <c r="A58" s="2649">
        <v>17</v>
      </c>
      <c r="B58" s="2650" t="s">
        <v>229</v>
      </c>
      <c r="C58" s="2633">
        <v>176500</v>
      </c>
      <c r="D58" s="2633">
        <f>D59+D60+D61+D62</f>
        <v>120020</v>
      </c>
      <c r="E58" s="2633">
        <f>SUM(E59:E62)</f>
        <v>155000</v>
      </c>
      <c r="F58" s="2633">
        <f>SUM(F59:F62)</f>
        <v>104222</v>
      </c>
      <c r="G58" s="2660">
        <f t="shared" si="0"/>
        <v>87.818696883852695</v>
      </c>
      <c r="H58" s="2660">
        <f t="shared" si="1"/>
        <v>86.837193801033152</v>
      </c>
    </row>
    <row r="59" spans="1:8">
      <c r="A59" s="2649"/>
      <c r="B59" s="2730" t="s">
        <v>150</v>
      </c>
      <c r="C59" s="2633">
        <v>120020</v>
      </c>
      <c r="D59" s="2633">
        <v>120020</v>
      </c>
      <c r="E59" s="2633">
        <f>'Bieu so 02'!C78</f>
        <v>104222</v>
      </c>
      <c r="F59" s="2633">
        <v>104222</v>
      </c>
      <c r="G59" s="2660">
        <f t="shared" si="0"/>
        <v>86.837193801033152</v>
      </c>
      <c r="H59" s="2660">
        <f t="shared" si="1"/>
        <v>86.837193801033152</v>
      </c>
    </row>
    <row r="60" spans="1:8">
      <c r="A60" s="2653"/>
      <c r="B60" s="2656" t="s">
        <v>393</v>
      </c>
      <c r="C60" s="2661">
        <f>C58*24%</f>
        <v>42360</v>
      </c>
      <c r="D60" s="2661"/>
      <c r="E60" s="2661">
        <f>'Bieu so 02'!C79</f>
        <v>38500</v>
      </c>
      <c r="F60" s="2661"/>
      <c r="G60" s="2660">
        <f t="shared" si="0"/>
        <v>90.887629839471188</v>
      </c>
      <c r="H60" s="2660"/>
    </row>
    <row r="61" spans="1:8">
      <c r="A61" s="2653"/>
      <c r="B61" s="2657" t="s">
        <v>899</v>
      </c>
      <c r="C61" s="2661">
        <f>C58*5%</f>
        <v>8825</v>
      </c>
      <c r="D61" s="2661"/>
      <c r="E61" s="2661">
        <f>'Bieu so 02'!C80</f>
        <v>7500</v>
      </c>
      <c r="F61" s="2661"/>
      <c r="G61" s="2660">
        <f t="shared" si="0"/>
        <v>84.985835694050991</v>
      </c>
      <c r="H61" s="2660"/>
    </row>
    <row r="62" spans="1:8">
      <c r="A62" s="2653"/>
      <c r="B62" s="2656" t="s">
        <v>152</v>
      </c>
      <c r="C62" s="2661">
        <f>C58*3%</f>
        <v>5295</v>
      </c>
      <c r="D62" s="2661"/>
      <c r="E62" s="2661">
        <f>'Bieu so 02'!C81</f>
        <v>4778</v>
      </c>
      <c r="F62" s="2661"/>
      <c r="G62" s="2660">
        <f t="shared" si="0"/>
        <v>90.236071765816803</v>
      </c>
      <c r="H62" s="2660"/>
    </row>
    <row r="63" spans="1:8" ht="26.4">
      <c r="A63" s="2649">
        <v>18</v>
      </c>
      <c r="B63" s="2650" t="s">
        <v>231</v>
      </c>
      <c r="C63" s="2633">
        <v>4320</v>
      </c>
      <c r="D63" s="2633">
        <v>4320</v>
      </c>
      <c r="E63" s="2633">
        <f>'Bieu so 02'!C82</f>
        <v>100</v>
      </c>
      <c r="F63" s="2633">
        <v>100</v>
      </c>
      <c r="G63" s="2660">
        <f t="shared" si="0"/>
        <v>2.3148148148148149</v>
      </c>
      <c r="H63" s="2660">
        <f t="shared" si="1"/>
        <v>2.3148148148148149</v>
      </c>
    </row>
    <row r="64" spans="1:8" ht="26.4">
      <c r="A64" s="2649">
        <v>19</v>
      </c>
      <c r="B64" s="2650" t="s">
        <v>232</v>
      </c>
      <c r="C64" s="2633"/>
      <c r="D64" s="2633"/>
      <c r="E64" s="2633">
        <f>'Bieu so 02'!C83</f>
        <v>1800</v>
      </c>
      <c r="F64" s="2633">
        <v>1800</v>
      </c>
      <c r="G64" s="2660"/>
      <c r="H64" s="2660"/>
    </row>
    <row r="65" spans="1:8">
      <c r="A65" s="3233">
        <v>20</v>
      </c>
      <c r="B65" s="3234" t="s">
        <v>233</v>
      </c>
      <c r="C65" s="3235"/>
      <c r="D65" s="3235"/>
      <c r="E65" s="3235"/>
      <c r="F65" s="3235"/>
      <c r="G65" s="3236"/>
      <c r="H65" s="3236"/>
    </row>
    <row r="66" spans="1:8" s="1864" customFormat="1" ht="18" customHeight="1">
      <c r="A66" s="3240" t="s">
        <v>60</v>
      </c>
      <c r="B66" s="3241" t="s">
        <v>383</v>
      </c>
      <c r="C66" s="3191">
        <f>C67+C68</f>
        <v>5577424</v>
      </c>
      <c r="D66" s="3191">
        <f>D67+D68</f>
        <v>5577424</v>
      </c>
      <c r="E66" s="3191">
        <f>E67+E68</f>
        <v>5555726</v>
      </c>
      <c r="F66" s="3191">
        <f>F67+F68</f>
        <v>5555726</v>
      </c>
      <c r="G66" s="3232">
        <f t="shared" si="0"/>
        <v>99.610967356973404</v>
      </c>
      <c r="H66" s="3232">
        <f t="shared" si="1"/>
        <v>99.610967356973404</v>
      </c>
    </row>
    <row r="67" spans="1:8">
      <c r="A67" s="3237">
        <v>1</v>
      </c>
      <c r="B67" s="3238" t="s">
        <v>385</v>
      </c>
      <c r="C67" s="3239">
        <v>3682602</v>
      </c>
      <c r="D67" s="3239">
        <v>3682602</v>
      </c>
      <c r="E67" s="3239">
        <f>'Bieu so 02'!C86</f>
        <v>3808100</v>
      </c>
      <c r="F67" s="3239">
        <v>3808100</v>
      </c>
      <c r="G67" s="3231">
        <f t="shared" si="0"/>
        <v>103.40786215833262</v>
      </c>
      <c r="H67" s="3231">
        <f t="shared" si="1"/>
        <v>103.40786215833262</v>
      </c>
    </row>
    <row r="68" spans="1:8">
      <c r="A68" s="3242">
        <v>2</v>
      </c>
      <c r="B68" s="3243" t="s">
        <v>391</v>
      </c>
      <c r="C68" s="3235">
        <v>1894822</v>
      </c>
      <c r="D68" s="3235">
        <v>1894822</v>
      </c>
      <c r="E68" s="3235">
        <f>'Bieu so 02'!C92</f>
        <v>1747626</v>
      </c>
      <c r="F68" s="3235">
        <v>1747626</v>
      </c>
      <c r="G68" s="3236">
        <f t="shared" si="0"/>
        <v>92.231671365436952</v>
      </c>
      <c r="H68" s="3236">
        <f t="shared" si="1"/>
        <v>92.231671365436952</v>
      </c>
    </row>
    <row r="69" spans="1:8" ht="18" customHeight="1">
      <c r="A69" s="3244" t="s">
        <v>315</v>
      </c>
      <c r="B69" s="3245" t="s">
        <v>985</v>
      </c>
      <c r="C69" s="3191">
        <v>484669.1</v>
      </c>
      <c r="D69" s="3191">
        <v>484669.1</v>
      </c>
      <c r="E69" s="3191">
        <f>'Bieu so 02'!C98</f>
        <v>154000</v>
      </c>
      <c r="F69" s="3191">
        <v>154000</v>
      </c>
      <c r="G69" s="3232">
        <f t="shared" si="0"/>
        <v>31.774255878907898</v>
      </c>
      <c r="H69" s="3232">
        <f t="shared" si="1"/>
        <v>31.774255878907898</v>
      </c>
    </row>
  </sheetData>
  <mergeCells count="7">
    <mergeCell ref="A3:H3"/>
    <mergeCell ref="A4:H4"/>
    <mergeCell ref="A6:A7"/>
    <mergeCell ref="B6:B7"/>
    <mergeCell ref="C6:D6"/>
    <mergeCell ref="E6:F6"/>
    <mergeCell ref="G6:H6"/>
  </mergeCells>
  <pageMargins left="0.56999999999999995" right="0.25" top="0.32" bottom="0.37" header="0.25" footer="0.3"/>
  <pageSetup orientation="landscape" blackAndWhite="1" r:id="rId1"/>
  <headerFoot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showZeros="0" zoomScaleNormal="100" workbookViewId="0">
      <selection activeCell="F14" sqref="F14"/>
    </sheetView>
  </sheetViews>
  <sheetFormatPr defaultRowHeight="13.2"/>
  <cols>
    <col min="1" max="1" width="4.6640625" style="1841" customWidth="1"/>
    <col min="2" max="2" width="55.77734375" style="1841" customWidth="1"/>
    <col min="3" max="3" width="12.44140625" style="1841" customWidth="1"/>
    <col min="4" max="4" width="11.5546875" style="1841" customWidth="1"/>
    <col min="5" max="5" width="12.21875" style="1841" customWidth="1"/>
    <col min="6" max="256" width="8.88671875" style="1841"/>
    <col min="257" max="257" width="4.6640625" style="1841" customWidth="1"/>
    <col min="258" max="258" width="52" style="1841" customWidth="1"/>
    <col min="259" max="259" width="12.44140625" style="1841" customWidth="1"/>
    <col min="260" max="260" width="11.5546875" style="1841" customWidth="1"/>
    <col min="261" max="261" width="15.33203125" style="1841" customWidth="1"/>
    <col min="262" max="512" width="8.88671875" style="1841"/>
    <col min="513" max="513" width="4.6640625" style="1841" customWidth="1"/>
    <col min="514" max="514" width="52" style="1841" customWidth="1"/>
    <col min="515" max="515" width="12.44140625" style="1841" customWidth="1"/>
    <col min="516" max="516" width="11.5546875" style="1841" customWidth="1"/>
    <col min="517" max="517" width="15.33203125" style="1841" customWidth="1"/>
    <col min="518" max="768" width="8.88671875" style="1841"/>
    <col min="769" max="769" width="4.6640625" style="1841" customWidth="1"/>
    <col min="770" max="770" width="52" style="1841" customWidth="1"/>
    <col min="771" max="771" width="12.44140625" style="1841" customWidth="1"/>
    <col min="772" max="772" width="11.5546875" style="1841" customWidth="1"/>
    <col min="773" max="773" width="15.33203125" style="1841" customWidth="1"/>
    <col min="774" max="1024" width="8.88671875" style="1841"/>
    <col min="1025" max="1025" width="4.6640625" style="1841" customWidth="1"/>
    <col min="1026" max="1026" width="52" style="1841" customWidth="1"/>
    <col min="1027" max="1027" width="12.44140625" style="1841" customWidth="1"/>
    <col min="1028" max="1028" width="11.5546875" style="1841" customWidth="1"/>
    <col min="1029" max="1029" width="15.33203125" style="1841" customWidth="1"/>
    <col min="1030" max="1280" width="8.88671875" style="1841"/>
    <col min="1281" max="1281" width="4.6640625" style="1841" customWidth="1"/>
    <col min="1282" max="1282" width="52" style="1841" customWidth="1"/>
    <col min="1283" max="1283" width="12.44140625" style="1841" customWidth="1"/>
    <col min="1284" max="1284" width="11.5546875" style="1841" customWidth="1"/>
    <col min="1285" max="1285" width="15.33203125" style="1841" customWidth="1"/>
    <col min="1286" max="1536" width="8.88671875" style="1841"/>
    <col min="1537" max="1537" width="4.6640625" style="1841" customWidth="1"/>
    <col min="1538" max="1538" width="52" style="1841" customWidth="1"/>
    <col min="1539" max="1539" width="12.44140625" style="1841" customWidth="1"/>
    <col min="1540" max="1540" width="11.5546875" style="1841" customWidth="1"/>
    <col min="1541" max="1541" width="15.33203125" style="1841" customWidth="1"/>
    <col min="1542" max="1792" width="8.88671875" style="1841"/>
    <col min="1793" max="1793" width="4.6640625" style="1841" customWidth="1"/>
    <col min="1794" max="1794" width="52" style="1841" customWidth="1"/>
    <col min="1795" max="1795" width="12.44140625" style="1841" customWidth="1"/>
    <col min="1796" max="1796" width="11.5546875" style="1841" customWidth="1"/>
    <col min="1797" max="1797" width="15.33203125" style="1841" customWidth="1"/>
    <col min="1798" max="2048" width="8.88671875" style="1841"/>
    <col min="2049" max="2049" width="4.6640625" style="1841" customWidth="1"/>
    <col min="2050" max="2050" width="52" style="1841" customWidth="1"/>
    <col min="2051" max="2051" width="12.44140625" style="1841" customWidth="1"/>
    <col min="2052" max="2052" width="11.5546875" style="1841" customWidth="1"/>
    <col min="2053" max="2053" width="15.33203125" style="1841" customWidth="1"/>
    <col min="2054" max="2304" width="8.88671875" style="1841"/>
    <col min="2305" max="2305" width="4.6640625" style="1841" customWidth="1"/>
    <col min="2306" max="2306" width="52" style="1841" customWidth="1"/>
    <col min="2307" max="2307" width="12.44140625" style="1841" customWidth="1"/>
    <col min="2308" max="2308" width="11.5546875" style="1841" customWidth="1"/>
    <col min="2309" max="2309" width="15.33203125" style="1841" customWidth="1"/>
    <col min="2310" max="2560" width="8.88671875" style="1841"/>
    <col min="2561" max="2561" width="4.6640625" style="1841" customWidth="1"/>
    <col min="2562" max="2562" width="52" style="1841" customWidth="1"/>
    <col min="2563" max="2563" width="12.44140625" style="1841" customWidth="1"/>
    <col min="2564" max="2564" width="11.5546875" style="1841" customWidth="1"/>
    <col min="2565" max="2565" width="15.33203125" style="1841" customWidth="1"/>
    <col min="2566" max="2816" width="8.88671875" style="1841"/>
    <col min="2817" max="2817" width="4.6640625" style="1841" customWidth="1"/>
    <col min="2818" max="2818" width="52" style="1841" customWidth="1"/>
    <col min="2819" max="2819" width="12.44140625" style="1841" customWidth="1"/>
    <col min="2820" max="2820" width="11.5546875" style="1841" customWidth="1"/>
    <col min="2821" max="2821" width="15.33203125" style="1841" customWidth="1"/>
    <col min="2822" max="3072" width="8.88671875" style="1841"/>
    <col min="3073" max="3073" width="4.6640625" style="1841" customWidth="1"/>
    <col min="3074" max="3074" width="52" style="1841" customWidth="1"/>
    <col min="3075" max="3075" width="12.44140625" style="1841" customWidth="1"/>
    <col min="3076" max="3076" width="11.5546875" style="1841" customWidth="1"/>
    <col min="3077" max="3077" width="15.33203125" style="1841" customWidth="1"/>
    <col min="3078" max="3328" width="8.88671875" style="1841"/>
    <col min="3329" max="3329" width="4.6640625" style="1841" customWidth="1"/>
    <col min="3330" max="3330" width="52" style="1841" customWidth="1"/>
    <col min="3331" max="3331" width="12.44140625" style="1841" customWidth="1"/>
    <col min="3332" max="3332" width="11.5546875" style="1841" customWidth="1"/>
    <col min="3333" max="3333" width="15.33203125" style="1841" customWidth="1"/>
    <col min="3334" max="3584" width="8.88671875" style="1841"/>
    <col min="3585" max="3585" width="4.6640625" style="1841" customWidth="1"/>
    <col min="3586" max="3586" width="52" style="1841" customWidth="1"/>
    <col min="3587" max="3587" width="12.44140625" style="1841" customWidth="1"/>
    <col min="3588" max="3588" width="11.5546875" style="1841" customWidth="1"/>
    <col min="3589" max="3589" width="15.33203125" style="1841" customWidth="1"/>
    <col min="3590" max="3840" width="8.88671875" style="1841"/>
    <col min="3841" max="3841" width="4.6640625" style="1841" customWidth="1"/>
    <col min="3842" max="3842" width="52" style="1841" customWidth="1"/>
    <col min="3843" max="3843" width="12.44140625" style="1841" customWidth="1"/>
    <col min="3844" max="3844" width="11.5546875" style="1841" customWidth="1"/>
    <col min="3845" max="3845" width="15.33203125" style="1841" customWidth="1"/>
    <col min="3846" max="4096" width="8.88671875" style="1841"/>
    <col min="4097" max="4097" width="4.6640625" style="1841" customWidth="1"/>
    <col min="4098" max="4098" width="52" style="1841" customWidth="1"/>
    <col min="4099" max="4099" width="12.44140625" style="1841" customWidth="1"/>
    <col min="4100" max="4100" width="11.5546875" style="1841" customWidth="1"/>
    <col min="4101" max="4101" width="15.33203125" style="1841" customWidth="1"/>
    <col min="4102" max="4352" width="8.88671875" style="1841"/>
    <col min="4353" max="4353" width="4.6640625" style="1841" customWidth="1"/>
    <col min="4354" max="4354" width="52" style="1841" customWidth="1"/>
    <col min="4355" max="4355" width="12.44140625" style="1841" customWidth="1"/>
    <col min="4356" max="4356" width="11.5546875" style="1841" customWidth="1"/>
    <col min="4357" max="4357" width="15.33203125" style="1841" customWidth="1"/>
    <col min="4358" max="4608" width="8.88671875" style="1841"/>
    <col min="4609" max="4609" width="4.6640625" style="1841" customWidth="1"/>
    <col min="4610" max="4610" width="52" style="1841" customWidth="1"/>
    <col min="4611" max="4611" width="12.44140625" style="1841" customWidth="1"/>
    <col min="4612" max="4612" width="11.5546875" style="1841" customWidth="1"/>
    <col min="4613" max="4613" width="15.33203125" style="1841" customWidth="1"/>
    <col min="4614" max="4864" width="8.88671875" style="1841"/>
    <col min="4865" max="4865" width="4.6640625" style="1841" customWidth="1"/>
    <col min="4866" max="4866" width="52" style="1841" customWidth="1"/>
    <col min="4867" max="4867" width="12.44140625" style="1841" customWidth="1"/>
    <col min="4868" max="4868" width="11.5546875" style="1841" customWidth="1"/>
    <col min="4869" max="4869" width="15.33203125" style="1841" customWidth="1"/>
    <col min="4870" max="5120" width="8.88671875" style="1841"/>
    <col min="5121" max="5121" width="4.6640625" style="1841" customWidth="1"/>
    <col min="5122" max="5122" width="52" style="1841" customWidth="1"/>
    <col min="5123" max="5123" width="12.44140625" style="1841" customWidth="1"/>
    <col min="5124" max="5124" width="11.5546875" style="1841" customWidth="1"/>
    <col min="5125" max="5125" width="15.33203125" style="1841" customWidth="1"/>
    <col min="5126" max="5376" width="8.88671875" style="1841"/>
    <col min="5377" max="5377" width="4.6640625" style="1841" customWidth="1"/>
    <col min="5378" max="5378" width="52" style="1841" customWidth="1"/>
    <col min="5379" max="5379" width="12.44140625" style="1841" customWidth="1"/>
    <col min="5380" max="5380" width="11.5546875" style="1841" customWidth="1"/>
    <col min="5381" max="5381" width="15.33203125" style="1841" customWidth="1"/>
    <col min="5382" max="5632" width="8.88671875" style="1841"/>
    <col min="5633" max="5633" width="4.6640625" style="1841" customWidth="1"/>
    <col min="5634" max="5634" width="52" style="1841" customWidth="1"/>
    <col min="5635" max="5635" width="12.44140625" style="1841" customWidth="1"/>
    <col min="5636" max="5636" width="11.5546875" style="1841" customWidth="1"/>
    <col min="5637" max="5637" width="15.33203125" style="1841" customWidth="1"/>
    <col min="5638" max="5888" width="8.88671875" style="1841"/>
    <col min="5889" max="5889" width="4.6640625" style="1841" customWidth="1"/>
    <col min="5890" max="5890" width="52" style="1841" customWidth="1"/>
    <col min="5891" max="5891" width="12.44140625" style="1841" customWidth="1"/>
    <col min="5892" max="5892" width="11.5546875" style="1841" customWidth="1"/>
    <col min="5893" max="5893" width="15.33203125" style="1841" customWidth="1"/>
    <col min="5894" max="6144" width="8.88671875" style="1841"/>
    <col min="6145" max="6145" width="4.6640625" style="1841" customWidth="1"/>
    <col min="6146" max="6146" width="52" style="1841" customWidth="1"/>
    <col min="6147" max="6147" width="12.44140625" style="1841" customWidth="1"/>
    <col min="6148" max="6148" width="11.5546875" style="1841" customWidth="1"/>
    <col min="6149" max="6149" width="15.33203125" style="1841" customWidth="1"/>
    <col min="6150" max="6400" width="8.88671875" style="1841"/>
    <col min="6401" max="6401" width="4.6640625" style="1841" customWidth="1"/>
    <col min="6402" max="6402" width="52" style="1841" customWidth="1"/>
    <col min="6403" max="6403" width="12.44140625" style="1841" customWidth="1"/>
    <col min="6404" max="6404" width="11.5546875" style="1841" customWidth="1"/>
    <col min="6405" max="6405" width="15.33203125" style="1841" customWidth="1"/>
    <col min="6406" max="6656" width="8.88671875" style="1841"/>
    <col min="6657" max="6657" width="4.6640625" style="1841" customWidth="1"/>
    <col min="6658" max="6658" width="52" style="1841" customWidth="1"/>
    <col min="6659" max="6659" width="12.44140625" style="1841" customWidth="1"/>
    <col min="6660" max="6660" width="11.5546875" style="1841" customWidth="1"/>
    <col min="6661" max="6661" width="15.33203125" style="1841" customWidth="1"/>
    <col min="6662" max="6912" width="8.88671875" style="1841"/>
    <col min="6913" max="6913" width="4.6640625" style="1841" customWidth="1"/>
    <col min="6914" max="6914" width="52" style="1841" customWidth="1"/>
    <col min="6915" max="6915" width="12.44140625" style="1841" customWidth="1"/>
    <col min="6916" max="6916" width="11.5546875" style="1841" customWidth="1"/>
    <col min="6917" max="6917" width="15.33203125" style="1841" customWidth="1"/>
    <col min="6918" max="7168" width="8.88671875" style="1841"/>
    <col min="7169" max="7169" width="4.6640625" style="1841" customWidth="1"/>
    <col min="7170" max="7170" width="52" style="1841" customWidth="1"/>
    <col min="7171" max="7171" width="12.44140625" style="1841" customWidth="1"/>
    <col min="7172" max="7172" width="11.5546875" style="1841" customWidth="1"/>
    <col min="7173" max="7173" width="15.33203125" style="1841" customWidth="1"/>
    <col min="7174" max="7424" width="8.88671875" style="1841"/>
    <col min="7425" max="7425" width="4.6640625" style="1841" customWidth="1"/>
    <col min="7426" max="7426" width="52" style="1841" customWidth="1"/>
    <col min="7427" max="7427" width="12.44140625" style="1841" customWidth="1"/>
    <col min="7428" max="7428" width="11.5546875" style="1841" customWidth="1"/>
    <col min="7429" max="7429" width="15.33203125" style="1841" customWidth="1"/>
    <col min="7430" max="7680" width="8.88671875" style="1841"/>
    <col min="7681" max="7681" width="4.6640625" style="1841" customWidth="1"/>
    <col min="7682" max="7682" width="52" style="1841" customWidth="1"/>
    <col min="7683" max="7683" width="12.44140625" style="1841" customWidth="1"/>
    <col min="7684" max="7684" width="11.5546875" style="1841" customWidth="1"/>
    <col min="7685" max="7685" width="15.33203125" style="1841" customWidth="1"/>
    <col min="7686" max="7936" width="8.88671875" style="1841"/>
    <col min="7937" max="7937" width="4.6640625" style="1841" customWidth="1"/>
    <col min="7938" max="7938" width="52" style="1841" customWidth="1"/>
    <col min="7939" max="7939" width="12.44140625" style="1841" customWidth="1"/>
    <col min="7940" max="7940" width="11.5546875" style="1841" customWidth="1"/>
    <col min="7941" max="7941" width="15.33203125" style="1841" customWidth="1"/>
    <col min="7942" max="8192" width="8.88671875" style="1841"/>
    <col min="8193" max="8193" width="4.6640625" style="1841" customWidth="1"/>
    <col min="8194" max="8194" width="52" style="1841" customWidth="1"/>
    <col min="8195" max="8195" width="12.44140625" style="1841" customWidth="1"/>
    <col min="8196" max="8196" width="11.5546875" style="1841" customWidth="1"/>
    <col min="8197" max="8197" width="15.33203125" style="1841" customWidth="1"/>
    <col min="8198" max="8448" width="8.88671875" style="1841"/>
    <col min="8449" max="8449" width="4.6640625" style="1841" customWidth="1"/>
    <col min="8450" max="8450" width="52" style="1841" customWidth="1"/>
    <col min="8451" max="8451" width="12.44140625" style="1841" customWidth="1"/>
    <col min="8452" max="8452" width="11.5546875" style="1841" customWidth="1"/>
    <col min="8453" max="8453" width="15.33203125" style="1841" customWidth="1"/>
    <col min="8454" max="8704" width="8.88671875" style="1841"/>
    <col min="8705" max="8705" width="4.6640625" style="1841" customWidth="1"/>
    <col min="8706" max="8706" width="52" style="1841" customWidth="1"/>
    <col min="8707" max="8707" width="12.44140625" style="1841" customWidth="1"/>
    <col min="8708" max="8708" width="11.5546875" style="1841" customWidth="1"/>
    <col min="8709" max="8709" width="15.33203125" style="1841" customWidth="1"/>
    <col min="8710" max="8960" width="8.88671875" style="1841"/>
    <col min="8961" max="8961" width="4.6640625" style="1841" customWidth="1"/>
    <col min="8962" max="8962" width="52" style="1841" customWidth="1"/>
    <col min="8963" max="8963" width="12.44140625" style="1841" customWidth="1"/>
    <col min="8964" max="8964" width="11.5546875" style="1841" customWidth="1"/>
    <col min="8965" max="8965" width="15.33203125" style="1841" customWidth="1"/>
    <col min="8966" max="9216" width="8.88671875" style="1841"/>
    <col min="9217" max="9217" width="4.6640625" style="1841" customWidth="1"/>
    <col min="9218" max="9218" width="52" style="1841" customWidth="1"/>
    <col min="9219" max="9219" width="12.44140625" style="1841" customWidth="1"/>
    <col min="9220" max="9220" width="11.5546875" style="1841" customWidth="1"/>
    <col min="9221" max="9221" width="15.33203125" style="1841" customWidth="1"/>
    <col min="9222" max="9472" width="8.88671875" style="1841"/>
    <col min="9473" max="9473" width="4.6640625" style="1841" customWidth="1"/>
    <col min="9474" max="9474" width="52" style="1841" customWidth="1"/>
    <col min="9475" max="9475" width="12.44140625" style="1841" customWidth="1"/>
    <col min="9476" max="9476" width="11.5546875" style="1841" customWidth="1"/>
    <col min="9477" max="9477" width="15.33203125" style="1841" customWidth="1"/>
    <col min="9478" max="9728" width="8.88671875" style="1841"/>
    <col min="9729" max="9729" width="4.6640625" style="1841" customWidth="1"/>
    <col min="9730" max="9730" width="52" style="1841" customWidth="1"/>
    <col min="9731" max="9731" width="12.44140625" style="1841" customWidth="1"/>
    <col min="9732" max="9732" width="11.5546875" style="1841" customWidth="1"/>
    <col min="9733" max="9733" width="15.33203125" style="1841" customWidth="1"/>
    <col min="9734" max="9984" width="8.88671875" style="1841"/>
    <col min="9985" max="9985" width="4.6640625" style="1841" customWidth="1"/>
    <col min="9986" max="9986" width="52" style="1841" customWidth="1"/>
    <col min="9987" max="9987" width="12.44140625" style="1841" customWidth="1"/>
    <col min="9988" max="9988" width="11.5546875" style="1841" customWidth="1"/>
    <col min="9989" max="9989" width="15.33203125" style="1841" customWidth="1"/>
    <col min="9990" max="10240" width="8.88671875" style="1841"/>
    <col min="10241" max="10241" width="4.6640625" style="1841" customWidth="1"/>
    <col min="10242" max="10242" width="52" style="1841" customWidth="1"/>
    <col min="10243" max="10243" width="12.44140625" style="1841" customWidth="1"/>
    <col min="10244" max="10244" width="11.5546875" style="1841" customWidth="1"/>
    <col min="10245" max="10245" width="15.33203125" style="1841" customWidth="1"/>
    <col min="10246" max="10496" width="8.88671875" style="1841"/>
    <col min="10497" max="10497" width="4.6640625" style="1841" customWidth="1"/>
    <col min="10498" max="10498" width="52" style="1841" customWidth="1"/>
    <col min="10499" max="10499" width="12.44140625" style="1841" customWidth="1"/>
    <col min="10500" max="10500" width="11.5546875" style="1841" customWidth="1"/>
    <col min="10501" max="10501" width="15.33203125" style="1841" customWidth="1"/>
    <col min="10502" max="10752" width="8.88671875" style="1841"/>
    <col min="10753" max="10753" width="4.6640625" style="1841" customWidth="1"/>
    <col min="10754" max="10754" width="52" style="1841" customWidth="1"/>
    <col min="10755" max="10755" width="12.44140625" style="1841" customWidth="1"/>
    <col min="10756" max="10756" width="11.5546875" style="1841" customWidth="1"/>
    <col min="10757" max="10757" width="15.33203125" style="1841" customWidth="1"/>
    <col min="10758" max="11008" width="8.88671875" style="1841"/>
    <col min="11009" max="11009" width="4.6640625" style="1841" customWidth="1"/>
    <col min="11010" max="11010" width="52" style="1841" customWidth="1"/>
    <col min="11011" max="11011" width="12.44140625" style="1841" customWidth="1"/>
    <col min="11012" max="11012" width="11.5546875" style="1841" customWidth="1"/>
    <col min="11013" max="11013" width="15.33203125" style="1841" customWidth="1"/>
    <col min="11014" max="11264" width="8.88671875" style="1841"/>
    <col min="11265" max="11265" width="4.6640625" style="1841" customWidth="1"/>
    <col min="11266" max="11266" width="52" style="1841" customWidth="1"/>
    <col min="11267" max="11267" width="12.44140625" style="1841" customWidth="1"/>
    <col min="11268" max="11268" width="11.5546875" style="1841" customWidth="1"/>
    <col min="11269" max="11269" width="15.33203125" style="1841" customWidth="1"/>
    <col min="11270" max="11520" width="8.88671875" style="1841"/>
    <col min="11521" max="11521" width="4.6640625" style="1841" customWidth="1"/>
    <col min="11522" max="11522" width="52" style="1841" customWidth="1"/>
    <col min="11523" max="11523" width="12.44140625" style="1841" customWidth="1"/>
    <col min="11524" max="11524" width="11.5546875" style="1841" customWidth="1"/>
    <col min="11525" max="11525" width="15.33203125" style="1841" customWidth="1"/>
    <col min="11526" max="11776" width="8.88671875" style="1841"/>
    <col min="11777" max="11777" width="4.6640625" style="1841" customWidth="1"/>
    <col min="11778" max="11778" width="52" style="1841" customWidth="1"/>
    <col min="11779" max="11779" width="12.44140625" style="1841" customWidth="1"/>
    <col min="11780" max="11780" width="11.5546875" style="1841" customWidth="1"/>
    <col min="11781" max="11781" width="15.33203125" style="1841" customWidth="1"/>
    <col min="11782" max="12032" width="8.88671875" style="1841"/>
    <col min="12033" max="12033" width="4.6640625" style="1841" customWidth="1"/>
    <col min="12034" max="12034" width="52" style="1841" customWidth="1"/>
    <col min="12035" max="12035" width="12.44140625" style="1841" customWidth="1"/>
    <col min="12036" max="12036" width="11.5546875" style="1841" customWidth="1"/>
    <col min="12037" max="12037" width="15.33203125" style="1841" customWidth="1"/>
    <col min="12038" max="12288" width="8.88671875" style="1841"/>
    <col min="12289" max="12289" width="4.6640625" style="1841" customWidth="1"/>
    <col min="12290" max="12290" width="52" style="1841" customWidth="1"/>
    <col min="12291" max="12291" width="12.44140625" style="1841" customWidth="1"/>
    <col min="12292" max="12292" width="11.5546875" style="1841" customWidth="1"/>
    <col min="12293" max="12293" width="15.33203125" style="1841" customWidth="1"/>
    <col min="12294" max="12544" width="8.88671875" style="1841"/>
    <col min="12545" max="12545" width="4.6640625" style="1841" customWidth="1"/>
    <col min="12546" max="12546" width="52" style="1841" customWidth="1"/>
    <col min="12547" max="12547" width="12.44140625" style="1841" customWidth="1"/>
    <col min="12548" max="12548" width="11.5546875" style="1841" customWidth="1"/>
    <col min="12549" max="12549" width="15.33203125" style="1841" customWidth="1"/>
    <col min="12550" max="12800" width="8.88671875" style="1841"/>
    <col min="12801" max="12801" width="4.6640625" style="1841" customWidth="1"/>
    <col min="12802" max="12802" width="52" style="1841" customWidth="1"/>
    <col min="12803" max="12803" width="12.44140625" style="1841" customWidth="1"/>
    <col min="12804" max="12804" width="11.5546875" style="1841" customWidth="1"/>
    <col min="12805" max="12805" width="15.33203125" style="1841" customWidth="1"/>
    <col min="12806" max="13056" width="8.88671875" style="1841"/>
    <col min="13057" max="13057" width="4.6640625" style="1841" customWidth="1"/>
    <col min="13058" max="13058" width="52" style="1841" customWidth="1"/>
    <col min="13059" max="13059" width="12.44140625" style="1841" customWidth="1"/>
    <col min="13060" max="13060" width="11.5546875" style="1841" customWidth="1"/>
    <col min="13061" max="13061" width="15.33203125" style="1841" customWidth="1"/>
    <col min="13062" max="13312" width="8.88671875" style="1841"/>
    <col min="13313" max="13313" width="4.6640625" style="1841" customWidth="1"/>
    <col min="13314" max="13314" width="52" style="1841" customWidth="1"/>
    <col min="13315" max="13315" width="12.44140625" style="1841" customWidth="1"/>
    <col min="13316" max="13316" width="11.5546875" style="1841" customWidth="1"/>
    <col min="13317" max="13317" width="15.33203125" style="1841" customWidth="1"/>
    <col min="13318" max="13568" width="8.88671875" style="1841"/>
    <col min="13569" max="13569" width="4.6640625" style="1841" customWidth="1"/>
    <col min="13570" max="13570" width="52" style="1841" customWidth="1"/>
    <col min="13571" max="13571" width="12.44140625" style="1841" customWidth="1"/>
    <col min="13572" max="13572" width="11.5546875" style="1841" customWidth="1"/>
    <col min="13573" max="13573" width="15.33203125" style="1841" customWidth="1"/>
    <col min="13574" max="13824" width="8.88671875" style="1841"/>
    <col min="13825" max="13825" width="4.6640625" style="1841" customWidth="1"/>
    <col min="13826" max="13826" width="52" style="1841" customWidth="1"/>
    <col min="13827" max="13827" width="12.44140625" style="1841" customWidth="1"/>
    <col min="13828" max="13828" width="11.5546875" style="1841" customWidth="1"/>
    <col min="13829" max="13829" width="15.33203125" style="1841" customWidth="1"/>
    <col min="13830" max="14080" width="8.88671875" style="1841"/>
    <col min="14081" max="14081" width="4.6640625" style="1841" customWidth="1"/>
    <col min="14082" max="14082" width="52" style="1841" customWidth="1"/>
    <col min="14083" max="14083" width="12.44140625" style="1841" customWidth="1"/>
    <col min="14084" max="14084" width="11.5546875" style="1841" customWidth="1"/>
    <col min="14085" max="14085" width="15.33203125" style="1841" customWidth="1"/>
    <col min="14086" max="14336" width="8.88671875" style="1841"/>
    <col min="14337" max="14337" width="4.6640625" style="1841" customWidth="1"/>
    <col min="14338" max="14338" width="52" style="1841" customWidth="1"/>
    <col min="14339" max="14339" width="12.44140625" style="1841" customWidth="1"/>
    <col min="14340" max="14340" width="11.5546875" style="1841" customWidth="1"/>
    <col min="14341" max="14341" width="15.33203125" style="1841" customWidth="1"/>
    <col min="14342" max="14592" width="8.88671875" style="1841"/>
    <col min="14593" max="14593" width="4.6640625" style="1841" customWidth="1"/>
    <col min="14594" max="14594" width="52" style="1841" customWidth="1"/>
    <col min="14595" max="14595" width="12.44140625" style="1841" customWidth="1"/>
    <col min="14596" max="14596" width="11.5546875" style="1841" customWidth="1"/>
    <col min="14597" max="14597" width="15.33203125" style="1841" customWidth="1"/>
    <col min="14598" max="14848" width="8.88671875" style="1841"/>
    <col min="14849" max="14849" width="4.6640625" style="1841" customWidth="1"/>
    <col min="14850" max="14850" width="52" style="1841" customWidth="1"/>
    <col min="14851" max="14851" width="12.44140625" style="1841" customWidth="1"/>
    <col min="14852" max="14852" width="11.5546875" style="1841" customWidth="1"/>
    <col min="14853" max="14853" width="15.33203125" style="1841" customWidth="1"/>
    <col min="14854" max="15104" width="8.88671875" style="1841"/>
    <col min="15105" max="15105" width="4.6640625" style="1841" customWidth="1"/>
    <col min="15106" max="15106" width="52" style="1841" customWidth="1"/>
    <col min="15107" max="15107" width="12.44140625" style="1841" customWidth="1"/>
    <col min="15108" max="15108" width="11.5546875" style="1841" customWidth="1"/>
    <col min="15109" max="15109" width="15.33203125" style="1841" customWidth="1"/>
    <col min="15110" max="15360" width="8.88671875" style="1841"/>
    <col min="15361" max="15361" width="4.6640625" style="1841" customWidth="1"/>
    <col min="15362" max="15362" width="52" style="1841" customWidth="1"/>
    <col min="15363" max="15363" width="12.44140625" style="1841" customWidth="1"/>
    <col min="15364" max="15364" width="11.5546875" style="1841" customWidth="1"/>
    <col min="15365" max="15365" width="15.33203125" style="1841" customWidth="1"/>
    <col min="15366" max="15616" width="8.88671875" style="1841"/>
    <col min="15617" max="15617" width="4.6640625" style="1841" customWidth="1"/>
    <col min="15618" max="15618" width="52" style="1841" customWidth="1"/>
    <col min="15619" max="15619" width="12.44140625" style="1841" customWidth="1"/>
    <col min="15620" max="15620" width="11.5546875" style="1841" customWidth="1"/>
    <col min="15621" max="15621" width="15.33203125" style="1841" customWidth="1"/>
    <col min="15622" max="15872" width="8.88671875" style="1841"/>
    <col min="15873" max="15873" width="4.6640625" style="1841" customWidth="1"/>
    <col min="15874" max="15874" width="52" style="1841" customWidth="1"/>
    <col min="15875" max="15875" width="12.44140625" style="1841" customWidth="1"/>
    <col min="15876" max="15876" width="11.5546875" style="1841" customWidth="1"/>
    <col min="15877" max="15877" width="15.33203125" style="1841" customWidth="1"/>
    <col min="15878" max="16128" width="8.88671875" style="1841"/>
    <col min="16129" max="16129" width="4.6640625" style="1841" customWidth="1"/>
    <col min="16130" max="16130" width="52" style="1841" customWidth="1"/>
    <col min="16131" max="16131" width="12.44140625" style="1841" customWidth="1"/>
    <col min="16132" max="16132" width="11.5546875" style="1841" customWidth="1"/>
    <col min="16133" max="16133" width="15.33203125" style="1841" customWidth="1"/>
    <col min="16134" max="16384" width="8.88671875" style="1841"/>
  </cols>
  <sheetData>
    <row r="1" spans="1:7">
      <c r="A1" s="1840" t="s">
        <v>69</v>
      </c>
      <c r="D1" s="1840" t="s">
        <v>1115</v>
      </c>
    </row>
    <row r="4" spans="1:7" ht="30" customHeight="1">
      <c r="A4" s="2990" t="s">
        <v>1262</v>
      </c>
      <c r="B4" s="2988"/>
      <c r="C4" s="2988"/>
      <c r="D4" s="2988"/>
      <c r="E4" s="2988"/>
    </row>
    <row r="5" spans="1:7">
      <c r="A5" s="2986" t="s">
        <v>1055</v>
      </c>
      <c r="B5" s="2986"/>
      <c r="C5" s="2986"/>
      <c r="D5" s="2986"/>
      <c r="E5" s="2986"/>
    </row>
    <row r="6" spans="1:7">
      <c r="E6" s="1842" t="s">
        <v>1056</v>
      </c>
    </row>
    <row r="7" spans="1:7" ht="22.2" customHeight="1">
      <c r="A7" s="2989" t="s">
        <v>49</v>
      </c>
      <c r="B7" s="2989" t="s">
        <v>39</v>
      </c>
      <c r="C7" s="2989" t="s">
        <v>1116</v>
      </c>
      <c r="D7" s="2989" t="s">
        <v>1117</v>
      </c>
      <c r="E7" s="2989"/>
    </row>
    <row r="8" spans="1:7" ht="18" customHeight="1">
      <c r="A8" s="2989"/>
      <c r="B8" s="2989"/>
      <c r="C8" s="2989"/>
      <c r="D8" s="2989" t="s">
        <v>377</v>
      </c>
      <c r="E8" s="2991" t="s">
        <v>378</v>
      </c>
    </row>
    <row r="9" spans="1:7" ht="23.25" customHeight="1">
      <c r="A9" s="2989"/>
      <c r="B9" s="2989"/>
      <c r="C9" s="2989"/>
      <c r="D9" s="2989"/>
      <c r="E9" s="2992"/>
    </row>
    <row r="10" spans="1:7" ht="18" customHeight="1">
      <c r="A10" s="1844" t="s">
        <v>80</v>
      </c>
      <c r="B10" s="1844" t="s">
        <v>81</v>
      </c>
      <c r="C10" s="1844" t="s">
        <v>193</v>
      </c>
      <c r="D10" s="1844">
        <v>2</v>
      </c>
      <c r="E10" s="1844">
        <v>3</v>
      </c>
    </row>
    <row r="11" spans="1:7" ht="21" customHeight="1">
      <c r="A11" s="2643"/>
      <c r="B11" s="2644" t="s">
        <v>1439</v>
      </c>
      <c r="C11" s="2645">
        <f>D11+E11</f>
        <v>9111948.303580001</v>
      </c>
      <c r="D11" s="2645">
        <f>SUM(D12,D43,D65)</f>
        <v>4770143</v>
      </c>
      <c r="E11" s="2645">
        <f>SUM(E12,E43,E65)</f>
        <v>4341805.3035800001</v>
      </c>
    </row>
    <row r="12" spans="1:7" ht="22.2" customHeight="1">
      <c r="A12" s="3305" t="s">
        <v>80</v>
      </c>
      <c r="B12" s="3306" t="s">
        <v>1440</v>
      </c>
      <c r="C12" s="3303">
        <f>D12+E12</f>
        <v>7210322.3035800001</v>
      </c>
      <c r="D12" s="3303">
        <f>SUM(D13,D23,D39,D40,D41,D42)</f>
        <v>3366824</v>
      </c>
      <c r="E12" s="3303">
        <f>SUM(E13,E23,E39,E40,E41,E42)</f>
        <v>3843498.3035800001</v>
      </c>
      <c r="G12" s="2706"/>
    </row>
    <row r="13" spans="1:7" ht="18" customHeight="1">
      <c r="A13" s="2659" t="s">
        <v>54</v>
      </c>
      <c r="B13" s="2658" t="s">
        <v>824</v>
      </c>
      <c r="C13" s="3304">
        <f>D13+E13</f>
        <v>1713785</v>
      </c>
      <c r="D13" s="3304">
        <f>SUM(D14,D19,D20)</f>
        <v>1298690</v>
      </c>
      <c r="E13" s="3304">
        <f>SUM(E14,E19,E20)</f>
        <v>415095</v>
      </c>
    </row>
    <row r="14" spans="1:7">
      <c r="A14" s="1861">
        <v>1</v>
      </c>
      <c r="B14" s="1862" t="s">
        <v>1438</v>
      </c>
      <c r="C14" s="2638">
        <f>D14+E14</f>
        <v>627785</v>
      </c>
      <c r="D14" s="2638">
        <f>'Bieu 33-CHI TOAN TINH'!F15</f>
        <v>420710</v>
      </c>
      <c r="E14" s="2638">
        <f>'Bieu 33-CHI TOAN TINH'!G15</f>
        <v>207075</v>
      </c>
    </row>
    <row r="15" spans="1:7" hidden="1">
      <c r="A15" s="1861"/>
      <c r="B15" s="1862" t="s">
        <v>1119</v>
      </c>
      <c r="C15" s="1862"/>
      <c r="D15" s="1862"/>
      <c r="E15" s="1862"/>
    </row>
    <row r="16" spans="1:7" hidden="1">
      <c r="A16" s="1861" t="s">
        <v>1089</v>
      </c>
      <c r="B16" s="1863" t="s">
        <v>267</v>
      </c>
      <c r="C16" s="1862"/>
      <c r="D16" s="1862"/>
      <c r="E16" s="1862"/>
    </row>
    <row r="17" spans="1:5" hidden="1">
      <c r="A17" s="1861" t="s">
        <v>1089</v>
      </c>
      <c r="B17" s="1863" t="s">
        <v>268</v>
      </c>
      <c r="C17" s="1862"/>
      <c r="D17" s="1862"/>
      <c r="E17" s="1862"/>
    </row>
    <row r="18" spans="1:5" hidden="1">
      <c r="A18" s="1861"/>
      <c r="B18" s="1862" t="s">
        <v>1120</v>
      </c>
      <c r="C18" s="1862"/>
      <c r="D18" s="1862"/>
      <c r="E18" s="1862"/>
    </row>
    <row r="19" spans="1:5">
      <c r="A19" s="1861">
        <v>2</v>
      </c>
      <c r="B19" s="1863" t="s">
        <v>1121</v>
      </c>
      <c r="C19" s="2638">
        <f>D19+E19</f>
        <v>126000</v>
      </c>
      <c r="D19" s="2638">
        <f>'Bieu 33-CHI TOAN TINH'!F29</f>
        <v>78480</v>
      </c>
      <c r="E19" s="2638">
        <f>'Bieu 33-CHI TOAN TINH'!G29</f>
        <v>47520</v>
      </c>
    </row>
    <row r="20" spans="1:5">
      <c r="A20" s="1861">
        <v>3</v>
      </c>
      <c r="B20" s="1863" t="s">
        <v>285</v>
      </c>
      <c r="C20" s="2638">
        <f>D20+E20</f>
        <v>960000</v>
      </c>
      <c r="D20" s="2638">
        <f>'Bieu 33-CHI TOAN TINH'!F33</f>
        <v>799500</v>
      </c>
      <c r="E20" s="2638">
        <f>'Bieu 33-CHI TOAN TINH'!G33</f>
        <v>160500</v>
      </c>
    </row>
    <row r="21" spans="1:5" ht="52.8">
      <c r="A21" s="1861">
        <v>4</v>
      </c>
      <c r="B21" s="1862" t="s">
        <v>1122</v>
      </c>
      <c r="C21" s="2638">
        <f>D21+E21</f>
        <v>0</v>
      </c>
      <c r="D21" s="1862"/>
      <c r="E21" s="1862"/>
    </row>
    <row r="22" spans="1:5">
      <c r="A22" s="1861">
        <v>5</v>
      </c>
      <c r="B22" s="1862" t="s">
        <v>1123</v>
      </c>
      <c r="C22" s="2638">
        <f>D22+E22</f>
        <v>0</v>
      </c>
      <c r="D22" s="1862"/>
      <c r="E22" s="1862"/>
    </row>
    <row r="23" spans="1:5" ht="19.2" customHeight="1">
      <c r="A23" s="1859" t="s">
        <v>60</v>
      </c>
      <c r="B23" s="1860" t="s">
        <v>286</v>
      </c>
      <c r="C23" s="2637">
        <f>D23+E23</f>
        <v>5350237.3035800001</v>
      </c>
      <c r="D23" s="2637">
        <f>SUM(D24:D38)</f>
        <v>2009103</v>
      </c>
      <c r="E23" s="2637">
        <f>SUM(E24:E38)</f>
        <v>3341134.3035800001</v>
      </c>
    </row>
    <row r="24" spans="1:5">
      <c r="A24" s="1861">
        <v>1</v>
      </c>
      <c r="B24" s="1862" t="s">
        <v>267</v>
      </c>
      <c r="C24" s="2638">
        <f t="shared" ref="C24:C42" si="0">D24+E24</f>
        <v>2357829</v>
      </c>
      <c r="D24" s="2638">
        <f>'Bieu 33-CHI TOAN TINH'!F35</f>
        <v>473223</v>
      </c>
      <c r="E24" s="2638">
        <f>'Bieu 33-CHI TOAN TINH'!G35</f>
        <v>1884606</v>
      </c>
    </row>
    <row r="25" spans="1:5">
      <c r="A25" s="1861">
        <v>2</v>
      </c>
      <c r="B25" s="1862" t="s">
        <v>268</v>
      </c>
      <c r="C25" s="2638">
        <f t="shared" si="0"/>
        <v>31343</v>
      </c>
      <c r="D25" s="2638">
        <f>'Bieu 33-CHI TOAN TINH'!F45</f>
        <v>29491</v>
      </c>
      <c r="E25" s="2638">
        <f>'Bieu 33-CHI TOAN TINH'!G45</f>
        <v>1852</v>
      </c>
    </row>
    <row r="26" spans="1:5" ht="15.6">
      <c r="A26" s="1861">
        <v>3</v>
      </c>
      <c r="B26" s="464" t="s">
        <v>269</v>
      </c>
      <c r="C26" s="2638">
        <f t="shared" si="0"/>
        <v>57000</v>
      </c>
      <c r="D26" s="2638">
        <f>'Bieu 33-CHI TOAN TINH'!F46</f>
        <v>33028</v>
      </c>
      <c r="E26" s="2638">
        <f>'Bieu 33-CHI TOAN TINH'!G46</f>
        <v>23972</v>
      </c>
    </row>
    <row r="27" spans="1:5" ht="15.6">
      <c r="A27" s="1861">
        <v>4</v>
      </c>
      <c r="B27" s="464" t="s">
        <v>270</v>
      </c>
      <c r="C27" s="2638">
        <f t="shared" si="0"/>
        <v>32967</v>
      </c>
      <c r="D27" s="2638">
        <f>'Bieu 33-CHI TOAN TINH'!F47</f>
        <v>21143</v>
      </c>
      <c r="E27" s="2638">
        <f>'Bieu 33-CHI TOAN TINH'!G47</f>
        <v>11824</v>
      </c>
    </row>
    <row r="28" spans="1:5" ht="15.6">
      <c r="A28" s="1861">
        <v>5</v>
      </c>
      <c r="B28" s="464" t="s">
        <v>271</v>
      </c>
      <c r="C28" s="2638">
        <f t="shared" si="0"/>
        <v>590892</v>
      </c>
      <c r="D28" s="2638">
        <f>'Bieu 33-CHI TOAN TINH'!F48</f>
        <v>590892</v>
      </c>
      <c r="E28" s="1862"/>
    </row>
    <row r="29" spans="1:5" ht="15.6">
      <c r="A29" s="1861">
        <v>6</v>
      </c>
      <c r="B29" s="464" t="s">
        <v>272</v>
      </c>
      <c r="C29" s="2638">
        <f t="shared" si="0"/>
        <v>41097.30358</v>
      </c>
      <c r="D29" s="2638">
        <f>'Bieu 33-CHI TOAN TINH'!F57</f>
        <v>21704</v>
      </c>
      <c r="E29" s="2638">
        <f>'Bieu 33-CHI TOAN TINH'!G57</f>
        <v>19393.30358</v>
      </c>
    </row>
    <row r="30" spans="1:5" ht="15.6">
      <c r="A30" s="1861">
        <v>7</v>
      </c>
      <c r="B30" s="464" t="s">
        <v>274</v>
      </c>
      <c r="C30" s="2638">
        <f t="shared" si="0"/>
        <v>8640</v>
      </c>
      <c r="D30" s="2638">
        <f>'Bieu 33-CHI TOAN TINH'!F58</f>
        <v>8640</v>
      </c>
      <c r="E30" s="1862"/>
    </row>
    <row r="31" spans="1:5" ht="15.6">
      <c r="A31" s="1861">
        <v>8</v>
      </c>
      <c r="B31" s="464" t="s">
        <v>273</v>
      </c>
      <c r="C31" s="2638">
        <f t="shared" si="0"/>
        <v>18126</v>
      </c>
      <c r="D31" s="2638">
        <f>'Bieu 33-CHI TOAN TINH'!F59</f>
        <v>9412</v>
      </c>
      <c r="E31" s="2638">
        <f>'Bieu 33-CHI TOAN TINH'!G59</f>
        <v>8714</v>
      </c>
    </row>
    <row r="32" spans="1:5" ht="15.6">
      <c r="A32" s="1861">
        <v>9</v>
      </c>
      <c r="B32" s="464" t="s">
        <v>275</v>
      </c>
      <c r="C32" s="2638">
        <f t="shared" si="0"/>
        <v>63914</v>
      </c>
      <c r="D32" s="2638">
        <f>'Bieu 33-CHI TOAN TINH'!F60</f>
        <v>27550</v>
      </c>
      <c r="E32" s="1862">
        <f>'Bieu 33-CHI TOAN TINH'!G60</f>
        <v>36364</v>
      </c>
    </row>
    <row r="33" spans="1:6" ht="15.6">
      <c r="A33" s="1861">
        <v>10</v>
      </c>
      <c r="B33" s="464" t="s">
        <v>276</v>
      </c>
      <c r="C33" s="2638">
        <f t="shared" si="0"/>
        <v>597889</v>
      </c>
      <c r="D33" s="2638">
        <f>'Bieu 33-CHI TOAN TINH'!F61</f>
        <v>306034</v>
      </c>
      <c r="E33" s="2638">
        <f>'Bieu 33-CHI TOAN TINH'!G61</f>
        <v>291855</v>
      </c>
    </row>
    <row r="34" spans="1:6" ht="15.6">
      <c r="A34" s="1861">
        <v>11</v>
      </c>
      <c r="B34" s="464" t="s">
        <v>278</v>
      </c>
      <c r="C34" s="2638">
        <f t="shared" si="0"/>
        <v>216272</v>
      </c>
      <c r="D34" s="2638">
        <f>'Bieu 33-CHI TOAN TINH'!F70</f>
        <v>34917</v>
      </c>
      <c r="E34" s="2638">
        <f>'Bieu 33-CHI TOAN TINH'!G70</f>
        <v>181355</v>
      </c>
    </row>
    <row r="35" spans="1:6" ht="31.2">
      <c r="A35" s="1861">
        <v>12</v>
      </c>
      <c r="B35" s="464" t="s">
        <v>277</v>
      </c>
      <c r="C35" s="2638">
        <f t="shared" si="0"/>
        <v>1159859</v>
      </c>
      <c r="D35" s="2638">
        <f>'Bieu 33-CHI TOAN TINH'!F76</f>
        <v>304084</v>
      </c>
      <c r="E35" s="2638">
        <f>'Bieu 33-CHI TOAN TINH'!G76</f>
        <v>855775</v>
      </c>
    </row>
    <row r="36" spans="1:6" ht="15.6">
      <c r="A36" s="1861">
        <v>13</v>
      </c>
      <c r="B36" s="464" t="s">
        <v>720</v>
      </c>
      <c r="C36" s="2638">
        <f t="shared" si="0"/>
        <v>73631</v>
      </c>
      <c r="D36" s="2638">
        <f>'Bieu 33-CHI TOAN TINH'!F77</f>
        <v>48207</v>
      </c>
      <c r="E36" s="2638">
        <f>'Bieu 33-CHI TOAN TINH'!G77</f>
        <v>25424</v>
      </c>
    </row>
    <row r="37" spans="1:6" ht="15.6">
      <c r="A37" s="1861">
        <v>14</v>
      </c>
      <c r="B37" s="487" t="s">
        <v>1434</v>
      </c>
      <c r="C37" s="2638">
        <f t="shared" si="0"/>
        <v>30630</v>
      </c>
      <c r="D37" s="2638">
        <f>'Bieu 33-CHI TOAN TINH'!F81</f>
        <v>30630</v>
      </c>
      <c r="E37" s="1862"/>
    </row>
    <row r="38" spans="1:6" ht="15.6">
      <c r="A38" s="1861">
        <v>15</v>
      </c>
      <c r="B38" s="487" t="s">
        <v>1219</v>
      </c>
      <c r="C38" s="2638">
        <f t="shared" si="0"/>
        <v>70148</v>
      </c>
      <c r="D38" s="2638">
        <f>'Bieu 33-CHI TOAN TINH'!F83</f>
        <v>70148</v>
      </c>
      <c r="E38" s="1862"/>
    </row>
    <row r="39" spans="1:6" ht="18" customHeight="1">
      <c r="A39" s="1859" t="s">
        <v>315</v>
      </c>
      <c r="B39" s="1860" t="s">
        <v>1071</v>
      </c>
      <c r="C39" s="2637">
        <f t="shared" si="0"/>
        <v>0</v>
      </c>
      <c r="D39" s="2637">
        <f>'Bieu 33-CHI TOAN TINH'!F84</f>
        <v>0</v>
      </c>
      <c r="E39" s="1860"/>
    </row>
    <row r="40" spans="1:6" ht="16.8" customHeight="1">
      <c r="A40" s="1859" t="s">
        <v>317</v>
      </c>
      <c r="B40" s="1860" t="s">
        <v>1072</v>
      </c>
      <c r="C40" s="2637">
        <f t="shared" si="0"/>
        <v>1000</v>
      </c>
      <c r="D40" s="2637">
        <f>'Bieu 33-CHI TOAN TINH'!F85</f>
        <v>1000</v>
      </c>
      <c r="E40" s="1860"/>
    </row>
    <row r="41" spans="1:6" ht="16.2" customHeight="1">
      <c r="A41" s="1859" t="s">
        <v>319</v>
      </c>
      <c r="B41" s="1860" t="s">
        <v>1124</v>
      </c>
      <c r="C41" s="2637">
        <f t="shared" si="0"/>
        <v>145300</v>
      </c>
      <c r="D41" s="2637">
        <f>'Bieu 33-CHI TOAN TINH'!F86</f>
        <v>58031</v>
      </c>
      <c r="E41" s="1860">
        <f>'Bieu 33-CHI TOAN TINH'!G86</f>
        <v>87269</v>
      </c>
    </row>
    <row r="42" spans="1:6" ht="17.399999999999999" customHeight="1">
      <c r="A42" s="3293" t="s">
        <v>321</v>
      </c>
      <c r="B42" s="3294" t="s">
        <v>322</v>
      </c>
      <c r="C42" s="3295">
        <f t="shared" si="0"/>
        <v>0</v>
      </c>
      <c r="D42" s="3296"/>
      <c r="E42" s="3296"/>
    </row>
    <row r="43" spans="1:6" ht="19.2" customHeight="1">
      <c r="A43" s="3301" t="s">
        <v>81</v>
      </c>
      <c r="B43" s="3302" t="s">
        <v>323</v>
      </c>
      <c r="C43" s="3303">
        <f>D43+E43</f>
        <v>1747626</v>
      </c>
      <c r="D43" s="3303">
        <f>SUM(D44,D51)</f>
        <v>1286119</v>
      </c>
      <c r="E43" s="3303">
        <f>SUM(E44,E51)</f>
        <v>461507</v>
      </c>
    </row>
    <row r="44" spans="1:6" ht="19.2" customHeight="1">
      <c r="A44" s="3297" t="s">
        <v>54</v>
      </c>
      <c r="B44" s="3298" t="s">
        <v>324</v>
      </c>
      <c r="C44" s="3299">
        <f>D44+E44</f>
        <v>322200</v>
      </c>
      <c r="D44" s="3300">
        <f>SUM(D45,D48)</f>
        <v>13341</v>
      </c>
      <c r="E44" s="3300">
        <f>SUM(E45,E48)</f>
        <v>308859</v>
      </c>
    </row>
    <row r="45" spans="1:6">
      <c r="A45" s="2626">
        <v>1</v>
      </c>
      <c r="B45" s="2622" t="s">
        <v>325</v>
      </c>
      <c r="C45" s="2620">
        <f t="shared" ref="C45:C65" si="1">D45+E45</f>
        <v>250697</v>
      </c>
      <c r="D45" s="1860">
        <f>D46+D47</f>
        <v>0</v>
      </c>
      <c r="E45" s="2637">
        <f>E46+E47</f>
        <v>250697</v>
      </c>
      <c r="F45" s="1864"/>
    </row>
    <row r="46" spans="1:6">
      <c r="A46" s="2627"/>
      <c r="B46" s="2623" t="s">
        <v>326</v>
      </c>
      <c r="C46" s="2085">
        <f t="shared" si="1"/>
        <v>99697</v>
      </c>
      <c r="D46" s="1862">
        <f>'Bieu 33-CHI TOAN TINH'!F91</f>
        <v>0</v>
      </c>
      <c r="E46" s="2638">
        <f>'Bieu 33-CHI TOAN TINH'!G91</f>
        <v>99697</v>
      </c>
    </row>
    <row r="47" spans="1:6">
      <c r="A47" s="2627"/>
      <c r="B47" s="2623" t="s">
        <v>327</v>
      </c>
      <c r="C47" s="2085">
        <f t="shared" si="1"/>
        <v>151000</v>
      </c>
      <c r="D47" s="1862">
        <f>'Bieu 33-CHI TOAN TINH'!F92</f>
        <v>0</v>
      </c>
      <c r="E47" s="2638">
        <f>'Bieu 33-CHI TOAN TINH'!G92</f>
        <v>151000</v>
      </c>
    </row>
    <row r="48" spans="1:6">
      <c r="A48" s="2626">
        <v>2</v>
      </c>
      <c r="B48" s="2622" t="s">
        <v>328</v>
      </c>
      <c r="C48" s="2620">
        <f t="shared" si="1"/>
        <v>71503</v>
      </c>
      <c r="D48" s="2637">
        <f>D49+D50</f>
        <v>13341</v>
      </c>
      <c r="E48" s="2637">
        <f>E49+E50</f>
        <v>58162</v>
      </c>
    </row>
    <row r="49" spans="1:5">
      <c r="A49" s="2627"/>
      <c r="B49" s="2623" t="s">
        <v>326</v>
      </c>
      <c r="C49" s="2085">
        <f t="shared" si="1"/>
        <v>27703</v>
      </c>
      <c r="D49" s="3312">
        <f>'Bieu 33-CHI TOAN TINH'!F94</f>
        <v>4788</v>
      </c>
      <c r="E49" s="3313">
        <f>'Bieu 33-CHI TOAN TINH'!G94</f>
        <v>22915</v>
      </c>
    </row>
    <row r="50" spans="1:5">
      <c r="A50" s="2628"/>
      <c r="B50" s="2623" t="s">
        <v>327</v>
      </c>
      <c r="C50" s="2085">
        <f t="shared" si="1"/>
        <v>43800</v>
      </c>
      <c r="D50" s="3312">
        <f>'Bieu 33-CHI TOAN TINH'!F95</f>
        <v>8553</v>
      </c>
      <c r="E50" s="3313">
        <f>'Bieu 33-CHI TOAN TINH'!G95</f>
        <v>35247</v>
      </c>
    </row>
    <row r="51" spans="1:5" ht="22.8" customHeight="1">
      <c r="A51" s="2640" t="s">
        <v>60</v>
      </c>
      <c r="B51" s="2641" t="s">
        <v>1074</v>
      </c>
      <c r="C51" s="2642">
        <f t="shared" si="1"/>
        <v>1425426</v>
      </c>
      <c r="D51" s="3314">
        <f>SUM(D52,D60)</f>
        <v>1272778</v>
      </c>
      <c r="E51" s="3314">
        <f>SUM(E52,E60)</f>
        <v>152648</v>
      </c>
    </row>
    <row r="52" spans="1:5">
      <c r="A52" s="2626">
        <v>1</v>
      </c>
      <c r="B52" s="2622" t="s">
        <v>325</v>
      </c>
      <c r="C52" s="2620">
        <f t="shared" si="1"/>
        <v>975461</v>
      </c>
      <c r="D52" s="3315">
        <f>SUM(D53,D56,D59)</f>
        <v>975461</v>
      </c>
      <c r="E52" s="3315">
        <f>SUM(E53,E56,E59)</f>
        <v>0</v>
      </c>
    </row>
    <row r="53" spans="1:5">
      <c r="A53" s="2626" t="s">
        <v>200</v>
      </c>
      <c r="B53" s="2622" t="s">
        <v>330</v>
      </c>
      <c r="C53" s="2620">
        <f t="shared" si="1"/>
        <v>405250</v>
      </c>
      <c r="D53" s="3315">
        <f>D54+D55</f>
        <v>405250</v>
      </c>
      <c r="E53" s="3315">
        <f>E54+E55</f>
        <v>0</v>
      </c>
    </row>
    <row r="54" spans="1:5">
      <c r="A54" s="2627"/>
      <c r="B54" s="2629" t="s">
        <v>331</v>
      </c>
      <c r="C54" s="2085">
        <f t="shared" si="1"/>
        <v>405250</v>
      </c>
      <c r="D54" s="3313">
        <f>'Bieu 33-CHI TOAN TINH'!F99</f>
        <v>405250</v>
      </c>
      <c r="E54" s="3313">
        <f>'Bieu 33-CHI TOAN TINH'!G99</f>
        <v>0</v>
      </c>
    </row>
    <row r="55" spans="1:5">
      <c r="A55" s="2627"/>
      <c r="B55" s="2629" t="s">
        <v>332</v>
      </c>
      <c r="C55" s="2085">
        <f t="shared" si="1"/>
        <v>0</v>
      </c>
      <c r="D55" s="3312"/>
      <c r="E55" s="3312"/>
    </row>
    <row r="56" spans="1:5">
      <c r="A56" s="2626" t="s">
        <v>208</v>
      </c>
      <c r="B56" s="2622" t="s">
        <v>333</v>
      </c>
      <c r="C56" s="2620">
        <f t="shared" si="1"/>
        <v>270211</v>
      </c>
      <c r="D56" s="3315">
        <f>'Bieu 33-CHI TOAN TINH'!F102</f>
        <v>270211</v>
      </c>
      <c r="E56" s="3316"/>
    </row>
    <row r="57" spans="1:5">
      <c r="A57" s="2627"/>
      <c r="B57" s="2630" t="s">
        <v>290</v>
      </c>
      <c r="C57" s="2085">
        <f t="shared" si="1"/>
        <v>0</v>
      </c>
      <c r="D57" s="3312"/>
      <c r="E57" s="3312"/>
    </row>
    <row r="58" spans="1:5">
      <c r="A58" s="2627"/>
      <c r="B58" s="2631" t="s">
        <v>334</v>
      </c>
      <c r="C58" s="2085">
        <f t="shared" si="1"/>
        <v>120444</v>
      </c>
      <c r="D58" s="3313">
        <f>'Bieu 33-CHI TOAN TINH'!F104</f>
        <v>120444</v>
      </c>
      <c r="E58" s="3312"/>
    </row>
    <row r="59" spans="1:5" ht="17.399999999999999" customHeight="1">
      <c r="A59" s="2626" t="s">
        <v>335</v>
      </c>
      <c r="B59" s="2632" t="s">
        <v>336</v>
      </c>
      <c r="C59" s="2620">
        <f t="shared" si="1"/>
        <v>300000</v>
      </c>
      <c r="D59" s="3315">
        <f>'Bieu 33-CHI TOAN TINH'!F105</f>
        <v>300000</v>
      </c>
      <c r="E59" s="3316"/>
    </row>
    <row r="60" spans="1:5">
      <c r="A60" s="2626">
        <v>2</v>
      </c>
      <c r="B60" s="2622" t="s">
        <v>328</v>
      </c>
      <c r="C60" s="2620">
        <f t="shared" si="1"/>
        <v>449965</v>
      </c>
      <c r="D60" s="3315">
        <f>D61+D62</f>
        <v>297317</v>
      </c>
      <c r="E60" s="3315">
        <f>E61+E62</f>
        <v>152648</v>
      </c>
    </row>
    <row r="61" spans="1:5" s="2635" customFormat="1">
      <c r="A61" s="2627" t="s">
        <v>351</v>
      </c>
      <c r="B61" s="2236" t="s">
        <v>330</v>
      </c>
      <c r="C61" s="2085">
        <f t="shared" si="1"/>
        <v>333145</v>
      </c>
      <c r="D61" s="3317">
        <f>'Bieu 33-CHI TOAN TINH'!F107</f>
        <v>187232</v>
      </c>
      <c r="E61" s="3317">
        <f>'Bieu 33-CHI TOAN TINH'!G107</f>
        <v>145913</v>
      </c>
    </row>
    <row r="62" spans="1:5" s="2635" customFormat="1">
      <c r="A62" s="2627" t="s">
        <v>357</v>
      </c>
      <c r="B62" s="2236" t="s">
        <v>1178</v>
      </c>
      <c r="C62" s="2085">
        <f t="shared" si="1"/>
        <v>116820</v>
      </c>
      <c r="D62" s="3317">
        <f>D63+D64</f>
        <v>110085</v>
      </c>
      <c r="E62" s="3317">
        <f>E63+E64</f>
        <v>6735</v>
      </c>
    </row>
    <row r="63" spans="1:5" ht="15.6">
      <c r="A63" s="2626"/>
      <c r="B63" s="487" t="s">
        <v>353</v>
      </c>
      <c r="C63" s="2085">
        <f t="shared" si="1"/>
        <v>50000</v>
      </c>
      <c r="D63" s="3313">
        <f>'Bieu 33-CHI TOAN TINH'!F138</f>
        <v>44279</v>
      </c>
      <c r="E63" s="3317">
        <f>'Bieu 33-CHI TOAN TINH'!G138</f>
        <v>5721</v>
      </c>
    </row>
    <row r="64" spans="1:5" ht="15.6">
      <c r="A64" s="3307"/>
      <c r="B64" s="1597" t="s">
        <v>361</v>
      </c>
      <c r="C64" s="3308">
        <f t="shared" si="1"/>
        <v>66820</v>
      </c>
      <c r="D64" s="3318">
        <f>'Bieu 33-CHI TOAN TINH'!F139</f>
        <v>65806</v>
      </c>
      <c r="E64" s="3319">
        <f>'Bieu 33-CHI TOAN TINH'!G139</f>
        <v>1014</v>
      </c>
    </row>
    <row r="65" spans="1:5" ht="24" customHeight="1">
      <c r="A65" s="3309" t="s">
        <v>362</v>
      </c>
      <c r="B65" s="3310" t="s">
        <v>1223</v>
      </c>
      <c r="C65" s="3311">
        <f t="shared" si="1"/>
        <v>154000</v>
      </c>
      <c r="D65" s="3214">
        <f>'Bieu 33-CHI TOAN TINH'!F140</f>
        <v>117200</v>
      </c>
      <c r="E65" s="3214">
        <f>'Bieu 33-CHI TOAN TINH'!G140</f>
        <v>36800</v>
      </c>
    </row>
  </sheetData>
  <mergeCells count="8">
    <mergeCell ref="A4:E4"/>
    <mergeCell ref="A5:E5"/>
    <mergeCell ref="A7:A9"/>
    <mergeCell ref="B7:B9"/>
    <mergeCell ref="C7:C9"/>
    <mergeCell ref="D7:E7"/>
    <mergeCell ref="D8:D9"/>
    <mergeCell ref="E8:E9"/>
  </mergeCells>
  <pageMargins left="0.38" right="0.22" top="0.34" bottom="0.4" header="0.3" footer="0.3"/>
  <pageSetup orientation="portrait"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topLeftCell="A2" workbookViewId="0">
      <selection activeCell="B50" sqref="B50"/>
    </sheetView>
  </sheetViews>
  <sheetFormatPr defaultRowHeight="13.2"/>
  <cols>
    <col min="1" max="1" width="6.44140625" style="1841" customWidth="1"/>
    <col min="2" max="2" width="65.109375" style="1841" customWidth="1"/>
    <col min="3" max="3" width="19.88671875" style="1841" customWidth="1"/>
    <col min="4" max="4" width="14.5546875" style="1841" customWidth="1"/>
    <col min="5" max="5" width="11.109375" style="1841" bestFit="1" customWidth="1"/>
    <col min="6" max="256" width="8.88671875" style="1841"/>
    <col min="257" max="257" width="6.44140625" style="1841" customWidth="1"/>
    <col min="258" max="258" width="65.109375" style="1841" customWidth="1"/>
    <col min="259" max="259" width="19.88671875" style="1841" customWidth="1"/>
    <col min="260" max="512" width="8.88671875" style="1841"/>
    <col min="513" max="513" width="6.44140625" style="1841" customWidth="1"/>
    <col min="514" max="514" width="65.109375" style="1841" customWidth="1"/>
    <col min="515" max="515" width="19.88671875" style="1841" customWidth="1"/>
    <col min="516" max="768" width="8.88671875" style="1841"/>
    <col min="769" max="769" width="6.44140625" style="1841" customWidth="1"/>
    <col min="770" max="770" width="65.109375" style="1841" customWidth="1"/>
    <col min="771" max="771" width="19.88671875" style="1841" customWidth="1"/>
    <col min="772" max="1024" width="8.88671875" style="1841"/>
    <col min="1025" max="1025" width="6.44140625" style="1841" customWidth="1"/>
    <col min="1026" max="1026" width="65.109375" style="1841" customWidth="1"/>
    <col min="1027" max="1027" width="19.88671875" style="1841" customWidth="1"/>
    <col min="1028" max="1280" width="8.88671875" style="1841"/>
    <col min="1281" max="1281" width="6.44140625" style="1841" customWidth="1"/>
    <col min="1282" max="1282" width="65.109375" style="1841" customWidth="1"/>
    <col min="1283" max="1283" width="19.88671875" style="1841" customWidth="1"/>
    <col min="1284" max="1536" width="8.88671875" style="1841"/>
    <col min="1537" max="1537" width="6.44140625" style="1841" customWidth="1"/>
    <col min="1538" max="1538" width="65.109375" style="1841" customWidth="1"/>
    <col min="1539" max="1539" width="19.88671875" style="1841" customWidth="1"/>
    <col min="1540" max="1792" width="8.88671875" style="1841"/>
    <col min="1793" max="1793" width="6.44140625" style="1841" customWidth="1"/>
    <col min="1794" max="1794" width="65.109375" style="1841" customWidth="1"/>
    <col min="1795" max="1795" width="19.88671875" style="1841" customWidth="1"/>
    <col min="1796" max="2048" width="8.88671875" style="1841"/>
    <col min="2049" max="2049" width="6.44140625" style="1841" customWidth="1"/>
    <col min="2050" max="2050" width="65.109375" style="1841" customWidth="1"/>
    <col min="2051" max="2051" width="19.88671875" style="1841" customWidth="1"/>
    <col min="2052" max="2304" width="8.88671875" style="1841"/>
    <col min="2305" max="2305" width="6.44140625" style="1841" customWidth="1"/>
    <col min="2306" max="2306" width="65.109375" style="1841" customWidth="1"/>
    <col min="2307" max="2307" width="19.88671875" style="1841" customWidth="1"/>
    <col min="2308" max="2560" width="8.88671875" style="1841"/>
    <col min="2561" max="2561" width="6.44140625" style="1841" customWidth="1"/>
    <col min="2562" max="2562" width="65.109375" style="1841" customWidth="1"/>
    <col min="2563" max="2563" width="19.88671875" style="1841" customWidth="1"/>
    <col min="2564" max="2816" width="8.88671875" style="1841"/>
    <col min="2817" max="2817" width="6.44140625" style="1841" customWidth="1"/>
    <col min="2818" max="2818" width="65.109375" style="1841" customWidth="1"/>
    <col min="2819" max="2819" width="19.88671875" style="1841" customWidth="1"/>
    <col min="2820" max="3072" width="8.88671875" style="1841"/>
    <col min="3073" max="3073" width="6.44140625" style="1841" customWidth="1"/>
    <col min="3074" max="3074" width="65.109375" style="1841" customWidth="1"/>
    <col min="3075" max="3075" width="19.88671875" style="1841" customWidth="1"/>
    <col min="3076" max="3328" width="8.88671875" style="1841"/>
    <col min="3329" max="3329" width="6.44140625" style="1841" customWidth="1"/>
    <col min="3330" max="3330" width="65.109375" style="1841" customWidth="1"/>
    <col min="3331" max="3331" width="19.88671875" style="1841" customWidth="1"/>
    <col min="3332" max="3584" width="8.88671875" style="1841"/>
    <col min="3585" max="3585" width="6.44140625" style="1841" customWidth="1"/>
    <col min="3586" max="3586" width="65.109375" style="1841" customWidth="1"/>
    <col min="3587" max="3587" width="19.88671875" style="1841" customWidth="1"/>
    <col min="3588" max="3840" width="8.88671875" style="1841"/>
    <col min="3841" max="3841" width="6.44140625" style="1841" customWidth="1"/>
    <col min="3842" max="3842" width="65.109375" style="1841" customWidth="1"/>
    <col min="3843" max="3843" width="19.88671875" style="1841" customWidth="1"/>
    <col min="3844" max="4096" width="8.88671875" style="1841"/>
    <col min="4097" max="4097" width="6.44140625" style="1841" customWidth="1"/>
    <col min="4098" max="4098" width="65.109375" style="1841" customWidth="1"/>
    <col min="4099" max="4099" width="19.88671875" style="1841" customWidth="1"/>
    <col min="4100" max="4352" width="8.88671875" style="1841"/>
    <col min="4353" max="4353" width="6.44140625" style="1841" customWidth="1"/>
    <col min="4354" max="4354" width="65.109375" style="1841" customWidth="1"/>
    <col min="4355" max="4355" width="19.88671875" style="1841" customWidth="1"/>
    <col min="4356" max="4608" width="8.88671875" style="1841"/>
    <col min="4609" max="4609" width="6.44140625" style="1841" customWidth="1"/>
    <col min="4610" max="4610" width="65.109375" style="1841" customWidth="1"/>
    <col min="4611" max="4611" width="19.88671875" style="1841" customWidth="1"/>
    <col min="4612" max="4864" width="8.88671875" style="1841"/>
    <col min="4865" max="4865" width="6.44140625" style="1841" customWidth="1"/>
    <col min="4866" max="4866" width="65.109375" style="1841" customWidth="1"/>
    <col min="4867" max="4867" width="19.88671875" style="1841" customWidth="1"/>
    <col min="4868" max="5120" width="8.88671875" style="1841"/>
    <col min="5121" max="5121" width="6.44140625" style="1841" customWidth="1"/>
    <col min="5122" max="5122" width="65.109375" style="1841" customWidth="1"/>
    <col min="5123" max="5123" width="19.88671875" style="1841" customWidth="1"/>
    <col min="5124" max="5376" width="8.88671875" style="1841"/>
    <col min="5377" max="5377" width="6.44140625" style="1841" customWidth="1"/>
    <col min="5378" max="5378" width="65.109375" style="1841" customWidth="1"/>
    <col min="5379" max="5379" width="19.88671875" style="1841" customWidth="1"/>
    <col min="5380" max="5632" width="8.88671875" style="1841"/>
    <col min="5633" max="5633" width="6.44140625" style="1841" customWidth="1"/>
    <col min="5634" max="5634" width="65.109375" style="1841" customWidth="1"/>
    <col min="5635" max="5635" width="19.88671875" style="1841" customWidth="1"/>
    <col min="5636" max="5888" width="8.88671875" style="1841"/>
    <col min="5889" max="5889" width="6.44140625" style="1841" customWidth="1"/>
    <col min="5890" max="5890" width="65.109375" style="1841" customWidth="1"/>
    <col min="5891" max="5891" width="19.88671875" style="1841" customWidth="1"/>
    <col min="5892" max="6144" width="8.88671875" style="1841"/>
    <col min="6145" max="6145" width="6.44140625" style="1841" customWidth="1"/>
    <col min="6146" max="6146" width="65.109375" style="1841" customWidth="1"/>
    <col min="6147" max="6147" width="19.88671875" style="1841" customWidth="1"/>
    <col min="6148" max="6400" width="8.88671875" style="1841"/>
    <col min="6401" max="6401" width="6.44140625" style="1841" customWidth="1"/>
    <col min="6402" max="6402" width="65.109375" style="1841" customWidth="1"/>
    <col min="6403" max="6403" width="19.88671875" style="1841" customWidth="1"/>
    <col min="6404" max="6656" width="8.88671875" style="1841"/>
    <col min="6657" max="6657" width="6.44140625" style="1841" customWidth="1"/>
    <col min="6658" max="6658" width="65.109375" style="1841" customWidth="1"/>
    <col min="6659" max="6659" width="19.88671875" style="1841" customWidth="1"/>
    <col min="6660" max="6912" width="8.88671875" style="1841"/>
    <col min="6913" max="6913" width="6.44140625" style="1841" customWidth="1"/>
    <col min="6914" max="6914" width="65.109375" style="1841" customWidth="1"/>
    <col min="6915" max="6915" width="19.88671875" style="1841" customWidth="1"/>
    <col min="6916" max="7168" width="8.88671875" style="1841"/>
    <col min="7169" max="7169" width="6.44140625" style="1841" customWidth="1"/>
    <col min="7170" max="7170" width="65.109375" style="1841" customWidth="1"/>
    <col min="7171" max="7171" width="19.88671875" style="1841" customWidth="1"/>
    <col min="7172" max="7424" width="8.88671875" style="1841"/>
    <col min="7425" max="7425" width="6.44140625" style="1841" customWidth="1"/>
    <col min="7426" max="7426" width="65.109375" style="1841" customWidth="1"/>
    <col min="7427" max="7427" width="19.88671875" style="1841" customWidth="1"/>
    <col min="7428" max="7680" width="8.88671875" style="1841"/>
    <col min="7681" max="7681" width="6.44140625" style="1841" customWidth="1"/>
    <col min="7682" max="7682" width="65.109375" style="1841" customWidth="1"/>
    <col min="7683" max="7683" width="19.88671875" style="1841" customWidth="1"/>
    <col min="7684" max="7936" width="8.88671875" style="1841"/>
    <col min="7937" max="7937" width="6.44140625" style="1841" customWidth="1"/>
    <col min="7938" max="7938" width="65.109375" style="1841" customWidth="1"/>
    <col min="7939" max="7939" width="19.88671875" style="1841" customWidth="1"/>
    <col min="7940" max="8192" width="8.88671875" style="1841"/>
    <col min="8193" max="8193" width="6.44140625" style="1841" customWidth="1"/>
    <col min="8194" max="8194" width="65.109375" style="1841" customWidth="1"/>
    <col min="8195" max="8195" width="19.88671875" style="1841" customWidth="1"/>
    <col min="8196" max="8448" width="8.88671875" style="1841"/>
    <col min="8449" max="8449" width="6.44140625" style="1841" customWidth="1"/>
    <col min="8450" max="8450" width="65.109375" style="1841" customWidth="1"/>
    <col min="8451" max="8451" width="19.88671875" style="1841" customWidth="1"/>
    <col min="8452" max="8704" width="8.88671875" style="1841"/>
    <col min="8705" max="8705" width="6.44140625" style="1841" customWidth="1"/>
    <col min="8706" max="8706" width="65.109375" style="1841" customWidth="1"/>
    <col min="8707" max="8707" width="19.88671875" style="1841" customWidth="1"/>
    <col min="8708" max="8960" width="8.88671875" style="1841"/>
    <col min="8961" max="8961" width="6.44140625" style="1841" customWidth="1"/>
    <col min="8962" max="8962" width="65.109375" style="1841" customWidth="1"/>
    <col min="8963" max="8963" width="19.88671875" style="1841" customWidth="1"/>
    <col min="8964" max="9216" width="8.88671875" style="1841"/>
    <col min="9217" max="9217" width="6.44140625" style="1841" customWidth="1"/>
    <col min="9218" max="9218" width="65.109375" style="1841" customWidth="1"/>
    <col min="9219" max="9219" width="19.88671875" style="1841" customWidth="1"/>
    <col min="9220" max="9472" width="8.88671875" style="1841"/>
    <col min="9473" max="9473" width="6.44140625" style="1841" customWidth="1"/>
    <col min="9474" max="9474" width="65.109375" style="1841" customWidth="1"/>
    <col min="9475" max="9475" width="19.88671875" style="1841" customWidth="1"/>
    <col min="9476" max="9728" width="8.88671875" style="1841"/>
    <col min="9729" max="9729" width="6.44140625" style="1841" customWidth="1"/>
    <col min="9730" max="9730" width="65.109375" style="1841" customWidth="1"/>
    <col min="9731" max="9731" width="19.88671875" style="1841" customWidth="1"/>
    <col min="9732" max="9984" width="8.88671875" style="1841"/>
    <col min="9985" max="9985" width="6.44140625" style="1841" customWidth="1"/>
    <col min="9986" max="9986" width="65.109375" style="1841" customWidth="1"/>
    <col min="9987" max="9987" width="19.88671875" style="1841" customWidth="1"/>
    <col min="9988" max="10240" width="8.88671875" style="1841"/>
    <col min="10241" max="10241" width="6.44140625" style="1841" customWidth="1"/>
    <col min="10242" max="10242" width="65.109375" style="1841" customWidth="1"/>
    <col min="10243" max="10243" width="19.88671875" style="1841" customWidth="1"/>
    <col min="10244" max="10496" width="8.88671875" style="1841"/>
    <col min="10497" max="10497" width="6.44140625" style="1841" customWidth="1"/>
    <col min="10498" max="10498" width="65.109375" style="1841" customWidth="1"/>
    <col min="10499" max="10499" width="19.88671875" style="1841" customWidth="1"/>
    <col min="10500" max="10752" width="8.88671875" style="1841"/>
    <col min="10753" max="10753" width="6.44140625" style="1841" customWidth="1"/>
    <col min="10754" max="10754" width="65.109375" style="1841" customWidth="1"/>
    <col min="10755" max="10755" width="19.88671875" style="1841" customWidth="1"/>
    <col min="10756" max="11008" width="8.88671875" style="1841"/>
    <col min="11009" max="11009" width="6.44140625" style="1841" customWidth="1"/>
    <col min="11010" max="11010" width="65.109375" style="1841" customWidth="1"/>
    <col min="11011" max="11011" width="19.88671875" style="1841" customWidth="1"/>
    <col min="11012" max="11264" width="8.88671875" style="1841"/>
    <col min="11265" max="11265" width="6.44140625" style="1841" customWidth="1"/>
    <col min="11266" max="11266" width="65.109375" style="1841" customWidth="1"/>
    <col min="11267" max="11267" width="19.88671875" style="1841" customWidth="1"/>
    <col min="11268" max="11520" width="8.88671875" style="1841"/>
    <col min="11521" max="11521" width="6.44140625" style="1841" customWidth="1"/>
    <col min="11522" max="11522" width="65.109375" style="1841" customWidth="1"/>
    <col min="11523" max="11523" width="19.88671875" style="1841" customWidth="1"/>
    <col min="11524" max="11776" width="8.88671875" style="1841"/>
    <col min="11777" max="11777" width="6.44140625" style="1841" customWidth="1"/>
    <col min="11778" max="11778" width="65.109375" style="1841" customWidth="1"/>
    <col min="11779" max="11779" width="19.88671875" style="1841" customWidth="1"/>
    <col min="11780" max="12032" width="8.88671875" style="1841"/>
    <col min="12033" max="12033" width="6.44140625" style="1841" customWidth="1"/>
    <col min="12034" max="12034" width="65.109375" style="1841" customWidth="1"/>
    <col min="12035" max="12035" width="19.88671875" style="1841" customWidth="1"/>
    <col min="12036" max="12288" width="8.88671875" style="1841"/>
    <col min="12289" max="12289" width="6.44140625" style="1841" customWidth="1"/>
    <col min="12290" max="12290" width="65.109375" style="1841" customWidth="1"/>
    <col min="12291" max="12291" width="19.88671875" style="1841" customWidth="1"/>
    <col min="12292" max="12544" width="8.88671875" style="1841"/>
    <col min="12545" max="12545" width="6.44140625" style="1841" customWidth="1"/>
    <col min="12546" max="12546" width="65.109375" style="1841" customWidth="1"/>
    <col min="12547" max="12547" width="19.88671875" style="1841" customWidth="1"/>
    <col min="12548" max="12800" width="8.88671875" style="1841"/>
    <col min="12801" max="12801" width="6.44140625" style="1841" customWidth="1"/>
    <col min="12802" max="12802" width="65.109375" style="1841" customWidth="1"/>
    <col min="12803" max="12803" width="19.88671875" style="1841" customWidth="1"/>
    <col min="12804" max="13056" width="8.88671875" style="1841"/>
    <col min="13057" max="13057" width="6.44140625" style="1841" customWidth="1"/>
    <col min="13058" max="13058" width="65.109375" style="1841" customWidth="1"/>
    <col min="13059" max="13059" width="19.88671875" style="1841" customWidth="1"/>
    <col min="13060" max="13312" width="8.88671875" style="1841"/>
    <col min="13313" max="13313" width="6.44140625" style="1841" customWidth="1"/>
    <col min="13314" max="13314" width="65.109375" style="1841" customWidth="1"/>
    <col min="13315" max="13315" width="19.88671875" style="1841" customWidth="1"/>
    <col min="13316" max="13568" width="8.88671875" style="1841"/>
    <col min="13569" max="13569" width="6.44140625" style="1841" customWidth="1"/>
    <col min="13570" max="13570" width="65.109375" style="1841" customWidth="1"/>
    <col min="13571" max="13571" width="19.88671875" style="1841" customWidth="1"/>
    <col min="13572" max="13824" width="8.88671875" style="1841"/>
    <col min="13825" max="13825" width="6.44140625" style="1841" customWidth="1"/>
    <col min="13826" max="13826" width="65.109375" style="1841" customWidth="1"/>
    <col min="13827" max="13827" width="19.88671875" style="1841" customWidth="1"/>
    <col min="13828" max="14080" width="8.88671875" style="1841"/>
    <col min="14081" max="14081" width="6.44140625" style="1841" customWidth="1"/>
    <col min="14082" max="14082" width="65.109375" style="1841" customWidth="1"/>
    <col min="14083" max="14083" width="19.88671875" style="1841" customWidth="1"/>
    <col min="14084" max="14336" width="8.88671875" style="1841"/>
    <col min="14337" max="14337" width="6.44140625" style="1841" customWidth="1"/>
    <col min="14338" max="14338" width="65.109375" style="1841" customWidth="1"/>
    <col min="14339" max="14339" width="19.88671875" style="1841" customWidth="1"/>
    <col min="14340" max="14592" width="8.88671875" style="1841"/>
    <col min="14593" max="14593" width="6.44140625" style="1841" customWidth="1"/>
    <col min="14594" max="14594" width="65.109375" style="1841" customWidth="1"/>
    <col min="14595" max="14595" width="19.88671875" style="1841" customWidth="1"/>
    <col min="14596" max="14848" width="8.88671875" style="1841"/>
    <col min="14849" max="14849" width="6.44140625" style="1841" customWidth="1"/>
    <col min="14850" max="14850" width="65.109375" style="1841" customWidth="1"/>
    <col min="14851" max="14851" width="19.88671875" style="1841" customWidth="1"/>
    <col min="14852" max="15104" width="8.88671875" style="1841"/>
    <col min="15105" max="15105" width="6.44140625" style="1841" customWidth="1"/>
    <col min="15106" max="15106" width="65.109375" style="1841" customWidth="1"/>
    <col min="15107" max="15107" width="19.88671875" style="1841" customWidth="1"/>
    <col min="15108" max="15360" width="8.88671875" style="1841"/>
    <col min="15361" max="15361" width="6.44140625" style="1841" customWidth="1"/>
    <col min="15362" max="15362" width="65.109375" style="1841" customWidth="1"/>
    <col min="15363" max="15363" width="19.88671875" style="1841" customWidth="1"/>
    <col min="15364" max="15616" width="8.88671875" style="1841"/>
    <col min="15617" max="15617" width="6.44140625" style="1841" customWidth="1"/>
    <col min="15618" max="15618" width="65.109375" style="1841" customWidth="1"/>
    <col min="15619" max="15619" width="19.88671875" style="1841" customWidth="1"/>
    <col min="15620" max="15872" width="8.88671875" style="1841"/>
    <col min="15873" max="15873" width="6.44140625" style="1841" customWidth="1"/>
    <col min="15874" max="15874" width="65.109375" style="1841" customWidth="1"/>
    <col min="15875" max="15875" width="19.88671875" style="1841" customWidth="1"/>
    <col min="15876" max="16128" width="8.88671875" style="1841"/>
    <col min="16129" max="16129" width="6.44140625" style="1841" customWidth="1"/>
    <col min="16130" max="16130" width="65.109375" style="1841" customWidth="1"/>
    <col min="16131" max="16131" width="19.88671875" style="1841" customWidth="1"/>
    <col min="16132" max="16384" width="8.88671875" style="1841"/>
  </cols>
  <sheetData>
    <row r="1" spans="1:6">
      <c r="A1" s="1840" t="s">
        <v>69</v>
      </c>
      <c r="C1" s="1840" t="s">
        <v>1125</v>
      </c>
    </row>
    <row r="4" spans="1:6">
      <c r="A4" s="2988" t="s">
        <v>1263</v>
      </c>
      <c r="B4" s="2988"/>
      <c r="C4" s="2988"/>
    </row>
    <row r="5" spans="1:6">
      <c r="A5" s="2986" t="s">
        <v>1055</v>
      </c>
      <c r="B5" s="2986"/>
      <c r="C5" s="2986"/>
    </row>
    <row r="6" spans="1:6">
      <c r="C6" s="1842" t="s">
        <v>1056</v>
      </c>
    </row>
    <row r="7" spans="1:6" ht="21.75" customHeight="1">
      <c r="A7" s="1843" t="s">
        <v>49</v>
      </c>
      <c r="B7" s="1843" t="s">
        <v>39</v>
      </c>
      <c r="C7" s="1843" t="s">
        <v>1126</v>
      </c>
    </row>
    <row r="8" spans="1:6" ht="21.6" customHeight="1">
      <c r="A8" s="2809"/>
      <c r="B8" s="3182" t="s">
        <v>1437</v>
      </c>
      <c r="C8" s="2903">
        <f>SUM(C9,C12,C52,C74)</f>
        <v>8549748</v>
      </c>
      <c r="D8" s="2621">
        <f>C8-C9</f>
        <v>4770143</v>
      </c>
      <c r="E8" s="2621"/>
    </row>
    <row r="9" spans="1:6" ht="15.6" customHeight="1">
      <c r="A9" s="2809" t="s">
        <v>80</v>
      </c>
      <c r="B9" s="3185" t="s">
        <v>1435</v>
      </c>
      <c r="C9" s="2903">
        <f>C10+C11</f>
        <v>3779605</v>
      </c>
      <c r="D9" s="2621"/>
    </row>
    <row r="10" spans="1:6" s="2635" customFormat="1">
      <c r="A10" s="3320">
        <v>1</v>
      </c>
      <c r="B10" s="3321" t="s">
        <v>385</v>
      </c>
      <c r="C10" s="3230">
        <f>'Bieu so 01'!J48</f>
        <v>3281298</v>
      </c>
    </row>
    <row r="11" spans="1:6" s="2635" customFormat="1">
      <c r="A11" s="3322">
        <v>2</v>
      </c>
      <c r="B11" s="3296" t="s">
        <v>1436</v>
      </c>
      <c r="C11" s="3323">
        <f>'Bieu so 01'!J49+'Bieu so 01'!J50</f>
        <v>498307</v>
      </c>
    </row>
    <row r="12" spans="1:6" ht="17.399999999999999" customHeight="1">
      <c r="A12" s="2809" t="s">
        <v>81</v>
      </c>
      <c r="B12" s="3185" t="s">
        <v>1127</v>
      </c>
      <c r="C12" s="2903">
        <f>SUM(C14,C31,C48,C49,C50,C51)</f>
        <v>3366824</v>
      </c>
      <c r="D12" s="2621"/>
      <c r="E12" s="2621"/>
      <c r="F12" s="2621"/>
    </row>
    <row r="13" spans="1:6">
      <c r="A13" s="3320"/>
      <c r="B13" s="3321" t="s">
        <v>290</v>
      </c>
      <c r="C13" s="3230"/>
    </row>
    <row r="14" spans="1:6">
      <c r="A14" s="1859" t="s">
        <v>54</v>
      </c>
      <c r="B14" s="1860" t="s">
        <v>824</v>
      </c>
      <c r="C14" s="2084">
        <f>SUM(C15,C16,C17,C29,C30)</f>
        <v>1298690</v>
      </c>
    </row>
    <row r="15" spans="1:6">
      <c r="A15" s="1861">
        <v>1</v>
      </c>
      <c r="B15" s="1862" t="s">
        <v>1433</v>
      </c>
      <c r="C15" s="2083">
        <f>'Bieu 33-CHI TOAN TINH'!F15</f>
        <v>420710</v>
      </c>
    </row>
    <row r="16" spans="1:6" ht="15.6">
      <c r="A16" s="1861">
        <v>2</v>
      </c>
      <c r="B16" s="454" t="s">
        <v>281</v>
      </c>
      <c r="C16" s="2083">
        <f>'Bieu 33-CHI TOAN TINH'!F29</f>
        <v>78480</v>
      </c>
    </row>
    <row r="17" spans="1:3" ht="15.6">
      <c r="A17" s="1861">
        <v>3</v>
      </c>
      <c r="B17" s="454" t="s">
        <v>285</v>
      </c>
      <c r="C17" s="2083">
        <f>'Bieu 33-CHI TOAN TINH'!F33</f>
        <v>799500</v>
      </c>
    </row>
    <row r="18" spans="1:3" hidden="1">
      <c r="A18" s="1861"/>
      <c r="B18" s="1863" t="s">
        <v>290</v>
      </c>
      <c r="C18" s="2083"/>
    </row>
    <row r="19" spans="1:3" hidden="1">
      <c r="A19" s="1861" t="s">
        <v>200</v>
      </c>
      <c r="B19" s="1862" t="s">
        <v>267</v>
      </c>
      <c r="C19" s="2083"/>
    </row>
    <row r="20" spans="1:3" hidden="1">
      <c r="A20" s="1861" t="s">
        <v>208</v>
      </c>
      <c r="B20" s="1862" t="s">
        <v>268</v>
      </c>
      <c r="C20" s="2083"/>
    </row>
    <row r="21" spans="1:3" hidden="1">
      <c r="A21" s="1861" t="s">
        <v>335</v>
      </c>
      <c r="B21" s="1862" t="s">
        <v>271</v>
      </c>
      <c r="C21" s="2083"/>
    </row>
    <row r="22" spans="1:3" hidden="1">
      <c r="A22" s="1861" t="s">
        <v>1128</v>
      </c>
      <c r="B22" s="1862" t="s">
        <v>272</v>
      </c>
      <c r="C22" s="2083"/>
    </row>
    <row r="23" spans="1:3" hidden="1">
      <c r="A23" s="1861" t="s">
        <v>1129</v>
      </c>
      <c r="B23" s="1862" t="s">
        <v>719</v>
      </c>
      <c r="C23" s="2083"/>
    </row>
    <row r="24" spans="1:3" hidden="1">
      <c r="A24" s="1861" t="s">
        <v>1130</v>
      </c>
      <c r="B24" s="1862" t="s">
        <v>274</v>
      </c>
      <c r="C24" s="2083"/>
    </row>
    <row r="25" spans="1:3" hidden="1">
      <c r="A25" s="1861" t="s">
        <v>1131</v>
      </c>
      <c r="B25" s="1862" t="s">
        <v>275</v>
      </c>
      <c r="C25" s="2083"/>
    </row>
    <row r="26" spans="1:3" hidden="1">
      <c r="A26" s="1861" t="s">
        <v>1132</v>
      </c>
      <c r="B26" s="1862" t="s">
        <v>276</v>
      </c>
      <c r="C26" s="2083"/>
    </row>
    <row r="27" spans="1:3" hidden="1">
      <c r="A27" s="1861" t="s">
        <v>1133</v>
      </c>
      <c r="B27" s="1862" t="s">
        <v>277</v>
      </c>
      <c r="C27" s="2083"/>
    </row>
    <row r="28" spans="1:3" hidden="1">
      <c r="A28" s="1861" t="s">
        <v>1134</v>
      </c>
      <c r="B28" s="1862" t="s">
        <v>278</v>
      </c>
      <c r="C28" s="2083"/>
    </row>
    <row r="29" spans="1:3" ht="39.6">
      <c r="A29" s="1861">
        <v>4</v>
      </c>
      <c r="B29" s="1862" t="s">
        <v>1122</v>
      </c>
      <c r="C29" s="2083"/>
    </row>
    <row r="30" spans="1:3">
      <c r="A30" s="1861">
        <v>5</v>
      </c>
      <c r="B30" s="1862" t="s">
        <v>1123</v>
      </c>
      <c r="C30" s="2083"/>
    </row>
    <row r="31" spans="1:3">
      <c r="A31" s="1859" t="s">
        <v>60</v>
      </c>
      <c r="B31" s="1860" t="s">
        <v>286</v>
      </c>
      <c r="C31" s="2084">
        <f>SUM(C33:C47)</f>
        <v>2009103</v>
      </c>
    </row>
    <row r="32" spans="1:3">
      <c r="A32" s="1861"/>
      <c r="B32" s="1863" t="s">
        <v>290</v>
      </c>
      <c r="C32" s="2083"/>
    </row>
    <row r="33" spans="1:3">
      <c r="A33" s="1861">
        <v>1</v>
      </c>
      <c r="B33" s="1862" t="s">
        <v>267</v>
      </c>
      <c r="C33" s="2083">
        <f>'Bieu 33-CHI TOAN TINH'!F35</f>
        <v>473223</v>
      </c>
    </row>
    <row r="34" spans="1:3">
      <c r="A34" s="1861">
        <v>2</v>
      </c>
      <c r="B34" s="1862" t="s">
        <v>268</v>
      </c>
      <c r="C34" s="2083">
        <f>'Bieu 33-CHI TOAN TINH'!F45</f>
        <v>29491</v>
      </c>
    </row>
    <row r="35" spans="1:3" ht="15.6">
      <c r="A35" s="1861">
        <v>3</v>
      </c>
      <c r="B35" s="464" t="s">
        <v>269</v>
      </c>
      <c r="C35" s="2083">
        <f>'Bieu 33-CHI TOAN TINH'!F46</f>
        <v>33028</v>
      </c>
    </row>
    <row r="36" spans="1:3" ht="15.6">
      <c r="A36" s="1861">
        <v>4</v>
      </c>
      <c r="B36" s="464" t="s">
        <v>270</v>
      </c>
      <c r="C36" s="2083">
        <f>'Bieu 33-CHI TOAN TINH'!F47</f>
        <v>21143</v>
      </c>
    </row>
    <row r="37" spans="1:3">
      <c r="A37" s="1861">
        <v>5</v>
      </c>
      <c r="B37" s="1862" t="s">
        <v>271</v>
      </c>
      <c r="C37" s="2083">
        <f>'Bieu 33-CHI TOAN TINH'!F48</f>
        <v>590892</v>
      </c>
    </row>
    <row r="38" spans="1:3">
      <c r="A38" s="1861">
        <v>6</v>
      </c>
      <c r="B38" s="1862" t="s">
        <v>272</v>
      </c>
      <c r="C38" s="2085">
        <f>'Bieu 33-CHI TOAN TINH'!F57</f>
        <v>21704</v>
      </c>
    </row>
    <row r="39" spans="1:3">
      <c r="A39" s="1861">
        <v>7</v>
      </c>
      <c r="B39" s="1862" t="s">
        <v>274</v>
      </c>
      <c r="C39" s="2085">
        <f>'Bieu 33-CHI TOAN TINH'!F58</f>
        <v>8640</v>
      </c>
    </row>
    <row r="40" spans="1:3">
      <c r="A40" s="1861">
        <v>8</v>
      </c>
      <c r="B40" s="1862" t="s">
        <v>273</v>
      </c>
      <c r="C40" s="2085">
        <f>'Bieu 33-CHI TOAN TINH'!F59</f>
        <v>9412</v>
      </c>
    </row>
    <row r="41" spans="1:3">
      <c r="A41" s="1861">
        <v>9</v>
      </c>
      <c r="B41" s="1862" t="s">
        <v>275</v>
      </c>
      <c r="C41" s="2085">
        <f>'Bieu 33-CHI TOAN TINH'!F60</f>
        <v>27550</v>
      </c>
    </row>
    <row r="42" spans="1:3">
      <c r="A42" s="1861">
        <v>10</v>
      </c>
      <c r="B42" s="1862" t="s">
        <v>276</v>
      </c>
      <c r="C42" s="2085">
        <f>'Bieu 33-CHI TOAN TINH'!F61</f>
        <v>306034</v>
      </c>
    </row>
    <row r="43" spans="1:3">
      <c r="A43" s="1861">
        <v>11</v>
      </c>
      <c r="B43" s="1862" t="s">
        <v>278</v>
      </c>
      <c r="C43" s="2085">
        <f>'Bieu 33-CHI TOAN TINH'!F70</f>
        <v>34917</v>
      </c>
    </row>
    <row r="44" spans="1:3">
      <c r="A44" s="1861">
        <v>12</v>
      </c>
      <c r="B44" s="1862" t="s">
        <v>277</v>
      </c>
      <c r="C44" s="2085">
        <f>'Bieu 33-CHI TOAN TINH'!F76</f>
        <v>304084</v>
      </c>
    </row>
    <row r="45" spans="1:3">
      <c r="A45" s="1861">
        <v>13</v>
      </c>
      <c r="B45" s="1862" t="s">
        <v>720</v>
      </c>
      <c r="C45" s="2085">
        <f>'Bieu 33-CHI TOAN TINH'!F77</f>
        <v>48207</v>
      </c>
    </row>
    <row r="46" spans="1:3" ht="15.6">
      <c r="A46" s="1861">
        <v>14</v>
      </c>
      <c r="B46" s="487" t="s">
        <v>1434</v>
      </c>
      <c r="C46" s="2085">
        <f>'Bieu 33-CHI TOAN TINH'!F81</f>
        <v>30630</v>
      </c>
    </row>
    <row r="47" spans="1:3" ht="15.6">
      <c r="A47" s="1861">
        <v>15</v>
      </c>
      <c r="B47" s="487" t="s">
        <v>1219</v>
      </c>
      <c r="C47" s="2085">
        <f>'Bieu 33-CHI TOAN TINH'!F83</f>
        <v>70148</v>
      </c>
    </row>
    <row r="48" spans="1:3" ht="15.6" hidden="1">
      <c r="A48" s="1861"/>
      <c r="B48" s="471" t="s">
        <v>1071</v>
      </c>
      <c r="C48" s="2620">
        <f>'Bieu 33-CHI TOAN TINH'!F84</f>
        <v>0</v>
      </c>
    </row>
    <row r="49" spans="1:3">
      <c r="A49" s="1859" t="s">
        <v>317</v>
      </c>
      <c r="B49" s="1860" t="s">
        <v>1072</v>
      </c>
      <c r="C49" s="2620">
        <f>'Bieu 33-CHI TOAN TINH'!F85</f>
        <v>1000</v>
      </c>
    </row>
    <row r="50" spans="1:3">
      <c r="A50" s="1859" t="s">
        <v>319</v>
      </c>
      <c r="B50" s="1860" t="s">
        <v>1135</v>
      </c>
      <c r="C50" s="2620">
        <f>'Bieu 33-CHI TOAN TINH'!F86</f>
        <v>58031</v>
      </c>
    </row>
    <row r="51" spans="1:3">
      <c r="A51" s="1859" t="s">
        <v>321</v>
      </c>
      <c r="B51" s="1860" t="s">
        <v>1136</v>
      </c>
      <c r="C51" s="2620"/>
    </row>
    <row r="52" spans="1:3" ht="16.8" customHeight="1">
      <c r="A52" s="2624" t="s">
        <v>362</v>
      </c>
      <c r="B52" s="2625" t="s">
        <v>323</v>
      </c>
      <c r="C52" s="2620">
        <f>SUM(C53,C60)</f>
        <v>1286119</v>
      </c>
    </row>
    <row r="53" spans="1:3" ht="14.4" customHeight="1">
      <c r="A53" s="2626" t="s">
        <v>54</v>
      </c>
      <c r="B53" s="2622" t="s">
        <v>324</v>
      </c>
      <c r="C53" s="2620">
        <f>SUM(C54,C57)</f>
        <v>13341</v>
      </c>
    </row>
    <row r="54" spans="1:3" ht="19.2" customHeight="1">
      <c r="A54" s="2626">
        <v>1</v>
      </c>
      <c r="B54" s="2622" t="s">
        <v>325</v>
      </c>
      <c r="C54" s="2620"/>
    </row>
    <row r="55" spans="1:3">
      <c r="A55" s="2627"/>
      <c r="B55" s="2623" t="s">
        <v>326</v>
      </c>
      <c r="C55" s="2620">
        <f>'Bieu 33-CHI TOAN TINH'!F91</f>
        <v>0</v>
      </c>
    </row>
    <row r="56" spans="1:3">
      <c r="A56" s="2627"/>
      <c r="B56" s="2623" t="s">
        <v>327</v>
      </c>
      <c r="C56" s="2620">
        <f>'Bieu 33-CHI TOAN TINH'!F92</f>
        <v>0</v>
      </c>
    </row>
    <row r="57" spans="1:3" ht="16.8" customHeight="1">
      <c r="A57" s="2626">
        <v>2</v>
      </c>
      <c r="B57" s="2622" t="s">
        <v>328</v>
      </c>
      <c r="C57" s="2620">
        <f>C58+C59</f>
        <v>13341</v>
      </c>
    </row>
    <row r="58" spans="1:3">
      <c r="A58" s="2627"/>
      <c r="B58" s="2623" t="s">
        <v>326</v>
      </c>
      <c r="C58" s="2085">
        <f>'Bieu 33-CHI TOAN TINH'!F94</f>
        <v>4788</v>
      </c>
    </row>
    <row r="59" spans="1:3">
      <c r="A59" s="2628"/>
      <c r="B59" s="2623" t="s">
        <v>327</v>
      </c>
      <c r="C59" s="2085">
        <f>'Bieu 33-CHI TOAN TINH'!F95</f>
        <v>8553</v>
      </c>
    </row>
    <row r="60" spans="1:3" ht="18.600000000000001" customHeight="1">
      <c r="A60" s="2626" t="s">
        <v>60</v>
      </c>
      <c r="B60" s="2622" t="s">
        <v>1074</v>
      </c>
      <c r="C60" s="2620">
        <f>SUM(C61,C69)</f>
        <v>1272778</v>
      </c>
    </row>
    <row r="61" spans="1:3">
      <c r="A61" s="2626">
        <v>1</v>
      </c>
      <c r="B61" s="2622" t="s">
        <v>325</v>
      </c>
      <c r="C61" s="2620">
        <f>SUM(C62,C65,C68)</f>
        <v>975461</v>
      </c>
    </row>
    <row r="62" spans="1:3">
      <c r="A62" s="2626" t="s">
        <v>200</v>
      </c>
      <c r="B62" s="2622" t="s">
        <v>330</v>
      </c>
      <c r="C62" s="2620">
        <f>C63+C64</f>
        <v>405250</v>
      </c>
    </row>
    <row r="63" spans="1:3">
      <c r="A63" s="2627"/>
      <c r="B63" s="2629" t="s">
        <v>331</v>
      </c>
      <c r="C63" s="2620">
        <f>'Bieu 33-CHI TOAN TINH'!F99</f>
        <v>405250</v>
      </c>
    </row>
    <row r="64" spans="1:3">
      <c r="A64" s="2627"/>
      <c r="B64" s="2629" t="s">
        <v>332</v>
      </c>
      <c r="C64" s="2620"/>
    </row>
    <row r="65" spans="1:3">
      <c r="A65" s="2626" t="s">
        <v>208</v>
      </c>
      <c r="B65" s="2622" t="s">
        <v>333</v>
      </c>
      <c r="C65" s="2620">
        <f>'Bieu 33-CHI TOAN TINH'!F102</f>
        <v>270211</v>
      </c>
    </row>
    <row r="66" spans="1:3">
      <c r="A66" s="2627"/>
      <c r="B66" s="2630" t="s">
        <v>290</v>
      </c>
      <c r="C66" s="2620"/>
    </row>
    <row r="67" spans="1:3">
      <c r="A67" s="2627"/>
      <c r="B67" s="2631" t="s">
        <v>334</v>
      </c>
      <c r="C67" s="2620">
        <f>'Bieu 33-CHI TOAN TINH'!F104</f>
        <v>120444</v>
      </c>
    </row>
    <row r="68" spans="1:3" ht="16.8" customHeight="1">
      <c r="A68" s="2626" t="s">
        <v>335</v>
      </c>
      <c r="B68" s="2632" t="s">
        <v>336</v>
      </c>
      <c r="C68" s="2620">
        <f>'Bieu 33-CHI TOAN TINH'!F105</f>
        <v>300000</v>
      </c>
    </row>
    <row r="69" spans="1:3">
      <c r="A69" s="2626">
        <v>2</v>
      </c>
      <c r="B69" s="2622" t="s">
        <v>328</v>
      </c>
      <c r="C69" s="2620">
        <f>SUM(C70,C71)</f>
        <v>297317</v>
      </c>
    </row>
    <row r="70" spans="1:3" s="2635" customFormat="1">
      <c r="A70" s="2627" t="s">
        <v>351</v>
      </c>
      <c r="B70" s="2236" t="s">
        <v>330</v>
      </c>
      <c r="C70" s="2085">
        <f>'Bieu 33-CHI TOAN TINH'!F107</f>
        <v>187232</v>
      </c>
    </row>
    <row r="71" spans="1:3" s="2635" customFormat="1">
      <c r="A71" s="2627" t="s">
        <v>357</v>
      </c>
      <c r="B71" s="2236" t="s">
        <v>1178</v>
      </c>
      <c r="C71" s="2633">
        <f>C72+C73</f>
        <v>110085</v>
      </c>
    </row>
    <row r="72" spans="1:3" ht="15.6">
      <c r="A72" s="2626"/>
      <c r="B72" s="487" t="s">
        <v>353</v>
      </c>
      <c r="C72" s="2633">
        <f>'Bieu 33-CHI TOAN TINH'!F138</f>
        <v>44279</v>
      </c>
    </row>
    <row r="73" spans="1:3" ht="15.6">
      <c r="A73" s="3307"/>
      <c r="B73" s="1597" t="s">
        <v>361</v>
      </c>
      <c r="C73" s="3235">
        <f>'Bieu 33-CHI TOAN TINH'!F139</f>
        <v>65806</v>
      </c>
    </row>
    <row r="74" spans="1:3" ht="15" customHeight="1">
      <c r="A74" s="3324" t="s">
        <v>1996</v>
      </c>
      <c r="B74" s="3325" t="s">
        <v>1223</v>
      </c>
      <c r="C74" s="3311">
        <f>'Bieu 33-CHI TOAN TINH'!F140</f>
        <v>117200</v>
      </c>
    </row>
  </sheetData>
  <mergeCells count="2">
    <mergeCell ref="A4:C4"/>
    <mergeCell ref="A5:C5"/>
  </mergeCells>
  <pageMargins left="0.61" right="0.32" top="0.43" bottom="0.32"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8"/>
  <sheetViews>
    <sheetView view="pageBreakPreview" zoomScale="60" zoomScaleNormal="96" workbookViewId="0">
      <selection activeCell="H8" sqref="H8"/>
    </sheetView>
  </sheetViews>
  <sheetFormatPr defaultRowHeight="13.2"/>
  <cols>
    <col min="1" max="1" width="5.44140625" style="2904" customWidth="1"/>
    <col min="2" max="2" width="28.44140625" style="2905" customWidth="1"/>
    <col min="3" max="3" width="12.6640625" style="1841" customWidth="1"/>
    <col min="4" max="4" width="12.88671875" style="1841" customWidth="1"/>
    <col min="5" max="5" width="14.21875" style="1841" customWidth="1"/>
    <col min="6" max="6" width="13.88671875" style="2648" customWidth="1"/>
    <col min="7" max="7" width="8.88671875" style="1841"/>
    <col min="8" max="8" width="9.44140625" style="1841" bestFit="1" customWidth="1"/>
    <col min="9" max="9" width="10.44140625" style="1841" bestFit="1" customWidth="1"/>
    <col min="10" max="12" width="8.88671875" style="1841"/>
    <col min="13" max="13" width="10.44140625" style="1841" bestFit="1" customWidth="1"/>
    <col min="14" max="14" width="12.77734375" style="1841" bestFit="1" customWidth="1"/>
    <col min="15" max="15" width="11.44140625" style="1841" bestFit="1" customWidth="1"/>
    <col min="16" max="16" width="11.88671875" style="1841" customWidth="1"/>
    <col min="17" max="17" width="11.44140625" style="1841" bestFit="1" customWidth="1"/>
    <col min="18" max="260" width="8.88671875" style="1841"/>
    <col min="261" max="261" width="5.44140625" style="1841" customWidth="1"/>
    <col min="262" max="262" width="24.5546875" style="1841" customWidth="1"/>
    <col min="263" max="263" width="10.109375" style="1841" customWidth="1"/>
    <col min="264" max="516" width="8.88671875" style="1841"/>
    <col min="517" max="517" width="5.44140625" style="1841" customWidth="1"/>
    <col min="518" max="518" width="24.5546875" style="1841" customWidth="1"/>
    <col min="519" max="519" width="10.109375" style="1841" customWidth="1"/>
    <col min="520" max="772" width="8.88671875" style="1841"/>
    <col min="773" max="773" width="5.44140625" style="1841" customWidth="1"/>
    <col min="774" max="774" width="24.5546875" style="1841" customWidth="1"/>
    <col min="775" max="775" width="10.109375" style="1841" customWidth="1"/>
    <col min="776" max="1028" width="8.88671875" style="1841"/>
    <col min="1029" max="1029" width="5.44140625" style="1841" customWidth="1"/>
    <col min="1030" max="1030" width="24.5546875" style="1841" customWidth="1"/>
    <col min="1031" max="1031" width="10.109375" style="1841" customWidth="1"/>
    <col min="1032" max="1284" width="8.88671875" style="1841"/>
    <col min="1285" max="1285" width="5.44140625" style="1841" customWidth="1"/>
    <col min="1286" max="1286" width="24.5546875" style="1841" customWidth="1"/>
    <col min="1287" max="1287" width="10.109375" style="1841" customWidth="1"/>
    <col min="1288" max="1540" width="8.88671875" style="1841"/>
    <col min="1541" max="1541" width="5.44140625" style="1841" customWidth="1"/>
    <col min="1542" max="1542" width="24.5546875" style="1841" customWidth="1"/>
    <col min="1543" max="1543" width="10.109375" style="1841" customWidth="1"/>
    <col min="1544" max="1796" width="8.88671875" style="1841"/>
    <col min="1797" max="1797" width="5.44140625" style="1841" customWidth="1"/>
    <col min="1798" max="1798" width="24.5546875" style="1841" customWidth="1"/>
    <col min="1799" max="1799" width="10.109375" style="1841" customWidth="1"/>
    <col min="1800" max="2052" width="8.88671875" style="1841"/>
    <col min="2053" max="2053" width="5.44140625" style="1841" customWidth="1"/>
    <col min="2054" max="2054" width="24.5546875" style="1841" customWidth="1"/>
    <col min="2055" max="2055" width="10.109375" style="1841" customWidth="1"/>
    <col min="2056" max="2308" width="8.88671875" style="1841"/>
    <col min="2309" max="2309" width="5.44140625" style="1841" customWidth="1"/>
    <col min="2310" max="2310" width="24.5546875" style="1841" customWidth="1"/>
    <col min="2311" max="2311" width="10.109375" style="1841" customWidth="1"/>
    <col min="2312" max="2564" width="8.88671875" style="1841"/>
    <col min="2565" max="2565" width="5.44140625" style="1841" customWidth="1"/>
    <col min="2566" max="2566" width="24.5546875" style="1841" customWidth="1"/>
    <col min="2567" max="2567" width="10.109375" style="1841" customWidth="1"/>
    <col min="2568" max="2820" width="8.88671875" style="1841"/>
    <col min="2821" max="2821" width="5.44140625" style="1841" customWidth="1"/>
    <col min="2822" max="2822" width="24.5546875" style="1841" customWidth="1"/>
    <col min="2823" max="2823" width="10.109375" style="1841" customWidth="1"/>
    <col min="2824" max="3076" width="8.88671875" style="1841"/>
    <col min="3077" max="3077" width="5.44140625" style="1841" customWidth="1"/>
    <col min="3078" max="3078" width="24.5546875" style="1841" customWidth="1"/>
    <col min="3079" max="3079" width="10.109375" style="1841" customWidth="1"/>
    <col min="3080" max="3332" width="8.88671875" style="1841"/>
    <col min="3333" max="3333" width="5.44140625" style="1841" customWidth="1"/>
    <col min="3334" max="3334" width="24.5546875" style="1841" customWidth="1"/>
    <col min="3335" max="3335" width="10.109375" style="1841" customWidth="1"/>
    <col min="3336" max="3588" width="8.88671875" style="1841"/>
    <col min="3589" max="3589" width="5.44140625" style="1841" customWidth="1"/>
    <col min="3590" max="3590" width="24.5546875" style="1841" customWidth="1"/>
    <col min="3591" max="3591" width="10.109375" style="1841" customWidth="1"/>
    <col min="3592" max="3844" width="8.88671875" style="1841"/>
    <col min="3845" max="3845" width="5.44140625" style="1841" customWidth="1"/>
    <col min="3846" max="3846" width="24.5546875" style="1841" customWidth="1"/>
    <col min="3847" max="3847" width="10.109375" style="1841" customWidth="1"/>
    <col min="3848" max="4100" width="8.88671875" style="1841"/>
    <col min="4101" max="4101" width="5.44140625" style="1841" customWidth="1"/>
    <col min="4102" max="4102" width="24.5546875" style="1841" customWidth="1"/>
    <col min="4103" max="4103" width="10.109375" style="1841" customWidth="1"/>
    <col min="4104" max="4356" width="8.88671875" style="1841"/>
    <col min="4357" max="4357" width="5.44140625" style="1841" customWidth="1"/>
    <col min="4358" max="4358" width="24.5546875" style="1841" customWidth="1"/>
    <col min="4359" max="4359" width="10.109375" style="1841" customWidth="1"/>
    <col min="4360" max="4612" width="8.88671875" style="1841"/>
    <col min="4613" max="4613" width="5.44140625" style="1841" customWidth="1"/>
    <col min="4614" max="4614" width="24.5546875" style="1841" customWidth="1"/>
    <col min="4615" max="4615" width="10.109375" style="1841" customWidth="1"/>
    <col min="4616" max="4868" width="8.88671875" style="1841"/>
    <col min="4869" max="4869" width="5.44140625" style="1841" customWidth="1"/>
    <col min="4870" max="4870" width="24.5546875" style="1841" customWidth="1"/>
    <col min="4871" max="4871" width="10.109375" style="1841" customWidth="1"/>
    <col min="4872" max="5124" width="8.88671875" style="1841"/>
    <col min="5125" max="5125" width="5.44140625" style="1841" customWidth="1"/>
    <col min="5126" max="5126" width="24.5546875" style="1841" customWidth="1"/>
    <col min="5127" max="5127" width="10.109375" style="1841" customWidth="1"/>
    <col min="5128" max="5380" width="8.88671875" style="1841"/>
    <col min="5381" max="5381" width="5.44140625" style="1841" customWidth="1"/>
    <col min="5382" max="5382" width="24.5546875" style="1841" customWidth="1"/>
    <col min="5383" max="5383" width="10.109375" style="1841" customWidth="1"/>
    <col min="5384" max="5636" width="8.88671875" style="1841"/>
    <col min="5637" max="5637" width="5.44140625" style="1841" customWidth="1"/>
    <col min="5638" max="5638" width="24.5546875" style="1841" customWidth="1"/>
    <col min="5639" max="5639" width="10.109375" style="1841" customWidth="1"/>
    <col min="5640" max="5892" width="8.88671875" style="1841"/>
    <col min="5893" max="5893" width="5.44140625" style="1841" customWidth="1"/>
    <col min="5894" max="5894" width="24.5546875" style="1841" customWidth="1"/>
    <col min="5895" max="5895" width="10.109375" style="1841" customWidth="1"/>
    <col min="5896" max="6148" width="8.88671875" style="1841"/>
    <col min="6149" max="6149" width="5.44140625" style="1841" customWidth="1"/>
    <col min="6150" max="6150" width="24.5546875" style="1841" customWidth="1"/>
    <col min="6151" max="6151" width="10.109375" style="1841" customWidth="1"/>
    <col min="6152" max="6404" width="8.88671875" style="1841"/>
    <col min="6405" max="6405" width="5.44140625" style="1841" customWidth="1"/>
    <col min="6406" max="6406" width="24.5546875" style="1841" customWidth="1"/>
    <col min="6407" max="6407" width="10.109375" style="1841" customWidth="1"/>
    <col min="6408" max="6660" width="8.88671875" style="1841"/>
    <col min="6661" max="6661" width="5.44140625" style="1841" customWidth="1"/>
    <col min="6662" max="6662" width="24.5546875" style="1841" customWidth="1"/>
    <col min="6663" max="6663" width="10.109375" style="1841" customWidth="1"/>
    <col min="6664" max="6916" width="8.88671875" style="1841"/>
    <col min="6917" max="6917" width="5.44140625" style="1841" customWidth="1"/>
    <col min="6918" max="6918" width="24.5546875" style="1841" customWidth="1"/>
    <col min="6919" max="6919" width="10.109375" style="1841" customWidth="1"/>
    <col min="6920" max="7172" width="8.88671875" style="1841"/>
    <col min="7173" max="7173" width="5.44140625" style="1841" customWidth="1"/>
    <col min="7174" max="7174" width="24.5546875" style="1841" customWidth="1"/>
    <col min="7175" max="7175" width="10.109375" style="1841" customWidth="1"/>
    <col min="7176" max="7428" width="8.88671875" style="1841"/>
    <col min="7429" max="7429" width="5.44140625" style="1841" customWidth="1"/>
    <col min="7430" max="7430" width="24.5546875" style="1841" customWidth="1"/>
    <col min="7431" max="7431" width="10.109375" style="1841" customWidth="1"/>
    <col min="7432" max="7684" width="8.88671875" style="1841"/>
    <col min="7685" max="7685" width="5.44140625" style="1841" customWidth="1"/>
    <col min="7686" max="7686" width="24.5546875" style="1841" customWidth="1"/>
    <col min="7687" max="7687" width="10.109375" style="1841" customWidth="1"/>
    <col min="7688" max="7940" width="8.88671875" style="1841"/>
    <col min="7941" max="7941" width="5.44140625" style="1841" customWidth="1"/>
    <col min="7942" max="7942" width="24.5546875" style="1841" customWidth="1"/>
    <col min="7943" max="7943" width="10.109375" style="1841" customWidth="1"/>
    <col min="7944" max="8196" width="8.88671875" style="1841"/>
    <col min="8197" max="8197" width="5.44140625" style="1841" customWidth="1"/>
    <col min="8198" max="8198" width="24.5546875" style="1841" customWidth="1"/>
    <col min="8199" max="8199" width="10.109375" style="1841" customWidth="1"/>
    <col min="8200" max="8452" width="8.88671875" style="1841"/>
    <col min="8453" max="8453" width="5.44140625" style="1841" customWidth="1"/>
    <col min="8454" max="8454" width="24.5546875" style="1841" customWidth="1"/>
    <col min="8455" max="8455" width="10.109375" style="1841" customWidth="1"/>
    <col min="8456" max="8708" width="8.88671875" style="1841"/>
    <col min="8709" max="8709" width="5.44140625" style="1841" customWidth="1"/>
    <col min="8710" max="8710" width="24.5546875" style="1841" customWidth="1"/>
    <col min="8711" max="8711" width="10.109375" style="1841" customWidth="1"/>
    <col min="8712" max="8964" width="8.88671875" style="1841"/>
    <col min="8965" max="8965" width="5.44140625" style="1841" customWidth="1"/>
    <col min="8966" max="8966" width="24.5546875" style="1841" customWidth="1"/>
    <col min="8967" max="8967" width="10.109375" style="1841" customWidth="1"/>
    <col min="8968" max="9220" width="8.88671875" style="1841"/>
    <col min="9221" max="9221" width="5.44140625" style="1841" customWidth="1"/>
    <col min="9222" max="9222" width="24.5546875" style="1841" customWidth="1"/>
    <col min="9223" max="9223" width="10.109375" style="1841" customWidth="1"/>
    <col min="9224" max="9476" width="8.88671875" style="1841"/>
    <col min="9477" max="9477" width="5.44140625" style="1841" customWidth="1"/>
    <col min="9478" max="9478" width="24.5546875" style="1841" customWidth="1"/>
    <col min="9479" max="9479" width="10.109375" style="1841" customWidth="1"/>
    <col min="9480" max="9732" width="8.88671875" style="1841"/>
    <col min="9733" max="9733" width="5.44140625" style="1841" customWidth="1"/>
    <col min="9734" max="9734" width="24.5546875" style="1841" customWidth="1"/>
    <col min="9735" max="9735" width="10.109375" style="1841" customWidth="1"/>
    <col min="9736" max="9988" width="8.88671875" style="1841"/>
    <col min="9989" max="9989" width="5.44140625" style="1841" customWidth="1"/>
    <col min="9990" max="9990" width="24.5546875" style="1841" customWidth="1"/>
    <col min="9991" max="9991" width="10.109375" style="1841" customWidth="1"/>
    <col min="9992" max="10244" width="8.88671875" style="1841"/>
    <col min="10245" max="10245" width="5.44140625" style="1841" customWidth="1"/>
    <col min="10246" max="10246" width="24.5546875" style="1841" customWidth="1"/>
    <col min="10247" max="10247" width="10.109375" style="1841" customWidth="1"/>
    <col min="10248" max="10500" width="8.88671875" style="1841"/>
    <col min="10501" max="10501" width="5.44140625" style="1841" customWidth="1"/>
    <col min="10502" max="10502" width="24.5546875" style="1841" customWidth="1"/>
    <col min="10503" max="10503" width="10.109375" style="1841" customWidth="1"/>
    <col min="10504" max="10756" width="8.88671875" style="1841"/>
    <col min="10757" max="10757" width="5.44140625" style="1841" customWidth="1"/>
    <col min="10758" max="10758" width="24.5546875" style="1841" customWidth="1"/>
    <col min="10759" max="10759" width="10.109375" style="1841" customWidth="1"/>
    <col min="10760" max="11012" width="8.88671875" style="1841"/>
    <col min="11013" max="11013" width="5.44140625" style="1841" customWidth="1"/>
    <col min="11014" max="11014" width="24.5546875" style="1841" customWidth="1"/>
    <col min="11015" max="11015" width="10.109375" style="1841" customWidth="1"/>
    <col min="11016" max="11268" width="8.88671875" style="1841"/>
    <col min="11269" max="11269" width="5.44140625" style="1841" customWidth="1"/>
    <col min="11270" max="11270" width="24.5546875" style="1841" customWidth="1"/>
    <col min="11271" max="11271" width="10.109375" style="1841" customWidth="1"/>
    <col min="11272" max="11524" width="8.88671875" style="1841"/>
    <col min="11525" max="11525" width="5.44140625" style="1841" customWidth="1"/>
    <col min="11526" max="11526" width="24.5546875" style="1841" customWidth="1"/>
    <col min="11527" max="11527" width="10.109375" style="1841" customWidth="1"/>
    <col min="11528" max="11780" width="8.88671875" style="1841"/>
    <col min="11781" max="11781" width="5.44140625" style="1841" customWidth="1"/>
    <col min="11782" max="11782" width="24.5546875" style="1841" customWidth="1"/>
    <col min="11783" max="11783" width="10.109375" style="1841" customWidth="1"/>
    <col min="11784" max="12036" width="8.88671875" style="1841"/>
    <col min="12037" max="12037" width="5.44140625" style="1841" customWidth="1"/>
    <col min="12038" max="12038" width="24.5546875" style="1841" customWidth="1"/>
    <col min="12039" max="12039" width="10.109375" style="1841" customWidth="1"/>
    <col min="12040" max="12292" width="8.88671875" style="1841"/>
    <col min="12293" max="12293" width="5.44140625" style="1841" customWidth="1"/>
    <col min="12294" max="12294" width="24.5546875" style="1841" customWidth="1"/>
    <col min="12295" max="12295" width="10.109375" style="1841" customWidth="1"/>
    <col min="12296" max="12548" width="8.88671875" style="1841"/>
    <col min="12549" max="12549" width="5.44140625" style="1841" customWidth="1"/>
    <col min="12550" max="12550" width="24.5546875" style="1841" customWidth="1"/>
    <col min="12551" max="12551" width="10.109375" style="1841" customWidth="1"/>
    <col min="12552" max="12804" width="8.88671875" style="1841"/>
    <col min="12805" max="12805" width="5.44140625" style="1841" customWidth="1"/>
    <col min="12806" max="12806" width="24.5546875" style="1841" customWidth="1"/>
    <col min="12807" max="12807" width="10.109375" style="1841" customWidth="1"/>
    <col min="12808" max="13060" width="8.88671875" style="1841"/>
    <col min="13061" max="13061" width="5.44140625" style="1841" customWidth="1"/>
    <col min="13062" max="13062" width="24.5546875" style="1841" customWidth="1"/>
    <col min="13063" max="13063" width="10.109375" style="1841" customWidth="1"/>
    <col min="13064" max="13316" width="8.88671875" style="1841"/>
    <col min="13317" max="13317" width="5.44140625" style="1841" customWidth="1"/>
    <col min="13318" max="13318" width="24.5546875" style="1841" customWidth="1"/>
    <col min="13319" max="13319" width="10.109375" style="1841" customWidth="1"/>
    <col min="13320" max="13572" width="8.88671875" style="1841"/>
    <col min="13573" max="13573" width="5.44140625" style="1841" customWidth="1"/>
    <col min="13574" max="13574" width="24.5546875" style="1841" customWidth="1"/>
    <col min="13575" max="13575" width="10.109375" style="1841" customWidth="1"/>
    <col min="13576" max="13828" width="8.88671875" style="1841"/>
    <col min="13829" max="13829" width="5.44140625" style="1841" customWidth="1"/>
    <col min="13830" max="13830" width="24.5546875" style="1841" customWidth="1"/>
    <col min="13831" max="13831" width="10.109375" style="1841" customWidth="1"/>
    <col min="13832" max="14084" width="8.88671875" style="1841"/>
    <col min="14085" max="14085" width="5.44140625" style="1841" customWidth="1"/>
    <col min="14086" max="14086" width="24.5546875" style="1841" customWidth="1"/>
    <col min="14087" max="14087" width="10.109375" style="1841" customWidth="1"/>
    <col min="14088" max="14340" width="8.88671875" style="1841"/>
    <col min="14341" max="14341" width="5.44140625" style="1841" customWidth="1"/>
    <col min="14342" max="14342" width="24.5546875" style="1841" customWidth="1"/>
    <col min="14343" max="14343" width="10.109375" style="1841" customWidth="1"/>
    <col min="14344" max="14596" width="8.88671875" style="1841"/>
    <col min="14597" max="14597" width="5.44140625" style="1841" customWidth="1"/>
    <col min="14598" max="14598" width="24.5546875" style="1841" customWidth="1"/>
    <col min="14599" max="14599" width="10.109375" style="1841" customWidth="1"/>
    <col min="14600" max="14852" width="8.88671875" style="1841"/>
    <col min="14853" max="14853" width="5.44140625" style="1841" customWidth="1"/>
    <col min="14854" max="14854" width="24.5546875" style="1841" customWidth="1"/>
    <col min="14855" max="14855" width="10.109375" style="1841" customWidth="1"/>
    <col min="14856" max="15108" width="8.88671875" style="1841"/>
    <col min="15109" max="15109" width="5.44140625" style="1841" customWidth="1"/>
    <col min="15110" max="15110" width="24.5546875" style="1841" customWidth="1"/>
    <col min="15111" max="15111" width="10.109375" style="1841" customWidth="1"/>
    <col min="15112" max="15364" width="8.88671875" style="1841"/>
    <col min="15365" max="15365" width="5.44140625" style="1841" customWidth="1"/>
    <col min="15366" max="15366" width="24.5546875" style="1841" customWidth="1"/>
    <col min="15367" max="15367" width="10.109375" style="1841" customWidth="1"/>
    <col min="15368" max="15620" width="8.88671875" style="1841"/>
    <col min="15621" max="15621" width="5.44140625" style="1841" customWidth="1"/>
    <col min="15622" max="15622" width="24.5546875" style="1841" customWidth="1"/>
    <col min="15623" max="15623" width="10.109375" style="1841" customWidth="1"/>
    <col min="15624" max="15876" width="8.88671875" style="1841"/>
    <col min="15877" max="15877" width="5.44140625" style="1841" customWidth="1"/>
    <col min="15878" max="15878" width="24.5546875" style="1841" customWidth="1"/>
    <col min="15879" max="15879" width="10.109375" style="1841" customWidth="1"/>
    <col min="15880" max="16132" width="8.88671875" style="1841"/>
    <col min="16133" max="16133" width="5.44140625" style="1841" customWidth="1"/>
    <col min="16134" max="16134" width="24.5546875" style="1841" customWidth="1"/>
    <col min="16135" max="16135" width="10.109375" style="1841" customWidth="1"/>
    <col min="16136" max="16384" width="8.88671875" style="1841"/>
  </cols>
  <sheetData>
    <row r="1" spans="1:17">
      <c r="A1" s="2783" t="s">
        <v>69</v>
      </c>
      <c r="L1" s="1840" t="s">
        <v>1137</v>
      </c>
    </row>
    <row r="4" spans="1:17">
      <c r="A4" s="2988" t="s">
        <v>1901</v>
      </c>
      <c r="B4" s="2988"/>
      <c r="C4" s="2988"/>
      <c r="D4" s="2988"/>
      <c r="E4" s="2988"/>
      <c r="F4" s="2988"/>
      <c r="G4" s="2988"/>
      <c r="H4" s="2988"/>
      <c r="I4" s="2988"/>
      <c r="J4" s="2988"/>
      <c r="K4" s="2988"/>
      <c r="L4" s="2988"/>
      <c r="M4" s="2988"/>
      <c r="N4" s="2988"/>
      <c r="O4" s="2988"/>
      <c r="P4" s="2988"/>
      <c r="Q4" s="2988"/>
    </row>
    <row r="5" spans="1:17">
      <c r="A5" s="2986" t="s">
        <v>1055</v>
      </c>
      <c r="B5" s="2986"/>
      <c r="C5" s="2986"/>
      <c r="D5" s="2986"/>
      <c r="E5" s="2986"/>
      <c r="F5" s="2986"/>
      <c r="G5" s="2986"/>
      <c r="H5" s="2986"/>
      <c r="I5" s="2986"/>
      <c r="J5" s="2986"/>
      <c r="K5" s="2986"/>
      <c r="L5" s="2986"/>
      <c r="M5" s="2986"/>
      <c r="N5" s="2986"/>
      <c r="O5" s="2986"/>
      <c r="P5" s="2986"/>
      <c r="Q5" s="2986"/>
    </row>
    <row r="6" spans="1:17">
      <c r="M6" s="1842"/>
      <c r="N6" s="1842"/>
      <c r="O6" s="1842"/>
      <c r="P6" s="1842"/>
      <c r="Q6" s="1842" t="s">
        <v>1056</v>
      </c>
    </row>
    <row r="7" spans="1:17" ht="27.75" customHeight="1">
      <c r="A7" s="2989" t="s">
        <v>49</v>
      </c>
      <c r="B7" s="2989" t="s">
        <v>1138</v>
      </c>
      <c r="C7" s="2991" t="s">
        <v>40</v>
      </c>
      <c r="D7" s="2989" t="s">
        <v>379</v>
      </c>
      <c r="E7" s="2993" t="s">
        <v>1902</v>
      </c>
      <c r="F7" s="2994"/>
      <c r="G7" s="2994"/>
      <c r="H7" s="2994"/>
      <c r="I7" s="2994"/>
      <c r="J7" s="2995"/>
      <c r="K7" s="2989" t="s">
        <v>1146</v>
      </c>
      <c r="L7" s="2989"/>
      <c r="M7" s="2989"/>
      <c r="N7" s="2993" t="s">
        <v>1906</v>
      </c>
      <c r="O7" s="2994"/>
      <c r="P7" s="2995"/>
      <c r="Q7" s="2989" t="s">
        <v>1903</v>
      </c>
    </row>
    <row r="8" spans="1:17" ht="167.4" customHeight="1">
      <c r="A8" s="2989"/>
      <c r="B8" s="2989"/>
      <c r="C8" s="2992"/>
      <c r="D8" s="2989"/>
      <c r="E8" s="2787" t="s">
        <v>1140</v>
      </c>
      <c r="F8" s="2901" t="s">
        <v>1141</v>
      </c>
      <c r="G8" s="2787" t="s">
        <v>1142</v>
      </c>
      <c r="H8" s="2787" t="s">
        <v>1143</v>
      </c>
      <c r="I8" s="2787" t="s">
        <v>1144</v>
      </c>
      <c r="J8" s="2787" t="s">
        <v>1145</v>
      </c>
      <c r="K8" s="1843" t="s">
        <v>379</v>
      </c>
      <c r="L8" s="1843" t="s">
        <v>1982</v>
      </c>
      <c r="M8" s="1843" t="s">
        <v>1983</v>
      </c>
      <c r="N8" s="2786" t="s">
        <v>379</v>
      </c>
      <c r="O8" s="2786" t="s">
        <v>917</v>
      </c>
      <c r="P8" s="2786" t="s">
        <v>918</v>
      </c>
      <c r="Q8" s="2989"/>
    </row>
    <row r="9" spans="1:17" ht="26.4">
      <c r="A9" s="1844" t="s">
        <v>80</v>
      </c>
      <c r="B9" s="1844" t="s">
        <v>81</v>
      </c>
      <c r="C9" s="1844" t="s">
        <v>1907</v>
      </c>
      <c r="D9" s="1844" t="s">
        <v>1904</v>
      </c>
      <c r="E9" s="1844">
        <v>3</v>
      </c>
      <c r="F9" s="2902">
        <v>4</v>
      </c>
      <c r="G9" s="1844">
        <v>5</v>
      </c>
      <c r="H9" s="1844">
        <v>6</v>
      </c>
      <c r="I9" s="1844">
        <v>7</v>
      </c>
      <c r="J9" s="1844">
        <v>8</v>
      </c>
      <c r="K9" s="1844" t="s">
        <v>1905</v>
      </c>
      <c r="L9" s="1844">
        <v>10</v>
      </c>
      <c r="M9" s="1844">
        <v>11</v>
      </c>
      <c r="N9" s="1844" t="s">
        <v>1185</v>
      </c>
      <c r="O9" s="1844">
        <v>13</v>
      </c>
      <c r="P9" s="1844">
        <v>14</v>
      </c>
      <c r="Q9" s="1844">
        <v>15</v>
      </c>
    </row>
    <row r="10" spans="1:17" ht="20.399999999999999" customHeight="1">
      <c r="A10" s="2809"/>
      <c r="B10" s="2809" t="s">
        <v>737</v>
      </c>
      <c r="C10" s="2906">
        <f>SUM(D10,K10,N10,Q10)</f>
        <v>4770143</v>
      </c>
      <c r="D10" s="2906">
        <f>SUM(E10:J10)</f>
        <v>3366824</v>
      </c>
      <c r="E10" s="2906">
        <f>E11</f>
        <v>1298690</v>
      </c>
      <c r="F10" s="2903">
        <f>F45</f>
        <v>2009103</v>
      </c>
      <c r="G10" s="2809"/>
      <c r="H10" s="2906">
        <f>H229</f>
        <v>1000</v>
      </c>
      <c r="I10" s="2906">
        <f>I228</f>
        <v>58031</v>
      </c>
      <c r="J10" s="2809"/>
      <c r="K10" s="2906">
        <f>L10+M10</f>
        <v>13341</v>
      </c>
      <c r="L10" s="2809"/>
      <c r="M10" s="2906">
        <f>SUM(M233)</f>
        <v>13341</v>
      </c>
      <c r="N10" s="2903">
        <f>O10+P10</f>
        <v>1272778</v>
      </c>
      <c r="O10" s="2906">
        <f>SUM(O243)</f>
        <v>975461</v>
      </c>
      <c r="P10" s="2906">
        <f>SUM(P243)</f>
        <v>297317</v>
      </c>
      <c r="Q10" s="3181">
        <f>Q283</f>
        <v>117200</v>
      </c>
    </row>
    <row r="11" spans="1:17" ht="18.600000000000001" customHeight="1">
      <c r="A11" s="2809" t="s">
        <v>80</v>
      </c>
      <c r="B11" s="3182" t="s">
        <v>1978</v>
      </c>
      <c r="C11" s="2906">
        <f t="shared" ref="C11:C74" si="0">SUM(D11,K11,N11,Q11)</f>
        <v>1298690</v>
      </c>
      <c r="D11" s="2906">
        <f t="shared" ref="D11:D74" si="1">SUM(E11:J11)</f>
        <v>1298690</v>
      </c>
      <c r="E11" s="2906">
        <f>SUM(E12:E44)</f>
        <v>1298690</v>
      </c>
      <c r="F11" s="2903"/>
      <c r="G11" s="2809"/>
      <c r="H11" s="2809"/>
      <c r="I11" s="2809"/>
      <c r="J11" s="2809"/>
      <c r="K11" s="2906">
        <f t="shared" ref="K11:K74" si="2">L11+M11</f>
        <v>0</v>
      </c>
      <c r="L11" s="2809"/>
      <c r="M11" s="2809"/>
      <c r="N11" s="2903">
        <f t="shared" ref="N11:N74" si="3">O11+P11</f>
        <v>0</v>
      </c>
      <c r="O11" s="2809"/>
      <c r="P11" s="2809"/>
      <c r="Q11" s="2809"/>
    </row>
    <row r="12" spans="1:17" ht="39.6">
      <c r="A12" s="1844">
        <v>1</v>
      </c>
      <c r="B12" s="3183" t="s">
        <v>1504</v>
      </c>
      <c r="C12" s="3208">
        <f t="shared" si="0"/>
        <v>22000</v>
      </c>
      <c r="D12" s="3208">
        <f t="shared" si="1"/>
        <v>22000</v>
      </c>
      <c r="E12" s="3184">
        <v>22000</v>
      </c>
      <c r="F12" s="2902"/>
      <c r="G12" s="1844"/>
      <c r="H12" s="1844"/>
      <c r="I12" s="1844"/>
      <c r="J12" s="1844"/>
      <c r="K12" s="3208">
        <f t="shared" si="2"/>
        <v>0</v>
      </c>
      <c r="L12" s="1844"/>
      <c r="M12" s="1844"/>
      <c r="N12" s="2902">
        <f t="shared" si="3"/>
        <v>0</v>
      </c>
      <c r="O12" s="1844"/>
      <c r="P12" s="1844"/>
      <c r="Q12" s="2809"/>
    </row>
    <row r="13" spans="1:17">
      <c r="A13" s="1844">
        <v>2</v>
      </c>
      <c r="B13" s="3183" t="s">
        <v>1505</v>
      </c>
      <c r="C13" s="3208">
        <f t="shared" si="0"/>
        <v>0</v>
      </c>
      <c r="D13" s="3208">
        <f t="shared" si="1"/>
        <v>0</v>
      </c>
      <c r="E13" s="3184">
        <v>0</v>
      </c>
      <c r="F13" s="2902"/>
      <c r="G13" s="1844"/>
      <c r="H13" s="1844"/>
      <c r="I13" s="1844"/>
      <c r="J13" s="1844"/>
      <c r="K13" s="3208">
        <f t="shared" si="2"/>
        <v>0</v>
      </c>
      <c r="L13" s="1844"/>
      <c r="M13" s="1844"/>
      <c r="N13" s="2902">
        <f t="shared" si="3"/>
        <v>0</v>
      </c>
      <c r="O13" s="1844"/>
      <c r="P13" s="1844"/>
      <c r="Q13" s="2809"/>
    </row>
    <row r="14" spans="1:17">
      <c r="A14" s="1844">
        <v>3</v>
      </c>
      <c r="B14" s="3183" t="s">
        <v>1506</v>
      </c>
      <c r="C14" s="3208">
        <f t="shared" si="0"/>
        <v>0</v>
      </c>
      <c r="D14" s="3208">
        <f t="shared" si="1"/>
        <v>0</v>
      </c>
      <c r="E14" s="3184">
        <v>0</v>
      </c>
      <c r="F14" s="2902"/>
      <c r="G14" s="1844"/>
      <c r="H14" s="1844"/>
      <c r="I14" s="1844"/>
      <c r="J14" s="1844"/>
      <c r="K14" s="3208">
        <f t="shared" si="2"/>
        <v>0</v>
      </c>
      <c r="L14" s="1844"/>
      <c r="M14" s="1844"/>
      <c r="N14" s="2902">
        <f t="shared" si="3"/>
        <v>0</v>
      </c>
      <c r="O14" s="1844"/>
      <c r="P14" s="1844"/>
      <c r="Q14" s="2809"/>
    </row>
    <row r="15" spans="1:17">
      <c r="A15" s="1844">
        <v>4</v>
      </c>
      <c r="B15" s="3183" t="s">
        <v>1507</v>
      </c>
      <c r="C15" s="3208">
        <f t="shared" si="0"/>
        <v>4500</v>
      </c>
      <c r="D15" s="3208">
        <f t="shared" si="1"/>
        <v>4500</v>
      </c>
      <c r="E15" s="3184">
        <v>4500</v>
      </c>
      <c r="F15" s="2902"/>
      <c r="G15" s="1844"/>
      <c r="H15" s="1844"/>
      <c r="I15" s="1844"/>
      <c r="J15" s="1844"/>
      <c r="K15" s="3208">
        <f t="shared" si="2"/>
        <v>0</v>
      </c>
      <c r="L15" s="1844"/>
      <c r="M15" s="1844"/>
      <c r="N15" s="2902">
        <f t="shared" si="3"/>
        <v>0</v>
      </c>
      <c r="O15" s="1844"/>
      <c r="P15" s="1844"/>
      <c r="Q15" s="2809"/>
    </row>
    <row r="16" spans="1:17">
      <c r="A16" s="1844">
        <v>5</v>
      </c>
      <c r="B16" s="3183" t="s">
        <v>1462</v>
      </c>
      <c r="C16" s="3208">
        <f t="shared" si="0"/>
        <v>2000</v>
      </c>
      <c r="D16" s="3208">
        <f t="shared" si="1"/>
        <v>2000</v>
      </c>
      <c r="E16" s="3184">
        <v>2000</v>
      </c>
      <c r="F16" s="2902"/>
      <c r="G16" s="1844"/>
      <c r="H16" s="1844"/>
      <c r="I16" s="1844"/>
      <c r="J16" s="1844"/>
      <c r="K16" s="3208">
        <f t="shared" si="2"/>
        <v>0</v>
      </c>
      <c r="L16" s="1844"/>
      <c r="M16" s="1844"/>
      <c r="N16" s="2902">
        <f t="shared" si="3"/>
        <v>0</v>
      </c>
      <c r="O16" s="1844"/>
      <c r="P16" s="1844"/>
      <c r="Q16" s="2809"/>
    </row>
    <row r="17" spans="1:17" ht="39.6">
      <c r="A17" s="1844">
        <v>6</v>
      </c>
      <c r="B17" s="3183" t="s">
        <v>1508</v>
      </c>
      <c r="C17" s="3208">
        <f t="shared" si="0"/>
        <v>750</v>
      </c>
      <c r="D17" s="3208">
        <f t="shared" si="1"/>
        <v>750</v>
      </c>
      <c r="E17" s="3184">
        <v>750</v>
      </c>
      <c r="F17" s="2902"/>
      <c r="G17" s="1844"/>
      <c r="H17" s="1844"/>
      <c r="I17" s="1844"/>
      <c r="J17" s="1844"/>
      <c r="K17" s="3208">
        <f t="shared" si="2"/>
        <v>0</v>
      </c>
      <c r="L17" s="1844"/>
      <c r="M17" s="1844"/>
      <c r="N17" s="2902">
        <f t="shared" si="3"/>
        <v>0</v>
      </c>
      <c r="O17" s="1844"/>
      <c r="P17" s="1844"/>
      <c r="Q17" s="2809"/>
    </row>
    <row r="18" spans="1:17">
      <c r="A18" s="1844">
        <v>7</v>
      </c>
      <c r="B18" s="3183" t="s">
        <v>1509</v>
      </c>
      <c r="C18" s="3208">
        <f t="shared" si="0"/>
        <v>3000</v>
      </c>
      <c r="D18" s="3208">
        <f t="shared" si="1"/>
        <v>3000</v>
      </c>
      <c r="E18" s="3184">
        <v>3000</v>
      </c>
      <c r="F18" s="2902"/>
      <c r="G18" s="1844"/>
      <c r="H18" s="1844"/>
      <c r="I18" s="1844"/>
      <c r="J18" s="1844"/>
      <c r="K18" s="3208">
        <f t="shared" si="2"/>
        <v>0</v>
      </c>
      <c r="L18" s="1844"/>
      <c r="M18" s="1844"/>
      <c r="N18" s="2902">
        <f t="shared" si="3"/>
        <v>0</v>
      </c>
      <c r="O18" s="1844"/>
      <c r="P18" s="1844"/>
      <c r="Q18" s="2809"/>
    </row>
    <row r="19" spans="1:17">
      <c r="A19" s="1844">
        <v>8</v>
      </c>
      <c r="B19" s="3183" t="s">
        <v>622</v>
      </c>
      <c r="C19" s="3208">
        <f t="shared" si="0"/>
        <v>117000</v>
      </c>
      <c r="D19" s="3208">
        <f t="shared" si="1"/>
        <v>117000</v>
      </c>
      <c r="E19" s="3184">
        <v>117000</v>
      </c>
      <c r="F19" s="2902"/>
      <c r="G19" s="1844"/>
      <c r="H19" s="1844"/>
      <c r="I19" s="1844"/>
      <c r="J19" s="1844"/>
      <c r="K19" s="3208">
        <f t="shared" si="2"/>
        <v>0</v>
      </c>
      <c r="L19" s="1844"/>
      <c r="M19" s="1844"/>
      <c r="N19" s="2902">
        <f t="shared" si="3"/>
        <v>0</v>
      </c>
      <c r="O19" s="1844"/>
      <c r="P19" s="1844"/>
      <c r="Q19" s="2809"/>
    </row>
    <row r="20" spans="1:17">
      <c r="A20" s="1844">
        <v>9</v>
      </c>
      <c r="B20" s="3183" t="s">
        <v>611</v>
      </c>
      <c r="C20" s="3208">
        <f t="shared" si="0"/>
        <v>0</v>
      </c>
      <c r="D20" s="3208">
        <f t="shared" si="1"/>
        <v>0</v>
      </c>
      <c r="E20" s="3184">
        <v>0</v>
      </c>
      <c r="F20" s="2902"/>
      <c r="G20" s="1844"/>
      <c r="H20" s="1844"/>
      <c r="I20" s="1844"/>
      <c r="J20" s="1844"/>
      <c r="K20" s="3208">
        <f t="shared" si="2"/>
        <v>0</v>
      </c>
      <c r="L20" s="1844"/>
      <c r="M20" s="1844"/>
      <c r="N20" s="2902">
        <f t="shared" si="3"/>
        <v>0</v>
      </c>
      <c r="O20" s="1844"/>
      <c r="P20" s="1844"/>
      <c r="Q20" s="2809"/>
    </row>
    <row r="21" spans="1:17">
      <c r="A21" s="1844">
        <v>10</v>
      </c>
      <c r="B21" s="3183" t="s">
        <v>598</v>
      </c>
      <c r="C21" s="3208">
        <f t="shared" si="0"/>
        <v>0</v>
      </c>
      <c r="D21" s="3208">
        <f t="shared" si="1"/>
        <v>0</v>
      </c>
      <c r="E21" s="3184">
        <v>0</v>
      </c>
      <c r="F21" s="2902"/>
      <c r="G21" s="1844"/>
      <c r="H21" s="1844"/>
      <c r="I21" s="1844"/>
      <c r="J21" s="1844"/>
      <c r="K21" s="3208">
        <f t="shared" si="2"/>
        <v>0</v>
      </c>
      <c r="L21" s="1844"/>
      <c r="M21" s="1844"/>
      <c r="N21" s="2902">
        <f t="shared" si="3"/>
        <v>0</v>
      </c>
      <c r="O21" s="1844"/>
      <c r="P21" s="1844"/>
      <c r="Q21" s="2809"/>
    </row>
    <row r="22" spans="1:17">
      <c r="A22" s="1844">
        <v>11</v>
      </c>
      <c r="B22" s="3183" t="s">
        <v>621</v>
      </c>
      <c r="C22" s="3208">
        <f t="shared" si="0"/>
        <v>86700</v>
      </c>
      <c r="D22" s="3208">
        <f t="shared" si="1"/>
        <v>86700</v>
      </c>
      <c r="E22" s="3184">
        <v>86700</v>
      </c>
      <c r="F22" s="2902"/>
      <c r="G22" s="1844"/>
      <c r="H22" s="1844"/>
      <c r="I22" s="1844"/>
      <c r="J22" s="1844"/>
      <c r="K22" s="3208">
        <f t="shared" si="2"/>
        <v>0</v>
      </c>
      <c r="L22" s="1844"/>
      <c r="M22" s="1844"/>
      <c r="N22" s="2902">
        <f t="shared" si="3"/>
        <v>0</v>
      </c>
      <c r="O22" s="1844"/>
      <c r="P22" s="1844"/>
      <c r="Q22" s="2809"/>
    </row>
    <row r="23" spans="1:17" ht="26.4">
      <c r="A23" s="1844">
        <v>12</v>
      </c>
      <c r="B23" s="3183" t="s">
        <v>1510</v>
      </c>
      <c r="C23" s="3208">
        <f t="shared" si="0"/>
        <v>169805</v>
      </c>
      <c r="D23" s="3208">
        <f t="shared" si="1"/>
        <v>169805</v>
      </c>
      <c r="E23" s="3184">
        <v>169805</v>
      </c>
      <c r="F23" s="2902"/>
      <c r="G23" s="1844"/>
      <c r="H23" s="1844"/>
      <c r="I23" s="1844"/>
      <c r="J23" s="1844"/>
      <c r="K23" s="3208">
        <f t="shared" si="2"/>
        <v>0</v>
      </c>
      <c r="L23" s="1844"/>
      <c r="M23" s="1844"/>
      <c r="N23" s="2902">
        <f t="shared" si="3"/>
        <v>0</v>
      </c>
      <c r="O23" s="1844"/>
      <c r="P23" s="1844"/>
      <c r="Q23" s="2809"/>
    </row>
    <row r="24" spans="1:17">
      <c r="A24" s="1844">
        <v>13</v>
      </c>
      <c r="B24" s="3183" t="s">
        <v>1511</v>
      </c>
      <c r="C24" s="3208">
        <f t="shared" si="0"/>
        <v>11100</v>
      </c>
      <c r="D24" s="3208">
        <f t="shared" si="1"/>
        <v>11100</v>
      </c>
      <c r="E24" s="3184">
        <v>11100</v>
      </c>
      <c r="F24" s="2902"/>
      <c r="G24" s="1844"/>
      <c r="H24" s="1844"/>
      <c r="I24" s="1844"/>
      <c r="J24" s="1844"/>
      <c r="K24" s="3208">
        <f t="shared" si="2"/>
        <v>0</v>
      </c>
      <c r="L24" s="1844"/>
      <c r="M24" s="1844"/>
      <c r="N24" s="2902">
        <f t="shared" si="3"/>
        <v>0</v>
      </c>
      <c r="O24" s="1844"/>
      <c r="P24" s="1844"/>
      <c r="Q24" s="2809"/>
    </row>
    <row r="25" spans="1:17">
      <c r="A25" s="1844">
        <v>14</v>
      </c>
      <c r="B25" s="3183" t="s">
        <v>1512</v>
      </c>
      <c r="C25" s="3208">
        <f t="shared" si="0"/>
        <v>228180</v>
      </c>
      <c r="D25" s="3208">
        <f t="shared" si="1"/>
        <v>228180</v>
      </c>
      <c r="E25" s="3184">
        <v>228180</v>
      </c>
      <c r="F25" s="2902"/>
      <c r="G25" s="1844"/>
      <c r="H25" s="1844"/>
      <c r="I25" s="1844"/>
      <c r="J25" s="1844"/>
      <c r="K25" s="3208">
        <f t="shared" si="2"/>
        <v>0</v>
      </c>
      <c r="L25" s="1844"/>
      <c r="M25" s="1844"/>
      <c r="N25" s="2902">
        <f t="shared" si="3"/>
        <v>0</v>
      </c>
      <c r="O25" s="1844"/>
      <c r="P25" s="1844"/>
      <c r="Q25" s="2809"/>
    </row>
    <row r="26" spans="1:17">
      <c r="A26" s="1844">
        <v>15</v>
      </c>
      <c r="B26" s="3183" t="s">
        <v>1513</v>
      </c>
      <c r="C26" s="3208">
        <f t="shared" si="0"/>
        <v>26600</v>
      </c>
      <c r="D26" s="3208">
        <f t="shared" si="1"/>
        <v>26600</v>
      </c>
      <c r="E26" s="3184">
        <v>26600</v>
      </c>
      <c r="F26" s="2902"/>
      <c r="G26" s="1844"/>
      <c r="H26" s="1844"/>
      <c r="I26" s="1844"/>
      <c r="J26" s="1844"/>
      <c r="K26" s="3208">
        <f t="shared" si="2"/>
        <v>0</v>
      </c>
      <c r="L26" s="1844"/>
      <c r="M26" s="1844"/>
      <c r="N26" s="2902">
        <f t="shared" si="3"/>
        <v>0</v>
      </c>
      <c r="O26" s="1844"/>
      <c r="P26" s="1844"/>
      <c r="Q26" s="2809"/>
    </row>
    <row r="27" spans="1:17">
      <c r="A27" s="1844">
        <v>16</v>
      </c>
      <c r="B27" s="3183" t="s">
        <v>1514</v>
      </c>
      <c r="C27" s="3208">
        <f t="shared" si="0"/>
        <v>5000</v>
      </c>
      <c r="D27" s="3208">
        <f t="shared" si="1"/>
        <v>5000</v>
      </c>
      <c r="E27" s="3184">
        <v>5000</v>
      </c>
      <c r="F27" s="2902"/>
      <c r="G27" s="1844"/>
      <c r="H27" s="1844"/>
      <c r="I27" s="1844"/>
      <c r="J27" s="1844"/>
      <c r="K27" s="3208">
        <f t="shared" si="2"/>
        <v>0</v>
      </c>
      <c r="L27" s="1844"/>
      <c r="M27" s="1844"/>
      <c r="N27" s="2902">
        <f t="shared" si="3"/>
        <v>0</v>
      </c>
      <c r="O27" s="1844"/>
      <c r="P27" s="1844"/>
      <c r="Q27" s="2809"/>
    </row>
    <row r="28" spans="1:17">
      <c r="A28" s="1844">
        <v>17</v>
      </c>
      <c r="B28" s="3183" t="s">
        <v>1515</v>
      </c>
      <c r="C28" s="3208">
        <f t="shared" si="0"/>
        <v>27400</v>
      </c>
      <c r="D28" s="3208">
        <f t="shared" si="1"/>
        <v>27400</v>
      </c>
      <c r="E28" s="3184">
        <v>27400</v>
      </c>
      <c r="F28" s="2902"/>
      <c r="G28" s="1844"/>
      <c r="H28" s="1844"/>
      <c r="I28" s="1844"/>
      <c r="J28" s="1844"/>
      <c r="K28" s="3208">
        <f t="shared" si="2"/>
        <v>0</v>
      </c>
      <c r="L28" s="1844"/>
      <c r="M28" s="1844"/>
      <c r="N28" s="2902">
        <f t="shared" si="3"/>
        <v>0</v>
      </c>
      <c r="O28" s="1844"/>
      <c r="P28" s="1844"/>
      <c r="Q28" s="2809"/>
    </row>
    <row r="29" spans="1:17">
      <c r="A29" s="1844">
        <v>18</v>
      </c>
      <c r="B29" s="3183" t="s">
        <v>1516</v>
      </c>
      <c r="C29" s="3208">
        <f t="shared" si="0"/>
        <v>13000</v>
      </c>
      <c r="D29" s="3208">
        <f t="shared" si="1"/>
        <v>13000</v>
      </c>
      <c r="E29" s="3184">
        <v>13000</v>
      </c>
      <c r="F29" s="2902"/>
      <c r="G29" s="1844"/>
      <c r="H29" s="1844"/>
      <c r="I29" s="1844"/>
      <c r="J29" s="1844"/>
      <c r="K29" s="3208">
        <f t="shared" si="2"/>
        <v>0</v>
      </c>
      <c r="L29" s="1844"/>
      <c r="M29" s="1844"/>
      <c r="N29" s="2902">
        <f t="shared" si="3"/>
        <v>0</v>
      </c>
      <c r="O29" s="1844"/>
      <c r="P29" s="1844"/>
      <c r="Q29" s="2809"/>
    </row>
    <row r="30" spans="1:17">
      <c r="A30" s="1844">
        <v>19</v>
      </c>
      <c r="B30" s="3183" t="s">
        <v>1517</v>
      </c>
      <c r="C30" s="3208">
        <f t="shared" si="0"/>
        <v>4500</v>
      </c>
      <c r="D30" s="3208">
        <f t="shared" si="1"/>
        <v>4500</v>
      </c>
      <c r="E30" s="3184">
        <v>4500</v>
      </c>
      <c r="F30" s="2902"/>
      <c r="G30" s="1844"/>
      <c r="H30" s="1844"/>
      <c r="I30" s="1844"/>
      <c r="J30" s="1844"/>
      <c r="K30" s="3208">
        <f t="shared" si="2"/>
        <v>0</v>
      </c>
      <c r="L30" s="1844"/>
      <c r="M30" s="1844"/>
      <c r="N30" s="2902">
        <f t="shared" si="3"/>
        <v>0</v>
      </c>
      <c r="O30" s="1844"/>
      <c r="P30" s="1844"/>
      <c r="Q30" s="2809"/>
    </row>
    <row r="31" spans="1:17">
      <c r="A31" s="1844">
        <v>20</v>
      </c>
      <c r="B31" s="3183" t="s">
        <v>1518</v>
      </c>
      <c r="C31" s="3208">
        <f t="shared" si="0"/>
        <v>3000</v>
      </c>
      <c r="D31" s="3208">
        <f t="shared" si="1"/>
        <v>3000</v>
      </c>
      <c r="E31" s="3184">
        <v>3000</v>
      </c>
      <c r="F31" s="2902"/>
      <c r="G31" s="1844"/>
      <c r="H31" s="1844"/>
      <c r="I31" s="1844"/>
      <c r="J31" s="1844"/>
      <c r="K31" s="3208">
        <f t="shared" si="2"/>
        <v>0</v>
      </c>
      <c r="L31" s="1844"/>
      <c r="M31" s="1844"/>
      <c r="N31" s="2902">
        <f t="shared" si="3"/>
        <v>0</v>
      </c>
      <c r="O31" s="1844"/>
      <c r="P31" s="1844"/>
      <c r="Q31" s="2809"/>
    </row>
    <row r="32" spans="1:17">
      <c r="A32" s="1844">
        <v>21</v>
      </c>
      <c r="B32" s="3183" t="s">
        <v>498</v>
      </c>
      <c r="C32" s="3208">
        <f t="shared" si="0"/>
        <v>19900</v>
      </c>
      <c r="D32" s="3208">
        <f t="shared" si="1"/>
        <v>19900</v>
      </c>
      <c r="E32" s="3184">
        <v>19900</v>
      </c>
      <c r="F32" s="2902"/>
      <c r="G32" s="1844"/>
      <c r="H32" s="1844"/>
      <c r="I32" s="1844"/>
      <c r="J32" s="1844"/>
      <c r="K32" s="3208">
        <f t="shared" si="2"/>
        <v>0</v>
      </c>
      <c r="L32" s="1844"/>
      <c r="M32" s="1844"/>
      <c r="N32" s="2902">
        <f t="shared" si="3"/>
        <v>0</v>
      </c>
      <c r="O32" s="1844"/>
      <c r="P32" s="1844"/>
      <c r="Q32" s="2809"/>
    </row>
    <row r="33" spans="1:17" ht="26.4">
      <c r="A33" s="1844">
        <v>22</v>
      </c>
      <c r="B33" s="3183" t="s">
        <v>1519</v>
      </c>
      <c r="C33" s="3208">
        <f t="shared" si="0"/>
        <v>5500</v>
      </c>
      <c r="D33" s="3208">
        <f t="shared" si="1"/>
        <v>5500</v>
      </c>
      <c r="E33" s="3184">
        <v>5500</v>
      </c>
      <c r="F33" s="2902"/>
      <c r="G33" s="1844"/>
      <c r="H33" s="1844"/>
      <c r="I33" s="1844"/>
      <c r="J33" s="1844"/>
      <c r="K33" s="3208">
        <f t="shared" si="2"/>
        <v>0</v>
      </c>
      <c r="L33" s="1844"/>
      <c r="M33" s="1844"/>
      <c r="N33" s="2902">
        <f t="shared" si="3"/>
        <v>0</v>
      </c>
      <c r="O33" s="1844"/>
      <c r="P33" s="1844"/>
      <c r="Q33" s="2809"/>
    </row>
    <row r="34" spans="1:17">
      <c r="A34" s="1844">
        <v>23</v>
      </c>
      <c r="B34" s="3183" t="s">
        <v>502</v>
      </c>
      <c r="C34" s="3208">
        <f t="shared" si="0"/>
        <v>5000</v>
      </c>
      <c r="D34" s="3208">
        <f t="shared" si="1"/>
        <v>5000</v>
      </c>
      <c r="E34" s="3184">
        <v>5000</v>
      </c>
      <c r="F34" s="2902"/>
      <c r="G34" s="1844"/>
      <c r="H34" s="1844"/>
      <c r="I34" s="1844"/>
      <c r="J34" s="1844"/>
      <c r="K34" s="3208">
        <f t="shared" si="2"/>
        <v>0</v>
      </c>
      <c r="L34" s="1844"/>
      <c r="M34" s="1844"/>
      <c r="N34" s="2902">
        <f t="shared" si="3"/>
        <v>0</v>
      </c>
      <c r="O34" s="1844"/>
      <c r="P34" s="1844"/>
      <c r="Q34" s="2809"/>
    </row>
    <row r="35" spans="1:17">
      <c r="A35" s="1844">
        <v>24</v>
      </c>
      <c r="B35" s="3183" t="s">
        <v>1520</v>
      </c>
      <c r="C35" s="3208">
        <f t="shared" si="0"/>
        <v>30500</v>
      </c>
      <c r="D35" s="3208">
        <f t="shared" si="1"/>
        <v>30500</v>
      </c>
      <c r="E35" s="3184">
        <v>30500</v>
      </c>
      <c r="F35" s="2902"/>
      <c r="G35" s="1844"/>
      <c r="H35" s="1844"/>
      <c r="I35" s="1844"/>
      <c r="J35" s="1844"/>
      <c r="K35" s="3208">
        <f t="shared" si="2"/>
        <v>0</v>
      </c>
      <c r="L35" s="1844"/>
      <c r="M35" s="1844"/>
      <c r="N35" s="2902">
        <f t="shared" si="3"/>
        <v>0</v>
      </c>
      <c r="O35" s="1844"/>
      <c r="P35" s="1844"/>
      <c r="Q35" s="2809"/>
    </row>
    <row r="36" spans="1:17">
      <c r="A36" s="1844">
        <v>25</v>
      </c>
      <c r="B36" s="3183" t="s">
        <v>1521</v>
      </c>
      <c r="C36" s="3208">
        <f t="shared" si="0"/>
        <v>64900</v>
      </c>
      <c r="D36" s="3208">
        <f t="shared" si="1"/>
        <v>64900</v>
      </c>
      <c r="E36" s="3184">
        <v>64900</v>
      </c>
      <c r="F36" s="2902"/>
      <c r="G36" s="1844"/>
      <c r="H36" s="1844"/>
      <c r="I36" s="1844"/>
      <c r="J36" s="1844"/>
      <c r="K36" s="3208">
        <f t="shared" si="2"/>
        <v>0</v>
      </c>
      <c r="L36" s="1844"/>
      <c r="M36" s="1844"/>
      <c r="N36" s="2902">
        <f t="shared" si="3"/>
        <v>0</v>
      </c>
      <c r="O36" s="1844"/>
      <c r="P36" s="1844"/>
      <c r="Q36" s="2809"/>
    </row>
    <row r="37" spans="1:17">
      <c r="A37" s="1844">
        <v>26</v>
      </c>
      <c r="B37" s="3183" t="s">
        <v>1522</v>
      </c>
      <c r="C37" s="3208">
        <f t="shared" si="0"/>
        <v>20500</v>
      </c>
      <c r="D37" s="3208">
        <f t="shared" si="1"/>
        <v>20500</v>
      </c>
      <c r="E37" s="3184">
        <v>20500</v>
      </c>
      <c r="F37" s="2902"/>
      <c r="G37" s="1844"/>
      <c r="H37" s="1844"/>
      <c r="I37" s="1844"/>
      <c r="J37" s="1844"/>
      <c r="K37" s="3208">
        <f t="shared" si="2"/>
        <v>0</v>
      </c>
      <c r="L37" s="1844"/>
      <c r="M37" s="1844"/>
      <c r="N37" s="2902">
        <f t="shared" si="3"/>
        <v>0</v>
      </c>
      <c r="O37" s="1844"/>
      <c r="P37" s="1844"/>
      <c r="Q37" s="2809"/>
    </row>
    <row r="38" spans="1:17">
      <c r="A38" s="1844">
        <v>27</v>
      </c>
      <c r="B38" s="3183" t="s">
        <v>1523</v>
      </c>
      <c r="C38" s="3208">
        <f t="shared" si="0"/>
        <v>38300</v>
      </c>
      <c r="D38" s="3208">
        <f t="shared" si="1"/>
        <v>38300</v>
      </c>
      <c r="E38" s="3184">
        <v>38300</v>
      </c>
      <c r="F38" s="2902"/>
      <c r="G38" s="1844"/>
      <c r="H38" s="1844"/>
      <c r="I38" s="1844"/>
      <c r="J38" s="1844"/>
      <c r="K38" s="3208">
        <f t="shared" si="2"/>
        <v>0</v>
      </c>
      <c r="L38" s="1844"/>
      <c r="M38" s="1844"/>
      <c r="N38" s="2902">
        <f t="shared" si="3"/>
        <v>0</v>
      </c>
      <c r="O38" s="1844"/>
      <c r="P38" s="1844"/>
      <c r="Q38" s="2809"/>
    </row>
    <row r="39" spans="1:17">
      <c r="A39" s="1844">
        <v>28</v>
      </c>
      <c r="B39" s="3183" t="s">
        <v>1524</v>
      </c>
      <c r="C39" s="3208">
        <f t="shared" si="0"/>
        <v>100495</v>
      </c>
      <c r="D39" s="3208">
        <f t="shared" si="1"/>
        <v>100495</v>
      </c>
      <c r="E39" s="3184">
        <v>100495</v>
      </c>
      <c r="F39" s="2902"/>
      <c r="G39" s="1844"/>
      <c r="H39" s="1844"/>
      <c r="I39" s="1844"/>
      <c r="J39" s="1844"/>
      <c r="K39" s="3208">
        <f t="shared" si="2"/>
        <v>0</v>
      </c>
      <c r="L39" s="1844"/>
      <c r="M39" s="1844"/>
      <c r="N39" s="2902">
        <f t="shared" si="3"/>
        <v>0</v>
      </c>
      <c r="O39" s="1844"/>
      <c r="P39" s="1844"/>
      <c r="Q39" s="2809"/>
    </row>
    <row r="40" spans="1:17">
      <c r="A40" s="1844">
        <v>29</v>
      </c>
      <c r="B40" s="3183" t="s">
        <v>1525</v>
      </c>
      <c r="C40" s="3208">
        <f t="shared" si="0"/>
        <v>68800</v>
      </c>
      <c r="D40" s="3208">
        <f t="shared" si="1"/>
        <v>68800</v>
      </c>
      <c r="E40" s="3184">
        <v>68800</v>
      </c>
      <c r="F40" s="2902"/>
      <c r="G40" s="1844"/>
      <c r="H40" s="1844"/>
      <c r="I40" s="1844"/>
      <c r="J40" s="1844"/>
      <c r="K40" s="3208">
        <f t="shared" si="2"/>
        <v>0</v>
      </c>
      <c r="L40" s="1844"/>
      <c r="M40" s="1844"/>
      <c r="N40" s="2902">
        <f t="shared" si="3"/>
        <v>0</v>
      </c>
      <c r="O40" s="1844"/>
      <c r="P40" s="1844"/>
      <c r="Q40" s="2809"/>
    </row>
    <row r="41" spans="1:17">
      <c r="A41" s="1844">
        <v>30</v>
      </c>
      <c r="B41" s="3183" t="s">
        <v>1526</v>
      </c>
      <c r="C41" s="3208">
        <f t="shared" si="0"/>
        <v>32900</v>
      </c>
      <c r="D41" s="3208">
        <f t="shared" si="1"/>
        <v>32900</v>
      </c>
      <c r="E41" s="3184">
        <v>32900</v>
      </c>
      <c r="F41" s="2902"/>
      <c r="G41" s="1844"/>
      <c r="H41" s="1844"/>
      <c r="I41" s="1844"/>
      <c r="J41" s="1844"/>
      <c r="K41" s="3208">
        <f t="shared" si="2"/>
        <v>0</v>
      </c>
      <c r="L41" s="1844"/>
      <c r="M41" s="1844"/>
      <c r="N41" s="2902">
        <f t="shared" si="3"/>
        <v>0</v>
      </c>
      <c r="O41" s="1844"/>
      <c r="P41" s="1844"/>
      <c r="Q41" s="2809"/>
    </row>
    <row r="42" spans="1:17">
      <c r="A42" s="1844">
        <v>31</v>
      </c>
      <c r="B42" s="3183" t="s">
        <v>1527</v>
      </c>
      <c r="C42" s="3208">
        <f t="shared" si="0"/>
        <v>40060</v>
      </c>
      <c r="D42" s="3208">
        <f t="shared" si="1"/>
        <v>40060</v>
      </c>
      <c r="E42" s="3184">
        <v>40060</v>
      </c>
      <c r="F42" s="2902"/>
      <c r="G42" s="1844"/>
      <c r="H42" s="1844"/>
      <c r="I42" s="1844"/>
      <c r="J42" s="1844"/>
      <c r="K42" s="3208">
        <f t="shared" si="2"/>
        <v>0</v>
      </c>
      <c r="L42" s="1844"/>
      <c r="M42" s="1844"/>
      <c r="N42" s="2902">
        <f t="shared" si="3"/>
        <v>0</v>
      </c>
      <c r="O42" s="1844"/>
      <c r="P42" s="1844"/>
      <c r="Q42" s="2809"/>
    </row>
    <row r="43" spans="1:17">
      <c r="A43" s="1844">
        <v>32</v>
      </c>
      <c r="B43" s="3183" t="s">
        <v>1528</v>
      </c>
      <c r="C43" s="3208">
        <f t="shared" si="0"/>
        <v>64600</v>
      </c>
      <c r="D43" s="3208">
        <f t="shared" si="1"/>
        <v>64600</v>
      </c>
      <c r="E43" s="3184">
        <v>64600</v>
      </c>
      <c r="F43" s="2902"/>
      <c r="G43" s="1844"/>
      <c r="H43" s="1844"/>
      <c r="I43" s="1844"/>
      <c r="J43" s="1844"/>
      <c r="K43" s="3208">
        <f t="shared" si="2"/>
        <v>0</v>
      </c>
      <c r="L43" s="1844"/>
      <c r="M43" s="1844"/>
      <c r="N43" s="2902">
        <f t="shared" si="3"/>
        <v>0</v>
      </c>
      <c r="O43" s="1844"/>
      <c r="P43" s="1844"/>
      <c r="Q43" s="2809"/>
    </row>
    <row r="44" spans="1:17">
      <c r="A44" s="1844">
        <v>33</v>
      </c>
      <c r="B44" s="3183" t="s">
        <v>1529</v>
      </c>
      <c r="C44" s="3208">
        <f t="shared" si="0"/>
        <v>82700</v>
      </c>
      <c r="D44" s="3208">
        <f t="shared" si="1"/>
        <v>82700</v>
      </c>
      <c r="E44" s="3184">
        <v>82700</v>
      </c>
      <c r="F44" s="2902"/>
      <c r="G44" s="1844"/>
      <c r="H44" s="1844"/>
      <c r="I44" s="1844"/>
      <c r="J44" s="1844"/>
      <c r="K44" s="3208">
        <f t="shared" si="2"/>
        <v>0</v>
      </c>
      <c r="L44" s="1844"/>
      <c r="M44" s="1844"/>
      <c r="N44" s="2902">
        <f t="shared" si="3"/>
        <v>0</v>
      </c>
      <c r="O44" s="1844"/>
      <c r="P44" s="1844"/>
      <c r="Q44" s="2809"/>
    </row>
    <row r="45" spans="1:17" s="1864" customFormat="1" ht="18.600000000000001" customHeight="1">
      <c r="A45" s="2809" t="s">
        <v>81</v>
      </c>
      <c r="B45" s="3185" t="s">
        <v>918</v>
      </c>
      <c r="C45" s="2906">
        <f t="shared" si="0"/>
        <v>2009103</v>
      </c>
      <c r="D45" s="2906">
        <f t="shared" si="1"/>
        <v>2009103</v>
      </c>
      <c r="E45" s="2809"/>
      <c r="F45" s="2903">
        <f>SUM(F46,F51,F52,F55,F56,F57,F58,F67,F97,F107,F108,F116,F117,F138,F142,F143,F146,F153,F157,F160,F164,F168,F169,F174,F178,F179,F182,F185,F188,F192,F195,F196,F198,F199,F200,F201,F202,F203,F204,F205,F206,F217,F221,F222,F223,F224,F225,F226,F227)</f>
        <v>2009103</v>
      </c>
      <c r="G45" s="2809"/>
      <c r="H45" s="2809"/>
      <c r="I45" s="2809"/>
      <c r="J45" s="2809"/>
      <c r="K45" s="3208">
        <f t="shared" si="2"/>
        <v>0</v>
      </c>
      <c r="L45" s="2809"/>
      <c r="M45" s="2809"/>
      <c r="N45" s="2902">
        <f t="shared" si="3"/>
        <v>0</v>
      </c>
      <c r="O45" s="2809"/>
      <c r="P45" s="2809"/>
      <c r="Q45" s="2809"/>
    </row>
    <row r="46" spans="1:17">
      <c r="A46" s="1844">
        <v>1</v>
      </c>
      <c r="B46" s="3186" t="s">
        <v>621</v>
      </c>
      <c r="C46" s="3208">
        <f t="shared" si="0"/>
        <v>357092</v>
      </c>
      <c r="D46" s="3208">
        <f t="shared" si="1"/>
        <v>357092</v>
      </c>
      <c r="E46" s="1844"/>
      <c r="F46" s="3187">
        <v>357092</v>
      </c>
      <c r="G46" s="1844"/>
      <c r="H46" s="1844"/>
      <c r="I46" s="1844"/>
      <c r="J46" s="1844"/>
      <c r="K46" s="3208">
        <f t="shared" si="2"/>
        <v>0</v>
      </c>
      <c r="L46" s="1844"/>
      <c r="M46" s="1844"/>
      <c r="N46" s="2902">
        <f t="shared" si="3"/>
        <v>0</v>
      </c>
      <c r="O46" s="1844"/>
      <c r="P46" s="1844"/>
      <c r="Q46" s="2809"/>
    </row>
    <row r="47" spans="1:17" hidden="1">
      <c r="A47" s="1844"/>
      <c r="B47" s="3186" t="s">
        <v>738</v>
      </c>
      <c r="C47" s="3208">
        <f t="shared" si="0"/>
        <v>347393</v>
      </c>
      <c r="D47" s="3208">
        <f t="shared" si="1"/>
        <v>347393</v>
      </c>
      <c r="E47" s="1844"/>
      <c r="F47" s="3187">
        <v>347393</v>
      </c>
      <c r="G47" s="1844"/>
      <c r="H47" s="1844"/>
      <c r="I47" s="1844"/>
      <c r="J47" s="1844"/>
      <c r="K47" s="3208">
        <f t="shared" si="2"/>
        <v>0</v>
      </c>
      <c r="L47" s="1844"/>
      <c r="M47" s="1844"/>
      <c r="N47" s="2902">
        <f t="shared" si="3"/>
        <v>0</v>
      </c>
      <c r="O47" s="1844"/>
      <c r="P47" s="1844"/>
      <c r="Q47" s="2809"/>
    </row>
    <row r="48" spans="1:17" hidden="1">
      <c r="A48" s="1844"/>
      <c r="B48" s="3186" t="s">
        <v>739</v>
      </c>
      <c r="C48" s="3208">
        <f t="shared" si="0"/>
        <v>7272</v>
      </c>
      <c r="D48" s="3208">
        <f t="shared" si="1"/>
        <v>7272</v>
      </c>
      <c r="E48" s="1844"/>
      <c r="F48" s="3187">
        <v>7272</v>
      </c>
      <c r="G48" s="1844"/>
      <c r="H48" s="1844"/>
      <c r="I48" s="1844"/>
      <c r="J48" s="1844"/>
      <c r="K48" s="3208">
        <f t="shared" si="2"/>
        <v>0</v>
      </c>
      <c r="L48" s="1844"/>
      <c r="M48" s="1844"/>
      <c r="N48" s="2902">
        <f t="shared" si="3"/>
        <v>0</v>
      </c>
      <c r="O48" s="1844"/>
      <c r="P48" s="1844"/>
      <c r="Q48" s="2809"/>
    </row>
    <row r="49" spans="1:17" hidden="1">
      <c r="A49" s="1844"/>
      <c r="B49" s="3186" t="s">
        <v>740</v>
      </c>
      <c r="C49" s="3208">
        <f t="shared" si="0"/>
        <v>702</v>
      </c>
      <c r="D49" s="3208">
        <f t="shared" si="1"/>
        <v>702</v>
      </c>
      <c r="E49" s="1844"/>
      <c r="F49" s="3187">
        <v>702</v>
      </c>
      <c r="G49" s="1844"/>
      <c r="H49" s="1844"/>
      <c r="I49" s="1844"/>
      <c r="J49" s="1844"/>
      <c r="K49" s="3208">
        <f t="shared" si="2"/>
        <v>0</v>
      </c>
      <c r="L49" s="1844"/>
      <c r="M49" s="1844"/>
      <c r="N49" s="2902">
        <f t="shared" si="3"/>
        <v>0</v>
      </c>
      <c r="O49" s="1844"/>
      <c r="P49" s="1844"/>
      <c r="Q49" s="2809"/>
    </row>
    <row r="50" spans="1:17" ht="39.6" hidden="1">
      <c r="A50" s="1844"/>
      <c r="B50" s="3186" t="s">
        <v>741</v>
      </c>
      <c r="C50" s="3208">
        <f t="shared" si="0"/>
        <v>1725</v>
      </c>
      <c r="D50" s="3208">
        <f t="shared" si="1"/>
        <v>1725</v>
      </c>
      <c r="E50" s="1844"/>
      <c r="F50" s="3187">
        <v>1725</v>
      </c>
      <c r="G50" s="1844"/>
      <c r="H50" s="1844"/>
      <c r="I50" s="1844"/>
      <c r="J50" s="1844"/>
      <c r="K50" s="3208">
        <f t="shared" si="2"/>
        <v>0</v>
      </c>
      <c r="L50" s="1844"/>
      <c r="M50" s="1844"/>
      <c r="N50" s="2902">
        <f t="shared" si="3"/>
        <v>0</v>
      </c>
      <c r="O50" s="1844"/>
      <c r="P50" s="1844"/>
      <c r="Q50" s="2809"/>
    </row>
    <row r="51" spans="1:17">
      <c r="A51" s="1844">
        <v>2</v>
      </c>
      <c r="B51" s="3186" t="s">
        <v>496</v>
      </c>
      <c r="C51" s="3208">
        <f t="shared" si="0"/>
        <v>10918</v>
      </c>
      <c r="D51" s="3208">
        <f t="shared" si="1"/>
        <v>10918</v>
      </c>
      <c r="E51" s="1844"/>
      <c r="F51" s="3187">
        <v>10918</v>
      </c>
      <c r="G51" s="1844"/>
      <c r="H51" s="1844"/>
      <c r="I51" s="1844"/>
      <c r="J51" s="1844"/>
      <c r="K51" s="3208">
        <f t="shared" si="2"/>
        <v>0</v>
      </c>
      <c r="L51" s="1844"/>
      <c r="M51" s="1844"/>
      <c r="N51" s="2902">
        <f t="shared" si="3"/>
        <v>0</v>
      </c>
      <c r="O51" s="1844"/>
      <c r="P51" s="1844"/>
      <c r="Q51" s="2809"/>
    </row>
    <row r="52" spans="1:17">
      <c r="A52" s="1844">
        <v>3</v>
      </c>
      <c r="B52" s="3186" t="s">
        <v>498</v>
      </c>
      <c r="C52" s="3208">
        <f t="shared" si="0"/>
        <v>18813</v>
      </c>
      <c r="D52" s="3208">
        <f t="shared" si="1"/>
        <v>18813</v>
      </c>
      <c r="E52" s="1844"/>
      <c r="F52" s="3187">
        <v>18813</v>
      </c>
      <c r="G52" s="1844"/>
      <c r="H52" s="1844"/>
      <c r="I52" s="1844"/>
      <c r="J52" s="1844"/>
      <c r="K52" s="3208">
        <f t="shared" si="2"/>
        <v>0</v>
      </c>
      <c r="L52" s="1844"/>
      <c r="M52" s="1844"/>
      <c r="N52" s="2902">
        <f t="shared" si="3"/>
        <v>0</v>
      </c>
      <c r="O52" s="1844"/>
      <c r="P52" s="1844"/>
      <c r="Q52" s="2809"/>
    </row>
    <row r="53" spans="1:17" hidden="1">
      <c r="A53" s="1844"/>
      <c r="B53" s="3186" t="s">
        <v>742</v>
      </c>
      <c r="C53" s="3208">
        <f t="shared" si="0"/>
        <v>18393</v>
      </c>
      <c r="D53" s="3208">
        <f t="shared" si="1"/>
        <v>18393</v>
      </c>
      <c r="E53" s="1844"/>
      <c r="F53" s="3187">
        <v>18393</v>
      </c>
      <c r="G53" s="1844"/>
      <c r="H53" s="1844"/>
      <c r="I53" s="1844"/>
      <c r="J53" s="1844"/>
      <c r="K53" s="3208">
        <f t="shared" si="2"/>
        <v>0</v>
      </c>
      <c r="L53" s="1844"/>
      <c r="M53" s="1844"/>
      <c r="N53" s="2902">
        <f t="shared" si="3"/>
        <v>0</v>
      </c>
      <c r="O53" s="1844"/>
      <c r="P53" s="1844"/>
      <c r="Q53" s="2809"/>
    </row>
    <row r="54" spans="1:17" ht="52.8" hidden="1">
      <c r="A54" s="1844"/>
      <c r="B54" s="3186" t="s">
        <v>743</v>
      </c>
      <c r="C54" s="3208">
        <f t="shared" si="0"/>
        <v>420</v>
      </c>
      <c r="D54" s="3208">
        <f t="shared" si="1"/>
        <v>420</v>
      </c>
      <c r="E54" s="1844"/>
      <c r="F54" s="3187">
        <v>420</v>
      </c>
      <c r="G54" s="1844"/>
      <c r="H54" s="1844"/>
      <c r="I54" s="1844"/>
      <c r="J54" s="1844"/>
      <c r="K54" s="3208">
        <f t="shared" si="2"/>
        <v>0</v>
      </c>
      <c r="L54" s="1844"/>
      <c r="M54" s="1844"/>
      <c r="N54" s="2902">
        <f t="shared" si="3"/>
        <v>0</v>
      </c>
      <c r="O54" s="1844"/>
      <c r="P54" s="1844"/>
      <c r="Q54" s="2809"/>
    </row>
    <row r="55" spans="1:17">
      <c r="A55" s="1844">
        <v>4</v>
      </c>
      <c r="B55" s="3186" t="s">
        <v>499</v>
      </c>
      <c r="C55" s="3208">
        <f t="shared" si="0"/>
        <v>8027</v>
      </c>
      <c r="D55" s="3208">
        <f t="shared" si="1"/>
        <v>8027</v>
      </c>
      <c r="E55" s="1844"/>
      <c r="F55" s="3187">
        <v>8027</v>
      </c>
      <c r="G55" s="1844"/>
      <c r="H55" s="1844"/>
      <c r="I55" s="1844"/>
      <c r="J55" s="1844"/>
      <c r="K55" s="3208">
        <f t="shared" si="2"/>
        <v>0</v>
      </c>
      <c r="L55" s="1844"/>
      <c r="M55" s="1844"/>
      <c r="N55" s="2902">
        <f t="shared" si="3"/>
        <v>0</v>
      </c>
      <c r="O55" s="1844"/>
      <c r="P55" s="1844"/>
      <c r="Q55" s="2809"/>
    </row>
    <row r="56" spans="1:17">
      <c r="A56" s="1844">
        <v>5</v>
      </c>
      <c r="B56" s="3186" t="s">
        <v>501</v>
      </c>
      <c r="C56" s="3208">
        <f t="shared" si="0"/>
        <v>3221</v>
      </c>
      <c r="D56" s="3208">
        <f t="shared" si="1"/>
        <v>3221</v>
      </c>
      <c r="E56" s="1844"/>
      <c r="F56" s="3187">
        <v>3221</v>
      </c>
      <c r="G56" s="1844"/>
      <c r="H56" s="1844"/>
      <c r="I56" s="1844"/>
      <c r="J56" s="1844"/>
      <c r="K56" s="3208">
        <f t="shared" si="2"/>
        <v>0</v>
      </c>
      <c r="L56" s="1844"/>
      <c r="M56" s="1844"/>
      <c r="N56" s="2902">
        <f t="shared" si="3"/>
        <v>0</v>
      </c>
      <c r="O56" s="1844"/>
      <c r="P56" s="1844"/>
      <c r="Q56" s="2809"/>
    </row>
    <row r="57" spans="1:17">
      <c r="A57" s="1844">
        <v>6</v>
      </c>
      <c r="B57" s="3186" t="s">
        <v>502</v>
      </c>
      <c r="C57" s="3208">
        <f t="shared" si="0"/>
        <v>7685</v>
      </c>
      <c r="D57" s="3208">
        <f t="shared" si="1"/>
        <v>7685</v>
      </c>
      <c r="E57" s="1844"/>
      <c r="F57" s="3187">
        <v>7685</v>
      </c>
      <c r="G57" s="1844"/>
      <c r="H57" s="1844"/>
      <c r="I57" s="1844"/>
      <c r="J57" s="1844"/>
      <c r="K57" s="3208">
        <f t="shared" si="2"/>
        <v>0</v>
      </c>
      <c r="L57" s="1844"/>
      <c r="M57" s="1844"/>
      <c r="N57" s="2902">
        <f t="shared" si="3"/>
        <v>0</v>
      </c>
      <c r="O57" s="1844"/>
      <c r="P57" s="1844"/>
      <c r="Q57" s="2809"/>
    </row>
    <row r="58" spans="1:17">
      <c r="A58" s="1844">
        <v>7</v>
      </c>
      <c r="B58" s="3186" t="s">
        <v>1488</v>
      </c>
      <c r="C58" s="3208">
        <f t="shared" si="0"/>
        <v>38198</v>
      </c>
      <c r="D58" s="3208">
        <f t="shared" si="1"/>
        <v>38198</v>
      </c>
      <c r="E58" s="1844"/>
      <c r="F58" s="3187">
        <v>38198</v>
      </c>
      <c r="G58" s="1844"/>
      <c r="H58" s="1844"/>
      <c r="I58" s="1844"/>
      <c r="J58" s="1844"/>
      <c r="K58" s="3208">
        <f t="shared" si="2"/>
        <v>0</v>
      </c>
      <c r="L58" s="1844"/>
      <c r="M58" s="1844"/>
      <c r="N58" s="2902">
        <f t="shared" si="3"/>
        <v>0</v>
      </c>
      <c r="O58" s="1844"/>
      <c r="P58" s="1844"/>
      <c r="Q58" s="2809"/>
    </row>
    <row r="59" spans="1:17" hidden="1">
      <c r="A59" s="1844"/>
      <c r="B59" s="3186" t="s">
        <v>582</v>
      </c>
      <c r="C59" s="3208">
        <f t="shared" si="0"/>
        <v>27969</v>
      </c>
      <c r="D59" s="3208">
        <f t="shared" si="1"/>
        <v>27969</v>
      </c>
      <c r="E59" s="1844"/>
      <c r="F59" s="3187">
        <v>27969</v>
      </c>
      <c r="G59" s="1844"/>
      <c r="H59" s="1844"/>
      <c r="I59" s="1844"/>
      <c r="J59" s="1844"/>
      <c r="K59" s="3208">
        <f t="shared" si="2"/>
        <v>0</v>
      </c>
      <c r="L59" s="1844"/>
      <c r="M59" s="1844"/>
      <c r="N59" s="2902">
        <f t="shared" si="3"/>
        <v>0</v>
      </c>
      <c r="O59" s="1844"/>
      <c r="P59" s="1844"/>
      <c r="Q59" s="2809"/>
    </row>
    <row r="60" spans="1:17" hidden="1">
      <c r="A60" s="1844"/>
      <c r="B60" s="3186" t="s">
        <v>583</v>
      </c>
      <c r="C60" s="3208">
        <f t="shared" si="0"/>
        <v>0</v>
      </c>
      <c r="D60" s="3208">
        <f t="shared" si="1"/>
        <v>0</v>
      </c>
      <c r="E60" s="1844"/>
      <c r="F60" s="3187">
        <v>0</v>
      </c>
      <c r="G60" s="1844"/>
      <c r="H60" s="1844"/>
      <c r="I60" s="1844"/>
      <c r="J60" s="1844"/>
      <c r="K60" s="3208">
        <f t="shared" si="2"/>
        <v>0</v>
      </c>
      <c r="L60" s="1844"/>
      <c r="M60" s="1844"/>
      <c r="N60" s="2902">
        <f t="shared" si="3"/>
        <v>0</v>
      </c>
      <c r="O60" s="1844"/>
      <c r="P60" s="1844"/>
      <c r="Q60" s="2809"/>
    </row>
    <row r="61" spans="1:17" ht="26.4" hidden="1">
      <c r="A61" s="1844"/>
      <c r="B61" s="3186" t="s">
        <v>584</v>
      </c>
      <c r="C61" s="3208">
        <f t="shared" si="0"/>
        <v>4691</v>
      </c>
      <c r="D61" s="3208">
        <f t="shared" si="1"/>
        <v>4691</v>
      </c>
      <c r="E61" s="1844"/>
      <c r="F61" s="3187">
        <v>4691</v>
      </c>
      <c r="G61" s="1844"/>
      <c r="H61" s="1844"/>
      <c r="I61" s="1844"/>
      <c r="J61" s="1844"/>
      <c r="K61" s="3208">
        <f t="shared" si="2"/>
        <v>0</v>
      </c>
      <c r="L61" s="1844"/>
      <c r="M61" s="1844"/>
      <c r="N61" s="2902">
        <f t="shared" si="3"/>
        <v>0</v>
      </c>
      <c r="O61" s="1844"/>
      <c r="P61" s="1844"/>
      <c r="Q61" s="2809"/>
    </row>
    <row r="62" spans="1:17" ht="26.4" hidden="1">
      <c r="A62" s="1844"/>
      <c r="B62" s="3186" t="s">
        <v>585</v>
      </c>
      <c r="C62" s="3208">
        <f t="shared" si="0"/>
        <v>500</v>
      </c>
      <c r="D62" s="3208">
        <f t="shared" si="1"/>
        <v>500</v>
      </c>
      <c r="E62" s="1844"/>
      <c r="F62" s="3187">
        <v>500</v>
      </c>
      <c r="G62" s="1844"/>
      <c r="H62" s="1844"/>
      <c r="I62" s="1844"/>
      <c r="J62" s="1844"/>
      <c r="K62" s="3208">
        <f t="shared" si="2"/>
        <v>0</v>
      </c>
      <c r="L62" s="1844"/>
      <c r="M62" s="1844"/>
      <c r="N62" s="2902">
        <f t="shared" si="3"/>
        <v>0</v>
      </c>
      <c r="O62" s="1844"/>
      <c r="P62" s="1844"/>
      <c r="Q62" s="2809"/>
    </row>
    <row r="63" spans="1:17" ht="26.4" hidden="1">
      <c r="A63" s="1844"/>
      <c r="B63" s="3186" t="s">
        <v>586</v>
      </c>
      <c r="C63" s="3208">
        <f t="shared" si="0"/>
        <v>912</v>
      </c>
      <c r="D63" s="3208">
        <f t="shared" si="1"/>
        <v>912</v>
      </c>
      <c r="E63" s="1844"/>
      <c r="F63" s="3187">
        <v>912</v>
      </c>
      <c r="G63" s="1844"/>
      <c r="H63" s="1844"/>
      <c r="I63" s="1844"/>
      <c r="J63" s="1844"/>
      <c r="K63" s="3208">
        <f t="shared" si="2"/>
        <v>0</v>
      </c>
      <c r="L63" s="1844"/>
      <c r="M63" s="1844"/>
      <c r="N63" s="2902">
        <f t="shared" si="3"/>
        <v>0</v>
      </c>
      <c r="O63" s="1844"/>
      <c r="P63" s="1844"/>
      <c r="Q63" s="2809"/>
    </row>
    <row r="64" spans="1:17" ht="26.4" hidden="1">
      <c r="A64" s="1844"/>
      <c r="B64" s="3186" t="s">
        <v>587</v>
      </c>
      <c r="C64" s="3208">
        <f t="shared" si="0"/>
        <v>1994</v>
      </c>
      <c r="D64" s="3208">
        <f t="shared" si="1"/>
        <v>1994</v>
      </c>
      <c r="E64" s="1844"/>
      <c r="F64" s="3187">
        <v>1994</v>
      </c>
      <c r="G64" s="1844"/>
      <c r="H64" s="1844"/>
      <c r="I64" s="1844"/>
      <c r="J64" s="1844"/>
      <c r="K64" s="3208">
        <f t="shared" si="2"/>
        <v>0</v>
      </c>
      <c r="L64" s="1844"/>
      <c r="M64" s="1844"/>
      <c r="N64" s="2902">
        <f t="shared" si="3"/>
        <v>0</v>
      </c>
      <c r="O64" s="1844"/>
      <c r="P64" s="1844"/>
      <c r="Q64" s="2809"/>
    </row>
    <row r="65" spans="1:17" hidden="1">
      <c r="A65" s="1844"/>
      <c r="B65" s="3186" t="s">
        <v>745</v>
      </c>
      <c r="C65" s="3208">
        <f t="shared" si="0"/>
        <v>2132</v>
      </c>
      <c r="D65" s="3208">
        <f t="shared" si="1"/>
        <v>2132</v>
      </c>
      <c r="E65" s="1844"/>
      <c r="F65" s="3187">
        <v>2132</v>
      </c>
      <c r="G65" s="1844"/>
      <c r="H65" s="1844"/>
      <c r="I65" s="1844"/>
      <c r="J65" s="1844"/>
      <c r="K65" s="3208">
        <f t="shared" si="2"/>
        <v>0</v>
      </c>
      <c r="L65" s="1844"/>
      <c r="M65" s="1844"/>
      <c r="N65" s="2902">
        <f t="shared" si="3"/>
        <v>0</v>
      </c>
      <c r="O65" s="1844"/>
      <c r="P65" s="1844"/>
      <c r="Q65" s="2809"/>
    </row>
    <row r="66" spans="1:17" ht="26.4" hidden="1">
      <c r="A66" s="1844"/>
      <c r="B66" s="3186" t="s">
        <v>588</v>
      </c>
      <c r="C66" s="3208">
        <f t="shared" si="0"/>
        <v>0</v>
      </c>
      <c r="D66" s="3208">
        <f t="shared" si="1"/>
        <v>0</v>
      </c>
      <c r="E66" s="1844"/>
      <c r="F66" s="3187">
        <v>0</v>
      </c>
      <c r="G66" s="1844"/>
      <c r="H66" s="1844"/>
      <c r="I66" s="1844"/>
      <c r="J66" s="1844"/>
      <c r="K66" s="3208">
        <f t="shared" si="2"/>
        <v>0</v>
      </c>
      <c r="L66" s="1844"/>
      <c r="M66" s="1844"/>
      <c r="N66" s="2902">
        <f t="shared" si="3"/>
        <v>0</v>
      </c>
      <c r="O66" s="1844"/>
      <c r="P66" s="1844"/>
      <c r="Q66" s="2809"/>
    </row>
    <row r="67" spans="1:17">
      <c r="A67" s="1844">
        <v>8</v>
      </c>
      <c r="B67" s="3186" t="s">
        <v>746</v>
      </c>
      <c r="C67" s="3208">
        <f t="shared" si="0"/>
        <v>197680</v>
      </c>
      <c r="D67" s="3208">
        <f t="shared" si="1"/>
        <v>197680</v>
      </c>
      <c r="E67" s="1844"/>
      <c r="F67" s="3187">
        <v>197680</v>
      </c>
      <c r="G67" s="1844"/>
      <c r="H67" s="1844"/>
      <c r="I67" s="1844"/>
      <c r="J67" s="1844"/>
      <c r="K67" s="3208">
        <f t="shared" si="2"/>
        <v>0</v>
      </c>
      <c r="L67" s="1844"/>
      <c r="M67" s="1844"/>
      <c r="N67" s="2902">
        <f t="shared" si="3"/>
        <v>0</v>
      </c>
      <c r="O67" s="1844"/>
      <c r="P67" s="1844"/>
      <c r="Q67" s="2809"/>
    </row>
    <row r="68" spans="1:17" ht="26.4" hidden="1">
      <c r="A68" s="1844"/>
      <c r="B68" s="3186" t="s">
        <v>747</v>
      </c>
      <c r="C68" s="3208">
        <f t="shared" si="0"/>
        <v>63994</v>
      </c>
      <c r="D68" s="3208">
        <f t="shared" si="1"/>
        <v>63994</v>
      </c>
      <c r="E68" s="1844"/>
      <c r="F68" s="3187">
        <v>63994</v>
      </c>
      <c r="G68" s="1844"/>
      <c r="H68" s="1844"/>
      <c r="I68" s="1844"/>
      <c r="J68" s="1844"/>
      <c r="K68" s="3208">
        <f t="shared" si="2"/>
        <v>0</v>
      </c>
      <c r="L68" s="1844"/>
      <c r="M68" s="1844"/>
      <c r="N68" s="2902">
        <f t="shared" si="3"/>
        <v>0</v>
      </c>
      <c r="O68" s="1844"/>
      <c r="P68" s="1844"/>
      <c r="Q68" s="2809"/>
    </row>
    <row r="69" spans="1:17" hidden="1">
      <c r="A69" s="1844"/>
      <c r="B69" s="3186" t="s">
        <v>748</v>
      </c>
      <c r="C69" s="3208">
        <f t="shared" si="0"/>
        <v>2200</v>
      </c>
      <c r="D69" s="3208">
        <f t="shared" si="1"/>
        <v>2200</v>
      </c>
      <c r="E69" s="1844"/>
      <c r="F69" s="3187">
        <v>2200</v>
      </c>
      <c r="G69" s="1844"/>
      <c r="H69" s="1844"/>
      <c r="I69" s="1844"/>
      <c r="J69" s="1844"/>
      <c r="K69" s="3208">
        <f t="shared" si="2"/>
        <v>0</v>
      </c>
      <c r="L69" s="1844"/>
      <c r="M69" s="1844"/>
      <c r="N69" s="2902">
        <f t="shared" si="3"/>
        <v>0</v>
      </c>
      <c r="O69" s="1844"/>
      <c r="P69" s="1844"/>
      <c r="Q69" s="2809"/>
    </row>
    <row r="70" spans="1:17" hidden="1">
      <c r="A70" s="1844"/>
      <c r="B70" s="3186" t="s">
        <v>749</v>
      </c>
      <c r="C70" s="3208">
        <f t="shared" si="0"/>
        <v>1809</v>
      </c>
      <c r="D70" s="3208">
        <f t="shared" si="1"/>
        <v>1809</v>
      </c>
      <c r="E70" s="1844"/>
      <c r="F70" s="3187">
        <v>1809</v>
      </c>
      <c r="G70" s="1844"/>
      <c r="H70" s="1844"/>
      <c r="I70" s="1844"/>
      <c r="J70" s="1844"/>
      <c r="K70" s="3208">
        <f t="shared" si="2"/>
        <v>0</v>
      </c>
      <c r="L70" s="1844"/>
      <c r="M70" s="1844"/>
      <c r="N70" s="2902">
        <f t="shared" si="3"/>
        <v>0</v>
      </c>
      <c r="O70" s="1844"/>
      <c r="P70" s="1844"/>
      <c r="Q70" s="2809"/>
    </row>
    <row r="71" spans="1:17" hidden="1">
      <c r="A71" s="1844"/>
      <c r="B71" s="3186" t="s">
        <v>750</v>
      </c>
      <c r="C71" s="3208">
        <f t="shared" si="0"/>
        <v>14755</v>
      </c>
      <c r="D71" s="3208">
        <f t="shared" si="1"/>
        <v>14755</v>
      </c>
      <c r="E71" s="1844"/>
      <c r="F71" s="3187">
        <v>14755</v>
      </c>
      <c r="G71" s="1844"/>
      <c r="H71" s="1844"/>
      <c r="I71" s="1844"/>
      <c r="J71" s="1844"/>
      <c r="K71" s="3208">
        <f t="shared" si="2"/>
        <v>0</v>
      </c>
      <c r="L71" s="1844"/>
      <c r="M71" s="1844"/>
      <c r="N71" s="2902">
        <f t="shared" si="3"/>
        <v>0</v>
      </c>
      <c r="O71" s="1844"/>
      <c r="P71" s="1844"/>
      <c r="Q71" s="2809"/>
    </row>
    <row r="72" spans="1:17" hidden="1">
      <c r="A72" s="1844"/>
      <c r="B72" s="3186" t="s">
        <v>751</v>
      </c>
      <c r="C72" s="3208">
        <f t="shared" si="0"/>
        <v>0</v>
      </c>
      <c r="D72" s="3208">
        <f t="shared" si="1"/>
        <v>0</v>
      </c>
      <c r="E72" s="1844"/>
      <c r="F72" s="3187">
        <v>0</v>
      </c>
      <c r="G72" s="1844"/>
      <c r="H72" s="1844"/>
      <c r="I72" s="1844"/>
      <c r="J72" s="1844"/>
      <c r="K72" s="3208">
        <f t="shared" si="2"/>
        <v>0</v>
      </c>
      <c r="L72" s="1844"/>
      <c r="M72" s="1844"/>
      <c r="N72" s="2902">
        <f t="shared" si="3"/>
        <v>0</v>
      </c>
      <c r="O72" s="1844"/>
      <c r="P72" s="1844"/>
      <c r="Q72" s="2809"/>
    </row>
    <row r="73" spans="1:17" hidden="1">
      <c r="A73" s="1844"/>
      <c r="B73" s="3186" t="s">
        <v>752</v>
      </c>
      <c r="C73" s="3208">
        <f t="shared" si="0"/>
        <v>4647</v>
      </c>
      <c r="D73" s="3208">
        <f t="shared" si="1"/>
        <v>4647</v>
      </c>
      <c r="E73" s="1844"/>
      <c r="F73" s="3187">
        <v>4647</v>
      </c>
      <c r="G73" s="1844"/>
      <c r="H73" s="1844"/>
      <c r="I73" s="1844"/>
      <c r="J73" s="1844"/>
      <c r="K73" s="3208">
        <f t="shared" si="2"/>
        <v>0</v>
      </c>
      <c r="L73" s="1844"/>
      <c r="M73" s="1844"/>
      <c r="N73" s="2902">
        <f t="shared" si="3"/>
        <v>0</v>
      </c>
      <c r="O73" s="1844"/>
      <c r="P73" s="1844"/>
      <c r="Q73" s="2809"/>
    </row>
    <row r="74" spans="1:17" hidden="1">
      <c r="A74" s="1844"/>
      <c r="B74" s="3186" t="s">
        <v>753</v>
      </c>
      <c r="C74" s="3208">
        <f t="shared" si="0"/>
        <v>0</v>
      </c>
      <c r="D74" s="3208">
        <f t="shared" si="1"/>
        <v>0</v>
      </c>
      <c r="E74" s="1844"/>
      <c r="F74" s="3187">
        <v>0</v>
      </c>
      <c r="G74" s="1844"/>
      <c r="H74" s="1844"/>
      <c r="I74" s="1844"/>
      <c r="J74" s="1844"/>
      <c r="K74" s="3208">
        <f t="shared" si="2"/>
        <v>0</v>
      </c>
      <c r="L74" s="1844"/>
      <c r="M74" s="1844"/>
      <c r="N74" s="2902">
        <f t="shared" si="3"/>
        <v>0</v>
      </c>
      <c r="O74" s="1844"/>
      <c r="P74" s="1844"/>
      <c r="Q74" s="2809"/>
    </row>
    <row r="75" spans="1:17" hidden="1">
      <c r="A75" s="1844"/>
      <c r="B75" s="3186" t="s">
        <v>754</v>
      </c>
      <c r="C75" s="3208">
        <f t="shared" ref="C75:C138" si="4">SUM(D75,K75,N75,Q75)</f>
        <v>0</v>
      </c>
      <c r="D75" s="3208">
        <f t="shared" ref="D75:D138" si="5">SUM(E75:J75)</f>
        <v>0</v>
      </c>
      <c r="E75" s="1844"/>
      <c r="F75" s="3187">
        <v>0</v>
      </c>
      <c r="G75" s="1844"/>
      <c r="H75" s="1844"/>
      <c r="I75" s="1844"/>
      <c r="J75" s="1844"/>
      <c r="K75" s="3208">
        <f t="shared" ref="K75:K138" si="6">L75+M75</f>
        <v>0</v>
      </c>
      <c r="L75" s="1844"/>
      <c r="M75" s="1844"/>
      <c r="N75" s="2902">
        <f t="shared" ref="N75:N138" si="7">O75+P75</f>
        <v>0</v>
      </c>
      <c r="O75" s="1844"/>
      <c r="P75" s="1844"/>
      <c r="Q75" s="2809"/>
    </row>
    <row r="76" spans="1:17" hidden="1">
      <c r="A76" s="1844"/>
      <c r="B76" s="3186" t="s">
        <v>755</v>
      </c>
      <c r="C76" s="3208">
        <f t="shared" si="4"/>
        <v>1362</v>
      </c>
      <c r="D76" s="3208">
        <f t="shared" si="5"/>
        <v>1362</v>
      </c>
      <c r="E76" s="1844"/>
      <c r="F76" s="3187">
        <v>1362</v>
      </c>
      <c r="G76" s="1844"/>
      <c r="H76" s="1844"/>
      <c r="I76" s="1844"/>
      <c r="J76" s="1844"/>
      <c r="K76" s="3208">
        <f t="shared" si="6"/>
        <v>0</v>
      </c>
      <c r="L76" s="1844"/>
      <c r="M76" s="1844"/>
      <c r="N76" s="2902">
        <f t="shared" si="7"/>
        <v>0</v>
      </c>
      <c r="O76" s="1844"/>
      <c r="P76" s="1844"/>
      <c r="Q76" s="2809"/>
    </row>
    <row r="77" spans="1:17" hidden="1">
      <c r="A77" s="1844"/>
      <c r="B77" s="3186" t="s">
        <v>756</v>
      </c>
      <c r="C77" s="3208">
        <f t="shared" si="4"/>
        <v>13768</v>
      </c>
      <c r="D77" s="3208">
        <f t="shared" si="5"/>
        <v>13768</v>
      </c>
      <c r="E77" s="1844"/>
      <c r="F77" s="3187">
        <v>13768</v>
      </c>
      <c r="G77" s="1844"/>
      <c r="H77" s="1844"/>
      <c r="I77" s="1844"/>
      <c r="J77" s="1844"/>
      <c r="K77" s="3208">
        <f t="shared" si="6"/>
        <v>0</v>
      </c>
      <c r="L77" s="1844"/>
      <c r="M77" s="1844"/>
      <c r="N77" s="2902">
        <f t="shared" si="7"/>
        <v>0</v>
      </c>
      <c r="O77" s="1844"/>
      <c r="P77" s="1844"/>
      <c r="Q77" s="2809"/>
    </row>
    <row r="78" spans="1:17" hidden="1">
      <c r="A78" s="1844"/>
      <c r="B78" s="3186" t="s">
        <v>757</v>
      </c>
      <c r="C78" s="3208">
        <f t="shared" si="4"/>
        <v>0</v>
      </c>
      <c r="D78" s="3208">
        <f t="shared" si="5"/>
        <v>0</v>
      </c>
      <c r="E78" s="1844"/>
      <c r="F78" s="3187">
        <v>0</v>
      </c>
      <c r="G78" s="1844"/>
      <c r="H78" s="1844"/>
      <c r="I78" s="1844"/>
      <c r="J78" s="1844"/>
      <c r="K78" s="3208">
        <f t="shared" si="6"/>
        <v>0</v>
      </c>
      <c r="L78" s="1844"/>
      <c r="M78" s="1844"/>
      <c r="N78" s="2902">
        <f t="shared" si="7"/>
        <v>0</v>
      </c>
      <c r="O78" s="1844"/>
      <c r="P78" s="1844"/>
      <c r="Q78" s="2809"/>
    </row>
    <row r="79" spans="1:17" ht="39.6" hidden="1">
      <c r="A79" s="1844"/>
      <c r="B79" s="3186" t="s">
        <v>623</v>
      </c>
      <c r="C79" s="3208">
        <f t="shared" si="4"/>
        <v>9000</v>
      </c>
      <c r="D79" s="3208">
        <f t="shared" si="5"/>
        <v>9000</v>
      </c>
      <c r="E79" s="1844"/>
      <c r="F79" s="3187">
        <v>9000</v>
      </c>
      <c r="G79" s="1844"/>
      <c r="H79" s="1844"/>
      <c r="I79" s="1844"/>
      <c r="J79" s="1844"/>
      <c r="K79" s="3208">
        <f t="shared" si="6"/>
        <v>0</v>
      </c>
      <c r="L79" s="1844"/>
      <c r="M79" s="1844"/>
      <c r="N79" s="2902">
        <f t="shared" si="7"/>
        <v>0</v>
      </c>
      <c r="O79" s="1844"/>
      <c r="P79" s="1844"/>
      <c r="Q79" s="2809"/>
    </row>
    <row r="80" spans="1:17" ht="26.4" hidden="1">
      <c r="A80" s="1844"/>
      <c r="B80" s="3186" t="s">
        <v>758</v>
      </c>
      <c r="C80" s="3208">
        <f t="shared" si="4"/>
        <v>2345</v>
      </c>
      <c r="D80" s="3208">
        <f t="shared" si="5"/>
        <v>2345</v>
      </c>
      <c r="E80" s="1844"/>
      <c r="F80" s="3187">
        <v>2345</v>
      </c>
      <c r="G80" s="1844"/>
      <c r="H80" s="1844"/>
      <c r="I80" s="1844"/>
      <c r="J80" s="1844"/>
      <c r="K80" s="3208">
        <f t="shared" si="6"/>
        <v>0</v>
      </c>
      <c r="L80" s="1844"/>
      <c r="M80" s="1844"/>
      <c r="N80" s="2902">
        <f t="shared" si="7"/>
        <v>0</v>
      </c>
      <c r="O80" s="1844"/>
      <c r="P80" s="1844"/>
      <c r="Q80" s="2809"/>
    </row>
    <row r="81" spans="1:17" hidden="1">
      <c r="A81" s="1844"/>
      <c r="B81" s="3186" t="s">
        <v>535</v>
      </c>
      <c r="C81" s="3208">
        <f t="shared" si="4"/>
        <v>1500</v>
      </c>
      <c r="D81" s="3208">
        <f t="shared" si="5"/>
        <v>1500</v>
      </c>
      <c r="E81" s="1844"/>
      <c r="F81" s="3187">
        <v>1500</v>
      </c>
      <c r="G81" s="1844"/>
      <c r="H81" s="1844"/>
      <c r="I81" s="1844"/>
      <c r="J81" s="1844"/>
      <c r="K81" s="3208">
        <f t="shared" si="6"/>
        <v>0</v>
      </c>
      <c r="L81" s="1844"/>
      <c r="M81" s="1844"/>
      <c r="N81" s="2902">
        <f t="shared" si="7"/>
        <v>0</v>
      </c>
      <c r="O81" s="1844"/>
      <c r="P81" s="1844"/>
      <c r="Q81" s="2809"/>
    </row>
    <row r="82" spans="1:17" hidden="1">
      <c r="A82" s="1844"/>
      <c r="B82" s="3186" t="s">
        <v>536</v>
      </c>
      <c r="C82" s="3208">
        <f t="shared" si="4"/>
        <v>1500</v>
      </c>
      <c r="D82" s="3208">
        <f t="shared" si="5"/>
        <v>1500</v>
      </c>
      <c r="E82" s="1844"/>
      <c r="F82" s="3187">
        <v>1500</v>
      </c>
      <c r="G82" s="1844"/>
      <c r="H82" s="1844"/>
      <c r="I82" s="1844"/>
      <c r="J82" s="1844"/>
      <c r="K82" s="3208">
        <f t="shared" si="6"/>
        <v>0</v>
      </c>
      <c r="L82" s="1844"/>
      <c r="M82" s="1844"/>
      <c r="N82" s="2902">
        <f t="shared" si="7"/>
        <v>0</v>
      </c>
      <c r="O82" s="1844"/>
      <c r="P82" s="1844"/>
      <c r="Q82" s="2809"/>
    </row>
    <row r="83" spans="1:17" hidden="1">
      <c r="A83" s="1844"/>
      <c r="B83" s="3186" t="s">
        <v>537</v>
      </c>
      <c r="C83" s="3208">
        <f t="shared" si="4"/>
        <v>0</v>
      </c>
      <c r="D83" s="3208">
        <f t="shared" si="5"/>
        <v>0</v>
      </c>
      <c r="E83" s="1844"/>
      <c r="F83" s="3187">
        <v>0</v>
      </c>
      <c r="G83" s="1844"/>
      <c r="H83" s="1844"/>
      <c r="I83" s="1844"/>
      <c r="J83" s="1844"/>
      <c r="K83" s="3208">
        <f t="shared" si="6"/>
        <v>0</v>
      </c>
      <c r="L83" s="1844"/>
      <c r="M83" s="1844"/>
      <c r="N83" s="2902">
        <f t="shared" si="7"/>
        <v>0</v>
      </c>
      <c r="O83" s="1844"/>
      <c r="P83" s="1844"/>
      <c r="Q83" s="2809"/>
    </row>
    <row r="84" spans="1:17" hidden="1">
      <c r="A84" s="1844"/>
      <c r="B84" s="3186" t="s">
        <v>538</v>
      </c>
      <c r="C84" s="3208">
        <f t="shared" si="4"/>
        <v>12500</v>
      </c>
      <c r="D84" s="3208">
        <f t="shared" si="5"/>
        <v>12500</v>
      </c>
      <c r="E84" s="1844"/>
      <c r="F84" s="3187">
        <v>12500</v>
      </c>
      <c r="G84" s="1844"/>
      <c r="H84" s="1844"/>
      <c r="I84" s="1844"/>
      <c r="J84" s="1844"/>
      <c r="K84" s="3208">
        <f t="shared" si="6"/>
        <v>0</v>
      </c>
      <c r="L84" s="1844"/>
      <c r="M84" s="1844"/>
      <c r="N84" s="2902">
        <f t="shared" si="7"/>
        <v>0</v>
      </c>
      <c r="O84" s="1844"/>
      <c r="P84" s="1844"/>
      <c r="Q84" s="2809"/>
    </row>
    <row r="85" spans="1:17" hidden="1">
      <c r="A85" s="1844"/>
      <c r="B85" s="3186" t="s">
        <v>540</v>
      </c>
      <c r="C85" s="3208">
        <f t="shared" si="4"/>
        <v>0</v>
      </c>
      <c r="D85" s="3208">
        <f t="shared" si="5"/>
        <v>0</v>
      </c>
      <c r="E85" s="1844"/>
      <c r="F85" s="3187">
        <v>0</v>
      </c>
      <c r="G85" s="1844"/>
      <c r="H85" s="1844"/>
      <c r="I85" s="1844"/>
      <c r="J85" s="1844"/>
      <c r="K85" s="3208">
        <f t="shared" si="6"/>
        <v>0</v>
      </c>
      <c r="L85" s="1844"/>
      <c r="M85" s="1844"/>
      <c r="N85" s="2902">
        <f t="shared" si="7"/>
        <v>0</v>
      </c>
      <c r="O85" s="1844"/>
      <c r="P85" s="1844"/>
      <c r="Q85" s="2809"/>
    </row>
    <row r="86" spans="1:17" hidden="1">
      <c r="A86" s="1844"/>
      <c r="B86" s="3186" t="s">
        <v>542</v>
      </c>
      <c r="C86" s="3208">
        <f t="shared" si="4"/>
        <v>4500</v>
      </c>
      <c r="D86" s="3208">
        <f t="shared" si="5"/>
        <v>4500</v>
      </c>
      <c r="E86" s="1844"/>
      <c r="F86" s="3187">
        <v>4500</v>
      </c>
      <c r="G86" s="1844"/>
      <c r="H86" s="1844"/>
      <c r="I86" s="1844"/>
      <c r="J86" s="1844"/>
      <c r="K86" s="3208">
        <f t="shared" si="6"/>
        <v>0</v>
      </c>
      <c r="L86" s="1844"/>
      <c r="M86" s="1844"/>
      <c r="N86" s="2902">
        <f t="shared" si="7"/>
        <v>0</v>
      </c>
      <c r="O86" s="1844"/>
      <c r="P86" s="1844"/>
      <c r="Q86" s="2809"/>
    </row>
    <row r="87" spans="1:17" hidden="1">
      <c r="A87" s="1844"/>
      <c r="B87" s="3186" t="s">
        <v>544</v>
      </c>
      <c r="C87" s="3208">
        <f t="shared" si="4"/>
        <v>1500</v>
      </c>
      <c r="D87" s="3208">
        <f t="shared" si="5"/>
        <v>1500</v>
      </c>
      <c r="E87" s="1844"/>
      <c r="F87" s="3187">
        <v>1500</v>
      </c>
      <c r="G87" s="1844"/>
      <c r="H87" s="1844"/>
      <c r="I87" s="1844"/>
      <c r="J87" s="1844"/>
      <c r="K87" s="3208">
        <f t="shared" si="6"/>
        <v>0</v>
      </c>
      <c r="L87" s="1844"/>
      <c r="M87" s="1844"/>
      <c r="N87" s="2902">
        <f t="shared" si="7"/>
        <v>0</v>
      </c>
      <c r="O87" s="1844"/>
      <c r="P87" s="1844"/>
      <c r="Q87" s="2809"/>
    </row>
    <row r="88" spans="1:17" hidden="1">
      <c r="A88" s="1844"/>
      <c r="B88" s="3186" t="s">
        <v>546</v>
      </c>
      <c r="C88" s="3208">
        <f t="shared" si="4"/>
        <v>4000</v>
      </c>
      <c r="D88" s="3208">
        <f t="shared" si="5"/>
        <v>4000</v>
      </c>
      <c r="E88" s="1844"/>
      <c r="F88" s="3187">
        <v>4000</v>
      </c>
      <c r="G88" s="1844"/>
      <c r="H88" s="1844"/>
      <c r="I88" s="1844"/>
      <c r="J88" s="1844"/>
      <c r="K88" s="3208">
        <f t="shared" si="6"/>
        <v>0</v>
      </c>
      <c r="L88" s="1844"/>
      <c r="M88" s="1844"/>
      <c r="N88" s="2902">
        <f t="shared" si="7"/>
        <v>0</v>
      </c>
      <c r="O88" s="1844"/>
      <c r="P88" s="1844"/>
      <c r="Q88" s="2809"/>
    </row>
    <row r="89" spans="1:17" hidden="1">
      <c r="A89" s="1844"/>
      <c r="B89" s="3186" t="s">
        <v>548</v>
      </c>
      <c r="C89" s="3208">
        <f t="shared" si="4"/>
        <v>2500</v>
      </c>
      <c r="D89" s="3208">
        <f t="shared" si="5"/>
        <v>2500</v>
      </c>
      <c r="E89" s="1844"/>
      <c r="F89" s="3187">
        <v>2500</v>
      </c>
      <c r="G89" s="1844"/>
      <c r="H89" s="1844"/>
      <c r="I89" s="1844"/>
      <c r="J89" s="1844"/>
      <c r="K89" s="3208">
        <f t="shared" si="6"/>
        <v>0</v>
      </c>
      <c r="L89" s="1844"/>
      <c r="M89" s="1844"/>
      <c r="N89" s="2902">
        <f t="shared" si="7"/>
        <v>0</v>
      </c>
      <c r="O89" s="1844"/>
      <c r="P89" s="1844"/>
      <c r="Q89" s="2809"/>
    </row>
    <row r="90" spans="1:17" hidden="1">
      <c r="A90" s="1844"/>
      <c r="B90" s="3186" t="s">
        <v>549</v>
      </c>
      <c r="C90" s="3208">
        <f t="shared" si="4"/>
        <v>2000</v>
      </c>
      <c r="D90" s="3208">
        <f t="shared" si="5"/>
        <v>2000</v>
      </c>
      <c r="E90" s="1844"/>
      <c r="F90" s="3187">
        <v>2000</v>
      </c>
      <c r="G90" s="1844"/>
      <c r="H90" s="1844"/>
      <c r="I90" s="1844"/>
      <c r="J90" s="1844"/>
      <c r="K90" s="3208">
        <f t="shared" si="6"/>
        <v>0</v>
      </c>
      <c r="L90" s="1844"/>
      <c r="M90" s="1844"/>
      <c r="N90" s="2902">
        <f t="shared" si="7"/>
        <v>0</v>
      </c>
      <c r="O90" s="1844"/>
      <c r="P90" s="1844"/>
      <c r="Q90" s="2809"/>
    </row>
    <row r="91" spans="1:17" hidden="1">
      <c r="A91" s="1844"/>
      <c r="B91" s="3186" t="s">
        <v>550</v>
      </c>
      <c r="C91" s="3208">
        <f t="shared" si="4"/>
        <v>0</v>
      </c>
      <c r="D91" s="3208">
        <f t="shared" si="5"/>
        <v>0</v>
      </c>
      <c r="E91" s="1844"/>
      <c r="F91" s="3187">
        <v>0</v>
      </c>
      <c r="G91" s="1844"/>
      <c r="H91" s="1844"/>
      <c r="I91" s="1844"/>
      <c r="J91" s="1844"/>
      <c r="K91" s="3208">
        <f t="shared" si="6"/>
        <v>0</v>
      </c>
      <c r="L91" s="1844"/>
      <c r="M91" s="1844"/>
      <c r="N91" s="2902">
        <f t="shared" si="7"/>
        <v>0</v>
      </c>
      <c r="O91" s="1844"/>
      <c r="P91" s="1844"/>
      <c r="Q91" s="2809"/>
    </row>
    <row r="92" spans="1:17" hidden="1">
      <c r="A92" s="1844"/>
      <c r="B92" s="3186" t="s">
        <v>551</v>
      </c>
      <c r="C92" s="3208">
        <f t="shared" si="4"/>
        <v>7858</v>
      </c>
      <c r="D92" s="3208">
        <f t="shared" si="5"/>
        <v>7858</v>
      </c>
      <c r="E92" s="1844"/>
      <c r="F92" s="3187">
        <v>7858</v>
      </c>
      <c r="G92" s="1844"/>
      <c r="H92" s="1844"/>
      <c r="I92" s="1844"/>
      <c r="J92" s="1844"/>
      <c r="K92" s="3208">
        <f t="shared" si="6"/>
        <v>0</v>
      </c>
      <c r="L92" s="1844"/>
      <c r="M92" s="1844"/>
      <c r="N92" s="2902">
        <f t="shared" si="7"/>
        <v>0</v>
      </c>
      <c r="O92" s="1844"/>
      <c r="P92" s="1844"/>
      <c r="Q92" s="2809"/>
    </row>
    <row r="93" spans="1:17" hidden="1">
      <c r="A93" s="1844"/>
      <c r="B93" s="3186" t="s">
        <v>553</v>
      </c>
      <c r="C93" s="3208">
        <f t="shared" si="4"/>
        <v>68942</v>
      </c>
      <c r="D93" s="3208">
        <f t="shared" si="5"/>
        <v>68942</v>
      </c>
      <c r="E93" s="1844"/>
      <c r="F93" s="3187">
        <v>68942</v>
      </c>
      <c r="G93" s="1844"/>
      <c r="H93" s="1844"/>
      <c r="I93" s="1844"/>
      <c r="J93" s="1844"/>
      <c r="K93" s="3208">
        <f t="shared" si="6"/>
        <v>0</v>
      </c>
      <c r="L93" s="1844"/>
      <c r="M93" s="1844"/>
      <c r="N93" s="2902">
        <f t="shared" si="7"/>
        <v>0</v>
      </c>
      <c r="O93" s="1844"/>
      <c r="P93" s="1844"/>
      <c r="Q93" s="2809"/>
    </row>
    <row r="94" spans="1:17" hidden="1">
      <c r="A94" s="1844"/>
      <c r="B94" s="3186" t="s">
        <v>554</v>
      </c>
      <c r="C94" s="3208">
        <f t="shared" si="4"/>
        <v>0</v>
      </c>
      <c r="D94" s="3208">
        <f t="shared" si="5"/>
        <v>0</v>
      </c>
      <c r="E94" s="1844"/>
      <c r="F94" s="3187">
        <v>0</v>
      </c>
      <c r="G94" s="1844"/>
      <c r="H94" s="1844"/>
      <c r="I94" s="1844"/>
      <c r="J94" s="1844"/>
      <c r="K94" s="3208">
        <f t="shared" si="6"/>
        <v>0</v>
      </c>
      <c r="L94" s="1844"/>
      <c r="M94" s="1844"/>
      <c r="N94" s="2902">
        <f t="shared" si="7"/>
        <v>0</v>
      </c>
      <c r="O94" s="1844"/>
      <c r="P94" s="1844"/>
      <c r="Q94" s="2809"/>
    </row>
    <row r="95" spans="1:17" ht="26.4" hidden="1">
      <c r="A95" s="1844"/>
      <c r="B95" s="3186" t="s">
        <v>534</v>
      </c>
      <c r="C95" s="3208">
        <f t="shared" si="4"/>
        <v>0</v>
      </c>
      <c r="D95" s="3208">
        <f t="shared" si="5"/>
        <v>0</v>
      </c>
      <c r="E95" s="1844"/>
      <c r="F95" s="3187">
        <v>0</v>
      </c>
      <c r="G95" s="1844"/>
      <c r="H95" s="1844"/>
      <c r="I95" s="1844"/>
      <c r="J95" s="1844"/>
      <c r="K95" s="3208">
        <f t="shared" si="6"/>
        <v>0</v>
      </c>
      <c r="L95" s="1844"/>
      <c r="M95" s="1844"/>
      <c r="N95" s="2902">
        <f t="shared" si="7"/>
        <v>0</v>
      </c>
      <c r="O95" s="1844"/>
      <c r="P95" s="1844"/>
      <c r="Q95" s="2809"/>
    </row>
    <row r="96" spans="1:17" hidden="1">
      <c r="A96" s="1844">
        <v>10</v>
      </c>
      <c r="B96" s="3186" t="s">
        <v>532</v>
      </c>
      <c r="C96" s="3208">
        <f t="shared" si="4"/>
        <v>1900</v>
      </c>
      <c r="D96" s="3208">
        <f t="shared" si="5"/>
        <v>1900</v>
      </c>
      <c r="E96" s="1844"/>
      <c r="F96" s="3187">
        <v>1900</v>
      </c>
      <c r="G96" s="1844"/>
      <c r="H96" s="1844"/>
      <c r="I96" s="1844"/>
      <c r="J96" s="1844"/>
      <c r="K96" s="3208">
        <f t="shared" si="6"/>
        <v>0</v>
      </c>
      <c r="L96" s="1844"/>
      <c r="M96" s="1844"/>
      <c r="N96" s="2902">
        <f t="shared" si="7"/>
        <v>0</v>
      </c>
      <c r="O96" s="1844"/>
      <c r="P96" s="1844"/>
      <c r="Q96" s="2809"/>
    </row>
    <row r="97" spans="1:17" ht="26.4">
      <c r="A97" s="1844">
        <v>9</v>
      </c>
      <c r="B97" s="3186" t="s">
        <v>759</v>
      </c>
      <c r="C97" s="3208">
        <f t="shared" si="4"/>
        <v>52194</v>
      </c>
      <c r="D97" s="3208">
        <f t="shared" si="5"/>
        <v>52194</v>
      </c>
      <c r="E97" s="1844"/>
      <c r="F97" s="3187">
        <v>52194</v>
      </c>
      <c r="G97" s="1844"/>
      <c r="H97" s="1844"/>
      <c r="I97" s="1844"/>
      <c r="J97" s="1844"/>
      <c r="K97" s="3208">
        <f t="shared" si="6"/>
        <v>0</v>
      </c>
      <c r="L97" s="1844"/>
      <c r="M97" s="1844"/>
      <c r="N97" s="2902">
        <f t="shared" si="7"/>
        <v>0</v>
      </c>
      <c r="O97" s="1844"/>
      <c r="P97" s="1844"/>
      <c r="Q97" s="2809"/>
    </row>
    <row r="98" spans="1:17" ht="26.4" hidden="1">
      <c r="A98" s="1844"/>
      <c r="B98" s="3186" t="s">
        <v>760</v>
      </c>
      <c r="C98" s="3208">
        <f t="shared" si="4"/>
        <v>9145</v>
      </c>
      <c r="D98" s="3208">
        <f t="shared" si="5"/>
        <v>9145</v>
      </c>
      <c r="E98" s="1844"/>
      <c r="F98" s="3187">
        <v>9145</v>
      </c>
      <c r="G98" s="1844"/>
      <c r="H98" s="1844"/>
      <c r="I98" s="1844"/>
      <c r="J98" s="1844"/>
      <c r="K98" s="3208">
        <f t="shared" si="6"/>
        <v>0</v>
      </c>
      <c r="L98" s="1844"/>
      <c r="M98" s="1844"/>
      <c r="N98" s="2902">
        <f t="shared" si="7"/>
        <v>0</v>
      </c>
      <c r="O98" s="1844"/>
      <c r="P98" s="1844"/>
      <c r="Q98" s="2809"/>
    </row>
    <row r="99" spans="1:17" ht="26.4" hidden="1">
      <c r="A99" s="1844"/>
      <c r="B99" s="3186" t="s">
        <v>563</v>
      </c>
      <c r="C99" s="3208">
        <f t="shared" si="4"/>
        <v>5060</v>
      </c>
      <c r="D99" s="3208">
        <f t="shared" si="5"/>
        <v>5060</v>
      </c>
      <c r="E99" s="1844"/>
      <c r="F99" s="3187">
        <v>5060</v>
      </c>
      <c r="G99" s="1844"/>
      <c r="H99" s="1844"/>
      <c r="I99" s="1844"/>
      <c r="J99" s="1844"/>
      <c r="K99" s="3208">
        <f t="shared" si="6"/>
        <v>0</v>
      </c>
      <c r="L99" s="1844"/>
      <c r="M99" s="1844"/>
      <c r="N99" s="2902">
        <f t="shared" si="7"/>
        <v>0</v>
      </c>
      <c r="O99" s="1844"/>
      <c r="P99" s="1844"/>
      <c r="Q99" s="2809"/>
    </row>
    <row r="100" spans="1:17" hidden="1">
      <c r="A100" s="1844"/>
      <c r="B100" s="3186" t="s">
        <v>564</v>
      </c>
      <c r="C100" s="3208">
        <f t="shared" si="4"/>
        <v>3583</v>
      </c>
      <c r="D100" s="3208">
        <f t="shared" si="5"/>
        <v>3583</v>
      </c>
      <c r="E100" s="1844"/>
      <c r="F100" s="3187">
        <v>3583</v>
      </c>
      <c r="G100" s="1844"/>
      <c r="H100" s="1844"/>
      <c r="I100" s="1844"/>
      <c r="J100" s="1844"/>
      <c r="K100" s="3208">
        <f t="shared" si="6"/>
        <v>0</v>
      </c>
      <c r="L100" s="1844"/>
      <c r="M100" s="1844"/>
      <c r="N100" s="2902">
        <f t="shared" si="7"/>
        <v>0</v>
      </c>
      <c r="O100" s="1844"/>
      <c r="P100" s="1844"/>
      <c r="Q100" s="2809"/>
    </row>
    <row r="101" spans="1:17" hidden="1">
      <c r="A101" s="1844"/>
      <c r="B101" s="3186" t="s">
        <v>565</v>
      </c>
      <c r="C101" s="3208">
        <f t="shared" si="4"/>
        <v>2865</v>
      </c>
      <c r="D101" s="3208">
        <f t="shared" si="5"/>
        <v>2865</v>
      </c>
      <c r="E101" s="1844"/>
      <c r="F101" s="3187">
        <v>2865</v>
      </c>
      <c r="G101" s="1844"/>
      <c r="H101" s="1844"/>
      <c r="I101" s="1844"/>
      <c r="J101" s="1844"/>
      <c r="K101" s="3208">
        <f t="shared" si="6"/>
        <v>0</v>
      </c>
      <c r="L101" s="1844"/>
      <c r="M101" s="1844"/>
      <c r="N101" s="2902">
        <f t="shared" si="7"/>
        <v>0</v>
      </c>
      <c r="O101" s="1844"/>
      <c r="P101" s="1844"/>
      <c r="Q101" s="2809"/>
    </row>
    <row r="102" spans="1:17" hidden="1">
      <c r="A102" s="1844"/>
      <c r="B102" s="3186" t="s">
        <v>567</v>
      </c>
      <c r="C102" s="3208">
        <f t="shared" si="4"/>
        <v>3458</v>
      </c>
      <c r="D102" s="3208">
        <f t="shared" si="5"/>
        <v>3458</v>
      </c>
      <c r="E102" s="1844"/>
      <c r="F102" s="3187">
        <v>3458</v>
      </c>
      <c r="G102" s="1844"/>
      <c r="H102" s="1844"/>
      <c r="I102" s="1844"/>
      <c r="J102" s="1844"/>
      <c r="K102" s="3208">
        <f t="shared" si="6"/>
        <v>0</v>
      </c>
      <c r="L102" s="1844"/>
      <c r="M102" s="1844"/>
      <c r="N102" s="2902">
        <f t="shared" si="7"/>
        <v>0</v>
      </c>
      <c r="O102" s="1844"/>
      <c r="P102" s="1844"/>
      <c r="Q102" s="2809"/>
    </row>
    <row r="103" spans="1:17" hidden="1">
      <c r="A103" s="1844"/>
      <c r="B103" s="3186" t="s">
        <v>568</v>
      </c>
      <c r="C103" s="3208">
        <f t="shared" si="4"/>
        <v>6756</v>
      </c>
      <c r="D103" s="3208">
        <f t="shared" si="5"/>
        <v>6756</v>
      </c>
      <c r="E103" s="1844"/>
      <c r="F103" s="3187">
        <v>6756</v>
      </c>
      <c r="G103" s="1844"/>
      <c r="H103" s="1844"/>
      <c r="I103" s="1844"/>
      <c r="J103" s="1844"/>
      <c r="K103" s="3208">
        <f t="shared" si="6"/>
        <v>0</v>
      </c>
      <c r="L103" s="1844"/>
      <c r="M103" s="1844"/>
      <c r="N103" s="2902">
        <f t="shared" si="7"/>
        <v>0</v>
      </c>
      <c r="O103" s="1844"/>
      <c r="P103" s="1844"/>
      <c r="Q103" s="2809"/>
    </row>
    <row r="104" spans="1:17" ht="26.4" hidden="1">
      <c r="A104" s="1844"/>
      <c r="B104" s="3186" t="s">
        <v>761</v>
      </c>
      <c r="C104" s="3208">
        <f t="shared" si="4"/>
        <v>10953</v>
      </c>
      <c r="D104" s="3208">
        <f t="shared" si="5"/>
        <v>10953</v>
      </c>
      <c r="E104" s="1844"/>
      <c r="F104" s="3187">
        <v>10953</v>
      </c>
      <c r="G104" s="1844"/>
      <c r="H104" s="1844"/>
      <c r="I104" s="1844"/>
      <c r="J104" s="1844"/>
      <c r="K104" s="3208">
        <f t="shared" si="6"/>
        <v>0</v>
      </c>
      <c r="L104" s="1844"/>
      <c r="M104" s="1844"/>
      <c r="N104" s="2902">
        <f t="shared" si="7"/>
        <v>0</v>
      </c>
      <c r="O104" s="1844"/>
      <c r="P104" s="1844"/>
      <c r="Q104" s="2809"/>
    </row>
    <row r="105" spans="1:17" ht="26.4" hidden="1">
      <c r="A105" s="1844"/>
      <c r="B105" s="3186" t="s">
        <v>566</v>
      </c>
      <c r="C105" s="3208">
        <f t="shared" si="4"/>
        <v>8640</v>
      </c>
      <c r="D105" s="3208">
        <f t="shared" si="5"/>
        <v>8640</v>
      </c>
      <c r="E105" s="1844"/>
      <c r="F105" s="3187">
        <v>8640</v>
      </c>
      <c r="G105" s="1844"/>
      <c r="H105" s="1844"/>
      <c r="I105" s="1844"/>
      <c r="J105" s="1844"/>
      <c r="K105" s="3208">
        <f t="shared" si="6"/>
        <v>0</v>
      </c>
      <c r="L105" s="1844"/>
      <c r="M105" s="1844"/>
      <c r="N105" s="2902">
        <f t="shared" si="7"/>
        <v>0</v>
      </c>
      <c r="O105" s="1844"/>
      <c r="P105" s="1844"/>
      <c r="Q105" s="2809"/>
    </row>
    <row r="106" spans="1:17" hidden="1">
      <c r="A106" s="1844"/>
      <c r="B106" s="3186" t="s">
        <v>762</v>
      </c>
      <c r="C106" s="3208">
        <f t="shared" si="4"/>
        <v>1734</v>
      </c>
      <c r="D106" s="3208">
        <f t="shared" si="5"/>
        <v>1734</v>
      </c>
      <c r="E106" s="1844"/>
      <c r="F106" s="3187">
        <v>1734</v>
      </c>
      <c r="G106" s="1844"/>
      <c r="H106" s="1844"/>
      <c r="I106" s="1844"/>
      <c r="J106" s="1844"/>
      <c r="K106" s="3208">
        <f t="shared" si="6"/>
        <v>0</v>
      </c>
      <c r="L106" s="1844"/>
      <c r="M106" s="1844"/>
      <c r="N106" s="2902">
        <f t="shared" si="7"/>
        <v>0</v>
      </c>
      <c r="O106" s="1844"/>
      <c r="P106" s="1844"/>
      <c r="Q106" s="2809"/>
    </row>
    <row r="107" spans="1:17">
      <c r="A107" s="1844">
        <v>10</v>
      </c>
      <c r="B107" s="3186" t="s">
        <v>570</v>
      </c>
      <c r="C107" s="3208">
        <f t="shared" si="4"/>
        <v>9412</v>
      </c>
      <c r="D107" s="3208">
        <f t="shared" si="5"/>
        <v>9412</v>
      </c>
      <c r="E107" s="1844"/>
      <c r="F107" s="3187">
        <v>9412</v>
      </c>
      <c r="G107" s="1844"/>
      <c r="H107" s="1844"/>
      <c r="I107" s="1844"/>
      <c r="J107" s="1844"/>
      <c r="K107" s="3208">
        <f t="shared" si="6"/>
        <v>0</v>
      </c>
      <c r="L107" s="1844"/>
      <c r="M107" s="1844"/>
      <c r="N107" s="2902">
        <f t="shared" si="7"/>
        <v>0</v>
      </c>
      <c r="O107" s="1844"/>
      <c r="P107" s="1844"/>
      <c r="Q107" s="2809"/>
    </row>
    <row r="108" spans="1:17">
      <c r="A108" s="1844">
        <v>11</v>
      </c>
      <c r="B108" s="3186" t="s">
        <v>620</v>
      </c>
      <c r="C108" s="3208">
        <f t="shared" si="4"/>
        <v>60675</v>
      </c>
      <c r="D108" s="3208">
        <f t="shared" si="5"/>
        <v>60675</v>
      </c>
      <c r="E108" s="1844"/>
      <c r="F108" s="3187">
        <v>60675</v>
      </c>
      <c r="G108" s="1844"/>
      <c r="H108" s="1844"/>
      <c r="I108" s="1844"/>
      <c r="J108" s="1844"/>
      <c r="K108" s="3208">
        <f t="shared" si="6"/>
        <v>0</v>
      </c>
      <c r="L108" s="1844"/>
      <c r="M108" s="1844"/>
      <c r="N108" s="2902">
        <f t="shared" si="7"/>
        <v>0</v>
      </c>
      <c r="O108" s="1844"/>
      <c r="P108" s="1844"/>
      <c r="Q108" s="2809"/>
    </row>
    <row r="109" spans="1:17" hidden="1">
      <c r="A109" s="1844"/>
      <c r="B109" s="3186" t="s">
        <v>763</v>
      </c>
      <c r="C109" s="3208">
        <f t="shared" si="4"/>
        <v>54572</v>
      </c>
      <c r="D109" s="3208">
        <f t="shared" si="5"/>
        <v>54572</v>
      </c>
      <c r="E109" s="1844"/>
      <c r="F109" s="3187">
        <v>54572</v>
      </c>
      <c r="G109" s="1844"/>
      <c r="H109" s="1844"/>
      <c r="I109" s="1844"/>
      <c r="J109" s="1844"/>
      <c r="K109" s="3208">
        <f t="shared" si="6"/>
        <v>0</v>
      </c>
      <c r="L109" s="1844"/>
      <c r="M109" s="1844"/>
      <c r="N109" s="2902">
        <f t="shared" si="7"/>
        <v>0</v>
      </c>
      <c r="O109" s="1844"/>
      <c r="P109" s="1844"/>
      <c r="Q109" s="2809"/>
    </row>
    <row r="110" spans="1:17" hidden="1">
      <c r="A110" s="1844"/>
      <c r="B110" s="3186" t="s">
        <v>471</v>
      </c>
      <c r="C110" s="3208">
        <f t="shared" si="4"/>
        <v>1703</v>
      </c>
      <c r="D110" s="3208">
        <f t="shared" si="5"/>
        <v>1703</v>
      </c>
      <c r="E110" s="1844"/>
      <c r="F110" s="3187">
        <v>1703</v>
      </c>
      <c r="G110" s="1844"/>
      <c r="H110" s="1844"/>
      <c r="I110" s="1844"/>
      <c r="J110" s="1844"/>
      <c r="K110" s="3208">
        <f t="shared" si="6"/>
        <v>0</v>
      </c>
      <c r="L110" s="1844"/>
      <c r="M110" s="1844"/>
      <c r="N110" s="2902">
        <f t="shared" si="7"/>
        <v>0</v>
      </c>
      <c r="O110" s="1844"/>
      <c r="P110" s="1844"/>
      <c r="Q110" s="2809"/>
    </row>
    <row r="111" spans="1:17" hidden="1">
      <c r="A111" s="1844"/>
      <c r="B111" s="3186" t="s">
        <v>472</v>
      </c>
      <c r="C111" s="3208">
        <f t="shared" si="4"/>
        <v>0</v>
      </c>
      <c r="D111" s="3208">
        <f t="shared" si="5"/>
        <v>0</v>
      </c>
      <c r="E111" s="1844"/>
      <c r="F111" s="3187">
        <v>0</v>
      </c>
      <c r="G111" s="1844"/>
      <c r="H111" s="1844"/>
      <c r="I111" s="1844"/>
      <c r="J111" s="1844"/>
      <c r="K111" s="3208">
        <f t="shared" si="6"/>
        <v>0</v>
      </c>
      <c r="L111" s="1844"/>
      <c r="M111" s="1844"/>
      <c r="N111" s="2902">
        <f t="shared" si="7"/>
        <v>0</v>
      </c>
      <c r="O111" s="1844"/>
      <c r="P111" s="1844"/>
      <c r="Q111" s="2809"/>
    </row>
    <row r="112" spans="1:17" hidden="1">
      <c r="A112" s="1844"/>
      <c r="B112" s="3186" t="s">
        <v>473</v>
      </c>
      <c r="C112" s="3208">
        <f t="shared" si="4"/>
        <v>1738</v>
      </c>
      <c r="D112" s="3208">
        <f t="shared" si="5"/>
        <v>1738</v>
      </c>
      <c r="E112" s="1844"/>
      <c r="F112" s="3187">
        <v>1738</v>
      </c>
      <c r="G112" s="1844"/>
      <c r="H112" s="1844"/>
      <c r="I112" s="1844"/>
      <c r="J112" s="1844"/>
      <c r="K112" s="3208">
        <f t="shared" si="6"/>
        <v>0</v>
      </c>
      <c r="L112" s="1844"/>
      <c r="M112" s="1844"/>
      <c r="N112" s="2902">
        <f t="shared" si="7"/>
        <v>0</v>
      </c>
      <c r="O112" s="1844"/>
      <c r="P112" s="1844"/>
      <c r="Q112" s="2809"/>
    </row>
    <row r="113" spans="1:17" hidden="1">
      <c r="A113" s="1844"/>
      <c r="B113" s="3186" t="s">
        <v>474</v>
      </c>
      <c r="C113" s="3208">
        <f t="shared" si="4"/>
        <v>2662</v>
      </c>
      <c r="D113" s="3208">
        <f t="shared" si="5"/>
        <v>2662</v>
      </c>
      <c r="E113" s="1844"/>
      <c r="F113" s="3187">
        <v>2662</v>
      </c>
      <c r="G113" s="1844"/>
      <c r="H113" s="1844"/>
      <c r="I113" s="1844"/>
      <c r="J113" s="1844"/>
      <c r="K113" s="3208">
        <f t="shared" si="6"/>
        <v>0</v>
      </c>
      <c r="L113" s="1844"/>
      <c r="M113" s="1844"/>
      <c r="N113" s="2902">
        <f t="shared" si="7"/>
        <v>0</v>
      </c>
      <c r="O113" s="1844"/>
      <c r="P113" s="1844"/>
      <c r="Q113" s="2809"/>
    </row>
    <row r="114" spans="1:17" hidden="1">
      <c r="A114" s="1844"/>
      <c r="B114" s="3186" t="s">
        <v>999</v>
      </c>
      <c r="C114" s="3208">
        <f t="shared" si="4"/>
        <v>0</v>
      </c>
      <c r="D114" s="3208">
        <f t="shared" si="5"/>
        <v>0</v>
      </c>
      <c r="E114" s="1844"/>
      <c r="F114" s="3187">
        <v>0</v>
      </c>
      <c r="G114" s="1844"/>
      <c r="H114" s="1844"/>
      <c r="I114" s="1844"/>
      <c r="J114" s="1844"/>
      <c r="K114" s="3208">
        <f t="shared" si="6"/>
        <v>0</v>
      </c>
      <c r="L114" s="1844"/>
      <c r="M114" s="1844"/>
      <c r="N114" s="2902">
        <f t="shared" si="7"/>
        <v>0</v>
      </c>
      <c r="O114" s="1844"/>
      <c r="P114" s="1844"/>
      <c r="Q114" s="2809"/>
    </row>
    <row r="115" spans="1:17" hidden="1">
      <c r="A115" s="1844"/>
      <c r="B115" s="3186" t="s">
        <v>483</v>
      </c>
      <c r="C115" s="3208">
        <f t="shared" si="4"/>
        <v>0</v>
      </c>
      <c r="D115" s="3208">
        <f t="shared" si="5"/>
        <v>0</v>
      </c>
      <c r="E115" s="1844"/>
      <c r="F115" s="3187">
        <v>0</v>
      </c>
      <c r="G115" s="1844"/>
      <c r="H115" s="1844"/>
      <c r="I115" s="1844"/>
      <c r="J115" s="1844"/>
      <c r="K115" s="3208">
        <f t="shared" si="6"/>
        <v>0</v>
      </c>
      <c r="L115" s="1844"/>
      <c r="M115" s="1844"/>
      <c r="N115" s="2902">
        <f t="shared" si="7"/>
        <v>0</v>
      </c>
      <c r="O115" s="1844"/>
      <c r="P115" s="1844"/>
      <c r="Q115" s="2809"/>
    </row>
    <row r="116" spans="1:17">
      <c r="A116" s="1844">
        <v>12</v>
      </c>
      <c r="B116" s="3186" t="s">
        <v>466</v>
      </c>
      <c r="C116" s="3208">
        <f t="shared" si="4"/>
        <v>2634</v>
      </c>
      <c r="D116" s="3208">
        <f t="shared" si="5"/>
        <v>2634</v>
      </c>
      <c r="E116" s="1844"/>
      <c r="F116" s="3187">
        <v>2634</v>
      </c>
      <c r="G116" s="1844"/>
      <c r="H116" s="1844"/>
      <c r="I116" s="1844"/>
      <c r="J116" s="1844"/>
      <c r="K116" s="3208">
        <f t="shared" si="6"/>
        <v>0</v>
      </c>
      <c r="L116" s="1844"/>
      <c r="M116" s="1844"/>
      <c r="N116" s="2902">
        <f t="shared" si="7"/>
        <v>0</v>
      </c>
      <c r="O116" s="1844"/>
      <c r="P116" s="1844"/>
      <c r="Q116" s="2809"/>
    </row>
    <row r="117" spans="1:17">
      <c r="A117" s="1844">
        <v>13</v>
      </c>
      <c r="B117" s="3186" t="s">
        <v>443</v>
      </c>
      <c r="C117" s="3208">
        <f t="shared" si="4"/>
        <v>82737</v>
      </c>
      <c r="D117" s="3208">
        <f t="shared" si="5"/>
        <v>82737</v>
      </c>
      <c r="E117" s="1844"/>
      <c r="F117" s="3187">
        <v>82737</v>
      </c>
      <c r="G117" s="1844"/>
      <c r="H117" s="1844"/>
      <c r="I117" s="1844"/>
      <c r="J117" s="1844"/>
      <c r="K117" s="3208">
        <f t="shared" si="6"/>
        <v>0</v>
      </c>
      <c r="L117" s="1844"/>
      <c r="M117" s="1844"/>
      <c r="N117" s="2902">
        <f t="shared" si="7"/>
        <v>0</v>
      </c>
      <c r="O117" s="1844"/>
      <c r="P117" s="1844"/>
      <c r="Q117" s="2809"/>
    </row>
    <row r="118" spans="1:17" hidden="1">
      <c r="A118" s="1844"/>
      <c r="B118" s="3186" t="s">
        <v>444</v>
      </c>
      <c r="C118" s="3208">
        <f t="shared" si="4"/>
        <v>8915</v>
      </c>
      <c r="D118" s="3208">
        <f t="shared" si="5"/>
        <v>8915</v>
      </c>
      <c r="E118" s="1844"/>
      <c r="F118" s="3187">
        <v>8915</v>
      </c>
      <c r="G118" s="1844"/>
      <c r="H118" s="1844"/>
      <c r="I118" s="1844"/>
      <c r="J118" s="1844"/>
      <c r="K118" s="3208">
        <f t="shared" si="6"/>
        <v>0</v>
      </c>
      <c r="L118" s="1844"/>
      <c r="M118" s="1844"/>
      <c r="N118" s="2902">
        <f t="shared" si="7"/>
        <v>0</v>
      </c>
      <c r="O118" s="1844"/>
      <c r="P118" s="1844"/>
      <c r="Q118" s="2809"/>
    </row>
    <row r="119" spans="1:17" hidden="1">
      <c r="A119" s="1844"/>
      <c r="B119" s="3186" t="s">
        <v>445</v>
      </c>
      <c r="C119" s="3208">
        <f t="shared" si="4"/>
        <v>5824</v>
      </c>
      <c r="D119" s="3208">
        <f t="shared" si="5"/>
        <v>5824</v>
      </c>
      <c r="E119" s="1844"/>
      <c r="F119" s="3187">
        <v>5824</v>
      </c>
      <c r="G119" s="1844"/>
      <c r="H119" s="1844"/>
      <c r="I119" s="1844"/>
      <c r="J119" s="1844"/>
      <c r="K119" s="3208">
        <f t="shared" si="6"/>
        <v>0</v>
      </c>
      <c r="L119" s="1844"/>
      <c r="M119" s="1844"/>
      <c r="N119" s="2902">
        <f t="shared" si="7"/>
        <v>0</v>
      </c>
      <c r="O119" s="1844"/>
      <c r="P119" s="1844"/>
      <c r="Q119" s="2809"/>
    </row>
    <row r="120" spans="1:17" hidden="1">
      <c r="A120" s="1844"/>
      <c r="B120" s="3186" t="s">
        <v>446</v>
      </c>
      <c r="C120" s="3208">
        <f t="shared" si="4"/>
        <v>17259</v>
      </c>
      <c r="D120" s="3208">
        <f t="shared" si="5"/>
        <v>17259</v>
      </c>
      <c r="E120" s="1844"/>
      <c r="F120" s="3187">
        <v>17259</v>
      </c>
      <c r="G120" s="1844"/>
      <c r="H120" s="1844"/>
      <c r="I120" s="1844"/>
      <c r="J120" s="1844"/>
      <c r="K120" s="3208">
        <f t="shared" si="6"/>
        <v>0</v>
      </c>
      <c r="L120" s="1844"/>
      <c r="M120" s="1844"/>
      <c r="N120" s="2902">
        <f t="shared" si="7"/>
        <v>0</v>
      </c>
      <c r="O120" s="1844"/>
      <c r="P120" s="1844"/>
      <c r="Q120" s="2809"/>
    </row>
    <row r="121" spans="1:17" hidden="1">
      <c r="A121" s="1844"/>
      <c r="B121" s="3186" t="s">
        <v>447</v>
      </c>
      <c r="C121" s="3208">
        <f t="shared" si="4"/>
        <v>5896</v>
      </c>
      <c r="D121" s="3208">
        <f t="shared" si="5"/>
        <v>5896</v>
      </c>
      <c r="E121" s="1844"/>
      <c r="F121" s="3187">
        <v>5896</v>
      </c>
      <c r="G121" s="1844"/>
      <c r="H121" s="1844"/>
      <c r="I121" s="1844"/>
      <c r="J121" s="1844"/>
      <c r="K121" s="3208">
        <f t="shared" si="6"/>
        <v>0</v>
      </c>
      <c r="L121" s="1844"/>
      <c r="M121" s="1844"/>
      <c r="N121" s="2902">
        <f t="shared" si="7"/>
        <v>0</v>
      </c>
      <c r="O121" s="1844"/>
      <c r="P121" s="1844"/>
      <c r="Q121" s="2809"/>
    </row>
    <row r="122" spans="1:17" ht="26.4" hidden="1">
      <c r="A122" s="1844"/>
      <c r="B122" s="3186" t="s">
        <v>448</v>
      </c>
      <c r="C122" s="3208">
        <f t="shared" si="4"/>
        <v>0</v>
      </c>
      <c r="D122" s="3208">
        <f t="shared" si="5"/>
        <v>0</v>
      </c>
      <c r="E122" s="1844"/>
      <c r="F122" s="3187">
        <v>0</v>
      </c>
      <c r="G122" s="1844"/>
      <c r="H122" s="1844"/>
      <c r="I122" s="1844"/>
      <c r="J122" s="1844"/>
      <c r="K122" s="3208">
        <f t="shared" si="6"/>
        <v>0</v>
      </c>
      <c r="L122" s="1844"/>
      <c r="M122" s="1844"/>
      <c r="N122" s="2902">
        <f t="shared" si="7"/>
        <v>0</v>
      </c>
      <c r="O122" s="1844"/>
      <c r="P122" s="1844"/>
      <c r="Q122" s="2809"/>
    </row>
    <row r="123" spans="1:17" hidden="1">
      <c r="A123" s="1844"/>
      <c r="B123" s="3186" t="s">
        <v>449</v>
      </c>
      <c r="C123" s="3208">
        <f t="shared" si="4"/>
        <v>3031</v>
      </c>
      <c r="D123" s="3208">
        <f t="shared" si="5"/>
        <v>3031</v>
      </c>
      <c r="E123" s="1844"/>
      <c r="F123" s="3187">
        <v>3031</v>
      </c>
      <c r="G123" s="1844"/>
      <c r="H123" s="1844"/>
      <c r="I123" s="1844"/>
      <c r="J123" s="1844"/>
      <c r="K123" s="3208">
        <f t="shared" si="6"/>
        <v>0</v>
      </c>
      <c r="L123" s="1844"/>
      <c r="M123" s="1844"/>
      <c r="N123" s="2902">
        <f t="shared" si="7"/>
        <v>0</v>
      </c>
      <c r="O123" s="1844"/>
      <c r="P123" s="1844"/>
      <c r="Q123" s="2809"/>
    </row>
    <row r="124" spans="1:17" hidden="1">
      <c r="A124" s="1844"/>
      <c r="B124" s="3186" t="s">
        <v>450</v>
      </c>
      <c r="C124" s="3208">
        <f t="shared" si="4"/>
        <v>5024</v>
      </c>
      <c r="D124" s="3208">
        <f t="shared" si="5"/>
        <v>5024</v>
      </c>
      <c r="E124" s="1844"/>
      <c r="F124" s="3187">
        <v>5024</v>
      </c>
      <c r="G124" s="1844"/>
      <c r="H124" s="1844"/>
      <c r="I124" s="1844"/>
      <c r="J124" s="1844"/>
      <c r="K124" s="3208">
        <f t="shared" si="6"/>
        <v>0</v>
      </c>
      <c r="L124" s="1844"/>
      <c r="M124" s="1844"/>
      <c r="N124" s="2902">
        <f t="shared" si="7"/>
        <v>0</v>
      </c>
      <c r="O124" s="1844"/>
      <c r="P124" s="1844"/>
      <c r="Q124" s="2809"/>
    </row>
    <row r="125" spans="1:17" ht="26.4" hidden="1">
      <c r="A125" s="1844"/>
      <c r="B125" s="3186" t="s">
        <v>451</v>
      </c>
      <c r="C125" s="3208">
        <f t="shared" si="4"/>
        <v>2892</v>
      </c>
      <c r="D125" s="3208">
        <f t="shared" si="5"/>
        <v>2892</v>
      </c>
      <c r="E125" s="1844"/>
      <c r="F125" s="3187">
        <v>2892</v>
      </c>
      <c r="G125" s="1844"/>
      <c r="H125" s="1844"/>
      <c r="I125" s="1844"/>
      <c r="J125" s="1844"/>
      <c r="K125" s="3208">
        <f t="shared" si="6"/>
        <v>0</v>
      </c>
      <c r="L125" s="1844"/>
      <c r="M125" s="1844"/>
      <c r="N125" s="2902">
        <f t="shared" si="7"/>
        <v>0</v>
      </c>
      <c r="O125" s="1844"/>
      <c r="P125" s="1844"/>
      <c r="Q125" s="2809"/>
    </row>
    <row r="126" spans="1:17" hidden="1">
      <c r="A126" s="1844"/>
      <c r="B126" s="3186" t="s">
        <v>452</v>
      </c>
      <c r="C126" s="3208">
        <f t="shared" si="4"/>
        <v>0</v>
      </c>
      <c r="D126" s="3208">
        <f t="shared" si="5"/>
        <v>0</v>
      </c>
      <c r="E126" s="1844"/>
      <c r="F126" s="3187">
        <v>0</v>
      </c>
      <c r="G126" s="1844"/>
      <c r="H126" s="1844"/>
      <c r="I126" s="1844"/>
      <c r="J126" s="1844"/>
      <c r="K126" s="3208">
        <f t="shared" si="6"/>
        <v>0</v>
      </c>
      <c r="L126" s="1844"/>
      <c r="M126" s="1844"/>
      <c r="N126" s="2902">
        <f t="shared" si="7"/>
        <v>0</v>
      </c>
      <c r="O126" s="1844"/>
      <c r="P126" s="1844"/>
      <c r="Q126" s="2809"/>
    </row>
    <row r="127" spans="1:17" hidden="1">
      <c r="A127" s="1844"/>
      <c r="B127" s="3186" t="s">
        <v>453</v>
      </c>
      <c r="C127" s="3208">
        <f t="shared" si="4"/>
        <v>0</v>
      </c>
      <c r="D127" s="3208">
        <f t="shared" si="5"/>
        <v>0</v>
      </c>
      <c r="E127" s="1844"/>
      <c r="F127" s="3187">
        <v>0</v>
      </c>
      <c r="G127" s="1844"/>
      <c r="H127" s="1844"/>
      <c r="I127" s="1844"/>
      <c r="J127" s="1844"/>
      <c r="K127" s="3208">
        <f t="shared" si="6"/>
        <v>0</v>
      </c>
      <c r="L127" s="1844"/>
      <c r="M127" s="1844"/>
      <c r="N127" s="2902">
        <f t="shared" si="7"/>
        <v>0</v>
      </c>
      <c r="O127" s="1844"/>
      <c r="P127" s="1844"/>
      <c r="Q127" s="2809"/>
    </row>
    <row r="128" spans="1:17" hidden="1">
      <c r="A128" s="1844"/>
      <c r="B128" s="3186" t="s">
        <v>454</v>
      </c>
      <c r="C128" s="3208">
        <f t="shared" si="4"/>
        <v>5280</v>
      </c>
      <c r="D128" s="3208">
        <f t="shared" si="5"/>
        <v>5280</v>
      </c>
      <c r="E128" s="1844"/>
      <c r="F128" s="3187">
        <v>5280</v>
      </c>
      <c r="G128" s="1844"/>
      <c r="H128" s="1844"/>
      <c r="I128" s="1844"/>
      <c r="J128" s="1844"/>
      <c r="K128" s="3208">
        <f t="shared" si="6"/>
        <v>0</v>
      </c>
      <c r="L128" s="1844"/>
      <c r="M128" s="1844"/>
      <c r="N128" s="2902">
        <f t="shared" si="7"/>
        <v>0</v>
      </c>
      <c r="O128" s="1844"/>
      <c r="P128" s="1844"/>
      <c r="Q128" s="2809"/>
    </row>
    <row r="129" spans="1:17" ht="26.4" hidden="1">
      <c r="A129" s="1844"/>
      <c r="B129" s="3186" t="s">
        <v>455</v>
      </c>
      <c r="C129" s="3208">
        <f t="shared" si="4"/>
        <v>540</v>
      </c>
      <c r="D129" s="3208">
        <f t="shared" si="5"/>
        <v>540</v>
      </c>
      <c r="E129" s="1844"/>
      <c r="F129" s="3187">
        <v>540</v>
      </c>
      <c r="G129" s="1844"/>
      <c r="H129" s="1844"/>
      <c r="I129" s="1844"/>
      <c r="J129" s="1844"/>
      <c r="K129" s="3208">
        <f t="shared" si="6"/>
        <v>0</v>
      </c>
      <c r="L129" s="1844"/>
      <c r="M129" s="1844"/>
      <c r="N129" s="2902">
        <f t="shared" si="7"/>
        <v>0</v>
      </c>
      <c r="O129" s="1844"/>
      <c r="P129" s="1844"/>
      <c r="Q129" s="2809"/>
    </row>
    <row r="130" spans="1:17" hidden="1">
      <c r="A130" s="1844"/>
      <c r="B130" s="3186" t="s">
        <v>456</v>
      </c>
      <c r="C130" s="3208">
        <f t="shared" si="4"/>
        <v>0</v>
      </c>
      <c r="D130" s="3208">
        <f t="shared" si="5"/>
        <v>0</v>
      </c>
      <c r="E130" s="1844"/>
      <c r="F130" s="3187">
        <v>0</v>
      </c>
      <c r="G130" s="1844"/>
      <c r="H130" s="1844"/>
      <c r="I130" s="1844"/>
      <c r="J130" s="1844"/>
      <c r="K130" s="3208">
        <f t="shared" si="6"/>
        <v>0</v>
      </c>
      <c r="L130" s="1844"/>
      <c r="M130" s="1844"/>
      <c r="N130" s="2902">
        <f t="shared" si="7"/>
        <v>0</v>
      </c>
      <c r="O130" s="1844"/>
      <c r="P130" s="1844"/>
      <c r="Q130" s="2809"/>
    </row>
    <row r="131" spans="1:17" hidden="1">
      <c r="A131" s="1844"/>
      <c r="B131" s="3186" t="s">
        <v>457</v>
      </c>
      <c r="C131" s="3208">
        <f t="shared" si="4"/>
        <v>0</v>
      </c>
      <c r="D131" s="3208">
        <f t="shared" si="5"/>
        <v>0</v>
      </c>
      <c r="E131" s="1844"/>
      <c r="F131" s="3187">
        <v>0</v>
      </c>
      <c r="G131" s="1844"/>
      <c r="H131" s="1844"/>
      <c r="I131" s="1844"/>
      <c r="J131" s="1844"/>
      <c r="K131" s="3208">
        <f t="shared" si="6"/>
        <v>0</v>
      </c>
      <c r="L131" s="1844"/>
      <c r="M131" s="1844"/>
      <c r="N131" s="2902">
        <f t="shared" si="7"/>
        <v>0</v>
      </c>
      <c r="O131" s="1844"/>
      <c r="P131" s="1844"/>
      <c r="Q131" s="2809"/>
    </row>
    <row r="132" spans="1:17" hidden="1">
      <c r="A132" s="1844"/>
      <c r="B132" s="3186" t="s">
        <v>458</v>
      </c>
      <c r="C132" s="3208">
        <f t="shared" si="4"/>
        <v>7188</v>
      </c>
      <c r="D132" s="3208">
        <f t="shared" si="5"/>
        <v>7188</v>
      </c>
      <c r="E132" s="1844"/>
      <c r="F132" s="3187">
        <v>7188</v>
      </c>
      <c r="G132" s="1844"/>
      <c r="H132" s="1844"/>
      <c r="I132" s="1844"/>
      <c r="J132" s="1844"/>
      <c r="K132" s="3208">
        <f t="shared" si="6"/>
        <v>0</v>
      </c>
      <c r="L132" s="1844"/>
      <c r="M132" s="1844"/>
      <c r="N132" s="2902">
        <f t="shared" si="7"/>
        <v>0</v>
      </c>
      <c r="O132" s="1844"/>
      <c r="P132" s="1844"/>
      <c r="Q132" s="2809"/>
    </row>
    <row r="133" spans="1:17" hidden="1">
      <c r="A133" s="1844"/>
      <c r="B133" s="3186" t="s">
        <v>459</v>
      </c>
      <c r="C133" s="3208">
        <f t="shared" si="4"/>
        <v>8537</v>
      </c>
      <c r="D133" s="3208">
        <f t="shared" si="5"/>
        <v>8537</v>
      </c>
      <c r="E133" s="1844"/>
      <c r="F133" s="3187">
        <v>8537</v>
      </c>
      <c r="G133" s="1844"/>
      <c r="H133" s="1844"/>
      <c r="I133" s="1844"/>
      <c r="J133" s="1844"/>
      <c r="K133" s="3208">
        <f t="shared" si="6"/>
        <v>0</v>
      </c>
      <c r="L133" s="1844"/>
      <c r="M133" s="1844"/>
      <c r="N133" s="2902">
        <f t="shared" si="7"/>
        <v>0</v>
      </c>
      <c r="O133" s="1844"/>
      <c r="P133" s="1844"/>
      <c r="Q133" s="2809"/>
    </row>
    <row r="134" spans="1:17" ht="26.4" hidden="1">
      <c r="A134" s="1844"/>
      <c r="B134" s="3186" t="s">
        <v>764</v>
      </c>
      <c r="C134" s="3208">
        <f t="shared" si="4"/>
        <v>11317</v>
      </c>
      <c r="D134" s="3208">
        <f t="shared" si="5"/>
        <v>11317</v>
      </c>
      <c r="E134" s="1844"/>
      <c r="F134" s="3187">
        <v>11317</v>
      </c>
      <c r="G134" s="1844"/>
      <c r="H134" s="1844"/>
      <c r="I134" s="1844"/>
      <c r="J134" s="1844"/>
      <c r="K134" s="3208">
        <f t="shared" si="6"/>
        <v>0</v>
      </c>
      <c r="L134" s="1844"/>
      <c r="M134" s="1844"/>
      <c r="N134" s="2902">
        <f t="shared" si="7"/>
        <v>0</v>
      </c>
      <c r="O134" s="1844"/>
      <c r="P134" s="1844"/>
      <c r="Q134" s="2809"/>
    </row>
    <row r="135" spans="1:17" hidden="1">
      <c r="A135" s="1844"/>
      <c r="B135" s="3186" t="s">
        <v>765</v>
      </c>
      <c r="C135" s="3208">
        <f t="shared" si="4"/>
        <v>450</v>
      </c>
      <c r="D135" s="3208">
        <f t="shared" si="5"/>
        <v>450</v>
      </c>
      <c r="E135" s="1844"/>
      <c r="F135" s="3187">
        <v>450</v>
      </c>
      <c r="G135" s="1844"/>
      <c r="H135" s="1844"/>
      <c r="I135" s="1844"/>
      <c r="J135" s="1844"/>
      <c r="K135" s="3208">
        <f t="shared" si="6"/>
        <v>0</v>
      </c>
      <c r="L135" s="1844"/>
      <c r="M135" s="1844"/>
      <c r="N135" s="2902">
        <f t="shared" si="7"/>
        <v>0</v>
      </c>
      <c r="O135" s="1844"/>
      <c r="P135" s="1844"/>
      <c r="Q135" s="2809"/>
    </row>
    <row r="136" spans="1:17" hidden="1">
      <c r="A136" s="1844"/>
      <c r="B136" s="3186" t="s">
        <v>766</v>
      </c>
      <c r="C136" s="3208">
        <f t="shared" si="4"/>
        <v>584</v>
      </c>
      <c r="D136" s="3208">
        <f t="shared" si="5"/>
        <v>584</v>
      </c>
      <c r="E136" s="1844"/>
      <c r="F136" s="3187">
        <v>584</v>
      </c>
      <c r="G136" s="1844"/>
      <c r="H136" s="1844"/>
      <c r="I136" s="1844"/>
      <c r="J136" s="1844"/>
      <c r="K136" s="3208">
        <f t="shared" si="6"/>
        <v>0</v>
      </c>
      <c r="L136" s="1844"/>
      <c r="M136" s="1844"/>
      <c r="N136" s="2902">
        <f t="shared" si="7"/>
        <v>0</v>
      </c>
      <c r="O136" s="1844"/>
      <c r="P136" s="1844"/>
      <c r="Q136" s="2809"/>
    </row>
    <row r="137" spans="1:17" ht="26.4" hidden="1">
      <c r="A137" s="1844">
        <v>16</v>
      </c>
      <c r="B137" s="3186" t="s">
        <v>461</v>
      </c>
      <c r="C137" s="3208">
        <f t="shared" si="4"/>
        <v>0</v>
      </c>
      <c r="D137" s="3208">
        <f t="shared" si="5"/>
        <v>0</v>
      </c>
      <c r="E137" s="1844"/>
      <c r="F137" s="3187">
        <v>0</v>
      </c>
      <c r="G137" s="1844"/>
      <c r="H137" s="1844"/>
      <c r="I137" s="1844"/>
      <c r="J137" s="1844"/>
      <c r="K137" s="3208">
        <f t="shared" si="6"/>
        <v>0</v>
      </c>
      <c r="L137" s="1844"/>
      <c r="M137" s="1844"/>
      <c r="N137" s="2902">
        <f t="shared" si="7"/>
        <v>0</v>
      </c>
      <c r="O137" s="1844"/>
      <c r="P137" s="1844"/>
      <c r="Q137" s="2809"/>
    </row>
    <row r="138" spans="1:17">
      <c r="A138" s="1844">
        <v>14</v>
      </c>
      <c r="B138" s="3186" t="s">
        <v>593</v>
      </c>
      <c r="C138" s="3208">
        <f t="shared" si="4"/>
        <v>20546</v>
      </c>
      <c r="D138" s="3208">
        <f t="shared" si="5"/>
        <v>20546</v>
      </c>
      <c r="E138" s="1844"/>
      <c r="F138" s="3187">
        <v>20546</v>
      </c>
      <c r="G138" s="1844"/>
      <c r="H138" s="1844"/>
      <c r="I138" s="1844"/>
      <c r="J138" s="1844"/>
      <c r="K138" s="3208">
        <f t="shared" si="6"/>
        <v>0</v>
      </c>
      <c r="L138" s="1844"/>
      <c r="M138" s="1844"/>
      <c r="N138" s="2902">
        <f t="shared" si="7"/>
        <v>0</v>
      </c>
      <c r="O138" s="1844"/>
      <c r="P138" s="1844"/>
      <c r="Q138" s="2809"/>
    </row>
    <row r="139" spans="1:17" hidden="1">
      <c r="A139" s="1844"/>
      <c r="B139" s="3186" t="s">
        <v>594</v>
      </c>
      <c r="C139" s="3208">
        <f t="shared" ref="C139:C202" si="8">SUM(D139,K139,N139,Q139)</f>
        <v>17247</v>
      </c>
      <c r="D139" s="3208">
        <f t="shared" ref="D139:D202" si="9">SUM(E139:J139)</f>
        <v>17247</v>
      </c>
      <c r="E139" s="1844"/>
      <c r="F139" s="3187">
        <v>17247</v>
      </c>
      <c r="G139" s="1844"/>
      <c r="H139" s="1844"/>
      <c r="I139" s="1844"/>
      <c r="J139" s="1844"/>
      <c r="K139" s="3208">
        <f t="shared" ref="K139:K202" si="10">L139+M139</f>
        <v>0</v>
      </c>
      <c r="L139" s="1844"/>
      <c r="M139" s="1844"/>
      <c r="N139" s="2902">
        <f t="shared" ref="N139:N202" si="11">O139+P139</f>
        <v>0</v>
      </c>
      <c r="O139" s="1844"/>
      <c r="P139" s="1844"/>
      <c r="Q139" s="2809"/>
    </row>
    <row r="140" spans="1:17" hidden="1">
      <c r="A140" s="1844"/>
      <c r="B140" s="3186" t="s">
        <v>595</v>
      </c>
      <c r="C140" s="3208">
        <f t="shared" si="8"/>
        <v>1253</v>
      </c>
      <c r="D140" s="3208">
        <f t="shared" si="9"/>
        <v>1253</v>
      </c>
      <c r="E140" s="1844"/>
      <c r="F140" s="3187">
        <v>1253</v>
      </c>
      <c r="G140" s="1844"/>
      <c r="H140" s="1844"/>
      <c r="I140" s="1844"/>
      <c r="J140" s="1844"/>
      <c r="K140" s="3208">
        <f t="shared" si="10"/>
        <v>0</v>
      </c>
      <c r="L140" s="1844"/>
      <c r="M140" s="1844"/>
      <c r="N140" s="2902">
        <f t="shared" si="11"/>
        <v>0</v>
      </c>
      <c r="O140" s="1844"/>
      <c r="P140" s="1844"/>
      <c r="Q140" s="2809"/>
    </row>
    <row r="141" spans="1:17" ht="26.4" hidden="1">
      <c r="A141" s="1844"/>
      <c r="B141" s="3186" t="s">
        <v>767</v>
      </c>
      <c r="C141" s="3208">
        <f t="shared" si="8"/>
        <v>2046</v>
      </c>
      <c r="D141" s="3208">
        <f t="shared" si="9"/>
        <v>2046</v>
      </c>
      <c r="E141" s="1844"/>
      <c r="F141" s="3187">
        <v>2046</v>
      </c>
      <c r="G141" s="1844"/>
      <c r="H141" s="1844"/>
      <c r="I141" s="1844"/>
      <c r="J141" s="1844"/>
      <c r="K141" s="3208">
        <f t="shared" si="10"/>
        <v>0</v>
      </c>
      <c r="L141" s="1844"/>
      <c r="M141" s="1844"/>
      <c r="N141" s="2902">
        <f t="shared" si="11"/>
        <v>0</v>
      </c>
      <c r="O141" s="1844"/>
      <c r="P141" s="1844"/>
      <c r="Q141" s="2809"/>
    </row>
    <row r="142" spans="1:17" s="2635" customFormat="1">
      <c r="A142" s="1844">
        <v>15</v>
      </c>
      <c r="B142" s="3186" t="s">
        <v>596</v>
      </c>
      <c r="C142" s="3208">
        <f t="shared" si="8"/>
        <v>11289</v>
      </c>
      <c r="D142" s="3208">
        <f t="shared" si="9"/>
        <v>11289</v>
      </c>
      <c r="E142" s="1844"/>
      <c r="F142" s="3187">
        <v>11289</v>
      </c>
      <c r="G142" s="1844"/>
      <c r="H142" s="1844"/>
      <c r="I142" s="1844"/>
      <c r="J142" s="1844"/>
      <c r="K142" s="3208">
        <f t="shared" si="10"/>
        <v>0</v>
      </c>
      <c r="L142" s="1844"/>
      <c r="M142" s="1844"/>
      <c r="N142" s="2902">
        <f t="shared" si="11"/>
        <v>0</v>
      </c>
      <c r="O142" s="1844"/>
      <c r="P142" s="1844"/>
      <c r="Q142" s="2809"/>
    </row>
    <row r="143" spans="1:17" s="2635" customFormat="1">
      <c r="A143" s="1844">
        <v>16</v>
      </c>
      <c r="B143" s="3186" t="s">
        <v>597</v>
      </c>
      <c r="C143" s="3208">
        <f t="shared" si="8"/>
        <v>10423</v>
      </c>
      <c r="D143" s="3208">
        <f t="shared" si="9"/>
        <v>10423</v>
      </c>
      <c r="E143" s="1844"/>
      <c r="F143" s="3187">
        <v>10423</v>
      </c>
      <c r="G143" s="1844"/>
      <c r="H143" s="1844"/>
      <c r="I143" s="1844"/>
      <c r="J143" s="1844"/>
      <c r="K143" s="3208">
        <f t="shared" si="10"/>
        <v>0</v>
      </c>
      <c r="L143" s="1844"/>
      <c r="M143" s="1844"/>
      <c r="N143" s="2902">
        <f t="shared" si="11"/>
        <v>0</v>
      </c>
      <c r="O143" s="1844"/>
      <c r="P143" s="1844"/>
      <c r="Q143" s="2809"/>
    </row>
    <row r="144" spans="1:17" s="2635" customFormat="1" hidden="1">
      <c r="A144" s="1844"/>
      <c r="B144" s="3186" t="s">
        <v>768</v>
      </c>
      <c r="C144" s="3208">
        <f t="shared" si="8"/>
        <v>8423</v>
      </c>
      <c r="D144" s="3208">
        <f t="shared" si="9"/>
        <v>8423</v>
      </c>
      <c r="E144" s="1844"/>
      <c r="F144" s="3187">
        <v>8423</v>
      </c>
      <c r="G144" s="1844"/>
      <c r="H144" s="1844"/>
      <c r="I144" s="1844"/>
      <c r="J144" s="1844"/>
      <c r="K144" s="3208">
        <f t="shared" si="10"/>
        <v>0</v>
      </c>
      <c r="L144" s="1844"/>
      <c r="M144" s="1844"/>
      <c r="N144" s="2902">
        <f t="shared" si="11"/>
        <v>0</v>
      </c>
      <c r="O144" s="1844"/>
      <c r="P144" s="1844"/>
      <c r="Q144" s="2809"/>
    </row>
    <row r="145" spans="1:17" s="2635" customFormat="1" ht="26.4" hidden="1">
      <c r="A145" s="1844"/>
      <c r="B145" s="3186" t="s">
        <v>769</v>
      </c>
      <c r="C145" s="3208">
        <f t="shared" si="8"/>
        <v>2000</v>
      </c>
      <c r="D145" s="3208">
        <f t="shared" si="9"/>
        <v>2000</v>
      </c>
      <c r="E145" s="1844"/>
      <c r="F145" s="3187">
        <v>2000</v>
      </c>
      <c r="G145" s="1844"/>
      <c r="H145" s="1844"/>
      <c r="I145" s="1844"/>
      <c r="J145" s="1844"/>
      <c r="K145" s="3208">
        <f t="shared" si="10"/>
        <v>0</v>
      </c>
      <c r="L145" s="1844"/>
      <c r="M145" s="1844"/>
      <c r="N145" s="2902">
        <f t="shared" si="11"/>
        <v>0</v>
      </c>
      <c r="O145" s="1844"/>
      <c r="P145" s="1844"/>
      <c r="Q145" s="2809"/>
    </row>
    <row r="146" spans="1:17" s="2635" customFormat="1">
      <c r="A146" s="1844">
        <v>17</v>
      </c>
      <c r="B146" s="3186" t="s">
        <v>598</v>
      </c>
      <c r="C146" s="3208">
        <f t="shared" si="8"/>
        <v>29991</v>
      </c>
      <c r="D146" s="3208">
        <f t="shared" si="9"/>
        <v>29991</v>
      </c>
      <c r="E146" s="1844"/>
      <c r="F146" s="3187">
        <v>29991</v>
      </c>
      <c r="G146" s="1844"/>
      <c r="H146" s="1844"/>
      <c r="I146" s="1844"/>
      <c r="J146" s="1844"/>
      <c r="K146" s="3208">
        <f t="shared" si="10"/>
        <v>0</v>
      </c>
      <c r="L146" s="1844"/>
      <c r="M146" s="1844"/>
      <c r="N146" s="2902">
        <f t="shared" si="11"/>
        <v>0</v>
      </c>
      <c r="O146" s="1844"/>
      <c r="P146" s="1844"/>
      <c r="Q146" s="2809"/>
    </row>
    <row r="147" spans="1:17" s="2635" customFormat="1" hidden="1">
      <c r="A147" s="1844"/>
      <c r="B147" s="3186" t="s">
        <v>599</v>
      </c>
      <c r="C147" s="3208">
        <f t="shared" si="8"/>
        <v>10553</v>
      </c>
      <c r="D147" s="3208">
        <f t="shared" si="9"/>
        <v>10553</v>
      </c>
      <c r="E147" s="1844"/>
      <c r="F147" s="3187">
        <v>10553</v>
      </c>
      <c r="G147" s="1844"/>
      <c r="H147" s="1844"/>
      <c r="I147" s="1844"/>
      <c r="J147" s="1844"/>
      <c r="K147" s="3208">
        <f t="shared" si="10"/>
        <v>0</v>
      </c>
      <c r="L147" s="1844"/>
      <c r="M147" s="1844"/>
      <c r="N147" s="2902">
        <f t="shared" si="11"/>
        <v>0</v>
      </c>
      <c r="O147" s="1844"/>
      <c r="P147" s="1844"/>
      <c r="Q147" s="2809"/>
    </row>
    <row r="148" spans="1:17" hidden="1">
      <c r="A148" s="2812"/>
      <c r="B148" s="3188" t="s">
        <v>600</v>
      </c>
      <c r="C148" s="3208">
        <f t="shared" si="8"/>
        <v>10995</v>
      </c>
      <c r="D148" s="3208">
        <f t="shared" si="9"/>
        <v>10995</v>
      </c>
      <c r="E148" s="3211"/>
      <c r="F148" s="2756">
        <v>10995</v>
      </c>
      <c r="G148" s="3211"/>
      <c r="H148" s="3211"/>
      <c r="I148" s="3211"/>
      <c r="J148" s="3211"/>
      <c r="K148" s="3208">
        <f t="shared" si="10"/>
        <v>0</v>
      </c>
      <c r="L148" s="3211"/>
      <c r="M148" s="3211"/>
      <c r="N148" s="2902">
        <f t="shared" si="11"/>
        <v>0</v>
      </c>
      <c r="O148" s="3211"/>
      <c r="P148" s="3211"/>
      <c r="Q148" s="3212"/>
    </row>
    <row r="149" spans="1:17" hidden="1">
      <c r="A149" s="2812"/>
      <c r="B149" s="3188" t="s">
        <v>601</v>
      </c>
      <c r="C149" s="3208">
        <f t="shared" si="8"/>
        <v>4558</v>
      </c>
      <c r="D149" s="3208">
        <f t="shared" si="9"/>
        <v>4558</v>
      </c>
      <c r="E149" s="3211"/>
      <c r="F149" s="2756">
        <v>4558</v>
      </c>
      <c r="G149" s="3211"/>
      <c r="H149" s="3211"/>
      <c r="I149" s="3211"/>
      <c r="J149" s="3211"/>
      <c r="K149" s="3208">
        <f t="shared" si="10"/>
        <v>0</v>
      </c>
      <c r="L149" s="3211"/>
      <c r="M149" s="3211"/>
      <c r="N149" s="2902">
        <f t="shared" si="11"/>
        <v>0</v>
      </c>
      <c r="O149" s="3211"/>
      <c r="P149" s="3211"/>
      <c r="Q149" s="3212"/>
    </row>
    <row r="150" spans="1:17" hidden="1">
      <c r="A150" s="2812"/>
      <c r="B150" s="3188" t="s">
        <v>602</v>
      </c>
      <c r="C150" s="3208">
        <f t="shared" si="8"/>
        <v>1715</v>
      </c>
      <c r="D150" s="3208">
        <f t="shared" si="9"/>
        <v>1715</v>
      </c>
      <c r="E150" s="3211"/>
      <c r="F150" s="2756">
        <v>1715</v>
      </c>
      <c r="G150" s="3211"/>
      <c r="H150" s="3211"/>
      <c r="I150" s="3211"/>
      <c r="J150" s="3211"/>
      <c r="K150" s="3208">
        <f t="shared" si="10"/>
        <v>0</v>
      </c>
      <c r="L150" s="3211"/>
      <c r="M150" s="3211"/>
      <c r="N150" s="2902">
        <f t="shared" si="11"/>
        <v>0</v>
      </c>
      <c r="O150" s="3211"/>
      <c r="P150" s="3211"/>
      <c r="Q150" s="3212"/>
    </row>
    <row r="151" spans="1:17" hidden="1">
      <c r="A151" s="2812"/>
      <c r="B151" s="3188" t="s">
        <v>603</v>
      </c>
      <c r="C151" s="3208">
        <f t="shared" si="8"/>
        <v>1188</v>
      </c>
      <c r="D151" s="3208">
        <f t="shared" si="9"/>
        <v>1188</v>
      </c>
      <c r="E151" s="3211"/>
      <c r="F151" s="2756">
        <v>1188</v>
      </c>
      <c r="G151" s="3211"/>
      <c r="H151" s="3211"/>
      <c r="I151" s="3211"/>
      <c r="J151" s="3211"/>
      <c r="K151" s="3208">
        <f t="shared" si="10"/>
        <v>0</v>
      </c>
      <c r="L151" s="3211"/>
      <c r="M151" s="3211"/>
      <c r="N151" s="2902">
        <f t="shared" si="11"/>
        <v>0</v>
      </c>
      <c r="O151" s="3211"/>
      <c r="P151" s="3211"/>
      <c r="Q151" s="3212"/>
    </row>
    <row r="152" spans="1:17" hidden="1">
      <c r="A152" s="2812"/>
      <c r="B152" s="3188" t="s">
        <v>604</v>
      </c>
      <c r="C152" s="3208">
        <f t="shared" si="8"/>
        <v>982</v>
      </c>
      <c r="D152" s="3208">
        <f t="shared" si="9"/>
        <v>982</v>
      </c>
      <c r="E152" s="3211"/>
      <c r="F152" s="2756">
        <v>982</v>
      </c>
      <c r="G152" s="3211"/>
      <c r="H152" s="3211"/>
      <c r="I152" s="3211"/>
      <c r="J152" s="3211"/>
      <c r="K152" s="3208">
        <f t="shared" si="10"/>
        <v>0</v>
      </c>
      <c r="L152" s="3211"/>
      <c r="M152" s="3211"/>
      <c r="N152" s="2902">
        <f t="shared" si="11"/>
        <v>0</v>
      </c>
      <c r="O152" s="3211"/>
      <c r="P152" s="3211"/>
      <c r="Q152" s="3212"/>
    </row>
    <row r="153" spans="1:17">
      <c r="A153" s="2812">
        <v>18</v>
      </c>
      <c r="B153" s="3188" t="s">
        <v>605</v>
      </c>
      <c r="C153" s="3208">
        <f t="shared" si="8"/>
        <v>9815</v>
      </c>
      <c r="D153" s="3208">
        <f t="shared" si="9"/>
        <v>9815</v>
      </c>
      <c r="E153" s="3211"/>
      <c r="F153" s="2756">
        <v>9815</v>
      </c>
      <c r="G153" s="3211"/>
      <c r="H153" s="3211"/>
      <c r="I153" s="3211"/>
      <c r="J153" s="3211"/>
      <c r="K153" s="3208">
        <f t="shared" si="10"/>
        <v>0</v>
      </c>
      <c r="L153" s="3211"/>
      <c r="M153" s="3211"/>
      <c r="N153" s="2902">
        <f t="shared" si="11"/>
        <v>0</v>
      </c>
      <c r="O153" s="3211"/>
      <c r="P153" s="3211"/>
      <c r="Q153" s="3212"/>
    </row>
    <row r="154" spans="1:17" hidden="1">
      <c r="A154" s="2812"/>
      <c r="B154" s="3188" t="s">
        <v>770</v>
      </c>
      <c r="C154" s="3208">
        <f t="shared" si="8"/>
        <v>6370</v>
      </c>
      <c r="D154" s="3208">
        <f t="shared" si="9"/>
        <v>6370</v>
      </c>
      <c r="E154" s="3211"/>
      <c r="F154" s="2756">
        <v>6370</v>
      </c>
      <c r="G154" s="3211"/>
      <c r="H154" s="3211"/>
      <c r="I154" s="3211"/>
      <c r="J154" s="3211"/>
      <c r="K154" s="3208">
        <f t="shared" si="10"/>
        <v>0</v>
      </c>
      <c r="L154" s="3211"/>
      <c r="M154" s="3211"/>
      <c r="N154" s="2902">
        <f t="shared" si="11"/>
        <v>0</v>
      </c>
      <c r="O154" s="3211"/>
      <c r="P154" s="3211"/>
      <c r="Q154" s="3212"/>
    </row>
    <row r="155" spans="1:17" ht="26.4" hidden="1">
      <c r="A155" s="2812"/>
      <c r="B155" s="3188" t="s">
        <v>771</v>
      </c>
      <c r="C155" s="3208">
        <f t="shared" si="8"/>
        <v>3445</v>
      </c>
      <c r="D155" s="3208">
        <f t="shared" si="9"/>
        <v>3445</v>
      </c>
      <c r="E155" s="3211"/>
      <c r="F155" s="2756">
        <v>3445</v>
      </c>
      <c r="G155" s="3211"/>
      <c r="H155" s="3211"/>
      <c r="I155" s="3211"/>
      <c r="J155" s="3211"/>
      <c r="K155" s="3208">
        <f t="shared" si="10"/>
        <v>0</v>
      </c>
      <c r="L155" s="3211"/>
      <c r="M155" s="3211"/>
      <c r="N155" s="2902">
        <f t="shared" si="11"/>
        <v>0</v>
      </c>
      <c r="O155" s="3211"/>
      <c r="P155" s="3211"/>
      <c r="Q155" s="3212"/>
    </row>
    <row r="156" spans="1:17" hidden="1">
      <c r="A156" s="2812"/>
      <c r="B156" s="3188" t="s">
        <v>772</v>
      </c>
      <c r="C156" s="3208">
        <f t="shared" si="8"/>
        <v>0</v>
      </c>
      <c r="D156" s="3208">
        <f t="shared" si="9"/>
        <v>0</v>
      </c>
      <c r="E156" s="3211"/>
      <c r="F156" s="2756">
        <v>0</v>
      </c>
      <c r="G156" s="3211"/>
      <c r="H156" s="3211"/>
      <c r="I156" s="3211"/>
      <c r="J156" s="3211"/>
      <c r="K156" s="3208">
        <f t="shared" si="10"/>
        <v>0</v>
      </c>
      <c r="L156" s="3211"/>
      <c r="M156" s="3211"/>
      <c r="N156" s="2902">
        <f t="shared" si="11"/>
        <v>0</v>
      </c>
      <c r="O156" s="3211"/>
      <c r="P156" s="3211"/>
      <c r="Q156" s="3212"/>
    </row>
    <row r="157" spans="1:17">
      <c r="A157" s="2812">
        <v>19</v>
      </c>
      <c r="B157" s="3188" t="s">
        <v>606</v>
      </c>
      <c r="C157" s="3208">
        <f t="shared" si="8"/>
        <v>417980</v>
      </c>
      <c r="D157" s="3208">
        <f t="shared" si="9"/>
        <v>417980</v>
      </c>
      <c r="E157" s="3211"/>
      <c r="F157" s="2756">
        <v>417980</v>
      </c>
      <c r="G157" s="3211"/>
      <c r="H157" s="3211"/>
      <c r="I157" s="3211"/>
      <c r="J157" s="3211"/>
      <c r="K157" s="3208">
        <f t="shared" si="10"/>
        <v>0</v>
      </c>
      <c r="L157" s="3211"/>
      <c r="M157" s="3211"/>
      <c r="N157" s="2902">
        <f t="shared" si="11"/>
        <v>0</v>
      </c>
      <c r="O157" s="3211"/>
      <c r="P157" s="3211"/>
      <c r="Q157" s="3212"/>
    </row>
    <row r="158" spans="1:17" hidden="1">
      <c r="A158" s="2812"/>
      <c r="B158" s="3188" t="s">
        <v>773</v>
      </c>
      <c r="C158" s="3208">
        <f t="shared" si="8"/>
        <v>417580</v>
      </c>
      <c r="D158" s="3208">
        <f t="shared" si="9"/>
        <v>417580</v>
      </c>
      <c r="E158" s="3211"/>
      <c r="F158" s="2756">
        <v>417580</v>
      </c>
      <c r="G158" s="3211"/>
      <c r="H158" s="3211"/>
      <c r="I158" s="3211"/>
      <c r="J158" s="3211"/>
      <c r="K158" s="3208">
        <f t="shared" si="10"/>
        <v>0</v>
      </c>
      <c r="L158" s="3211"/>
      <c r="M158" s="3211"/>
      <c r="N158" s="2902">
        <f t="shared" si="11"/>
        <v>0</v>
      </c>
      <c r="O158" s="3211"/>
      <c r="P158" s="3211"/>
      <c r="Q158" s="3212"/>
    </row>
    <row r="159" spans="1:17" ht="26.4" hidden="1">
      <c r="A159" s="2812"/>
      <c r="B159" s="3188" t="s">
        <v>769</v>
      </c>
      <c r="C159" s="3208">
        <f t="shared" si="8"/>
        <v>400</v>
      </c>
      <c r="D159" s="3208">
        <f t="shared" si="9"/>
        <v>400</v>
      </c>
      <c r="E159" s="3211"/>
      <c r="F159" s="2756">
        <v>400</v>
      </c>
      <c r="G159" s="3211"/>
      <c r="H159" s="3211"/>
      <c r="I159" s="3211"/>
      <c r="J159" s="3211"/>
      <c r="K159" s="3208">
        <f t="shared" si="10"/>
        <v>0</v>
      </c>
      <c r="L159" s="3211"/>
      <c r="M159" s="3211"/>
      <c r="N159" s="2902">
        <f t="shared" si="11"/>
        <v>0</v>
      </c>
      <c r="O159" s="3211"/>
      <c r="P159" s="3211"/>
      <c r="Q159" s="3212"/>
    </row>
    <row r="160" spans="1:17">
      <c r="A160" s="2812">
        <v>20</v>
      </c>
      <c r="B160" s="3188" t="s">
        <v>607</v>
      </c>
      <c r="C160" s="3208">
        <f t="shared" si="8"/>
        <v>9149</v>
      </c>
      <c r="D160" s="3208">
        <f t="shared" si="9"/>
        <v>9149</v>
      </c>
      <c r="E160" s="3211"/>
      <c r="F160" s="2756">
        <v>9149</v>
      </c>
      <c r="G160" s="3211"/>
      <c r="H160" s="3211"/>
      <c r="I160" s="3211"/>
      <c r="J160" s="3211"/>
      <c r="K160" s="3208">
        <f t="shared" si="10"/>
        <v>0</v>
      </c>
      <c r="L160" s="3211"/>
      <c r="M160" s="3211"/>
      <c r="N160" s="2902">
        <f t="shared" si="11"/>
        <v>0</v>
      </c>
      <c r="O160" s="3211"/>
      <c r="P160" s="3211"/>
      <c r="Q160" s="3212"/>
    </row>
    <row r="161" spans="1:17" hidden="1">
      <c r="A161" s="2812"/>
      <c r="B161" s="3188" t="s">
        <v>774</v>
      </c>
      <c r="C161" s="3208">
        <f t="shared" si="8"/>
        <v>5397</v>
      </c>
      <c r="D161" s="3208">
        <f t="shared" si="9"/>
        <v>5397</v>
      </c>
      <c r="E161" s="3211"/>
      <c r="F161" s="2756">
        <v>5397</v>
      </c>
      <c r="G161" s="3211"/>
      <c r="H161" s="3211"/>
      <c r="I161" s="3211"/>
      <c r="J161" s="3211"/>
      <c r="K161" s="3208">
        <f t="shared" si="10"/>
        <v>0</v>
      </c>
      <c r="L161" s="3211"/>
      <c r="M161" s="3211"/>
      <c r="N161" s="2902">
        <f t="shared" si="11"/>
        <v>0</v>
      </c>
      <c r="O161" s="3211"/>
      <c r="P161" s="3211"/>
      <c r="Q161" s="3212"/>
    </row>
    <row r="162" spans="1:17" hidden="1">
      <c r="A162" s="2812"/>
      <c r="B162" s="3188" t="s">
        <v>775</v>
      </c>
      <c r="C162" s="3208">
        <f t="shared" si="8"/>
        <v>2879</v>
      </c>
      <c r="D162" s="3208">
        <f t="shared" si="9"/>
        <v>2879</v>
      </c>
      <c r="E162" s="3211"/>
      <c r="F162" s="2756">
        <v>2879</v>
      </c>
      <c r="G162" s="3211"/>
      <c r="H162" s="3211"/>
      <c r="I162" s="3211"/>
      <c r="J162" s="3211"/>
      <c r="K162" s="3208">
        <f t="shared" si="10"/>
        <v>0</v>
      </c>
      <c r="L162" s="3211"/>
      <c r="M162" s="3211"/>
      <c r="N162" s="2902">
        <f t="shared" si="11"/>
        <v>0</v>
      </c>
      <c r="O162" s="3211"/>
      <c r="P162" s="3211"/>
      <c r="Q162" s="3212"/>
    </row>
    <row r="163" spans="1:17" hidden="1">
      <c r="A163" s="2812"/>
      <c r="B163" s="3188" t="s">
        <v>776</v>
      </c>
      <c r="C163" s="3208">
        <f t="shared" si="8"/>
        <v>873</v>
      </c>
      <c r="D163" s="3208">
        <f t="shared" si="9"/>
        <v>873</v>
      </c>
      <c r="E163" s="3211"/>
      <c r="F163" s="2756">
        <v>873</v>
      </c>
      <c r="G163" s="3211"/>
      <c r="H163" s="3211"/>
      <c r="I163" s="3211"/>
      <c r="J163" s="3211"/>
      <c r="K163" s="3208">
        <f t="shared" si="10"/>
        <v>0</v>
      </c>
      <c r="L163" s="3211"/>
      <c r="M163" s="3211"/>
      <c r="N163" s="2902">
        <f t="shared" si="11"/>
        <v>0</v>
      </c>
      <c r="O163" s="3211"/>
      <c r="P163" s="3211"/>
      <c r="Q163" s="3212"/>
    </row>
    <row r="164" spans="1:17">
      <c r="A164" s="2812">
        <v>21</v>
      </c>
      <c r="B164" s="3188" t="s">
        <v>608</v>
      </c>
      <c r="C164" s="3208">
        <f t="shared" si="8"/>
        <v>61801</v>
      </c>
      <c r="D164" s="3208">
        <f t="shared" si="9"/>
        <v>61801</v>
      </c>
      <c r="E164" s="3211"/>
      <c r="F164" s="2756">
        <v>61801</v>
      </c>
      <c r="G164" s="3211"/>
      <c r="H164" s="3211"/>
      <c r="I164" s="3211"/>
      <c r="J164" s="3211"/>
      <c r="K164" s="3208">
        <f t="shared" si="10"/>
        <v>0</v>
      </c>
      <c r="L164" s="3211"/>
      <c r="M164" s="3211"/>
      <c r="N164" s="2902">
        <f t="shared" si="11"/>
        <v>0</v>
      </c>
      <c r="O164" s="3211"/>
      <c r="P164" s="3211"/>
      <c r="Q164" s="3212"/>
    </row>
    <row r="165" spans="1:17" hidden="1">
      <c r="A165" s="2812"/>
      <c r="B165" s="3188" t="s">
        <v>609</v>
      </c>
      <c r="C165" s="3208">
        <f t="shared" si="8"/>
        <v>5620</v>
      </c>
      <c r="D165" s="3208">
        <f t="shared" si="9"/>
        <v>5620</v>
      </c>
      <c r="E165" s="3211"/>
      <c r="F165" s="2756">
        <v>5620</v>
      </c>
      <c r="G165" s="3211"/>
      <c r="H165" s="3211"/>
      <c r="I165" s="3211"/>
      <c r="J165" s="3211"/>
      <c r="K165" s="3208">
        <f t="shared" si="10"/>
        <v>0</v>
      </c>
      <c r="L165" s="3211"/>
      <c r="M165" s="3211"/>
      <c r="N165" s="2902">
        <f t="shared" si="11"/>
        <v>0</v>
      </c>
      <c r="O165" s="3211"/>
      <c r="P165" s="3211"/>
      <c r="Q165" s="3212"/>
    </row>
    <row r="166" spans="1:17" ht="26.4" hidden="1">
      <c r="A166" s="2812"/>
      <c r="B166" s="3188" t="s">
        <v>610</v>
      </c>
      <c r="C166" s="3208">
        <f t="shared" si="8"/>
        <v>5027</v>
      </c>
      <c r="D166" s="3208">
        <f t="shared" si="9"/>
        <v>5027</v>
      </c>
      <c r="E166" s="3211"/>
      <c r="F166" s="2756">
        <v>5027</v>
      </c>
      <c r="G166" s="3211"/>
      <c r="H166" s="3211"/>
      <c r="I166" s="3211"/>
      <c r="J166" s="3211"/>
      <c r="K166" s="3208">
        <f t="shared" si="10"/>
        <v>0</v>
      </c>
      <c r="L166" s="3211"/>
      <c r="M166" s="3211"/>
      <c r="N166" s="2902">
        <f t="shared" si="11"/>
        <v>0</v>
      </c>
      <c r="O166" s="3211"/>
      <c r="P166" s="3211"/>
      <c r="Q166" s="3212"/>
    </row>
    <row r="167" spans="1:17" ht="26.4" hidden="1">
      <c r="A167" s="2812"/>
      <c r="B167" s="3188" t="s">
        <v>777</v>
      </c>
      <c r="C167" s="3208">
        <f t="shared" si="8"/>
        <v>51154</v>
      </c>
      <c r="D167" s="3208">
        <f t="shared" si="9"/>
        <v>51154</v>
      </c>
      <c r="E167" s="3211"/>
      <c r="F167" s="2756">
        <v>51154</v>
      </c>
      <c r="G167" s="3211"/>
      <c r="H167" s="3211"/>
      <c r="I167" s="3211"/>
      <c r="J167" s="3211"/>
      <c r="K167" s="3208">
        <f t="shared" si="10"/>
        <v>0</v>
      </c>
      <c r="L167" s="3211"/>
      <c r="M167" s="3211"/>
      <c r="N167" s="2902">
        <f t="shared" si="11"/>
        <v>0</v>
      </c>
      <c r="O167" s="3211"/>
      <c r="P167" s="3211"/>
      <c r="Q167" s="3212"/>
    </row>
    <row r="168" spans="1:17">
      <c r="A168" s="2812">
        <v>22</v>
      </c>
      <c r="B168" s="3188" t="s">
        <v>611</v>
      </c>
      <c r="C168" s="3208">
        <f t="shared" si="8"/>
        <v>7380</v>
      </c>
      <c r="D168" s="3208">
        <f t="shared" si="9"/>
        <v>7380</v>
      </c>
      <c r="E168" s="3211"/>
      <c r="F168" s="2756">
        <v>7380</v>
      </c>
      <c r="G168" s="3211"/>
      <c r="H168" s="3211"/>
      <c r="I168" s="3211"/>
      <c r="J168" s="3211"/>
      <c r="K168" s="3208">
        <f t="shared" si="10"/>
        <v>0</v>
      </c>
      <c r="L168" s="3211"/>
      <c r="M168" s="3211"/>
      <c r="N168" s="2902">
        <f t="shared" si="11"/>
        <v>0</v>
      </c>
      <c r="O168" s="3211"/>
      <c r="P168" s="3211"/>
      <c r="Q168" s="3212"/>
    </row>
    <row r="169" spans="1:17">
      <c r="A169" s="2812">
        <v>23</v>
      </c>
      <c r="B169" s="3188" t="s">
        <v>612</v>
      </c>
      <c r="C169" s="3208">
        <f t="shared" si="8"/>
        <v>10943</v>
      </c>
      <c r="D169" s="3208">
        <f t="shared" si="9"/>
        <v>10943</v>
      </c>
      <c r="E169" s="3211"/>
      <c r="F169" s="2756">
        <v>10943</v>
      </c>
      <c r="G169" s="3211"/>
      <c r="H169" s="3211"/>
      <c r="I169" s="3211"/>
      <c r="J169" s="3211"/>
      <c r="K169" s="3208">
        <f t="shared" si="10"/>
        <v>0</v>
      </c>
      <c r="L169" s="3211"/>
      <c r="M169" s="3211"/>
      <c r="N169" s="2902">
        <f t="shared" si="11"/>
        <v>0</v>
      </c>
      <c r="O169" s="3211"/>
      <c r="P169" s="3211"/>
      <c r="Q169" s="3212"/>
    </row>
    <row r="170" spans="1:17" hidden="1">
      <c r="A170" s="2812"/>
      <c r="B170" s="3188" t="s">
        <v>613</v>
      </c>
      <c r="C170" s="3208">
        <f t="shared" si="8"/>
        <v>6457</v>
      </c>
      <c r="D170" s="3208">
        <f t="shared" si="9"/>
        <v>6457</v>
      </c>
      <c r="E170" s="3211"/>
      <c r="F170" s="2756">
        <v>6457</v>
      </c>
      <c r="G170" s="3211"/>
      <c r="H170" s="3211"/>
      <c r="I170" s="3211"/>
      <c r="J170" s="3211"/>
      <c r="K170" s="3208">
        <f t="shared" si="10"/>
        <v>0</v>
      </c>
      <c r="L170" s="3211"/>
      <c r="M170" s="3211"/>
      <c r="N170" s="2902">
        <f t="shared" si="11"/>
        <v>0</v>
      </c>
      <c r="O170" s="3211"/>
      <c r="P170" s="3211"/>
      <c r="Q170" s="3212"/>
    </row>
    <row r="171" spans="1:17" hidden="1">
      <c r="A171" s="2812"/>
      <c r="B171" s="3188" t="s">
        <v>614</v>
      </c>
      <c r="C171" s="3208">
        <f t="shared" si="8"/>
        <v>0</v>
      </c>
      <c r="D171" s="3208">
        <f t="shared" si="9"/>
        <v>0</v>
      </c>
      <c r="E171" s="3211"/>
      <c r="F171" s="2756">
        <v>0</v>
      </c>
      <c r="G171" s="3211"/>
      <c r="H171" s="3211"/>
      <c r="I171" s="3211"/>
      <c r="J171" s="3211"/>
      <c r="K171" s="3208">
        <f t="shared" si="10"/>
        <v>0</v>
      </c>
      <c r="L171" s="3211"/>
      <c r="M171" s="3211"/>
      <c r="N171" s="2902">
        <f t="shared" si="11"/>
        <v>0</v>
      </c>
      <c r="O171" s="3211"/>
      <c r="P171" s="3211"/>
      <c r="Q171" s="3212"/>
    </row>
    <row r="172" spans="1:17" ht="26.4" hidden="1">
      <c r="A172" s="2812"/>
      <c r="B172" s="3188" t="s">
        <v>778</v>
      </c>
      <c r="C172" s="3208">
        <f t="shared" si="8"/>
        <v>4486</v>
      </c>
      <c r="D172" s="3208">
        <f t="shared" si="9"/>
        <v>4486</v>
      </c>
      <c r="E172" s="3211"/>
      <c r="F172" s="2756">
        <v>4486</v>
      </c>
      <c r="G172" s="3211"/>
      <c r="H172" s="3211"/>
      <c r="I172" s="3211"/>
      <c r="J172" s="3211"/>
      <c r="K172" s="3208">
        <f t="shared" si="10"/>
        <v>0</v>
      </c>
      <c r="L172" s="3211"/>
      <c r="M172" s="3211"/>
      <c r="N172" s="2902">
        <f t="shared" si="11"/>
        <v>0</v>
      </c>
      <c r="O172" s="3211"/>
      <c r="P172" s="3211"/>
      <c r="Q172" s="3212"/>
    </row>
    <row r="173" spans="1:17" hidden="1">
      <c r="A173" s="2812"/>
      <c r="B173" s="3188" t="s">
        <v>779</v>
      </c>
      <c r="C173" s="3208">
        <f t="shared" si="8"/>
        <v>0</v>
      </c>
      <c r="D173" s="3208">
        <f t="shared" si="9"/>
        <v>0</v>
      </c>
      <c r="E173" s="3211"/>
      <c r="F173" s="2756">
        <v>0</v>
      </c>
      <c r="G173" s="3211"/>
      <c r="H173" s="3211"/>
      <c r="I173" s="3211"/>
      <c r="J173" s="3211"/>
      <c r="K173" s="3208">
        <f t="shared" si="10"/>
        <v>0</v>
      </c>
      <c r="L173" s="3211"/>
      <c r="M173" s="3211"/>
      <c r="N173" s="2902">
        <f t="shared" si="11"/>
        <v>0</v>
      </c>
      <c r="O173" s="3211"/>
      <c r="P173" s="3211"/>
      <c r="Q173" s="3212"/>
    </row>
    <row r="174" spans="1:17">
      <c r="A174" s="2812">
        <v>24</v>
      </c>
      <c r="B174" s="3188" t="s">
        <v>615</v>
      </c>
      <c r="C174" s="3208">
        <f t="shared" si="8"/>
        <v>11317</v>
      </c>
      <c r="D174" s="3208">
        <f t="shared" si="9"/>
        <v>11317</v>
      </c>
      <c r="E174" s="3211"/>
      <c r="F174" s="2756">
        <v>11317</v>
      </c>
      <c r="G174" s="3211"/>
      <c r="H174" s="3211"/>
      <c r="I174" s="3211"/>
      <c r="J174" s="3211"/>
      <c r="K174" s="3208">
        <f t="shared" si="10"/>
        <v>0</v>
      </c>
      <c r="L174" s="3211"/>
      <c r="M174" s="3211"/>
      <c r="N174" s="2902">
        <f t="shared" si="11"/>
        <v>0</v>
      </c>
      <c r="O174" s="3211"/>
      <c r="P174" s="3211"/>
      <c r="Q174" s="3212"/>
    </row>
    <row r="175" spans="1:17" hidden="1">
      <c r="A175" s="2812"/>
      <c r="B175" s="3188" t="s">
        <v>616</v>
      </c>
      <c r="C175" s="3208">
        <f t="shared" si="8"/>
        <v>8304</v>
      </c>
      <c r="D175" s="3208">
        <f t="shared" si="9"/>
        <v>8304</v>
      </c>
      <c r="E175" s="3211"/>
      <c r="F175" s="2756">
        <v>8304</v>
      </c>
      <c r="G175" s="3211"/>
      <c r="H175" s="3211"/>
      <c r="I175" s="3211"/>
      <c r="J175" s="3211"/>
      <c r="K175" s="3208">
        <f t="shared" si="10"/>
        <v>0</v>
      </c>
      <c r="L175" s="3211"/>
      <c r="M175" s="3211"/>
      <c r="N175" s="2902">
        <f t="shared" si="11"/>
        <v>0</v>
      </c>
      <c r="O175" s="3211"/>
      <c r="P175" s="3211"/>
      <c r="Q175" s="3212"/>
    </row>
    <row r="176" spans="1:17" ht="26.4" hidden="1">
      <c r="A176" s="2812"/>
      <c r="B176" s="3188" t="s">
        <v>617</v>
      </c>
      <c r="C176" s="3208">
        <f t="shared" si="8"/>
        <v>3013</v>
      </c>
      <c r="D176" s="3208">
        <f t="shared" si="9"/>
        <v>3013</v>
      </c>
      <c r="E176" s="3211"/>
      <c r="F176" s="2756">
        <v>3013</v>
      </c>
      <c r="G176" s="3211"/>
      <c r="H176" s="3211"/>
      <c r="I176" s="3211"/>
      <c r="J176" s="3211"/>
      <c r="K176" s="3208">
        <f t="shared" si="10"/>
        <v>0</v>
      </c>
      <c r="L176" s="3211"/>
      <c r="M176" s="3211"/>
      <c r="N176" s="2902">
        <f t="shared" si="11"/>
        <v>0</v>
      </c>
      <c r="O176" s="3211"/>
      <c r="P176" s="3211"/>
      <c r="Q176" s="3212"/>
    </row>
    <row r="177" spans="1:17" hidden="1">
      <c r="A177" s="2812"/>
      <c r="B177" s="3188" t="s">
        <v>780</v>
      </c>
      <c r="C177" s="3208">
        <f t="shared" si="8"/>
        <v>0</v>
      </c>
      <c r="D177" s="3208">
        <f t="shared" si="9"/>
        <v>0</v>
      </c>
      <c r="E177" s="3211"/>
      <c r="F177" s="2756">
        <v>0</v>
      </c>
      <c r="G177" s="3211"/>
      <c r="H177" s="3211"/>
      <c r="I177" s="3211"/>
      <c r="J177" s="3211"/>
      <c r="K177" s="3208">
        <f t="shared" si="10"/>
        <v>0</v>
      </c>
      <c r="L177" s="3211"/>
      <c r="M177" s="3211"/>
      <c r="N177" s="2902">
        <f t="shared" si="11"/>
        <v>0</v>
      </c>
      <c r="O177" s="3211"/>
      <c r="P177" s="3211"/>
      <c r="Q177" s="3212"/>
    </row>
    <row r="178" spans="1:17">
      <c r="A178" s="2812">
        <v>25</v>
      </c>
      <c r="B178" s="3188" t="s">
        <v>618</v>
      </c>
      <c r="C178" s="3208">
        <f t="shared" si="8"/>
        <v>8468</v>
      </c>
      <c r="D178" s="3208">
        <f t="shared" si="9"/>
        <v>8468</v>
      </c>
      <c r="E178" s="3211"/>
      <c r="F178" s="2756">
        <v>8468</v>
      </c>
      <c r="G178" s="3211"/>
      <c r="H178" s="3211"/>
      <c r="I178" s="3211"/>
      <c r="J178" s="3211"/>
      <c r="K178" s="3208">
        <f t="shared" si="10"/>
        <v>0</v>
      </c>
      <c r="L178" s="3211"/>
      <c r="M178" s="3211"/>
      <c r="N178" s="2902">
        <f t="shared" si="11"/>
        <v>0</v>
      </c>
      <c r="O178" s="3211"/>
      <c r="P178" s="3211"/>
      <c r="Q178" s="3212"/>
    </row>
    <row r="179" spans="1:17">
      <c r="A179" s="2812">
        <v>26</v>
      </c>
      <c r="B179" s="3188" t="s">
        <v>619</v>
      </c>
      <c r="C179" s="3208">
        <f t="shared" si="8"/>
        <v>11043</v>
      </c>
      <c r="D179" s="3208">
        <f t="shared" si="9"/>
        <v>11043</v>
      </c>
      <c r="E179" s="3211"/>
      <c r="F179" s="2756">
        <v>11043</v>
      </c>
      <c r="G179" s="3211"/>
      <c r="H179" s="3211"/>
      <c r="I179" s="3211"/>
      <c r="J179" s="3211"/>
      <c r="K179" s="3208">
        <f t="shared" si="10"/>
        <v>0</v>
      </c>
      <c r="L179" s="3211"/>
      <c r="M179" s="3211"/>
      <c r="N179" s="2902">
        <f t="shared" si="11"/>
        <v>0</v>
      </c>
      <c r="O179" s="3211"/>
      <c r="P179" s="3211"/>
      <c r="Q179" s="3212"/>
    </row>
    <row r="180" spans="1:17" hidden="1">
      <c r="A180" s="2812"/>
      <c r="B180" s="3188" t="s">
        <v>781</v>
      </c>
      <c r="C180" s="3208">
        <f t="shared" si="8"/>
        <v>7367</v>
      </c>
      <c r="D180" s="3208">
        <f t="shared" si="9"/>
        <v>7367</v>
      </c>
      <c r="E180" s="3211"/>
      <c r="F180" s="2756">
        <v>7367</v>
      </c>
      <c r="G180" s="3211"/>
      <c r="H180" s="3211"/>
      <c r="I180" s="3211"/>
      <c r="J180" s="3211"/>
      <c r="K180" s="3208">
        <f t="shared" si="10"/>
        <v>0</v>
      </c>
      <c r="L180" s="3211"/>
      <c r="M180" s="3211"/>
      <c r="N180" s="2902">
        <f t="shared" si="11"/>
        <v>0</v>
      </c>
      <c r="O180" s="3211"/>
      <c r="P180" s="3211"/>
      <c r="Q180" s="3212"/>
    </row>
    <row r="181" spans="1:17" ht="39.6" hidden="1">
      <c r="A181" s="2812"/>
      <c r="B181" s="3188" t="s">
        <v>782</v>
      </c>
      <c r="C181" s="3208">
        <f t="shared" si="8"/>
        <v>3676</v>
      </c>
      <c r="D181" s="3208">
        <f t="shared" si="9"/>
        <v>3676</v>
      </c>
      <c r="E181" s="3211"/>
      <c r="F181" s="2756">
        <v>3676</v>
      </c>
      <c r="G181" s="3211"/>
      <c r="H181" s="3211"/>
      <c r="I181" s="3211"/>
      <c r="J181" s="3211"/>
      <c r="K181" s="3208">
        <f t="shared" si="10"/>
        <v>0</v>
      </c>
      <c r="L181" s="3211"/>
      <c r="M181" s="3211"/>
      <c r="N181" s="2902">
        <f t="shared" si="11"/>
        <v>0</v>
      </c>
      <c r="O181" s="3211"/>
      <c r="P181" s="3211"/>
      <c r="Q181" s="3212"/>
    </row>
    <row r="182" spans="1:17">
      <c r="A182" s="2812">
        <v>27</v>
      </c>
      <c r="B182" s="3188" t="s">
        <v>629</v>
      </c>
      <c r="C182" s="3208">
        <f t="shared" si="8"/>
        <v>8244</v>
      </c>
      <c r="D182" s="3208">
        <f t="shared" si="9"/>
        <v>8244</v>
      </c>
      <c r="E182" s="3211"/>
      <c r="F182" s="2756">
        <v>8244</v>
      </c>
      <c r="G182" s="3211"/>
      <c r="H182" s="3211"/>
      <c r="I182" s="3211"/>
      <c r="J182" s="3211"/>
      <c r="K182" s="3208">
        <f t="shared" si="10"/>
        <v>0</v>
      </c>
      <c r="L182" s="3211"/>
      <c r="M182" s="3211"/>
      <c r="N182" s="2902">
        <f t="shared" si="11"/>
        <v>0</v>
      </c>
      <c r="O182" s="3211"/>
      <c r="P182" s="3211"/>
      <c r="Q182" s="3212"/>
    </row>
    <row r="183" spans="1:17" hidden="1">
      <c r="A183" s="2812"/>
      <c r="B183" s="3188" t="s">
        <v>630</v>
      </c>
      <c r="C183" s="3208">
        <f t="shared" si="8"/>
        <v>6302</v>
      </c>
      <c r="D183" s="3208">
        <f t="shared" si="9"/>
        <v>6302</v>
      </c>
      <c r="E183" s="3211"/>
      <c r="F183" s="2756">
        <v>6302</v>
      </c>
      <c r="G183" s="3211"/>
      <c r="H183" s="3211"/>
      <c r="I183" s="3211"/>
      <c r="J183" s="3211"/>
      <c r="K183" s="3208">
        <f t="shared" si="10"/>
        <v>0</v>
      </c>
      <c r="L183" s="3211"/>
      <c r="M183" s="3211"/>
      <c r="N183" s="2902">
        <f t="shared" si="11"/>
        <v>0</v>
      </c>
      <c r="O183" s="3211"/>
      <c r="P183" s="3211"/>
      <c r="Q183" s="3212"/>
    </row>
    <row r="184" spans="1:17" hidden="1">
      <c r="A184" s="2812"/>
      <c r="B184" s="3188" t="s">
        <v>631</v>
      </c>
      <c r="C184" s="3208">
        <f t="shared" si="8"/>
        <v>1942</v>
      </c>
      <c r="D184" s="3208">
        <f t="shared" si="9"/>
        <v>1942</v>
      </c>
      <c r="E184" s="3211"/>
      <c r="F184" s="2756">
        <v>1942</v>
      </c>
      <c r="G184" s="3211"/>
      <c r="H184" s="3211"/>
      <c r="I184" s="3211"/>
      <c r="J184" s="3211"/>
      <c r="K184" s="3208">
        <f t="shared" si="10"/>
        <v>0</v>
      </c>
      <c r="L184" s="3211"/>
      <c r="M184" s="3211"/>
      <c r="N184" s="2902">
        <f t="shared" si="11"/>
        <v>0</v>
      </c>
      <c r="O184" s="3211"/>
      <c r="P184" s="3211"/>
      <c r="Q184" s="3212"/>
    </row>
    <row r="185" spans="1:17">
      <c r="A185" s="2812">
        <v>28</v>
      </c>
      <c r="B185" s="3188" t="s">
        <v>632</v>
      </c>
      <c r="C185" s="3208">
        <f t="shared" si="8"/>
        <v>9478</v>
      </c>
      <c r="D185" s="3208">
        <f t="shared" si="9"/>
        <v>9478</v>
      </c>
      <c r="E185" s="3211"/>
      <c r="F185" s="2756">
        <v>9478</v>
      </c>
      <c r="G185" s="3211"/>
      <c r="H185" s="3211"/>
      <c r="I185" s="3211"/>
      <c r="J185" s="3211"/>
      <c r="K185" s="3208">
        <f t="shared" si="10"/>
        <v>0</v>
      </c>
      <c r="L185" s="3211"/>
      <c r="M185" s="3211"/>
      <c r="N185" s="2902">
        <f t="shared" si="11"/>
        <v>0</v>
      </c>
      <c r="O185" s="3211"/>
      <c r="P185" s="3211"/>
      <c r="Q185" s="3212"/>
    </row>
    <row r="186" spans="1:17" hidden="1">
      <c r="A186" s="2812"/>
      <c r="B186" s="3188" t="s">
        <v>783</v>
      </c>
      <c r="C186" s="3208">
        <f t="shared" si="8"/>
        <v>8119</v>
      </c>
      <c r="D186" s="3208">
        <f t="shared" si="9"/>
        <v>8119</v>
      </c>
      <c r="E186" s="3211"/>
      <c r="F186" s="2756">
        <v>8119</v>
      </c>
      <c r="G186" s="3211"/>
      <c r="H186" s="3211"/>
      <c r="I186" s="3211"/>
      <c r="J186" s="3211"/>
      <c r="K186" s="3208">
        <f t="shared" si="10"/>
        <v>0</v>
      </c>
      <c r="L186" s="3211"/>
      <c r="M186" s="3211"/>
      <c r="N186" s="2902">
        <f t="shared" si="11"/>
        <v>0</v>
      </c>
      <c r="O186" s="3211"/>
      <c r="P186" s="3211"/>
      <c r="Q186" s="3212"/>
    </row>
    <row r="187" spans="1:17" ht="26.4" hidden="1">
      <c r="A187" s="2812"/>
      <c r="B187" s="3188" t="s">
        <v>784</v>
      </c>
      <c r="C187" s="3208">
        <f t="shared" si="8"/>
        <v>1359</v>
      </c>
      <c r="D187" s="3208">
        <f t="shared" si="9"/>
        <v>1359</v>
      </c>
      <c r="E187" s="3211"/>
      <c r="F187" s="2756">
        <v>1359</v>
      </c>
      <c r="G187" s="3211"/>
      <c r="H187" s="3211"/>
      <c r="I187" s="3211"/>
      <c r="J187" s="3211"/>
      <c r="K187" s="3208">
        <f t="shared" si="10"/>
        <v>0</v>
      </c>
      <c r="L187" s="3211"/>
      <c r="M187" s="3211"/>
      <c r="N187" s="2902">
        <f t="shared" si="11"/>
        <v>0</v>
      </c>
      <c r="O187" s="3211"/>
      <c r="P187" s="3211"/>
      <c r="Q187" s="3212"/>
    </row>
    <row r="188" spans="1:17">
      <c r="A188" s="2812">
        <v>29</v>
      </c>
      <c r="B188" s="3188" t="s">
        <v>633</v>
      </c>
      <c r="C188" s="3208">
        <f t="shared" si="8"/>
        <v>4748</v>
      </c>
      <c r="D188" s="3208">
        <f t="shared" si="9"/>
        <v>4748</v>
      </c>
      <c r="E188" s="3211"/>
      <c r="F188" s="2756">
        <v>4748</v>
      </c>
      <c r="G188" s="3211"/>
      <c r="H188" s="3211"/>
      <c r="I188" s="3211"/>
      <c r="J188" s="3211"/>
      <c r="K188" s="3208">
        <f t="shared" si="10"/>
        <v>0</v>
      </c>
      <c r="L188" s="3211"/>
      <c r="M188" s="3211"/>
      <c r="N188" s="2902">
        <f t="shared" si="11"/>
        <v>0</v>
      </c>
      <c r="O188" s="3211"/>
      <c r="P188" s="3211"/>
      <c r="Q188" s="3212"/>
    </row>
    <row r="189" spans="1:17" hidden="1">
      <c r="A189" s="2812"/>
      <c r="B189" s="3188" t="s">
        <v>785</v>
      </c>
      <c r="C189" s="3208">
        <f t="shared" si="8"/>
        <v>4748</v>
      </c>
      <c r="D189" s="3208">
        <f t="shared" si="9"/>
        <v>4748</v>
      </c>
      <c r="E189" s="3211"/>
      <c r="F189" s="2756">
        <v>4748</v>
      </c>
      <c r="G189" s="3211"/>
      <c r="H189" s="3211"/>
      <c r="I189" s="3211"/>
      <c r="J189" s="3211"/>
      <c r="K189" s="3208">
        <f t="shared" si="10"/>
        <v>0</v>
      </c>
      <c r="L189" s="3211"/>
      <c r="M189" s="3211"/>
      <c r="N189" s="2902">
        <f t="shared" si="11"/>
        <v>0</v>
      </c>
      <c r="O189" s="3211"/>
      <c r="P189" s="3211"/>
      <c r="Q189" s="3212"/>
    </row>
    <row r="190" spans="1:17" hidden="1">
      <c r="A190" s="2812"/>
      <c r="B190" s="3188" t="s">
        <v>786</v>
      </c>
      <c r="C190" s="3208">
        <f t="shared" si="8"/>
        <v>0</v>
      </c>
      <c r="D190" s="3208">
        <f t="shared" si="9"/>
        <v>0</v>
      </c>
      <c r="E190" s="3211"/>
      <c r="F190" s="2756">
        <v>0</v>
      </c>
      <c r="G190" s="3211"/>
      <c r="H190" s="3211"/>
      <c r="I190" s="3211"/>
      <c r="J190" s="3211"/>
      <c r="K190" s="3208">
        <f t="shared" si="10"/>
        <v>0</v>
      </c>
      <c r="L190" s="3211"/>
      <c r="M190" s="3211"/>
      <c r="N190" s="2902">
        <f t="shared" si="11"/>
        <v>0</v>
      </c>
      <c r="O190" s="3211"/>
      <c r="P190" s="3211"/>
      <c r="Q190" s="3212"/>
    </row>
    <row r="191" spans="1:17" hidden="1">
      <c r="A191" s="2812"/>
      <c r="B191" s="3188" t="s">
        <v>787</v>
      </c>
      <c r="C191" s="3208">
        <f t="shared" si="8"/>
        <v>1000</v>
      </c>
      <c r="D191" s="3208">
        <f t="shared" si="9"/>
        <v>1000</v>
      </c>
      <c r="E191" s="3211"/>
      <c r="F191" s="2756">
        <v>1000</v>
      </c>
      <c r="G191" s="3211"/>
      <c r="H191" s="3211"/>
      <c r="I191" s="3211"/>
      <c r="J191" s="3211"/>
      <c r="K191" s="3208">
        <f t="shared" si="10"/>
        <v>0</v>
      </c>
      <c r="L191" s="3211"/>
      <c r="M191" s="3211"/>
      <c r="N191" s="2902">
        <f t="shared" si="11"/>
        <v>0</v>
      </c>
      <c r="O191" s="3211"/>
      <c r="P191" s="3211"/>
      <c r="Q191" s="3212"/>
    </row>
    <row r="192" spans="1:17">
      <c r="A192" s="2812">
        <v>30</v>
      </c>
      <c r="B192" s="3188" t="s">
        <v>637</v>
      </c>
      <c r="C192" s="3208">
        <f t="shared" si="8"/>
        <v>5064</v>
      </c>
      <c r="D192" s="3208">
        <f t="shared" si="9"/>
        <v>5064</v>
      </c>
      <c r="E192" s="3211"/>
      <c r="F192" s="2756">
        <v>5064</v>
      </c>
      <c r="G192" s="3211"/>
      <c r="H192" s="3211"/>
      <c r="I192" s="3211"/>
      <c r="J192" s="3211"/>
      <c r="K192" s="3208">
        <f t="shared" si="10"/>
        <v>0</v>
      </c>
      <c r="L192" s="3211"/>
      <c r="M192" s="3211"/>
      <c r="N192" s="2902">
        <f t="shared" si="11"/>
        <v>0</v>
      </c>
      <c r="O192" s="3211"/>
      <c r="P192" s="3211"/>
      <c r="Q192" s="3212"/>
    </row>
    <row r="193" spans="1:17" hidden="1">
      <c r="A193" s="2812"/>
      <c r="B193" s="3188" t="s">
        <v>788</v>
      </c>
      <c r="C193" s="3208">
        <f t="shared" si="8"/>
        <v>5064</v>
      </c>
      <c r="D193" s="3208">
        <f t="shared" si="9"/>
        <v>5064</v>
      </c>
      <c r="E193" s="3211"/>
      <c r="F193" s="2756">
        <v>5064</v>
      </c>
      <c r="G193" s="3211"/>
      <c r="H193" s="3211"/>
      <c r="I193" s="3211"/>
      <c r="J193" s="3211"/>
      <c r="K193" s="3208">
        <f t="shared" si="10"/>
        <v>0</v>
      </c>
      <c r="L193" s="3211"/>
      <c r="M193" s="3211"/>
      <c r="N193" s="2902">
        <f t="shared" si="11"/>
        <v>0</v>
      </c>
      <c r="O193" s="3211"/>
      <c r="P193" s="3211"/>
      <c r="Q193" s="3212"/>
    </row>
    <row r="194" spans="1:17" hidden="1">
      <c r="A194" s="2812"/>
      <c r="B194" s="3188" t="s">
        <v>786</v>
      </c>
      <c r="C194" s="3208">
        <f t="shared" si="8"/>
        <v>0</v>
      </c>
      <c r="D194" s="3208">
        <f t="shared" si="9"/>
        <v>0</v>
      </c>
      <c r="E194" s="3211"/>
      <c r="F194" s="2756">
        <v>0</v>
      </c>
      <c r="G194" s="3211"/>
      <c r="H194" s="3211"/>
      <c r="I194" s="3211"/>
      <c r="J194" s="3211"/>
      <c r="K194" s="3208">
        <f t="shared" si="10"/>
        <v>0</v>
      </c>
      <c r="L194" s="3211"/>
      <c r="M194" s="3211"/>
      <c r="N194" s="2902">
        <f t="shared" si="11"/>
        <v>0</v>
      </c>
      <c r="O194" s="3211"/>
      <c r="P194" s="3211"/>
      <c r="Q194" s="3212"/>
    </row>
    <row r="195" spans="1:17">
      <c r="A195" s="2812">
        <v>31</v>
      </c>
      <c r="B195" s="3188" t="s">
        <v>638</v>
      </c>
      <c r="C195" s="3208">
        <f t="shared" si="8"/>
        <v>3129</v>
      </c>
      <c r="D195" s="3208">
        <f t="shared" si="9"/>
        <v>3129</v>
      </c>
      <c r="E195" s="3211"/>
      <c r="F195" s="2756">
        <v>3129</v>
      </c>
      <c r="G195" s="3211"/>
      <c r="H195" s="3211"/>
      <c r="I195" s="3211"/>
      <c r="J195" s="3211"/>
      <c r="K195" s="3208">
        <f t="shared" si="10"/>
        <v>0</v>
      </c>
      <c r="L195" s="3211"/>
      <c r="M195" s="3211"/>
      <c r="N195" s="2902">
        <f t="shared" si="11"/>
        <v>0</v>
      </c>
      <c r="O195" s="3211"/>
      <c r="P195" s="3211"/>
      <c r="Q195" s="3212"/>
    </row>
    <row r="196" spans="1:17">
      <c r="A196" s="2812">
        <v>32</v>
      </c>
      <c r="B196" s="3188" t="s">
        <v>645</v>
      </c>
      <c r="C196" s="3208">
        <f t="shared" si="8"/>
        <v>2565</v>
      </c>
      <c r="D196" s="3208">
        <f t="shared" si="9"/>
        <v>2565</v>
      </c>
      <c r="E196" s="3211"/>
      <c r="F196" s="2756">
        <v>2565</v>
      </c>
      <c r="G196" s="3211"/>
      <c r="H196" s="3211"/>
      <c r="I196" s="3211"/>
      <c r="J196" s="3211"/>
      <c r="K196" s="3208">
        <f t="shared" si="10"/>
        <v>0</v>
      </c>
      <c r="L196" s="3211"/>
      <c r="M196" s="3211"/>
      <c r="N196" s="2902">
        <f t="shared" si="11"/>
        <v>0</v>
      </c>
      <c r="O196" s="3211"/>
      <c r="P196" s="3211"/>
      <c r="Q196" s="3212"/>
    </row>
    <row r="197" spans="1:17" ht="26.4" hidden="1">
      <c r="A197" s="2812"/>
      <c r="B197" s="3188" t="s">
        <v>646</v>
      </c>
      <c r="C197" s="3208">
        <f t="shared" si="8"/>
        <v>0</v>
      </c>
      <c r="D197" s="3208">
        <f t="shared" si="9"/>
        <v>0</v>
      </c>
      <c r="E197" s="3211"/>
      <c r="F197" s="2756">
        <v>0</v>
      </c>
      <c r="G197" s="3211"/>
      <c r="H197" s="3211"/>
      <c r="I197" s="3211"/>
      <c r="J197" s="3211"/>
      <c r="K197" s="3208">
        <f t="shared" si="10"/>
        <v>0</v>
      </c>
      <c r="L197" s="3211"/>
      <c r="M197" s="3211"/>
      <c r="N197" s="2902">
        <f t="shared" si="11"/>
        <v>0</v>
      </c>
      <c r="O197" s="3211"/>
      <c r="P197" s="3211"/>
      <c r="Q197" s="3212"/>
    </row>
    <row r="198" spans="1:17">
      <c r="A198" s="2812">
        <v>33</v>
      </c>
      <c r="B198" s="3188" t="s">
        <v>647</v>
      </c>
      <c r="C198" s="3208">
        <f t="shared" si="8"/>
        <v>538</v>
      </c>
      <c r="D198" s="3208">
        <f t="shared" si="9"/>
        <v>538</v>
      </c>
      <c r="E198" s="3211"/>
      <c r="F198" s="2756">
        <v>538</v>
      </c>
      <c r="G198" s="3211"/>
      <c r="H198" s="3211"/>
      <c r="I198" s="3211"/>
      <c r="J198" s="3211"/>
      <c r="K198" s="3208">
        <f t="shared" si="10"/>
        <v>0</v>
      </c>
      <c r="L198" s="3211"/>
      <c r="M198" s="3211"/>
      <c r="N198" s="2902">
        <f t="shared" si="11"/>
        <v>0</v>
      </c>
      <c r="O198" s="3211"/>
      <c r="P198" s="3211"/>
      <c r="Q198" s="3212"/>
    </row>
    <row r="199" spans="1:17">
      <c r="A199" s="2812">
        <v>34</v>
      </c>
      <c r="B199" s="3188" t="s">
        <v>657</v>
      </c>
      <c r="C199" s="3208">
        <f t="shared" si="8"/>
        <v>1580</v>
      </c>
      <c r="D199" s="3208">
        <f t="shared" si="9"/>
        <v>1580</v>
      </c>
      <c r="E199" s="3211"/>
      <c r="F199" s="2756">
        <v>1580</v>
      </c>
      <c r="G199" s="3211"/>
      <c r="H199" s="3211"/>
      <c r="I199" s="3211"/>
      <c r="J199" s="3211"/>
      <c r="K199" s="3208">
        <f t="shared" si="10"/>
        <v>0</v>
      </c>
      <c r="L199" s="3211"/>
      <c r="M199" s="3211"/>
      <c r="N199" s="2902">
        <f t="shared" si="11"/>
        <v>0</v>
      </c>
      <c r="O199" s="3211"/>
      <c r="P199" s="3211"/>
      <c r="Q199" s="3212"/>
    </row>
    <row r="200" spans="1:17">
      <c r="A200" s="2812">
        <v>35</v>
      </c>
      <c r="B200" s="3188" t="s">
        <v>658</v>
      </c>
      <c r="C200" s="3208">
        <f t="shared" si="8"/>
        <v>1626</v>
      </c>
      <c r="D200" s="3208">
        <f t="shared" si="9"/>
        <v>1626</v>
      </c>
      <c r="E200" s="3211"/>
      <c r="F200" s="2756">
        <v>1626</v>
      </c>
      <c r="G200" s="3211"/>
      <c r="H200" s="3211"/>
      <c r="I200" s="3211"/>
      <c r="J200" s="3211"/>
      <c r="K200" s="3208">
        <f t="shared" si="10"/>
        <v>0</v>
      </c>
      <c r="L200" s="3211"/>
      <c r="M200" s="3211"/>
      <c r="N200" s="2902">
        <f t="shared" si="11"/>
        <v>0</v>
      </c>
      <c r="O200" s="3211"/>
      <c r="P200" s="3211"/>
      <c r="Q200" s="3212"/>
    </row>
    <row r="201" spans="1:17">
      <c r="A201" s="2812">
        <v>36</v>
      </c>
      <c r="B201" s="3188" t="s">
        <v>659</v>
      </c>
      <c r="C201" s="3208">
        <f t="shared" si="8"/>
        <v>447</v>
      </c>
      <c r="D201" s="3208">
        <f t="shared" si="9"/>
        <v>447</v>
      </c>
      <c r="E201" s="3211"/>
      <c r="F201" s="2756">
        <v>447</v>
      </c>
      <c r="G201" s="3211"/>
      <c r="H201" s="3211"/>
      <c r="I201" s="3211"/>
      <c r="J201" s="3211"/>
      <c r="K201" s="3208">
        <f t="shared" si="10"/>
        <v>0</v>
      </c>
      <c r="L201" s="3211"/>
      <c r="M201" s="3211"/>
      <c r="N201" s="2902">
        <f t="shared" si="11"/>
        <v>0</v>
      </c>
      <c r="O201" s="3211"/>
      <c r="P201" s="3211"/>
      <c r="Q201" s="3212"/>
    </row>
    <row r="202" spans="1:17">
      <c r="A202" s="2812">
        <v>37</v>
      </c>
      <c r="B202" s="3188" t="s">
        <v>660</v>
      </c>
      <c r="C202" s="3208">
        <f t="shared" si="8"/>
        <v>444</v>
      </c>
      <c r="D202" s="3208">
        <f t="shared" si="9"/>
        <v>444</v>
      </c>
      <c r="E202" s="3211"/>
      <c r="F202" s="2756">
        <v>444</v>
      </c>
      <c r="G202" s="3211"/>
      <c r="H202" s="3211"/>
      <c r="I202" s="3211"/>
      <c r="J202" s="3211"/>
      <c r="K202" s="3208">
        <f t="shared" si="10"/>
        <v>0</v>
      </c>
      <c r="L202" s="3211"/>
      <c r="M202" s="3211"/>
      <c r="N202" s="2902">
        <f t="shared" si="11"/>
        <v>0</v>
      </c>
      <c r="O202" s="3211"/>
      <c r="P202" s="3211"/>
      <c r="Q202" s="3212"/>
    </row>
    <row r="203" spans="1:17">
      <c r="A203" s="2812">
        <v>38</v>
      </c>
      <c r="B203" s="3188" t="s">
        <v>661</v>
      </c>
      <c r="C203" s="3208">
        <f t="shared" ref="C203:C266" si="12">SUM(D203,K203,N203,Q203)</f>
        <v>1917</v>
      </c>
      <c r="D203" s="3208">
        <f t="shared" ref="D203:D266" si="13">SUM(E203:J203)</f>
        <v>1917</v>
      </c>
      <c r="E203" s="3211"/>
      <c r="F203" s="2756">
        <v>1917</v>
      </c>
      <c r="G203" s="3211"/>
      <c r="H203" s="3211"/>
      <c r="I203" s="3211"/>
      <c r="J203" s="3211"/>
      <c r="K203" s="3208">
        <f t="shared" ref="K203:K266" si="14">L203+M203</f>
        <v>0</v>
      </c>
      <c r="L203" s="3211"/>
      <c r="M203" s="3211"/>
      <c r="N203" s="2902">
        <f t="shared" ref="N203:N266" si="15">O203+P203</f>
        <v>0</v>
      </c>
      <c r="O203" s="3211"/>
      <c r="P203" s="3211"/>
      <c r="Q203" s="3212"/>
    </row>
    <row r="204" spans="1:17">
      <c r="A204" s="2812">
        <v>39</v>
      </c>
      <c r="B204" s="3188" t="s">
        <v>641</v>
      </c>
      <c r="C204" s="3208">
        <f t="shared" si="12"/>
        <v>75859</v>
      </c>
      <c r="D204" s="3208">
        <f t="shared" si="13"/>
        <v>75859</v>
      </c>
      <c r="E204" s="3211"/>
      <c r="F204" s="2756">
        <v>75859</v>
      </c>
      <c r="G204" s="3211"/>
      <c r="H204" s="3211"/>
      <c r="I204" s="3211"/>
      <c r="J204" s="3211"/>
      <c r="K204" s="3208">
        <f t="shared" si="14"/>
        <v>0</v>
      </c>
      <c r="L204" s="3211"/>
      <c r="M204" s="3211"/>
      <c r="N204" s="2902">
        <f t="shared" si="15"/>
        <v>0</v>
      </c>
      <c r="O204" s="3211"/>
      <c r="P204" s="3211"/>
      <c r="Q204" s="3212"/>
    </row>
    <row r="205" spans="1:17">
      <c r="A205" s="2812">
        <v>40</v>
      </c>
      <c r="B205" s="3188" t="s">
        <v>642</v>
      </c>
      <c r="C205" s="3208">
        <f t="shared" si="12"/>
        <v>0</v>
      </c>
      <c r="D205" s="3208">
        <f t="shared" si="13"/>
        <v>0</v>
      </c>
      <c r="E205" s="3211"/>
      <c r="F205" s="2756">
        <v>0</v>
      </c>
      <c r="G205" s="3211"/>
      <c r="H205" s="3211"/>
      <c r="I205" s="3211"/>
      <c r="J205" s="3211"/>
      <c r="K205" s="3208">
        <f t="shared" si="14"/>
        <v>0</v>
      </c>
      <c r="L205" s="3211"/>
      <c r="M205" s="3211"/>
      <c r="N205" s="2902">
        <f t="shared" si="15"/>
        <v>0</v>
      </c>
      <c r="O205" s="3211"/>
      <c r="P205" s="3211"/>
      <c r="Q205" s="3212"/>
    </row>
    <row r="206" spans="1:17">
      <c r="A206" s="2812">
        <v>41</v>
      </c>
      <c r="B206" s="3188" t="s">
        <v>625</v>
      </c>
      <c r="C206" s="3208">
        <f t="shared" si="12"/>
        <v>49249</v>
      </c>
      <c r="D206" s="3208">
        <f t="shared" si="13"/>
        <v>49249</v>
      </c>
      <c r="E206" s="3211"/>
      <c r="F206" s="2756">
        <v>49249</v>
      </c>
      <c r="G206" s="3211"/>
      <c r="H206" s="3211"/>
      <c r="I206" s="3211"/>
      <c r="J206" s="3211"/>
      <c r="K206" s="3208">
        <f t="shared" si="14"/>
        <v>0</v>
      </c>
      <c r="L206" s="3211"/>
      <c r="M206" s="3211"/>
      <c r="N206" s="2902">
        <f t="shared" si="15"/>
        <v>0</v>
      </c>
      <c r="O206" s="3211"/>
      <c r="P206" s="3211"/>
      <c r="Q206" s="3212"/>
    </row>
    <row r="207" spans="1:17" ht="26.4" hidden="1">
      <c r="A207" s="2812"/>
      <c r="B207" s="3188" t="s">
        <v>573</v>
      </c>
      <c r="C207" s="3208">
        <f t="shared" si="12"/>
        <v>20215</v>
      </c>
      <c r="D207" s="3208">
        <f t="shared" si="13"/>
        <v>20215</v>
      </c>
      <c r="E207" s="3211"/>
      <c r="F207" s="2756">
        <v>20215</v>
      </c>
      <c r="G207" s="3211"/>
      <c r="H207" s="3211"/>
      <c r="I207" s="3211"/>
      <c r="J207" s="3211"/>
      <c r="K207" s="3208">
        <f t="shared" si="14"/>
        <v>0</v>
      </c>
      <c r="L207" s="3211"/>
      <c r="M207" s="3211"/>
      <c r="N207" s="2902">
        <f t="shared" si="15"/>
        <v>0</v>
      </c>
      <c r="O207" s="3211"/>
      <c r="P207" s="3211"/>
      <c r="Q207" s="3212"/>
    </row>
    <row r="208" spans="1:17" hidden="1">
      <c r="A208" s="2812"/>
      <c r="B208" s="3188" t="s">
        <v>574</v>
      </c>
      <c r="C208" s="3208">
        <f t="shared" si="12"/>
        <v>452</v>
      </c>
      <c r="D208" s="3208">
        <f t="shared" si="13"/>
        <v>452</v>
      </c>
      <c r="E208" s="3211"/>
      <c r="F208" s="2756">
        <v>452</v>
      </c>
      <c r="G208" s="3211"/>
      <c r="H208" s="3211"/>
      <c r="I208" s="3211"/>
      <c r="J208" s="3211"/>
      <c r="K208" s="3208">
        <f t="shared" si="14"/>
        <v>0</v>
      </c>
      <c r="L208" s="3211"/>
      <c r="M208" s="3211"/>
      <c r="N208" s="2902">
        <f t="shared" si="15"/>
        <v>0</v>
      </c>
      <c r="O208" s="3211"/>
      <c r="P208" s="3211"/>
      <c r="Q208" s="3212"/>
    </row>
    <row r="209" spans="1:17" ht="26.4" hidden="1">
      <c r="A209" s="2812"/>
      <c r="B209" s="3188" t="s">
        <v>575</v>
      </c>
      <c r="C209" s="3208">
        <f t="shared" si="12"/>
        <v>6479</v>
      </c>
      <c r="D209" s="3208">
        <f t="shared" si="13"/>
        <v>6479</v>
      </c>
      <c r="E209" s="3211"/>
      <c r="F209" s="2756">
        <v>6479</v>
      </c>
      <c r="G209" s="3211"/>
      <c r="H209" s="3211"/>
      <c r="I209" s="3211"/>
      <c r="J209" s="3211"/>
      <c r="K209" s="3208">
        <f t="shared" si="14"/>
        <v>0</v>
      </c>
      <c r="L209" s="3211"/>
      <c r="M209" s="3211"/>
      <c r="N209" s="2902">
        <f t="shared" si="15"/>
        <v>0</v>
      </c>
      <c r="O209" s="3211"/>
      <c r="P209" s="3211"/>
      <c r="Q209" s="3212"/>
    </row>
    <row r="210" spans="1:17" hidden="1">
      <c r="A210" s="2812"/>
      <c r="B210" s="3188" t="s">
        <v>576</v>
      </c>
      <c r="C210" s="3208">
        <f t="shared" si="12"/>
        <v>12452</v>
      </c>
      <c r="D210" s="3208">
        <f t="shared" si="13"/>
        <v>12452</v>
      </c>
      <c r="E210" s="3211"/>
      <c r="F210" s="2756">
        <v>12452</v>
      </c>
      <c r="G210" s="3211"/>
      <c r="H210" s="3211"/>
      <c r="I210" s="3211"/>
      <c r="J210" s="3211"/>
      <c r="K210" s="3208">
        <f t="shared" si="14"/>
        <v>0</v>
      </c>
      <c r="L210" s="3211"/>
      <c r="M210" s="3211"/>
      <c r="N210" s="2902">
        <f t="shared" si="15"/>
        <v>0</v>
      </c>
      <c r="O210" s="3211"/>
      <c r="P210" s="3211"/>
      <c r="Q210" s="3212"/>
    </row>
    <row r="211" spans="1:17" ht="26.4" hidden="1">
      <c r="A211" s="2812"/>
      <c r="B211" s="3188" t="s">
        <v>577</v>
      </c>
      <c r="C211" s="3208">
        <f t="shared" si="12"/>
        <v>1649</v>
      </c>
      <c r="D211" s="3208">
        <f t="shared" si="13"/>
        <v>1649</v>
      </c>
      <c r="E211" s="3211"/>
      <c r="F211" s="2756">
        <v>1649</v>
      </c>
      <c r="G211" s="3211"/>
      <c r="H211" s="3211"/>
      <c r="I211" s="3211"/>
      <c r="J211" s="3211"/>
      <c r="K211" s="3208">
        <f t="shared" si="14"/>
        <v>0</v>
      </c>
      <c r="L211" s="3211"/>
      <c r="M211" s="3211"/>
      <c r="N211" s="2902">
        <f t="shared" si="15"/>
        <v>0</v>
      </c>
      <c r="O211" s="3211"/>
      <c r="P211" s="3211"/>
      <c r="Q211" s="3212"/>
    </row>
    <row r="212" spans="1:17" ht="26.4" hidden="1">
      <c r="A212" s="2812"/>
      <c r="B212" s="3188" t="s">
        <v>578</v>
      </c>
      <c r="C212" s="3208">
        <f t="shared" si="12"/>
        <v>1139</v>
      </c>
      <c r="D212" s="3208">
        <f t="shared" si="13"/>
        <v>1139</v>
      </c>
      <c r="E212" s="3211"/>
      <c r="F212" s="2756">
        <v>1139</v>
      </c>
      <c r="G212" s="3211"/>
      <c r="H212" s="3211"/>
      <c r="I212" s="3211"/>
      <c r="J212" s="3211"/>
      <c r="K212" s="3208">
        <f t="shared" si="14"/>
        <v>0</v>
      </c>
      <c r="L212" s="3211"/>
      <c r="M212" s="3211"/>
      <c r="N212" s="2902">
        <f t="shared" si="15"/>
        <v>0</v>
      </c>
      <c r="O212" s="3211"/>
      <c r="P212" s="3211"/>
      <c r="Q212" s="3212"/>
    </row>
    <row r="213" spans="1:17" ht="26.4" hidden="1">
      <c r="A213" s="2812"/>
      <c r="B213" s="3188" t="s">
        <v>789</v>
      </c>
      <c r="C213" s="3208">
        <f t="shared" si="12"/>
        <v>5738</v>
      </c>
      <c r="D213" s="3208">
        <f t="shared" si="13"/>
        <v>5738</v>
      </c>
      <c r="E213" s="3211"/>
      <c r="F213" s="2756">
        <v>5738</v>
      </c>
      <c r="G213" s="3211"/>
      <c r="H213" s="3211"/>
      <c r="I213" s="3211"/>
      <c r="J213" s="3211"/>
      <c r="K213" s="3208">
        <f t="shared" si="14"/>
        <v>0</v>
      </c>
      <c r="L213" s="3211"/>
      <c r="M213" s="3211"/>
      <c r="N213" s="2902">
        <f t="shared" si="15"/>
        <v>0</v>
      </c>
      <c r="O213" s="3211"/>
      <c r="P213" s="3211"/>
      <c r="Q213" s="3212"/>
    </row>
    <row r="214" spans="1:17" ht="26.4" hidden="1">
      <c r="A214" s="2812"/>
      <c r="B214" s="3188" t="s">
        <v>790</v>
      </c>
      <c r="C214" s="3208">
        <f t="shared" si="12"/>
        <v>0</v>
      </c>
      <c r="D214" s="3208">
        <f t="shared" si="13"/>
        <v>0</v>
      </c>
      <c r="E214" s="3211"/>
      <c r="F214" s="2756">
        <v>0</v>
      </c>
      <c r="G214" s="3211"/>
      <c r="H214" s="3211"/>
      <c r="I214" s="3211"/>
      <c r="J214" s="3211"/>
      <c r="K214" s="3208">
        <f t="shared" si="14"/>
        <v>0</v>
      </c>
      <c r="L214" s="3211"/>
      <c r="M214" s="3211"/>
      <c r="N214" s="2902">
        <f t="shared" si="15"/>
        <v>0</v>
      </c>
      <c r="O214" s="3211"/>
      <c r="P214" s="3211"/>
      <c r="Q214" s="3212"/>
    </row>
    <row r="215" spans="1:17" hidden="1">
      <c r="A215" s="2812"/>
      <c r="B215" s="3188" t="s">
        <v>791</v>
      </c>
      <c r="C215" s="3208">
        <f t="shared" si="12"/>
        <v>0</v>
      </c>
      <c r="D215" s="3208">
        <f t="shared" si="13"/>
        <v>0</v>
      </c>
      <c r="E215" s="3211"/>
      <c r="F215" s="2756">
        <v>0</v>
      </c>
      <c r="G215" s="3211"/>
      <c r="H215" s="3211"/>
      <c r="I215" s="3211"/>
      <c r="J215" s="3211"/>
      <c r="K215" s="3208">
        <f t="shared" si="14"/>
        <v>0</v>
      </c>
      <c r="L215" s="3211"/>
      <c r="M215" s="3211"/>
      <c r="N215" s="2902">
        <f t="shared" si="15"/>
        <v>0</v>
      </c>
      <c r="O215" s="3211"/>
      <c r="P215" s="3211"/>
      <c r="Q215" s="3212"/>
    </row>
    <row r="216" spans="1:17" ht="26.4" hidden="1">
      <c r="A216" s="2812"/>
      <c r="B216" s="3188" t="s">
        <v>792</v>
      </c>
      <c r="C216" s="3208">
        <f t="shared" si="12"/>
        <v>1125</v>
      </c>
      <c r="D216" s="3208">
        <f t="shared" si="13"/>
        <v>1125</v>
      </c>
      <c r="E216" s="3211"/>
      <c r="F216" s="2756">
        <v>1125</v>
      </c>
      <c r="G216" s="3211"/>
      <c r="H216" s="3211"/>
      <c r="I216" s="3211"/>
      <c r="J216" s="3211"/>
      <c r="K216" s="3208">
        <f t="shared" si="14"/>
        <v>0</v>
      </c>
      <c r="L216" s="3211"/>
      <c r="M216" s="3211"/>
      <c r="N216" s="2902">
        <f t="shared" si="15"/>
        <v>0</v>
      </c>
      <c r="O216" s="3211"/>
      <c r="P216" s="3211"/>
      <c r="Q216" s="3212"/>
    </row>
    <row r="217" spans="1:17">
      <c r="A217" s="2812">
        <v>42</v>
      </c>
      <c r="B217" s="3188" t="s">
        <v>793</v>
      </c>
      <c r="C217" s="3208">
        <f t="shared" si="12"/>
        <v>7913</v>
      </c>
      <c r="D217" s="3208">
        <f t="shared" si="13"/>
        <v>7913</v>
      </c>
      <c r="E217" s="3211"/>
      <c r="F217" s="2756">
        <v>7913</v>
      </c>
      <c r="G217" s="3211"/>
      <c r="H217" s="3211"/>
      <c r="I217" s="3211"/>
      <c r="J217" s="3211"/>
      <c r="K217" s="3208">
        <f t="shared" si="14"/>
        <v>0</v>
      </c>
      <c r="L217" s="3211"/>
      <c r="M217" s="3211"/>
      <c r="N217" s="2902">
        <f t="shared" si="15"/>
        <v>0</v>
      </c>
      <c r="O217" s="3211"/>
      <c r="P217" s="3211"/>
      <c r="Q217" s="3212"/>
    </row>
    <row r="218" spans="1:17" ht="39.6" hidden="1">
      <c r="A218" s="2812"/>
      <c r="B218" s="3188" t="s">
        <v>665</v>
      </c>
      <c r="C218" s="3208">
        <f t="shared" si="12"/>
        <v>577</v>
      </c>
      <c r="D218" s="3208">
        <f t="shared" si="13"/>
        <v>577</v>
      </c>
      <c r="E218" s="3211"/>
      <c r="F218" s="2756">
        <v>577</v>
      </c>
      <c r="G218" s="3211"/>
      <c r="H218" s="3211"/>
      <c r="I218" s="3211"/>
      <c r="J218" s="3211"/>
      <c r="K218" s="3208">
        <f t="shared" si="14"/>
        <v>0</v>
      </c>
      <c r="L218" s="3211"/>
      <c r="M218" s="3211"/>
      <c r="N218" s="2902">
        <f t="shared" si="15"/>
        <v>0</v>
      </c>
      <c r="O218" s="3211"/>
      <c r="P218" s="3211"/>
      <c r="Q218" s="3212"/>
    </row>
    <row r="219" spans="1:17" hidden="1">
      <c r="A219" s="2812"/>
      <c r="B219" s="3188" t="s">
        <v>666</v>
      </c>
      <c r="C219" s="3208">
        <f t="shared" si="12"/>
        <v>5202</v>
      </c>
      <c r="D219" s="3208">
        <f t="shared" si="13"/>
        <v>5202</v>
      </c>
      <c r="E219" s="3211"/>
      <c r="F219" s="2756">
        <v>5202</v>
      </c>
      <c r="G219" s="3211"/>
      <c r="H219" s="3211"/>
      <c r="I219" s="3211"/>
      <c r="J219" s="3211"/>
      <c r="K219" s="3208">
        <f t="shared" si="14"/>
        <v>0</v>
      </c>
      <c r="L219" s="3211"/>
      <c r="M219" s="3211"/>
      <c r="N219" s="2902">
        <f t="shared" si="15"/>
        <v>0</v>
      </c>
      <c r="O219" s="3211"/>
      <c r="P219" s="3211"/>
      <c r="Q219" s="3212"/>
    </row>
    <row r="220" spans="1:17" ht="39.6" hidden="1">
      <c r="A220" s="2812"/>
      <c r="B220" s="3188" t="s">
        <v>667</v>
      </c>
      <c r="C220" s="3208">
        <f t="shared" si="12"/>
        <v>600</v>
      </c>
      <c r="D220" s="3208">
        <f t="shared" si="13"/>
        <v>600</v>
      </c>
      <c r="E220" s="3211"/>
      <c r="F220" s="2756">
        <v>600</v>
      </c>
      <c r="G220" s="3211"/>
      <c r="H220" s="3211"/>
      <c r="I220" s="3211"/>
      <c r="J220" s="3211"/>
      <c r="K220" s="3208">
        <f t="shared" si="14"/>
        <v>0</v>
      </c>
      <c r="L220" s="3211"/>
      <c r="M220" s="3211"/>
      <c r="N220" s="2902">
        <f t="shared" si="15"/>
        <v>0</v>
      </c>
      <c r="O220" s="3211"/>
      <c r="P220" s="3211"/>
      <c r="Q220" s="3212"/>
    </row>
    <row r="221" spans="1:17">
      <c r="A221" s="2812">
        <v>43</v>
      </c>
      <c r="B221" s="3188" t="s">
        <v>1489</v>
      </c>
      <c r="C221" s="3208">
        <f t="shared" si="12"/>
        <v>66687</v>
      </c>
      <c r="D221" s="3208">
        <f t="shared" si="13"/>
        <v>66687</v>
      </c>
      <c r="E221" s="3211"/>
      <c r="F221" s="2756">
        <v>66687</v>
      </c>
      <c r="G221" s="3211"/>
      <c r="H221" s="3211"/>
      <c r="I221" s="3211"/>
      <c r="J221" s="3211"/>
      <c r="K221" s="3208">
        <f t="shared" si="14"/>
        <v>0</v>
      </c>
      <c r="L221" s="3211"/>
      <c r="M221" s="3211"/>
      <c r="N221" s="2902">
        <f t="shared" si="15"/>
        <v>0</v>
      </c>
      <c r="O221" s="3211"/>
      <c r="P221" s="3211"/>
      <c r="Q221" s="3212"/>
    </row>
    <row r="222" spans="1:17">
      <c r="A222" s="2812">
        <v>44</v>
      </c>
      <c r="B222" s="3188" t="s">
        <v>1490</v>
      </c>
      <c r="C222" s="3208">
        <f t="shared" si="12"/>
        <v>59373</v>
      </c>
      <c r="D222" s="3208">
        <f t="shared" si="13"/>
        <v>59373</v>
      </c>
      <c r="E222" s="3211"/>
      <c r="F222" s="2756">
        <v>59373</v>
      </c>
      <c r="G222" s="3211"/>
      <c r="H222" s="3211"/>
      <c r="I222" s="3211"/>
      <c r="J222" s="3211"/>
      <c r="K222" s="3208">
        <f t="shared" si="14"/>
        <v>0</v>
      </c>
      <c r="L222" s="3211"/>
      <c r="M222" s="3211"/>
      <c r="N222" s="2902">
        <f t="shared" si="15"/>
        <v>0</v>
      </c>
      <c r="O222" s="3211"/>
      <c r="P222" s="3211"/>
      <c r="Q222" s="3212"/>
    </row>
    <row r="223" spans="1:17">
      <c r="A223" s="2812">
        <v>45</v>
      </c>
      <c r="B223" s="3188" t="s">
        <v>1462</v>
      </c>
      <c r="C223" s="3208">
        <f t="shared" si="12"/>
        <v>21795</v>
      </c>
      <c r="D223" s="3208">
        <f t="shared" si="13"/>
        <v>21795</v>
      </c>
      <c r="E223" s="3211"/>
      <c r="F223" s="2756">
        <v>21795</v>
      </c>
      <c r="G223" s="3211"/>
      <c r="H223" s="3211"/>
      <c r="I223" s="3211"/>
      <c r="J223" s="3211"/>
      <c r="K223" s="3208">
        <f t="shared" si="14"/>
        <v>0</v>
      </c>
      <c r="L223" s="3211"/>
      <c r="M223" s="3211"/>
      <c r="N223" s="2902">
        <f t="shared" si="15"/>
        <v>0</v>
      </c>
      <c r="O223" s="3211"/>
      <c r="P223" s="3211"/>
      <c r="Q223" s="3212"/>
    </row>
    <row r="224" spans="1:17" ht="26.4">
      <c r="A224" s="2812">
        <v>46</v>
      </c>
      <c r="B224" s="3188" t="s">
        <v>682</v>
      </c>
      <c r="C224" s="3208">
        <f t="shared" si="12"/>
        <v>7258</v>
      </c>
      <c r="D224" s="3208">
        <f t="shared" si="13"/>
        <v>7258</v>
      </c>
      <c r="E224" s="3211"/>
      <c r="F224" s="2756">
        <v>7258</v>
      </c>
      <c r="G224" s="3211"/>
      <c r="H224" s="3211"/>
      <c r="I224" s="3211"/>
      <c r="J224" s="3211"/>
      <c r="K224" s="3208">
        <f t="shared" si="14"/>
        <v>0</v>
      </c>
      <c r="L224" s="3211"/>
      <c r="M224" s="3211"/>
      <c r="N224" s="2902">
        <f t="shared" si="15"/>
        <v>0</v>
      </c>
      <c r="O224" s="3211"/>
      <c r="P224" s="3211"/>
      <c r="Q224" s="3212"/>
    </row>
    <row r="225" spans="1:17">
      <c r="A225" s="2812">
        <v>47</v>
      </c>
      <c r="B225" s="2755" t="s">
        <v>11</v>
      </c>
      <c r="C225" s="3208">
        <f t="shared" si="12"/>
        <v>30630</v>
      </c>
      <c r="D225" s="3208">
        <f t="shared" si="13"/>
        <v>30630</v>
      </c>
      <c r="E225" s="3211"/>
      <c r="F225" s="2756">
        <v>30630</v>
      </c>
      <c r="G225" s="3211"/>
      <c r="H225" s="3211"/>
      <c r="I225" s="3211"/>
      <c r="J225" s="3211"/>
      <c r="K225" s="3208">
        <f t="shared" si="14"/>
        <v>0</v>
      </c>
      <c r="L225" s="3211"/>
      <c r="M225" s="3211"/>
      <c r="N225" s="2902">
        <f t="shared" si="15"/>
        <v>0</v>
      </c>
      <c r="O225" s="3211"/>
      <c r="P225" s="3211"/>
      <c r="Q225" s="3212"/>
    </row>
    <row r="226" spans="1:17" ht="26.4">
      <c r="A226" s="2812">
        <v>48</v>
      </c>
      <c r="B226" s="2755" t="s">
        <v>1980</v>
      </c>
      <c r="C226" s="3208">
        <f t="shared" si="12"/>
        <v>70148</v>
      </c>
      <c r="D226" s="3208">
        <f t="shared" si="13"/>
        <v>70148</v>
      </c>
      <c r="E226" s="3211"/>
      <c r="F226" s="2756">
        <v>70148</v>
      </c>
      <c r="G226" s="3211"/>
      <c r="H226" s="3211"/>
      <c r="I226" s="3211"/>
      <c r="J226" s="3211"/>
      <c r="K226" s="3208">
        <f t="shared" si="14"/>
        <v>0</v>
      </c>
      <c r="L226" s="3211"/>
      <c r="M226" s="3211"/>
      <c r="N226" s="2902">
        <f t="shared" si="15"/>
        <v>0</v>
      </c>
      <c r="O226" s="3211"/>
      <c r="P226" s="3211"/>
      <c r="Q226" s="3212"/>
    </row>
    <row r="227" spans="1:17">
      <c r="A227" s="2812">
        <v>49</v>
      </c>
      <c r="B227" s="3189" t="s">
        <v>1981</v>
      </c>
      <c r="C227" s="3208">
        <f t="shared" si="12"/>
        <v>110980</v>
      </c>
      <c r="D227" s="3208">
        <f t="shared" si="13"/>
        <v>110980</v>
      </c>
      <c r="E227" s="3215"/>
      <c r="F227" s="2756">
        <v>110980</v>
      </c>
      <c r="G227" s="3215"/>
      <c r="H227" s="3215"/>
      <c r="I227" s="3215"/>
      <c r="J227" s="3215"/>
      <c r="K227" s="3208">
        <f t="shared" si="14"/>
        <v>0</v>
      </c>
      <c r="L227" s="3215"/>
      <c r="M227" s="3215"/>
      <c r="N227" s="2902">
        <f t="shared" si="15"/>
        <v>0</v>
      </c>
      <c r="O227" s="3215"/>
      <c r="P227" s="3215"/>
      <c r="Q227" s="3215"/>
    </row>
    <row r="228" spans="1:17" s="1864" customFormat="1" ht="15.6">
      <c r="A228" s="3190"/>
      <c r="B228" s="1383" t="s">
        <v>320</v>
      </c>
      <c r="C228" s="2906">
        <f t="shared" si="12"/>
        <v>88661</v>
      </c>
      <c r="D228" s="2906">
        <f t="shared" si="13"/>
        <v>88661</v>
      </c>
      <c r="E228" s="2757"/>
      <c r="F228" s="2757">
        <v>30630</v>
      </c>
      <c r="G228" s="2757"/>
      <c r="H228" s="2757"/>
      <c r="I228" s="2757">
        <v>58031</v>
      </c>
      <c r="J228" s="2757"/>
      <c r="K228" s="3208">
        <f t="shared" si="14"/>
        <v>0</v>
      </c>
      <c r="L228" s="2757"/>
      <c r="M228" s="2757"/>
      <c r="N228" s="2902">
        <f t="shared" si="15"/>
        <v>0</v>
      </c>
      <c r="O228" s="2757"/>
      <c r="P228" s="2757"/>
      <c r="Q228" s="2757"/>
    </row>
    <row r="229" spans="1:17" s="1864" customFormat="1" ht="31.2">
      <c r="A229" s="3190"/>
      <c r="B229" s="1383" t="s">
        <v>685</v>
      </c>
      <c r="C229" s="2906">
        <f t="shared" si="12"/>
        <v>71148</v>
      </c>
      <c r="D229" s="2906">
        <f t="shared" si="13"/>
        <v>71148</v>
      </c>
      <c r="E229" s="2757"/>
      <c r="F229" s="2757">
        <v>70148</v>
      </c>
      <c r="G229" s="2757"/>
      <c r="H229" s="2757">
        <v>1000</v>
      </c>
      <c r="I229" s="2757"/>
      <c r="J229" s="2757"/>
      <c r="K229" s="3208">
        <f t="shared" si="14"/>
        <v>0</v>
      </c>
      <c r="L229" s="2757"/>
      <c r="M229" s="2757"/>
      <c r="N229" s="2902">
        <f t="shared" si="15"/>
        <v>0</v>
      </c>
      <c r="O229" s="2757"/>
      <c r="P229" s="2757"/>
      <c r="Q229" s="2757"/>
    </row>
    <row r="230" spans="1:17" s="1864" customFormat="1" ht="15.6">
      <c r="A230" s="3190"/>
      <c r="B230" s="1383" t="s">
        <v>687</v>
      </c>
      <c r="C230" s="2906">
        <f t="shared" si="12"/>
        <v>110980</v>
      </c>
      <c r="D230" s="2906">
        <f t="shared" si="13"/>
        <v>110980</v>
      </c>
      <c r="E230" s="2757"/>
      <c r="F230" s="2757">
        <v>110980</v>
      </c>
      <c r="G230" s="2757"/>
      <c r="H230" s="2757"/>
      <c r="I230" s="2757"/>
      <c r="J230" s="2757"/>
      <c r="K230" s="3208">
        <f t="shared" si="14"/>
        <v>0</v>
      </c>
      <c r="L230" s="2757"/>
      <c r="M230" s="2757"/>
      <c r="N230" s="2902">
        <f t="shared" si="15"/>
        <v>0</v>
      </c>
      <c r="O230" s="2757"/>
      <c r="P230" s="2757"/>
      <c r="Q230" s="2757"/>
    </row>
    <row r="231" spans="1:17" s="1864" customFormat="1" ht="31.2">
      <c r="A231" s="3190"/>
      <c r="B231" s="1383" t="s">
        <v>689</v>
      </c>
      <c r="C231" s="2906">
        <f t="shared" si="12"/>
        <v>0</v>
      </c>
      <c r="D231" s="2906">
        <f t="shared" si="13"/>
        <v>0</v>
      </c>
      <c r="E231" s="2757"/>
      <c r="F231" s="2757"/>
      <c r="G231" s="2757"/>
      <c r="H231" s="2757"/>
      <c r="I231" s="2757"/>
      <c r="J231" s="2757"/>
      <c r="K231" s="3208">
        <f t="shared" si="14"/>
        <v>0</v>
      </c>
      <c r="L231" s="2757"/>
      <c r="M231" s="2757"/>
      <c r="N231" s="2902">
        <f t="shared" si="15"/>
        <v>0</v>
      </c>
      <c r="O231" s="2757"/>
      <c r="P231" s="2757"/>
      <c r="Q231" s="2757"/>
    </row>
    <row r="232" spans="1:17" ht="26.4">
      <c r="A232" s="3190"/>
      <c r="B232" s="3192" t="s">
        <v>1979</v>
      </c>
      <c r="C232" s="2906">
        <f t="shared" si="12"/>
        <v>117200</v>
      </c>
      <c r="D232" s="3208">
        <f t="shared" si="13"/>
        <v>0</v>
      </c>
      <c r="E232" s="3211"/>
      <c r="F232" s="2756"/>
      <c r="G232" s="3211"/>
      <c r="H232" s="3211"/>
      <c r="I232" s="3211"/>
      <c r="J232" s="3211"/>
      <c r="K232" s="3208">
        <f t="shared" si="14"/>
        <v>0</v>
      </c>
      <c r="L232" s="3211"/>
      <c r="M232" s="3211"/>
      <c r="N232" s="2902">
        <f t="shared" si="15"/>
        <v>0</v>
      </c>
      <c r="O232" s="3211"/>
      <c r="P232" s="3211"/>
      <c r="Q232" s="2757">
        <v>117200</v>
      </c>
    </row>
    <row r="233" spans="1:17" s="1864" customFormat="1" ht="18" customHeight="1">
      <c r="A233" s="3190" t="s">
        <v>362</v>
      </c>
      <c r="B233" s="3192" t="s">
        <v>1146</v>
      </c>
      <c r="C233" s="2906">
        <f t="shared" si="12"/>
        <v>13341</v>
      </c>
      <c r="D233" s="3208">
        <f t="shared" si="13"/>
        <v>0</v>
      </c>
      <c r="E233" s="3212"/>
      <c r="F233" s="2757"/>
      <c r="G233" s="3212"/>
      <c r="H233" s="3212"/>
      <c r="I233" s="3212"/>
      <c r="J233" s="3212"/>
      <c r="K233" s="2906">
        <f t="shared" si="14"/>
        <v>13341</v>
      </c>
      <c r="L233" s="3212"/>
      <c r="M233" s="2757">
        <f>SUM(M234:M242)</f>
        <v>13341</v>
      </c>
      <c r="N233" s="2902">
        <f t="shared" si="15"/>
        <v>0</v>
      </c>
      <c r="O233" s="3212"/>
      <c r="P233" s="3212"/>
      <c r="Q233" s="3212"/>
    </row>
    <row r="234" spans="1:17">
      <c r="A234" s="2812"/>
      <c r="B234" s="3193" t="s">
        <v>1458</v>
      </c>
      <c r="C234" s="3208">
        <f t="shared" si="12"/>
        <v>4815</v>
      </c>
      <c r="D234" s="3208">
        <f t="shared" si="13"/>
        <v>0</v>
      </c>
      <c r="E234" s="3211"/>
      <c r="F234" s="2756"/>
      <c r="G234" s="3211"/>
      <c r="H234" s="3211"/>
      <c r="I234" s="3211"/>
      <c r="J234" s="3211"/>
      <c r="K234" s="3208">
        <f t="shared" si="14"/>
        <v>4815</v>
      </c>
      <c r="L234" s="3211"/>
      <c r="M234" s="2756">
        <v>4815</v>
      </c>
      <c r="N234" s="2902">
        <f t="shared" si="15"/>
        <v>0</v>
      </c>
      <c r="O234" s="3211"/>
      <c r="P234" s="3211"/>
      <c r="Q234" s="3212"/>
    </row>
    <row r="235" spans="1:17">
      <c r="A235" s="2812"/>
      <c r="B235" s="3193" t="s">
        <v>1459</v>
      </c>
      <c r="C235" s="3208">
        <f t="shared" si="12"/>
        <v>3295</v>
      </c>
      <c r="D235" s="3208">
        <f t="shared" si="13"/>
        <v>0</v>
      </c>
      <c r="E235" s="3211"/>
      <c r="F235" s="2756"/>
      <c r="G235" s="3211"/>
      <c r="H235" s="3211"/>
      <c r="I235" s="3211"/>
      <c r="J235" s="3211"/>
      <c r="K235" s="3208">
        <f t="shared" si="14"/>
        <v>3295</v>
      </c>
      <c r="L235" s="3211"/>
      <c r="M235" s="2756">
        <v>3295</v>
      </c>
      <c r="N235" s="2902">
        <f t="shared" si="15"/>
        <v>0</v>
      </c>
      <c r="O235" s="3211"/>
      <c r="P235" s="3211"/>
      <c r="Q235" s="3212"/>
    </row>
    <row r="236" spans="1:17">
      <c r="A236" s="2812"/>
      <c r="B236" s="3193" t="s">
        <v>618</v>
      </c>
      <c r="C236" s="3208">
        <f t="shared" si="12"/>
        <v>1291</v>
      </c>
      <c r="D236" s="3208">
        <f t="shared" si="13"/>
        <v>0</v>
      </c>
      <c r="E236" s="3211"/>
      <c r="F236" s="2756"/>
      <c r="G236" s="3211"/>
      <c r="H236" s="3211"/>
      <c r="I236" s="3211"/>
      <c r="J236" s="3211"/>
      <c r="K236" s="3208">
        <f t="shared" si="14"/>
        <v>1291</v>
      </c>
      <c r="L236" s="3211"/>
      <c r="M236" s="2756">
        <v>1291</v>
      </c>
      <c r="N236" s="2902">
        <f t="shared" si="15"/>
        <v>0</v>
      </c>
      <c r="O236" s="3211"/>
      <c r="P236" s="3211"/>
      <c r="Q236" s="3212"/>
    </row>
    <row r="237" spans="1:17">
      <c r="A237" s="2812"/>
      <c r="B237" s="3193" t="s">
        <v>1460</v>
      </c>
      <c r="C237" s="3208">
        <f t="shared" si="12"/>
        <v>1040</v>
      </c>
      <c r="D237" s="3208">
        <f t="shared" si="13"/>
        <v>0</v>
      </c>
      <c r="E237" s="3211"/>
      <c r="F237" s="2756"/>
      <c r="G237" s="3211"/>
      <c r="H237" s="3211"/>
      <c r="I237" s="3211"/>
      <c r="J237" s="3211"/>
      <c r="K237" s="3208">
        <f t="shared" si="14"/>
        <v>1040</v>
      </c>
      <c r="L237" s="3211"/>
      <c r="M237" s="2756">
        <v>1040</v>
      </c>
      <c r="N237" s="2902">
        <f t="shared" si="15"/>
        <v>0</v>
      </c>
      <c r="O237" s="3211"/>
      <c r="P237" s="3211"/>
      <c r="Q237" s="3212"/>
    </row>
    <row r="238" spans="1:17">
      <c r="A238" s="2812"/>
      <c r="B238" s="3193" t="s">
        <v>1461</v>
      </c>
      <c r="C238" s="3208">
        <f t="shared" si="12"/>
        <v>1000</v>
      </c>
      <c r="D238" s="3208">
        <f t="shared" si="13"/>
        <v>0</v>
      </c>
      <c r="E238" s="3211"/>
      <c r="F238" s="2756"/>
      <c r="G238" s="3211"/>
      <c r="H238" s="3211"/>
      <c r="I238" s="3211"/>
      <c r="J238" s="3211"/>
      <c r="K238" s="3208">
        <f t="shared" si="14"/>
        <v>1000</v>
      </c>
      <c r="L238" s="3211"/>
      <c r="M238" s="2756">
        <v>1000</v>
      </c>
      <c r="N238" s="2902">
        <f t="shared" si="15"/>
        <v>0</v>
      </c>
      <c r="O238" s="3211"/>
      <c r="P238" s="3211"/>
      <c r="Q238" s="3212"/>
    </row>
    <row r="239" spans="1:17">
      <c r="A239" s="2812"/>
      <c r="B239" s="3193" t="s">
        <v>621</v>
      </c>
      <c r="C239" s="3208">
        <f t="shared" si="12"/>
        <v>600</v>
      </c>
      <c r="D239" s="3208">
        <f t="shared" si="13"/>
        <v>0</v>
      </c>
      <c r="E239" s="3211"/>
      <c r="F239" s="2756"/>
      <c r="G239" s="3211"/>
      <c r="H239" s="3211"/>
      <c r="I239" s="3211"/>
      <c r="J239" s="3211"/>
      <c r="K239" s="3208">
        <f t="shared" si="14"/>
        <v>600</v>
      </c>
      <c r="L239" s="3211"/>
      <c r="M239" s="2756">
        <v>600</v>
      </c>
      <c r="N239" s="2902">
        <f t="shared" si="15"/>
        <v>0</v>
      </c>
      <c r="O239" s="3211"/>
      <c r="P239" s="3211"/>
      <c r="Q239" s="3212"/>
    </row>
    <row r="240" spans="1:17">
      <c r="A240" s="2812"/>
      <c r="B240" s="3193" t="s">
        <v>598</v>
      </c>
      <c r="C240" s="3208">
        <f t="shared" si="12"/>
        <v>400</v>
      </c>
      <c r="D240" s="3208">
        <f t="shared" si="13"/>
        <v>0</v>
      </c>
      <c r="E240" s="3211"/>
      <c r="F240" s="2756"/>
      <c r="G240" s="3211"/>
      <c r="H240" s="3211"/>
      <c r="I240" s="3211"/>
      <c r="J240" s="3211"/>
      <c r="K240" s="3208">
        <f t="shared" si="14"/>
        <v>400</v>
      </c>
      <c r="L240" s="3211"/>
      <c r="M240" s="2756">
        <v>400</v>
      </c>
      <c r="N240" s="2902">
        <f t="shared" si="15"/>
        <v>0</v>
      </c>
      <c r="O240" s="3211"/>
      <c r="P240" s="3211"/>
      <c r="Q240" s="3212"/>
    </row>
    <row r="241" spans="1:17">
      <c r="A241" s="2812"/>
      <c r="B241" s="3193" t="s">
        <v>1462</v>
      </c>
      <c r="C241" s="3208">
        <f t="shared" si="12"/>
        <v>400</v>
      </c>
      <c r="D241" s="3208">
        <f t="shared" si="13"/>
        <v>0</v>
      </c>
      <c r="E241" s="3211"/>
      <c r="F241" s="2756"/>
      <c r="G241" s="3211"/>
      <c r="H241" s="3211"/>
      <c r="I241" s="3211"/>
      <c r="J241" s="3211"/>
      <c r="K241" s="3208">
        <f t="shared" si="14"/>
        <v>400</v>
      </c>
      <c r="L241" s="3211"/>
      <c r="M241" s="2756">
        <v>400</v>
      </c>
      <c r="N241" s="2902">
        <f t="shared" si="15"/>
        <v>0</v>
      </c>
      <c r="O241" s="3211"/>
      <c r="P241" s="3211"/>
      <c r="Q241" s="3212"/>
    </row>
    <row r="242" spans="1:17">
      <c r="A242" s="2812"/>
      <c r="B242" s="3193" t="s">
        <v>1463</v>
      </c>
      <c r="C242" s="3208">
        <f t="shared" si="12"/>
        <v>500</v>
      </c>
      <c r="D242" s="3208">
        <f t="shared" si="13"/>
        <v>0</v>
      </c>
      <c r="E242" s="3211"/>
      <c r="F242" s="2756"/>
      <c r="G242" s="3211"/>
      <c r="H242" s="3211"/>
      <c r="I242" s="3211"/>
      <c r="J242" s="3211"/>
      <c r="K242" s="3208">
        <f t="shared" si="14"/>
        <v>500</v>
      </c>
      <c r="L242" s="3211"/>
      <c r="M242" s="2756">
        <v>500</v>
      </c>
      <c r="N242" s="2902">
        <f t="shared" si="15"/>
        <v>0</v>
      </c>
      <c r="O242" s="3211"/>
      <c r="P242" s="3211"/>
      <c r="Q242" s="3212"/>
    </row>
    <row r="243" spans="1:17" s="1864" customFormat="1" ht="26.4">
      <c r="A243" s="3190" t="s">
        <v>371</v>
      </c>
      <c r="B243" s="3192" t="s">
        <v>1906</v>
      </c>
      <c r="C243" s="2906">
        <f t="shared" si="12"/>
        <v>1272778</v>
      </c>
      <c r="D243" s="3208">
        <f t="shared" si="13"/>
        <v>0</v>
      </c>
      <c r="E243" s="3212"/>
      <c r="F243" s="2757"/>
      <c r="G243" s="3212"/>
      <c r="H243" s="3212"/>
      <c r="I243" s="3212"/>
      <c r="J243" s="3212"/>
      <c r="K243" s="3208">
        <f t="shared" si="14"/>
        <v>0</v>
      </c>
      <c r="L243" s="3212"/>
      <c r="M243" s="3212"/>
      <c r="N243" s="2903">
        <f t="shared" si="15"/>
        <v>1272778</v>
      </c>
      <c r="O243" s="3213">
        <f>SUM(O244:O256)</f>
        <v>975461</v>
      </c>
      <c r="P243" s="2757">
        <f>SUM(P244:P282)</f>
        <v>297317</v>
      </c>
      <c r="Q243" s="3212"/>
    </row>
    <row r="244" spans="1:17">
      <c r="A244" s="2812"/>
      <c r="B244" s="3194" t="s">
        <v>1512</v>
      </c>
      <c r="C244" s="3208">
        <f t="shared" si="12"/>
        <v>128218</v>
      </c>
      <c r="D244" s="3208">
        <f t="shared" si="13"/>
        <v>0</v>
      </c>
      <c r="E244" s="3211"/>
      <c r="F244" s="2756"/>
      <c r="G244" s="3211"/>
      <c r="H244" s="3211"/>
      <c r="I244" s="3211"/>
      <c r="J244" s="3211"/>
      <c r="K244" s="3208">
        <f t="shared" si="14"/>
        <v>0</v>
      </c>
      <c r="L244" s="3211"/>
      <c r="M244" s="3211"/>
      <c r="N244" s="2902">
        <f t="shared" si="15"/>
        <v>128218</v>
      </c>
      <c r="O244" s="2756">
        <f>50000+1200+77018</f>
        <v>128218</v>
      </c>
      <c r="P244" s="2756"/>
      <c r="Q244" s="3212"/>
    </row>
    <row r="245" spans="1:17">
      <c r="A245" s="2812"/>
      <c r="B245" s="3194" t="s">
        <v>1850</v>
      </c>
      <c r="C245" s="3208">
        <f t="shared" si="12"/>
        <v>5000</v>
      </c>
      <c r="D245" s="3208">
        <f t="shared" si="13"/>
        <v>0</v>
      </c>
      <c r="E245" s="3211"/>
      <c r="F245" s="2756"/>
      <c r="G245" s="3211"/>
      <c r="H245" s="3211"/>
      <c r="I245" s="3211"/>
      <c r="J245" s="3211"/>
      <c r="K245" s="3208">
        <f t="shared" si="14"/>
        <v>0</v>
      </c>
      <c r="L245" s="3211"/>
      <c r="M245" s="3211"/>
      <c r="N245" s="2902">
        <f t="shared" si="15"/>
        <v>5000</v>
      </c>
      <c r="O245" s="2756">
        <v>5000</v>
      </c>
      <c r="P245" s="2756"/>
      <c r="Q245" s="3212"/>
    </row>
    <row r="246" spans="1:17" ht="26.4">
      <c r="A246" s="2812"/>
      <c r="B246" s="3194" t="s">
        <v>1510</v>
      </c>
      <c r="C246" s="3208">
        <f t="shared" si="12"/>
        <v>252843</v>
      </c>
      <c r="D246" s="3208">
        <f t="shared" si="13"/>
        <v>0</v>
      </c>
      <c r="E246" s="3211"/>
      <c r="F246" s="2756"/>
      <c r="G246" s="3211"/>
      <c r="H246" s="3211"/>
      <c r="I246" s="3211"/>
      <c r="J246" s="3211"/>
      <c r="K246" s="3208">
        <f t="shared" si="14"/>
        <v>0</v>
      </c>
      <c r="L246" s="3211"/>
      <c r="M246" s="3211"/>
      <c r="N246" s="2902">
        <f t="shared" si="15"/>
        <v>252843</v>
      </c>
      <c r="O246" s="2756">
        <f>124999+120444</f>
        <v>245443</v>
      </c>
      <c r="P246" s="2756">
        <f>2000+5400</f>
        <v>7400</v>
      </c>
      <c r="Q246" s="3212"/>
    </row>
    <row r="247" spans="1:17" ht="39.6">
      <c r="A247" s="2812"/>
      <c r="B247" s="3194" t="s">
        <v>1504</v>
      </c>
      <c r="C247" s="3208">
        <f t="shared" si="12"/>
        <v>28500</v>
      </c>
      <c r="D247" s="3208">
        <f t="shared" si="13"/>
        <v>0</v>
      </c>
      <c r="E247" s="3211"/>
      <c r="F247" s="2756"/>
      <c r="G247" s="3211"/>
      <c r="H247" s="3211"/>
      <c r="I247" s="3211"/>
      <c r="J247" s="3211"/>
      <c r="K247" s="3208">
        <f t="shared" si="14"/>
        <v>0</v>
      </c>
      <c r="L247" s="3211"/>
      <c r="M247" s="3211"/>
      <c r="N247" s="2902">
        <f t="shared" si="15"/>
        <v>28500</v>
      </c>
      <c r="O247" s="2756">
        <f>15000+13500</f>
        <v>28500</v>
      </c>
      <c r="P247" s="2756"/>
      <c r="Q247" s="3212"/>
    </row>
    <row r="248" spans="1:17">
      <c r="A248" s="2812"/>
      <c r="B248" s="3194" t="s">
        <v>1515</v>
      </c>
      <c r="C248" s="3208">
        <f t="shared" si="12"/>
        <v>28800</v>
      </c>
      <c r="D248" s="3208">
        <f t="shared" si="13"/>
        <v>0</v>
      </c>
      <c r="E248" s="3211"/>
      <c r="F248" s="2756"/>
      <c r="G248" s="3211"/>
      <c r="H248" s="3211"/>
      <c r="I248" s="3211"/>
      <c r="J248" s="3211"/>
      <c r="K248" s="3208">
        <f t="shared" si="14"/>
        <v>0</v>
      </c>
      <c r="L248" s="3211"/>
      <c r="M248" s="3211"/>
      <c r="N248" s="2902">
        <f t="shared" si="15"/>
        <v>28800</v>
      </c>
      <c r="O248" s="2756">
        <v>27000</v>
      </c>
      <c r="P248" s="2756">
        <v>1800</v>
      </c>
      <c r="Q248" s="3212"/>
    </row>
    <row r="249" spans="1:17">
      <c r="A249" s="2812"/>
      <c r="B249" s="3194" t="s">
        <v>611</v>
      </c>
      <c r="C249" s="3208">
        <f t="shared" si="12"/>
        <v>73000</v>
      </c>
      <c r="D249" s="3208">
        <f t="shared" si="13"/>
        <v>0</v>
      </c>
      <c r="E249" s="3211"/>
      <c r="F249" s="2756"/>
      <c r="G249" s="3211"/>
      <c r="H249" s="3211"/>
      <c r="I249" s="3211"/>
      <c r="J249" s="3211"/>
      <c r="K249" s="3208">
        <f t="shared" si="14"/>
        <v>0</v>
      </c>
      <c r="L249" s="3211"/>
      <c r="M249" s="3211"/>
      <c r="N249" s="2902">
        <f t="shared" si="15"/>
        <v>73000</v>
      </c>
      <c r="O249" s="2756">
        <v>73000</v>
      </c>
      <c r="P249" s="2756"/>
      <c r="Q249" s="3212"/>
    </row>
    <row r="250" spans="1:17">
      <c r="A250" s="2812"/>
      <c r="B250" s="3194" t="s">
        <v>1877</v>
      </c>
      <c r="C250" s="3208">
        <f t="shared" si="12"/>
        <v>33533</v>
      </c>
      <c r="D250" s="3208">
        <f t="shared" si="13"/>
        <v>0</v>
      </c>
      <c r="E250" s="3211"/>
      <c r="F250" s="2756"/>
      <c r="G250" s="3211"/>
      <c r="H250" s="3211"/>
      <c r="I250" s="3211"/>
      <c r="J250" s="3211"/>
      <c r="K250" s="3208">
        <f t="shared" si="14"/>
        <v>0</v>
      </c>
      <c r="L250" s="3211"/>
      <c r="M250" s="3211"/>
      <c r="N250" s="2902">
        <f t="shared" si="15"/>
        <v>33533</v>
      </c>
      <c r="O250" s="2756">
        <v>33533</v>
      </c>
      <c r="P250" s="2756"/>
      <c r="Q250" s="3212"/>
    </row>
    <row r="251" spans="1:17">
      <c r="A251" s="2812"/>
      <c r="B251" s="3194" t="s">
        <v>622</v>
      </c>
      <c r="C251" s="3208">
        <f t="shared" si="12"/>
        <v>67424</v>
      </c>
      <c r="D251" s="3208">
        <f t="shared" si="13"/>
        <v>0</v>
      </c>
      <c r="E251" s="3211"/>
      <c r="F251" s="2756"/>
      <c r="G251" s="3211"/>
      <c r="H251" s="3211"/>
      <c r="I251" s="3211"/>
      <c r="J251" s="3211"/>
      <c r="K251" s="3208">
        <f t="shared" si="14"/>
        <v>0</v>
      </c>
      <c r="L251" s="3211"/>
      <c r="M251" s="3211"/>
      <c r="N251" s="2902">
        <f t="shared" si="15"/>
        <v>67424</v>
      </c>
      <c r="O251" s="2756">
        <v>61444</v>
      </c>
      <c r="P251" s="2756">
        <v>5980</v>
      </c>
      <c r="Q251" s="3212"/>
    </row>
    <row r="252" spans="1:17">
      <c r="A252" s="2812"/>
      <c r="B252" s="3194" t="s">
        <v>621</v>
      </c>
      <c r="C252" s="3208">
        <f t="shared" si="12"/>
        <v>3498</v>
      </c>
      <c r="D252" s="3208">
        <f t="shared" si="13"/>
        <v>0</v>
      </c>
      <c r="E252" s="3211"/>
      <c r="F252" s="2756"/>
      <c r="G252" s="3211"/>
      <c r="H252" s="3211"/>
      <c r="I252" s="3211"/>
      <c r="J252" s="3211"/>
      <c r="K252" s="3208">
        <f t="shared" si="14"/>
        <v>0</v>
      </c>
      <c r="L252" s="3211"/>
      <c r="M252" s="3211"/>
      <c r="N252" s="2902">
        <f t="shared" si="15"/>
        <v>3498</v>
      </c>
      <c r="O252" s="2756">
        <v>3323</v>
      </c>
      <c r="P252" s="2756">
        <v>175</v>
      </c>
      <c r="Q252" s="3212"/>
    </row>
    <row r="253" spans="1:17">
      <c r="A253" s="2812"/>
      <c r="B253" s="3194" t="s">
        <v>1511</v>
      </c>
      <c r="C253" s="3208">
        <f t="shared" si="12"/>
        <v>30080</v>
      </c>
      <c r="D253" s="3208">
        <f t="shared" si="13"/>
        <v>0</v>
      </c>
      <c r="E253" s="3211"/>
      <c r="F253" s="2756"/>
      <c r="G253" s="3211"/>
      <c r="H253" s="3211"/>
      <c r="I253" s="3211"/>
      <c r="J253" s="3211"/>
      <c r="K253" s="3208">
        <f t="shared" si="14"/>
        <v>0</v>
      </c>
      <c r="L253" s="3211"/>
      <c r="M253" s="3211"/>
      <c r="N253" s="2902">
        <f t="shared" si="15"/>
        <v>30080</v>
      </c>
      <c r="O253" s="2756">
        <v>10000</v>
      </c>
      <c r="P253" s="2756">
        <f>400+480+19200</f>
        <v>20080</v>
      </c>
      <c r="Q253" s="3212"/>
    </row>
    <row r="254" spans="1:17">
      <c r="A254" s="2812"/>
      <c r="B254" s="3194" t="s">
        <v>1525</v>
      </c>
      <c r="C254" s="3208">
        <f t="shared" si="12"/>
        <v>50000</v>
      </c>
      <c r="D254" s="3208">
        <f t="shared" si="13"/>
        <v>0</v>
      </c>
      <c r="E254" s="3211"/>
      <c r="F254" s="2756"/>
      <c r="G254" s="3211"/>
      <c r="H254" s="3211"/>
      <c r="I254" s="3211"/>
      <c r="J254" s="3211"/>
      <c r="K254" s="3208">
        <f t="shared" si="14"/>
        <v>0</v>
      </c>
      <c r="L254" s="3211"/>
      <c r="M254" s="3211"/>
      <c r="N254" s="2902">
        <f t="shared" si="15"/>
        <v>50000</v>
      </c>
      <c r="O254" s="2756">
        <f>40000+10000</f>
        <v>50000</v>
      </c>
      <c r="P254" s="2756"/>
      <c r="Q254" s="3212"/>
    </row>
    <row r="255" spans="1:17">
      <c r="A255" s="2812"/>
      <c r="B255" s="3194" t="s">
        <v>1528</v>
      </c>
      <c r="C255" s="3208">
        <f t="shared" si="12"/>
        <v>10000</v>
      </c>
      <c r="D255" s="3208">
        <f t="shared" si="13"/>
        <v>0</v>
      </c>
      <c r="E255" s="3211"/>
      <c r="F255" s="2756"/>
      <c r="G255" s="3211"/>
      <c r="H255" s="3211"/>
      <c r="I255" s="3211"/>
      <c r="J255" s="3211"/>
      <c r="K255" s="3208">
        <f t="shared" si="14"/>
        <v>0</v>
      </c>
      <c r="L255" s="3211"/>
      <c r="M255" s="3211"/>
      <c r="N255" s="2902">
        <f t="shared" si="15"/>
        <v>10000</v>
      </c>
      <c r="O255" s="2756">
        <v>10000</v>
      </c>
      <c r="P255" s="2756"/>
      <c r="Q255" s="3212"/>
    </row>
    <row r="256" spans="1:17" s="1864" customFormat="1" ht="26.4">
      <c r="A256" s="3190"/>
      <c r="B256" s="3192" t="s">
        <v>1984</v>
      </c>
      <c r="C256" s="3208">
        <f t="shared" si="12"/>
        <v>300000</v>
      </c>
      <c r="D256" s="3208">
        <f t="shared" si="13"/>
        <v>0</v>
      </c>
      <c r="E256" s="3212"/>
      <c r="F256" s="2757"/>
      <c r="G256" s="3212"/>
      <c r="H256" s="3212"/>
      <c r="I256" s="3212"/>
      <c r="J256" s="3212"/>
      <c r="K256" s="3208">
        <f t="shared" si="14"/>
        <v>0</v>
      </c>
      <c r="L256" s="3212"/>
      <c r="M256" s="3212"/>
      <c r="N256" s="2902">
        <f t="shared" si="15"/>
        <v>300000</v>
      </c>
      <c r="O256" s="2756">
        <v>300000</v>
      </c>
      <c r="P256" s="2757"/>
      <c r="Q256" s="3212"/>
    </row>
    <row r="257" spans="1:17" ht="15.6">
      <c r="A257" s="2812"/>
      <c r="B257" s="3195" t="s">
        <v>1040</v>
      </c>
      <c r="C257" s="3208">
        <f t="shared" si="12"/>
        <v>29244</v>
      </c>
      <c r="D257" s="3208">
        <f t="shared" si="13"/>
        <v>0</v>
      </c>
      <c r="E257" s="3211"/>
      <c r="F257" s="2756"/>
      <c r="G257" s="3211"/>
      <c r="H257" s="3211"/>
      <c r="I257" s="3211"/>
      <c r="J257" s="3211"/>
      <c r="K257" s="3208">
        <f t="shared" si="14"/>
        <v>0</v>
      </c>
      <c r="L257" s="3211"/>
      <c r="M257" s="3211"/>
      <c r="N257" s="2902">
        <f t="shared" si="15"/>
        <v>29244</v>
      </c>
      <c r="O257" s="2756"/>
      <c r="P257" s="2756">
        <v>29244</v>
      </c>
      <c r="Q257" s="3212"/>
    </row>
    <row r="258" spans="1:17" ht="15.6">
      <c r="A258" s="2812"/>
      <c r="B258" s="3195" t="s">
        <v>498</v>
      </c>
      <c r="C258" s="3208">
        <f t="shared" si="12"/>
        <v>732</v>
      </c>
      <c r="D258" s="3208">
        <f t="shared" si="13"/>
        <v>0</v>
      </c>
      <c r="E258" s="3211"/>
      <c r="F258" s="2756"/>
      <c r="G258" s="3211"/>
      <c r="H258" s="3211"/>
      <c r="I258" s="3211"/>
      <c r="J258" s="3211"/>
      <c r="K258" s="3208">
        <f t="shared" si="14"/>
        <v>0</v>
      </c>
      <c r="L258" s="3211"/>
      <c r="M258" s="3211"/>
      <c r="N258" s="2902">
        <f t="shared" si="15"/>
        <v>732</v>
      </c>
      <c r="O258" s="3211"/>
      <c r="P258" s="2756">
        <v>732</v>
      </c>
      <c r="Q258" s="3212"/>
    </row>
    <row r="259" spans="1:17" ht="15.6">
      <c r="A259" s="2812"/>
      <c r="B259" s="3195" t="s">
        <v>502</v>
      </c>
      <c r="C259" s="3208">
        <f t="shared" si="12"/>
        <v>225</v>
      </c>
      <c r="D259" s="3208">
        <f t="shared" si="13"/>
        <v>0</v>
      </c>
      <c r="E259" s="3211"/>
      <c r="F259" s="2756"/>
      <c r="G259" s="3211"/>
      <c r="H259" s="3211"/>
      <c r="I259" s="3211"/>
      <c r="J259" s="3211"/>
      <c r="K259" s="3208">
        <f t="shared" si="14"/>
        <v>0</v>
      </c>
      <c r="L259" s="3211"/>
      <c r="M259" s="3211"/>
      <c r="N259" s="2902">
        <f t="shared" si="15"/>
        <v>225</v>
      </c>
      <c r="O259" s="3211"/>
      <c r="P259" s="2756">
        <v>225</v>
      </c>
      <c r="Q259" s="3212"/>
    </row>
    <row r="260" spans="1:17" ht="15.6">
      <c r="A260" s="2812"/>
      <c r="B260" s="3196" t="s">
        <v>1985</v>
      </c>
      <c r="C260" s="3208">
        <f t="shared" si="12"/>
        <v>2339</v>
      </c>
      <c r="D260" s="3208">
        <f t="shared" si="13"/>
        <v>0</v>
      </c>
      <c r="E260" s="3211"/>
      <c r="F260" s="2756"/>
      <c r="G260" s="3211"/>
      <c r="H260" s="3211"/>
      <c r="I260" s="3211"/>
      <c r="J260" s="3211"/>
      <c r="K260" s="3208">
        <f t="shared" si="14"/>
        <v>0</v>
      </c>
      <c r="L260" s="3211"/>
      <c r="M260" s="3211"/>
      <c r="N260" s="2902">
        <f t="shared" si="15"/>
        <v>2339</v>
      </c>
      <c r="O260" s="3211"/>
      <c r="P260" s="2756">
        <v>2339</v>
      </c>
      <c r="Q260" s="3212"/>
    </row>
    <row r="261" spans="1:17" ht="15.6">
      <c r="A261" s="2812"/>
      <c r="B261" s="3197" t="s">
        <v>556</v>
      </c>
      <c r="C261" s="3208">
        <f t="shared" si="12"/>
        <v>12789</v>
      </c>
      <c r="D261" s="3208">
        <f t="shared" si="13"/>
        <v>0</v>
      </c>
      <c r="E261" s="3211"/>
      <c r="F261" s="2756"/>
      <c r="G261" s="3211"/>
      <c r="H261" s="3211"/>
      <c r="I261" s="3211"/>
      <c r="J261" s="3211"/>
      <c r="K261" s="3208">
        <f t="shared" si="14"/>
        <v>0</v>
      </c>
      <c r="L261" s="3211"/>
      <c r="M261" s="3211"/>
      <c r="N261" s="2902">
        <f t="shared" si="15"/>
        <v>12789</v>
      </c>
      <c r="O261" s="3211"/>
      <c r="P261" s="2756">
        <v>12789</v>
      </c>
      <c r="Q261" s="3212"/>
    </row>
    <row r="262" spans="1:17" ht="31.2">
      <c r="A262" s="2812"/>
      <c r="B262" s="3198" t="s">
        <v>1986</v>
      </c>
      <c r="C262" s="3208">
        <f t="shared" si="12"/>
        <v>57406</v>
      </c>
      <c r="D262" s="3208">
        <f t="shared" si="13"/>
        <v>0</v>
      </c>
      <c r="E262" s="3211"/>
      <c r="F262" s="2756"/>
      <c r="G262" s="3211"/>
      <c r="H262" s="3211"/>
      <c r="I262" s="3211"/>
      <c r="J262" s="3211"/>
      <c r="K262" s="3208">
        <f t="shared" si="14"/>
        <v>0</v>
      </c>
      <c r="L262" s="3211"/>
      <c r="M262" s="3211"/>
      <c r="N262" s="2902">
        <f t="shared" si="15"/>
        <v>57406</v>
      </c>
      <c r="O262" s="3211"/>
      <c r="P262" s="2756">
        <v>57406</v>
      </c>
      <c r="Q262" s="3212"/>
    </row>
    <row r="263" spans="1:17" ht="31.2">
      <c r="A263" s="2812"/>
      <c r="B263" s="3198" t="s">
        <v>560</v>
      </c>
      <c r="C263" s="3208">
        <f t="shared" si="12"/>
        <v>39100</v>
      </c>
      <c r="D263" s="3208">
        <f t="shared" si="13"/>
        <v>0</v>
      </c>
      <c r="E263" s="3211"/>
      <c r="F263" s="2756"/>
      <c r="G263" s="3211"/>
      <c r="H263" s="3211"/>
      <c r="I263" s="3211"/>
      <c r="J263" s="3211"/>
      <c r="K263" s="3208">
        <f t="shared" si="14"/>
        <v>0</v>
      </c>
      <c r="L263" s="3211"/>
      <c r="M263" s="3211"/>
      <c r="N263" s="2902">
        <f t="shared" si="15"/>
        <v>39100</v>
      </c>
      <c r="O263" s="3211"/>
      <c r="P263" s="2756">
        <v>39100</v>
      </c>
      <c r="Q263" s="3212"/>
    </row>
    <row r="264" spans="1:17" ht="15.6">
      <c r="A264" s="2812"/>
      <c r="B264" s="3195" t="s">
        <v>1987</v>
      </c>
      <c r="C264" s="3208">
        <f t="shared" si="12"/>
        <v>11551</v>
      </c>
      <c r="D264" s="3208">
        <f t="shared" si="13"/>
        <v>0</v>
      </c>
      <c r="E264" s="3211"/>
      <c r="F264" s="2756"/>
      <c r="G264" s="3211"/>
      <c r="H264" s="3211"/>
      <c r="I264" s="3211"/>
      <c r="J264" s="3211"/>
      <c r="K264" s="3208">
        <f t="shared" si="14"/>
        <v>0</v>
      </c>
      <c r="L264" s="3211"/>
      <c r="M264" s="3211"/>
      <c r="N264" s="2902">
        <f t="shared" si="15"/>
        <v>11551</v>
      </c>
      <c r="O264" s="3211"/>
      <c r="P264" s="2756">
        <v>11551</v>
      </c>
      <c r="Q264" s="3212"/>
    </row>
    <row r="265" spans="1:17" ht="15.6">
      <c r="A265" s="2812"/>
      <c r="B265" s="3195" t="s">
        <v>626</v>
      </c>
      <c r="C265" s="3208">
        <f t="shared" si="12"/>
        <v>560</v>
      </c>
      <c r="D265" s="3208">
        <f t="shared" si="13"/>
        <v>0</v>
      </c>
      <c r="E265" s="3211"/>
      <c r="F265" s="2756"/>
      <c r="G265" s="3211"/>
      <c r="H265" s="3211"/>
      <c r="I265" s="3211"/>
      <c r="J265" s="3211"/>
      <c r="K265" s="3208">
        <f t="shared" si="14"/>
        <v>0</v>
      </c>
      <c r="L265" s="3211"/>
      <c r="M265" s="3211"/>
      <c r="N265" s="2902">
        <f t="shared" si="15"/>
        <v>560</v>
      </c>
      <c r="O265" s="3211"/>
      <c r="P265" s="2756">
        <v>560</v>
      </c>
      <c r="Q265" s="3212"/>
    </row>
    <row r="266" spans="1:17" ht="15.6">
      <c r="A266" s="2812"/>
      <c r="B266" s="3199" t="s">
        <v>598</v>
      </c>
      <c r="C266" s="3208">
        <f t="shared" si="12"/>
        <v>1750</v>
      </c>
      <c r="D266" s="3208">
        <f t="shared" si="13"/>
        <v>0</v>
      </c>
      <c r="E266" s="3211"/>
      <c r="F266" s="2756"/>
      <c r="G266" s="3211"/>
      <c r="H266" s="3211"/>
      <c r="I266" s="3211"/>
      <c r="J266" s="3211"/>
      <c r="K266" s="3208">
        <f t="shared" si="14"/>
        <v>0</v>
      </c>
      <c r="L266" s="3211"/>
      <c r="M266" s="3211"/>
      <c r="N266" s="2902">
        <f t="shared" si="15"/>
        <v>1750</v>
      </c>
      <c r="O266" s="3211"/>
      <c r="P266" s="2756">
        <f>1200+550</f>
        <v>1750</v>
      </c>
      <c r="Q266" s="3212"/>
    </row>
    <row r="267" spans="1:17" ht="15.6">
      <c r="A267" s="2812"/>
      <c r="B267" s="3200" t="s">
        <v>606</v>
      </c>
      <c r="C267" s="3208">
        <f t="shared" ref="C267:C298" si="16">SUM(D267,K267,N267,Q267)</f>
        <v>225</v>
      </c>
      <c r="D267" s="3208">
        <f t="shared" ref="D267:D298" si="17">SUM(E267:J267)</f>
        <v>0</v>
      </c>
      <c r="E267" s="3211"/>
      <c r="F267" s="2756"/>
      <c r="G267" s="3211"/>
      <c r="H267" s="3211"/>
      <c r="I267" s="3211"/>
      <c r="J267" s="3211"/>
      <c r="K267" s="3208">
        <f t="shared" ref="K267:K298" si="18">L267+M267</f>
        <v>0</v>
      </c>
      <c r="L267" s="3211"/>
      <c r="M267" s="3211"/>
      <c r="N267" s="2902">
        <f t="shared" ref="N267:N298" si="19">O267+P267</f>
        <v>225</v>
      </c>
      <c r="O267" s="3211"/>
      <c r="P267" s="2756">
        <v>225</v>
      </c>
      <c r="Q267" s="3212"/>
    </row>
    <row r="268" spans="1:17" ht="15.6">
      <c r="A268" s="2812"/>
      <c r="B268" s="3195" t="s">
        <v>607</v>
      </c>
      <c r="C268" s="3208">
        <f t="shared" si="16"/>
        <v>4018</v>
      </c>
      <c r="D268" s="3208">
        <f t="shared" si="17"/>
        <v>0</v>
      </c>
      <c r="E268" s="3211"/>
      <c r="F268" s="2756"/>
      <c r="G268" s="3211"/>
      <c r="H268" s="3211"/>
      <c r="I268" s="3211"/>
      <c r="J268" s="3211"/>
      <c r="K268" s="3208">
        <f t="shared" si="18"/>
        <v>0</v>
      </c>
      <c r="L268" s="3211"/>
      <c r="M268" s="3211"/>
      <c r="N268" s="2902">
        <f t="shared" si="19"/>
        <v>4018</v>
      </c>
      <c r="O268" s="3211"/>
      <c r="P268" s="2756">
        <v>4018</v>
      </c>
      <c r="Q268" s="3212"/>
    </row>
    <row r="269" spans="1:17" ht="15.6">
      <c r="A269" s="2812"/>
      <c r="B269" s="3195" t="s">
        <v>612</v>
      </c>
      <c r="C269" s="3208">
        <f t="shared" si="16"/>
        <v>685</v>
      </c>
      <c r="D269" s="3208">
        <f t="shared" si="17"/>
        <v>0</v>
      </c>
      <c r="E269" s="3211"/>
      <c r="F269" s="2756"/>
      <c r="G269" s="3211"/>
      <c r="H269" s="3211"/>
      <c r="I269" s="3211"/>
      <c r="J269" s="3211"/>
      <c r="K269" s="3208">
        <f t="shared" si="18"/>
        <v>0</v>
      </c>
      <c r="L269" s="3211"/>
      <c r="M269" s="3211"/>
      <c r="N269" s="2902">
        <f t="shared" si="19"/>
        <v>685</v>
      </c>
      <c r="O269" s="3211"/>
      <c r="P269" s="2756">
        <v>685</v>
      </c>
      <c r="Q269" s="3212"/>
    </row>
    <row r="270" spans="1:17" ht="15.6">
      <c r="A270" s="2812"/>
      <c r="B270" s="3199" t="s">
        <v>615</v>
      </c>
      <c r="C270" s="3208">
        <f t="shared" si="16"/>
        <v>640</v>
      </c>
      <c r="D270" s="3208">
        <f t="shared" si="17"/>
        <v>0</v>
      </c>
      <c r="E270" s="3211"/>
      <c r="F270" s="2756"/>
      <c r="G270" s="3211"/>
      <c r="H270" s="3211"/>
      <c r="I270" s="3211"/>
      <c r="J270" s="3211"/>
      <c r="K270" s="3208">
        <f t="shared" si="18"/>
        <v>0</v>
      </c>
      <c r="L270" s="3211"/>
      <c r="M270" s="3211"/>
      <c r="N270" s="2902">
        <f t="shared" si="19"/>
        <v>640</v>
      </c>
      <c r="O270" s="3211"/>
      <c r="P270" s="2756">
        <f>440+200</f>
        <v>640</v>
      </c>
      <c r="Q270" s="3212"/>
    </row>
    <row r="271" spans="1:17" ht="15.6">
      <c r="A271" s="2812"/>
      <c r="B271" s="3201" t="s">
        <v>624</v>
      </c>
      <c r="C271" s="3208">
        <f t="shared" si="16"/>
        <v>2839</v>
      </c>
      <c r="D271" s="3208">
        <f t="shared" si="17"/>
        <v>0</v>
      </c>
      <c r="E271" s="3211"/>
      <c r="F271" s="2756"/>
      <c r="G271" s="3211"/>
      <c r="H271" s="3211"/>
      <c r="I271" s="3211"/>
      <c r="J271" s="3211"/>
      <c r="K271" s="3208">
        <f t="shared" si="18"/>
        <v>0</v>
      </c>
      <c r="L271" s="3211"/>
      <c r="M271" s="3211"/>
      <c r="N271" s="2902">
        <f t="shared" si="19"/>
        <v>2839</v>
      </c>
      <c r="O271" s="3211"/>
      <c r="P271" s="2756">
        <f>1339+1500</f>
        <v>2839</v>
      </c>
      <c r="Q271" s="3212"/>
    </row>
    <row r="272" spans="1:17" ht="15.6">
      <c r="A272" s="2812"/>
      <c r="B272" s="3199" t="s">
        <v>629</v>
      </c>
      <c r="C272" s="3208">
        <f t="shared" si="16"/>
        <v>367</v>
      </c>
      <c r="D272" s="3208">
        <f t="shared" si="17"/>
        <v>0</v>
      </c>
      <c r="E272" s="3211"/>
      <c r="F272" s="2756"/>
      <c r="G272" s="3211"/>
      <c r="H272" s="3211"/>
      <c r="I272" s="3211"/>
      <c r="J272" s="3211"/>
      <c r="K272" s="3208">
        <f t="shared" si="18"/>
        <v>0</v>
      </c>
      <c r="L272" s="3211"/>
      <c r="M272" s="3211"/>
      <c r="N272" s="2902">
        <f t="shared" si="19"/>
        <v>367</v>
      </c>
      <c r="O272" s="3211"/>
      <c r="P272" s="2756">
        <v>367</v>
      </c>
      <c r="Q272" s="3212"/>
    </row>
    <row r="273" spans="1:17" ht="15.6">
      <c r="A273" s="2812"/>
      <c r="B273" s="3195" t="s">
        <v>633</v>
      </c>
      <c r="C273" s="3208">
        <f t="shared" si="16"/>
        <v>207</v>
      </c>
      <c r="D273" s="3208">
        <f t="shared" si="17"/>
        <v>0</v>
      </c>
      <c r="E273" s="3211"/>
      <c r="F273" s="2756"/>
      <c r="G273" s="3211"/>
      <c r="H273" s="3211"/>
      <c r="I273" s="3211"/>
      <c r="J273" s="3211"/>
      <c r="K273" s="3208">
        <f t="shared" si="18"/>
        <v>0</v>
      </c>
      <c r="L273" s="3211"/>
      <c r="M273" s="3211"/>
      <c r="N273" s="2902">
        <f t="shared" si="19"/>
        <v>207</v>
      </c>
      <c r="O273" s="3211"/>
      <c r="P273" s="2756">
        <v>207</v>
      </c>
      <c r="Q273" s="3212"/>
    </row>
    <row r="274" spans="1:17" ht="15.6">
      <c r="A274" s="2812"/>
      <c r="B274" s="3195" t="s">
        <v>637</v>
      </c>
      <c r="C274" s="3208">
        <f t="shared" si="16"/>
        <v>1137</v>
      </c>
      <c r="D274" s="3208">
        <f t="shared" si="17"/>
        <v>0</v>
      </c>
      <c r="E274" s="3211"/>
      <c r="F274" s="2756"/>
      <c r="G274" s="3211"/>
      <c r="H274" s="3211"/>
      <c r="I274" s="3211"/>
      <c r="J274" s="3211"/>
      <c r="K274" s="3208">
        <f t="shared" si="18"/>
        <v>0</v>
      </c>
      <c r="L274" s="3211"/>
      <c r="M274" s="3211"/>
      <c r="N274" s="2902">
        <f t="shared" si="19"/>
        <v>1137</v>
      </c>
      <c r="O274" s="3211"/>
      <c r="P274" s="2756">
        <v>1137</v>
      </c>
      <c r="Q274" s="3212"/>
    </row>
    <row r="275" spans="1:17" ht="15.6">
      <c r="A275" s="2812"/>
      <c r="B275" s="3195" t="s">
        <v>647</v>
      </c>
      <c r="C275" s="3208">
        <f t="shared" si="16"/>
        <v>90</v>
      </c>
      <c r="D275" s="3208">
        <f t="shared" si="17"/>
        <v>0</v>
      </c>
      <c r="E275" s="3211"/>
      <c r="F275" s="2756"/>
      <c r="G275" s="3211"/>
      <c r="H275" s="3211"/>
      <c r="I275" s="3211"/>
      <c r="J275" s="3211"/>
      <c r="K275" s="3208">
        <f t="shared" si="18"/>
        <v>0</v>
      </c>
      <c r="L275" s="3211"/>
      <c r="M275" s="3211"/>
      <c r="N275" s="2902">
        <f t="shared" si="19"/>
        <v>90</v>
      </c>
      <c r="O275" s="3211"/>
      <c r="P275" s="2756">
        <v>90</v>
      </c>
      <c r="Q275" s="3212"/>
    </row>
    <row r="276" spans="1:17" ht="31.2">
      <c r="A276" s="2812"/>
      <c r="B276" s="3195" t="s">
        <v>655</v>
      </c>
      <c r="C276" s="3208">
        <f t="shared" si="16"/>
        <v>53</v>
      </c>
      <c r="D276" s="3208">
        <f t="shared" si="17"/>
        <v>0</v>
      </c>
      <c r="E276" s="3211"/>
      <c r="F276" s="2756"/>
      <c r="G276" s="3211"/>
      <c r="H276" s="3211"/>
      <c r="I276" s="3211"/>
      <c r="J276" s="3211"/>
      <c r="K276" s="3208">
        <f t="shared" si="18"/>
        <v>0</v>
      </c>
      <c r="L276" s="3211"/>
      <c r="M276" s="3211"/>
      <c r="N276" s="2902">
        <f t="shared" si="19"/>
        <v>53</v>
      </c>
      <c r="O276" s="3211"/>
      <c r="P276" s="2756">
        <v>53</v>
      </c>
      <c r="Q276" s="3212"/>
    </row>
    <row r="277" spans="1:17" ht="15.6">
      <c r="A277" s="2812"/>
      <c r="B277" s="3195" t="s">
        <v>658</v>
      </c>
      <c r="C277" s="3208">
        <f t="shared" si="16"/>
        <v>515</v>
      </c>
      <c r="D277" s="3208">
        <f t="shared" si="17"/>
        <v>0</v>
      </c>
      <c r="E277" s="3211"/>
      <c r="F277" s="2756"/>
      <c r="G277" s="3211"/>
      <c r="H277" s="3211"/>
      <c r="I277" s="3211"/>
      <c r="J277" s="3211"/>
      <c r="K277" s="3208">
        <f t="shared" si="18"/>
        <v>0</v>
      </c>
      <c r="L277" s="3211"/>
      <c r="M277" s="3211"/>
      <c r="N277" s="2902">
        <f t="shared" si="19"/>
        <v>515</v>
      </c>
      <c r="O277" s="3211"/>
      <c r="P277" s="2756">
        <v>515</v>
      </c>
      <c r="Q277" s="3212"/>
    </row>
    <row r="278" spans="1:17" ht="46.8">
      <c r="A278" s="2812"/>
      <c r="B278" s="3195" t="s">
        <v>1988</v>
      </c>
      <c r="C278" s="3208">
        <f t="shared" si="16"/>
        <v>54190</v>
      </c>
      <c r="D278" s="3208">
        <f t="shared" si="17"/>
        <v>0</v>
      </c>
      <c r="E278" s="3211"/>
      <c r="F278" s="2756"/>
      <c r="G278" s="3211"/>
      <c r="H278" s="3211"/>
      <c r="I278" s="3211"/>
      <c r="J278" s="3211"/>
      <c r="K278" s="3208">
        <f t="shared" si="18"/>
        <v>0</v>
      </c>
      <c r="L278" s="3211"/>
      <c r="M278" s="3211"/>
      <c r="N278" s="2902">
        <f t="shared" si="19"/>
        <v>54190</v>
      </c>
      <c r="O278" s="3211"/>
      <c r="P278" s="3202">
        <v>54190</v>
      </c>
      <c r="Q278" s="3212"/>
    </row>
    <row r="279" spans="1:17" ht="46.8">
      <c r="A279" s="2812"/>
      <c r="B279" s="3203" t="s">
        <v>1989</v>
      </c>
      <c r="C279" s="3208">
        <f t="shared" si="16"/>
        <v>18941</v>
      </c>
      <c r="D279" s="3208">
        <f t="shared" si="17"/>
        <v>0</v>
      </c>
      <c r="E279" s="3211"/>
      <c r="F279" s="2756"/>
      <c r="G279" s="3211"/>
      <c r="H279" s="3211"/>
      <c r="I279" s="3211"/>
      <c r="J279" s="3211"/>
      <c r="K279" s="3208">
        <f t="shared" si="18"/>
        <v>0</v>
      </c>
      <c r="L279" s="3211"/>
      <c r="M279" s="3211"/>
      <c r="N279" s="2902">
        <f t="shared" si="19"/>
        <v>18941</v>
      </c>
      <c r="O279" s="3211"/>
      <c r="P279" s="3204">
        <v>18941</v>
      </c>
      <c r="Q279" s="3212"/>
    </row>
    <row r="280" spans="1:17" ht="15.6">
      <c r="A280" s="2812"/>
      <c r="B280" s="3205" t="s">
        <v>1990</v>
      </c>
      <c r="C280" s="3208">
        <f t="shared" si="16"/>
        <v>2400</v>
      </c>
      <c r="D280" s="3208">
        <f t="shared" si="17"/>
        <v>0</v>
      </c>
      <c r="E280" s="3211"/>
      <c r="F280" s="2756"/>
      <c r="G280" s="3211"/>
      <c r="H280" s="3211"/>
      <c r="I280" s="3211"/>
      <c r="J280" s="3211"/>
      <c r="K280" s="3208">
        <f t="shared" si="18"/>
        <v>0</v>
      </c>
      <c r="L280" s="3211"/>
      <c r="M280" s="3211"/>
      <c r="N280" s="2902">
        <f t="shared" si="19"/>
        <v>2400</v>
      </c>
      <c r="O280" s="3211"/>
      <c r="P280" s="3204">
        <v>2400</v>
      </c>
      <c r="Q280" s="3212"/>
    </row>
    <row r="281" spans="1:17" ht="31.2">
      <c r="A281" s="2812"/>
      <c r="B281" s="3195" t="s">
        <v>680</v>
      </c>
      <c r="C281" s="3208">
        <f t="shared" si="16"/>
        <v>10000</v>
      </c>
      <c r="D281" s="3208">
        <f t="shared" si="17"/>
        <v>0</v>
      </c>
      <c r="E281" s="3211"/>
      <c r="F281" s="2756"/>
      <c r="G281" s="3211"/>
      <c r="H281" s="3211"/>
      <c r="I281" s="3211"/>
      <c r="J281" s="3211"/>
      <c r="K281" s="3208">
        <f t="shared" si="18"/>
        <v>0</v>
      </c>
      <c r="L281" s="3211"/>
      <c r="M281" s="3211"/>
      <c r="N281" s="2902">
        <f t="shared" si="19"/>
        <v>10000</v>
      </c>
      <c r="O281" s="3211"/>
      <c r="P281" s="3204">
        <v>10000</v>
      </c>
      <c r="Q281" s="3212"/>
    </row>
    <row r="282" spans="1:17" ht="15.6">
      <c r="A282" s="2812"/>
      <c r="B282" s="3195" t="s">
        <v>681</v>
      </c>
      <c r="C282" s="3208">
        <f t="shared" si="16"/>
        <v>9879</v>
      </c>
      <c r="D282" s="3208">
        <f t="shared" si="17"/>
        <v>0</v>
      </c>
      <c r="E282" s="3211"/>
      <c r="F282" s="2756"/>
      <c r="G282" s="3211"/>
      <c r="H282" s="3211"/>
      <c r="I282" s="3211"/>
      <c r="J282" s="3211"/>
      <c r="K282" s="3208">
        <f t="shared" si="18"/>
        <v>0</v>
      </c>
      <c r="L282" s="3211"/>
      <c r="M282" s="3211"/>
      <c r="N282" s="2902">
        <f t="shared" si="19"/>
        <v>9879</v>
      </c>
      <c r="O282" s="3211"/>
      <c r="P282" s="3204">
        <f>1460+8419</f>
        <v>9879</v>
      </c>
      <c r="Q282" s="3212"/>
    </row>
    <row r="283" spans="1:17" ht="31.2">
      <c r="A283" s="2812" t="s">
        <v>912</v>
      </c>
      <c r="B283" s="1663" t="s">
        <v>990</v>
      </c>
      <c r="C283" s="2906">
        <f t="shared" si="16"/>
        <v>117200</v>
      </c>
      <c r="D283" s="3208">
        <f t="shared" si="17"/>
        <v>0</v>
      </c>
      <c r="E283" s="3211"/>
      <c r="F283" s="2756"/>
      <c r="G283" s="3211"/>
      <c r="H283" s="3211"/>
      <c r="I283" s="3211"/>
      <c r="J283" s="3211"/>
      <c r="K283" s="3208">
        <f t="shared" si="18"/>
        <v>0</v>
      </c>
      <c r="L283" s="3211"/>
      <c r="M283" s="3211"/>
      <c r="N283" s="2902">
        <f t="shared" si="19"/>
        <v>0</v>
      </c>
      <c r="O283" s="3211"/>
      <c r="P283" s="3214"/>
      <c r="Q283" s="3214">
        <f>SUM(Q284:Q298)</f>
        <v>117200</v>
      </c>
    </row>
    <row r="284" spans="1:17" ht="31.2">
      <c r="A284" s="2812"/>
      <c r="B284" s="3196" t="s">
        <v>363</v>
      </c>
      <c r="C284" s="3208">
        <f t="shared" si="16"/>
        <v>590</v>
      </c>
      <c r="D284" s="3208">
        <f t="shared" si="17"/>
        <v>0</v>
      </c>
      <c r="E284" s="3211"/>
      <c r="F284" s="2756"/>
      <c r="G284" s="3211"/>
      <c r="H284" s="3211"/>
      <c r="I284" s="3211"/>
      <c r="J284" s="3211"/>
      <c r="K284" s="3208">
        <f t="shared" si="18"/>
        <v>0</v>
      </c>
      <c r="L284" s="3211"/>
      <c r="M284" s="3211"/>
      <c r="N284" s="2902">
        <f t="shared" si="19"/>
        <v>0</v>
      </c>
      <c r="O284" s="3211"/>
      <c r="P284" s="3211"/>
      <c r="Q284" s="3209">
        <v>590</v>
      </c>
    </row>
    <row r="285" spans="1:17" ht="15.6">
      <c r="A285" s="2812"/>
      <c r="B285" s="3196" t="s">
        <v>364</v>
      </c>
      <c r="C285" s="3208">
        <f t="shared" si="16"/>
        <v>500</v>
      </c>
      <c r="D285" s="3208">
        <f t="shared" si="17"/>
        <v>0</v>
      </c>
      <c r="E285" s="3211"/>
      <c r="F285" s="2756"/>
      <c r="G285" s="3211"/>
      <c r="H285" s="3211"/>
      <c r="I285" s="3211"/>
      <c r="J285" s="3211"/>
      <c r="K285" s="3208">
        <f t="shared" si="18"/>
        <v>0</v>
      </c>
      <c r="L285" s="3211"/>
      <c r="M285" s="3211"/>
      <c r="N285" s="2902">
        <f t="shared" si="19"/>
        <v>0</v>
      </c>
      <c r="O285" s="3211"/>
      <c r="P285" s="3211"/>
      <c r="Q285" s="3209">
        <v>500</v>
      </c>
    </row>
    <row r="286" spans="1:17" ht="15.6">
      <c r="A286" s="2812"/>
      <c r="B286" s="3196" t="s">
        <v>365</v>
      </c>
      <c r="C286" s="3208">
        <f t="shared" si="16"/>
        <v>383</v>
      </c>
      <c r="D286" s="3208">
        <f t="shared" si="17"/>
        <v>0</v>
      </c>
      <c r="E286" s="3211"/>
      <c r="F286" s="2756"/>
      <c r="G286" s="3211"/>
      <c r="H286" s="3211"/>
      <c r="I286" s="3211"/>
      <c r="J286" s="3211"/>
      <c r="K286" s="3208">
        <f t="shared" si="18"/>
        <v>0</v>
      </c>
      <c r="L286" s="3211"/>
      <c r="M286" s="3211"/>
      <c r="N286" s="2902">
        <f t="shared" si="19"/>
        <v>0</v>
      </c>
      <c r="O286" s="3211"/>
      <c r="P286" s="3211"/>
      <c r="Q286" s="3209">
        <v>383</v>
      </c>
    </row>
    <row r="287" spans="1:17" ht="31.2">
      <c r="A287" s="2812"/>
      <c r="B287" s="3196" t="s">
        <v>933</v>
      </c>
      <c r="C287" s="3208">
        <f t="shared" si="16"/>
        <v>300</v>
      </c>
      <c r="D287" s="3208">
        <f t="shared" si="17"/>
        <v>0</v>
      </c>
      <c r="E287" s="3211"/>
      <c r="F287" s="2756"/>
      <c r="G287" s="3211"/>
      <c r="H287" s="3211"/>
      <c r="I287" s="3211"/>
      <c r="J287" s="3211"/>
      <c r="K287" s="3208">
        <f t="shared" si="18"/>
        <v>0</v>
      </c>
      <c r="L287" s="3211"/>
      <c r="M287" s="3211"/>
      <c r="N287" s="2902">
        <f t="shared" si="19"/>
        <v>0</v>
      </c>
      <c r="O287" s="3211"/>
      <c r="P287" s="3211"/>
      <c r="Q287" s="3209">
        <v>300</v>
      </c>
    </row>
    <row r="288" spans="1:17" ht="31.2">
      <c r="A288" s="2812"/>
      <c r="B288" s="3196" t="s">
        <v>366</v>
      </c>
      <c r="C288" s="3208">
        <f t="shared" si="16"/>
        <v>300</v>
      </c>
      <c r="D288" s="3208">
        <f t="shared" si="17"/>
        <v>0</v>
      </c>
      <c r="E288" s="3211"/>
      <c r="F288" s="2756"/>
      <c r="G288" s="3211"/>
      <c r="H288" s="3211"/>
      <c r="I288" s="3211"/>
      <c r="J288" s="3211"/>
      <c r="K288" s="3208">
        <f t="shared" si="18"/>
        <v>0</v>
      </c>
      <c r="L288" s="3211"/>
      <c r="M288" s="3211"/>
      <c r="N288" s="2902">
        <f t="shared" si="19"/>
        <v>0</v>
      </c>
      <c r="O288" s="3211"/>
      <c r="P288" s="3211"/>
      <c r="Q288" s="3209">
        <v>300</v>
      </c>
    </row>
    <row r="289" spans="1:17" ht="15.6">
      <c r="A289" s="2812"/>
      <c r="B289" s="3206" t="s">
        <v>934</v>
      </c>
      <c r="C289" s="3208">
        <f t="shared" si="16"/>
        <v>0</v>
      </c>
      <c r="D289" s="3208">
        <f t="shared" si="17"/>
        <v>0</v>
      </c>
      <c r="E289" s="3211"/>
      <c r="F289" s="2756"/>
      <c r="G289" s="3211"/>
      <c r="H289" s="3211"/>
      <c r="I289" s="3211"/>
      <c r="J289" s="3211"/>
      <c r="K289" s="3208">
        <f t="shared" si="18"/>
        <v>0</v>
      </c>
      <c r="L289" s="3211"/>
      <c r="M289" s="3211"/>
      <c r="N289" s="2902">
        <f t="shared" si="19"/>
        <v>0</v>
      </c>
      <c r="O289" s="3211"/>
      <c r="P289" s="3211"/>
      <c r="Q289" s="3210"/>
    </row>
    <row r="290" spans="1:17" ht="15.6">
      <c r="A290" s="2812"/>
      <c r="B290" s="3196" t="s">
        <v>367</v>
      </c>
      <c r="C290" s="3208">
        <f t="shared" si="16"/>
        <v>2000</v>
      </c>
      <c r="D290" s="3208">
        <f t="shared" si="17"/>
        <v>0</v>
      </c>
      <c r="E290" s="3211"/>
      <c r="F290" s="2756"/>
      <c r="G290" s="3211"/>
      <c r="H290" s="3211"/>
      <c r="I290" s="3211"/>
      <c r="J290" s="3211"/>
      <c r="K290" s="3208">
        <f t="shared" si="18"/>
        <v>0</v>
      </c>
      <c r="L290" s="3211"/>
      <c r="M290" s="3211"/>
      <c r="N290" s="2902">
        <f t="shared" si="19"/>
        <v>0</v>
      </c>
      <c r="O290" s="3211"/>
      <c r="P290" s="3211"/>
      <c r="Q290" s="3209">
        <v>2000</v>
      </c>
    </row>
    <row r="291" spans="1:17" ht="15.6">
      <c r="A291" s="2812"/>
      <c r="B291" s="3196" t="s">
        <v>368</v>
      </c>
      <c r="C291" s="3208">
        <f t="shared" si="16"/>
        <v>10000</v>
      </c>
      <c r="D291" s="3208">
        <f t="shared" si="17"/>
        <v>0</v>
      </c>
      <c r="E291" s="3211"/>
      <c r="F291" s="2756"/>
      <c r="G291" s="3211"/>
      <c r="H291" s="3211"/>
      <c r="I291" s="3211"/>
      <c r="J291" s="3211"/>
      <c r="K291" s="3208">
        <f t="shared" si="18"/>
        <v>0</v>
      </c>
      <c r="L291" s="3211"/>
      <c r="M291" s="3211"/>
      <c r="N291" s="2902">
        <f t="shared" si="19"/>
        <v>0</v>
      </c>
      <c r="O291" s="3211"/>
      <c r="P291" s="3211"/>
      <c r="Q291" s="3209">
        <v>10000</v>
      </c>
    </row>
    <row r="292" spans="1:17" ht="15.6">
      <c r="A292" s="2812"/>
      <c r="B292" s="3196" t="s">
        <v>369</v>
      </c>
      <c r="C292" s="3208">
        <f t="shared" si="16"/>
        <v>10000</v>
      </c>
      <c r="D292" s="3208">
        <f t="shared" si="17"/>
        <v>0</v>
      </c>
      <c r="E292" s="3211"/>
      <c r="F292" s="2756"/>
      <c r="G292" s="3211"/>
      <c r="H292" s="3211"/>
      <c r="I292" s="3211"/>
      <c r="J292" s="3211"/>
      <c r="K292" s="3208">
        <f t="shared" si="18"/>
        <v>0</v>
      </c>
      <c r="L292" s="3211"/>
      <c r="M292" s="3211"/>
      <c r="N292" s="2902">
        <f t="shared" si="19"/>
        <v>0</v>
      </c>
      <c r="O292" s="3211"/>
      <c r="P292" s="3211"/>
      <c r="Q292" s="3209">
        <v>10000</v>
      </c>
    </row>
    <row r="293" spans="1:17" ht="31.2">
      <c r="A293" s="2812"/>
      <c r="B293" s="3196" t="s">
        <v>944</v>
      </c>
      <c r="C293" s="3208">
        <f t="shared" si="16"/>
        <v>0</v>
      </c>
      <c r="D293" s="3208">
        <f t="shared" si="17"/>
        <v>0</v>
      </c>
      <c r="E293" s="3211"/>
      <c r="F293" s="2756"/>
      <c r="G293" s="3211"/>
      <c r="H293" s="3211"/>
      <c r="I293" s="3211"/>
      <c r="J293" s="3211"/>
      <c r="K293" s="3208">
        <f t="shared" si="18"/>
        <v>0</v>
      </c>
      <c r="L293" s="3211"/>
      <c r="M293" s="3211"/>
      <c r="N293" s="2902">
        <f t="shared" si="19"/>
        <v>0</v>
      </c>
      <c r="O293" s="3211"/>
      <c r="P293" s="3211"/>
      <c r="Q293" s="3209"/>
    </row>
    <row r="294" spans="1:17" ht="62.4">
      <c r="A294" s="2812"/>
      <c r="B294" s="3196" t="s">
        <v>370</v>
      </c>
      <c r="C294" s="3208">
        <f t="shared" si="16"/>
        <v>10000</v>
      </c>
      <c r="D294" s="3208">
        <f t="shared" si="17"/>
        <v>0</v>
      </c>
      <c r="E294" s="3211"/>
      <c r="F294" s="2756"/>
      <c r="G294" s="3211"/>
      <c r="H294" s="3211"/>
      <c r="I294" s="3211"/>
      <c r="J294" s="3211"/>
      <c r="K294" s="3208">
        <f t="shared" si="18"/>
        <v>0</v>
      </c>
      <c r="L294" s="3211"/>
      <c r="M294" s="3211"/>
      <c r="N294" s="2902">
        <f t="shared" si="19"/>
        <v>0</v>
      </c>
      <c r="O294" s="3211"/>
      <c r="P294" s="3211"/>
      <c r="Q294" s="3209">
        <v>10000</v>
      </c>
    </row>
    <row r="295" spans="1:17" ht="31.2">
      <c r="A295" s="2812"/>
      <c r="B295" s="3196" t="s">
        <v>936</v>
      </c>
      <c r="C295" s="3208">
        <f t="shared" si="16"/>
        <v>0</v>
      </c>
      <c r="D295" s="3208">
        <f t="shared" si="17"/>
        <v>0</v>
      </c>
      <c r="E295" s="3211"/>
      <c r="F295" s="2756"/>
      <c r="G295" s="3211"/>
      <c r="H295" s="3211"/>
      <c r="I295" s="3211"/>
      <c r="J295" s="3211"/>
      <c r="K295" s="3208">
        <f t="shared" si="18"/>
        <v>0</v>
      </c>
      <c r="L295" s="3211"/>
      <c r="M295" s="3211"/>
      <c r="N295" s="2902">
        <f t="shared" si="19"/>
        <v>0</v>
      </c>
      <c r="O295" s="3211"/>
      <c r="P295" s="3211"/>
      <c r="Q295" s="3209"/>
    </row>
    <row r="296" spans="1:17" ht="31.2">
      <c r="A296" s="2812"/>
      <c r="B296" s="3196" t="s">
        <v>937</v>
      </c>
      <c r="C296" s="3208">
        <f t="shared" si="16"/>
        <v>0</v>
      </c>
      <c r="D296" s="3208">
        <f t="shared" si="17"/>
        <v>0</v>
      </c>
      <c r="E296" s="3211"/>
      <c r="F296" s="2756"/>
      <c r="G296" s="3211"/>
      <c r="H296" s="3211"/>
      <c r="I296" s="3211"/>
      <c r="J296" s="3211"/>
      <c r="K296" s="3208">
        <f t="shared" si="18"/>
        <v>0</v>
      </c>
      <c r="L296" s="3211"/>
      <c r="M296" s="3211"/>
      <c r="N296" s="2902">
        <f t="shared" si="19"/>
        <v>0</v>
      </c>
      <c r="O296" s="3211"/>
      <c r="P296" s="3211"/>
      <c r="Q296" s="3209"/>
    </row>
    <row r="297" spans="1:17" ht="46.8">
      <c r="A297" s="2812"/>
      <c r="B297" s="3196" t="s">
        <v>935</v>
      </c>
      <c r="C297" s="3208">
        <f t="shared" si="16"/>
        <v>3600</v>
      </c>
      <c r="D297" s="3208">
        <f t="shared" si="17"/>
        <v>0</v>
      </c>
      <c r="E297" s="3211"/>
      <c r="F297" s="2756"/>
      <c r="G297" s="3211"/>
      <c r="H297" s="3211"/>
      <c r="I297" s="3211"/>
      <c r="J297" s="3211"/>
      <c r="K297" s="3208">
        <f t="shared" si="18"/>
        <v>0</v>
      </c>
      <c r="L297" s="3211"/>
      <c r="M297" s="3211"/>
      <c r="N297" s="2902">
        <f t="shared" si="19"/>
        <v>0</v>
      </c>
      <c r="O297" s="3211"/>
      <c r="P297" s="3211"/>
      <c r="Q297" s="3209">
        <v>3600</v>
      </c>
    </row>
    <row r="298" spans="1:17" ht="85.2" customHeight="1">
      <c r="A298" s="2812"/>
      <c r="B298" s="3207" t="s">
        <v>943</v>
      </c>
      <c r="C298" s="3208">
        <f t="shared" si="16"/>
        <v>79527</v>
      </c>
      <c r="D298" s="3208">
        <f t="shared" si="17"/>
        <v>0</v>
      </c>
      <c r="E298" s="3211"/>
      <c r="F298" s="2756"/>
      <c r="G298" s="3211"/>
      <c r="H298" s="3211"/>
      <c r="I298" s="3211"/>
      <c r="J298" s="3211"/>
      <c r="K298" s="3208">
        <f t="shared" si="18"/>
        <v>0</v>
      </c>
      <c r="L298" s="3211"/>
      <c r="M298" s="3211"/>
      <c r="N298" s="2902">
        <f t="shared" si="19"/>
        <v>0</v>
      </c>
      <c r="O298" s="3211"/>
      <c r="P298" s="3211"/>
      <c r="Q298" s="3209">
        <f>93327-13800</f>
        <v>79527</v>
      </c>
    </row>
  </sheetData>
  <mergeCells count="10">
    <mergeCell ref="K7:M7"/>
    <mergeCell ref="Q7:Q8"/>
    <mergeCell ref="A4:Q4"/>
    <mergeCell ref="A5:Q5"/>
    <mergeCell ref="A7:A8"/>
    <mergeCell ref="B7:B8"/>
    <mergeCell ref="D7:D8"/>
    <mergeCell ref="E7:J7"/>
    <mergeCell ref="C7:C8"/>
    <mergeCell ref="N7:P7"/>
  </mergeCells>
  <pageMargins left="0.43" right="0.2" top="0.44" bottom="0.38" header="0.3" footer="0.18"/>
  <pageSetup scale="65" orientation="landscape" blackAndWhite="1" r:id="rId1"/>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topLeftCell="D4" zoomScaleNormal="100" workbookViewId="0">
      <selection activeCell="P17" sqref="P17"/>
    </sheetView>
  </sheetViews>
  <sheetFormatPr defaultRowHeight="13.2"/>
  <cols>
    <col min="1" max="1" width="5.33203125" style="1841" customWidth="1"/>
    <col min="2" max="2" width="16.33203125" style="1841" customWidth="1"/>
    <col min="3" max="3" width="12.44140625" style="1841" customWidth="1"/>
    <col min="4" max="4" width="10.33203125" style="1841" customWidth="1"/>
    <col min="5" max="5" width="8" style="1841" customWidth="1"/>
    <col min="6" max="6" width="10.5546875" style="1841" customWidth="1"/>
    <col min="7" max="7" width="10.6640625" style="1841" customWidth="1"/>
    <col min="8" max="8" width="8.88671875" style="1841"/>
    <col min="9" max="9" width="8.44140625" style="1841" customWidth="1"/>
    <col min="10" max="10" width="8.88671875" style="1841"/>
    <col min="11" max="11" width="11.6640625" style="1841" customWidth="1"/>
    <col min="12" max="12" width="10.88671875" style="1841" customWidth="1"/>
    <col min="13" max="13" width="10.33203125" style="1841" customWidth="1"/>
    <col min="14" max="16384" width="8.88671875" style="1841"/>
  </cols>
  <sheetData>
    <row r="1" spans="1:17">
      <c r="A1" s="1840" t="s">
        <v>69</v>
      </c>
      <c r="M1" s="1840" t="s">
        <v>1148</v>
      </c>
    </row>
    <row r="4" spans="1:17">
      <c r="A4" s="2988" t="s">
        <v>1500</v>
      </c>
      <c r="B4" s="2988"/>
      <c r="C4" s="2988"/>
      <c r="D4" s="2988"/>
      <c r="E4" s="2988"/>
      <c r="F4" s="2988"/>
      <c r="G4" s="2988"/>
      <c r="H4" s="2988"/>
      <c r="I4" s="2988"/>
      <c r="J4" s="2988"/>
      <c r="K4" s="2988"/>
      <c r="L4" s="2988"/>
      <c r="M4" s="2988"/>
      <c r="N4" s="2988"/>
      <c r="O4" s="2988"/>
      <c r="P4" s="2785"/>
    </row>
    <row r="5" spans="1:17">
      <c r="A5" s="2986" t="s">
        <v>1501</v>
      </c>
      <c r="B5" s="2986"/>
      <c r="C5" s="2986"/>
      <c r="D5" s="2986"/>
      <c r="E5" s="2986"/>
      <c r="F5" s="2986"/>
      <c r="G5" s="2986"/>
      <c r="H5" s="2986"/>
      <c r="I5" s="2986"/>
      <c r="J5" s="2986"/>
      <c r="K5" s="2986"/>
      <c r="L5" s="2986"/>
      <c r="M5" s="2986"/>
      <c r="N5" s="2986"/>
      <c r="O5" s="2986"/>
      <c r="P5" s="2784"/>
    </row>
    <row r="6" spans="1:17">
      <c r="O6" s="1842" t="s">
        <v>1056</v>
      </c>
      <c r="P6" s="1842"/>
    </row>
    <row r="7" spans="1:17" ht="12.75" customHeight="1">
      <c r="A7" s="2989" t="s">
        <v>49</v>
      </c>
      <c r="B7" s="2989" t="s">
        <v>1138</v>
      </c>
      <c r="C7" s="2989" t="s">
        <v>737</v>
      </c>
      <c r="D7" s="2989" t="s">
        <v>181</v>
      </c>
      <c r="E7" s="2989"/>
      <c r="F7" s="2989"/>
      <c r="G7" s="2989"/>
      <c r="H7" s="2989"/>
      <c r="I7" s="2989"/>
      <c r="J7" s="2989"/>
      <c r="K7" s="2989"/>
      <c r="L7" s="2989"/>
      <c r="M7" s="2989"/>
      <c r="N7" s="2989"/>
      <c r="O7" s="2989"/>
      <c r="P7" s="2989"/>
      <c r="Q7" s="2989"/>
    </row>
    <row r="8" spans="1:17">
      <c r="A8" s="2989"/>
      <c r="B8" s="2989"/>
      <c r="C8" s="2989"/>
      <c r="D8" s="2989" t="s">
        <v>1149</v>
      </c>
      <c r="E8" s="2989" t="s">
        <v>1150</v>
      </c>
      <c r="F8" s="2989" t="s">
        <v>1151</v>
      </c>
      <c r="G8" s="2989" t="s">
        <v>1152</v>
      </c>
      <c r="H8" s="2989" t="s">
        <v>1153</v>
      </c>
      <c r="I8" s="2989" t="s">
        <v>1154</v>
      </c>
      <c r="J8" s="2989" t="s">
        <v>1155</v>
      </c>
      <c r="K8" s="2989" t="s">
        <v>1156</v>
      </c>
      <c r="L8" s="2989" t="s">
        <v>181</v>
      </c>
      <c r="M8" s="2989"/>
      <c r="N8" s="2989" t="s">
        <v>1157</v>
      </c>
      <c r="O8" s="2989" t="s">
        <v>1158</v>
      </c>
      <c r="P8" s="2991" t="s">
        <v>1502</v>
      </c>
      <c r="Q8" s="2989" t="s">
        <v>1503</v>
      </c>
    </row>
    <row r="9" spans="1:17" ht="158.4" customHeight="1">
      <c r="A9" s="2989"/>
      <c r="B9" s="2989"/>
      <c r="C9" s="2989"/>
      <c r="D9" s="2989"/>
      <c r="E9" s="2989"/>
      <c r="F9" s="2989"/>
      <c r="G9" s="2989"/>
      <c r="H9" s="2989"/>
      <c r="I9" s="2989"/>
      <c r="J9" s="2989"/>
      <c r="K9" s="2989"/>
      <c r="L9" s="2786" t="s">
        <v>1159</v>
      </c>
      <c r="M9" s="2786" t="s">
        <v>1160</v>
      </c>
      <c r="N9" s="2989"/>
      <c r="O9" s="2989"/>
      <c r="P9" s="2992"/>
      <c r="Q9" s="2989"/>
    </row>
    <row r="10" spans="1:17">
      <c r="A10" s="1844" t="s">
        <v>80</v>
      </c>
      <c r="B10" s="1844" t="s">
        <v>81</v>
      </c>
      <c r="C10" s="1844">
        <v>1</v>
      </c>
      <c r="D10" s="1844">
        <v>2</v>
      </c>
      <c r="E10" s="1844">
        <v>3</v>
      </c>
      <c r="F10" s="1844">
        <v>4</v>
      </c>
      <c r="G10" s="1844">
        <v>5</v>
      </c>
      <c r="H10" s="1844">
        <v>6</v>
      </c>
      <c r="I10" s="1844">
        <v>7</v>
      </c>
      <c r="J10" s="1844">
        <v>8</v>
      </c>
      <c r="K10" s="1844">
        <v>9</v>
      </c>
      <c r="L10" s="1844">
        <v>10</v>
      </c>
      <c r="M10" s="1844">
        <v>11</v>
      </c>
      <c r="N10" s="1844">
        <v>12</v>
      </c>
      <c r="O10" s="1844">
        <v>13</v>
      </c>
      <c r="P10" s="1844">
        <v>14</v>
      </c>
      <c r="Q10" s="2812">
        <v>15</v>
      </c>
    </row>
    <row r="11" spans="1:17" ht="26.4" customHeight="1">
      <c r="A11" s="2659"/>
      <c r="B11" s="2659" t="s">
        <v>737</v>
      </c>
      <c r="C11" s="2813">
        <f>SUM(C12:C44)</f>
        <v>1298690</v>
      </c>
      <c r="D11" s="2813">
        <f t="shared" ref="D11:Q11" si="0">SUM(D12:D44)</f>
        <v>297025</v>
      </c>
      <c r="E11" s="2813">
        <f t="shared" si="0"/>
        <v>0</v>
      </c>
      <c r="F11" s="2813">
        <f t="shared" si="0"/>
        <v>158900</v>
      </c>
      <c r="G11" s="2813">
        <f t="shared" si="0"/>
        <v>27000</v>
      </c>
      <c r="H11" s="2813">
        <f t="shared" si="0"/>
        <v>4500</v>
      </c>
      <c r="I11" s="2813">
        <f t="shared" si="0"/>
        <v>2600</v>
      </c>
      <c r="J11" s="2813">
        <f t="shared" si="0"/>
        <v>11100</v>
      </c>
      <c r="K11" s="2813">
        <f t="shared" si="0"/>
        <v>590705</v>
      </c>
      <c r="L11" s="2813">
        <f t="shared" si="0"/>
        <v>410550</v>
      </c>
      <c r="M11" s="2813">
        <f t="shared" si="0"/>
        <v>174805</v>
      </c>
      <c r="N11" s="2813">
        <f t="shared" si="0"/>
        <v>115660</v>
      </c>
      <c r="O11" s="2813">
        <f t="shared" si="0"/>
        <v>5000</v>
      </c>
      <c r="P11" s="2813">
        <f t="shared" si="0"/>
        <v>6500</v>
      </c>
      <c r="Q11" s="2813">
        <f t="shared" si="0"/>
        <v>79700</v>
      </c>
    </row>
    <row r="12" spans="1:17" ht="66">
      <c r="A12" s="1861">
        <v>1</v>
      </c>
      <c r="B12" s="2814" t="s">
        <v>1504</v>
      </c>
      <c r="C12" s="2815">
        <f>SUM(D12:Q12)-L12-M12</f>
        <v>22000</v>
      </c>
      <c r="D12" s="2815"/>
      <c r="E12" s="2815"/>
      <c r="F12" s="2815">
        <v>22000</v>
      </c>
      <c r="G12" s="2815"/>
      <c r="H12" s="2815"/>
      <c r="I12" s="2815"/>
      <c r="J12" s="2815"/>
      <c r="K12" s="2815"/>
      <c r="L12" s="2815"/>
      <c r="M12" s="2815"/>
      <c r="N12" s="2815"/>
      <c r="O12" s="2815"/>
      <c r="P12" s="2815"/>
      <c r="Q12" s="2639"/>
    </row>
    <row r="13" spans="1:17">
      <c r="A13" s="1861">
        <v>2</v>
      </c>
      <c r="B13" s="2814" t="s">
        <v>1505</v>
      </c>
      <c r="C13" s="2815">
        <f t="shared" ref="C13:C44" si="1">SUM(D13:Q13)-L13-M13</f>
        <v>0</v>
      </c>
      <c r="D13" s="2815"/>
      <c r="E13" s="2815"/>
      <c r="F13" s="2815"/>
      <c r="G13" s="2815"/>
      <c r="H13" s="2815"/>
      <c r="I13" s="2815"/>
      <c r="J13" s="2815"/>
      <c r="K13" s="2815"/>
      <c r="L13" s="2815"/>
      <c r="M13" s="2815"/>
      <c r="N13" s="2815"/>
      <c r="O13" s="2815"/>
      <c r="P13" s="2815"/>
      <c r="Q13" s="2639"/>
    </row>
    <row r="14" spans="1:17" ht="26.4">
      <c r="A14" s="1861">
        <v>3</v>
      </c>
      <c r="B14" s="2814" t="s">
        <v>1506</v>
      </c>
      <c r="C14" s="2815">
        <f t="shared" si="1"/>
        <v>0</v>
      </c>
      <c r="D14" s="2815"/>
      <c r="E14" s="2815"/>
      <c r="F14" s="2815"/>
      <c r="G14" s="2815"/>
      <c r="H14" s="2815"/>
      <c r="I14" s="2815"/>
      <c r="J14" s="2815"/>
      <c r="K14" s="2815"/>
      <c r="L14" s="2815"/>
      <c r="M14" s="2815"/>
      <c r="N14" s="2815"/>
      <c r="O14" s="2815"/>
      <c r="P14" s="2815"/>
      <c r="Q14" s="2639"/>
    </row>
    <row r="15" spans="1:17" ht="26.4">
      <c r="A15" s="1861">
        <v>4</v>
      </c>
      <c r="B15" s="2814" t="s">
        <v>1507</v>
      </c>
      <c r="C15" s="2815">
        <f t="shared" si="1"/>
        <v>4500</v>
      </c>
      <c r="D15" s="2815"/>
      <c r="E15" s="2815"/>
      <c r="F15" s="2815"/>
      <c r="G15" s="2815"/>
      <c r="H15" s="2815"/>
      <c r="I15" s="2815"/>
      <c r="J15" s="2815"/>
      <c r="K15" s="2815"/>
      <c r="L15" s="2815"/>
      <c r="M15" s="2815"/>
      <c r="N15" s="2815"/>
      <c r="O15" s="2815"/>
      <c r="P15" s="2815">
        <v>4500</v>
      </c>
      <c r="Q15" s="2639"/>
    </row>
    <row r="16" spans="1:17">
      <c r="A16" s="1861">
        <v>5</v>
      </c>
      <c r="B16" s="2814" t="s">
        <v>1462</v>
      </c>
      <c r="C16" s="2815">
        <f t="shared" si="1"/>
        <v>2000</v>
      </c>
      <c r="D16" s="2815"/>
      <c r="E16" s="2815"/>
      <c r="F16" s="2815"/>
      <c r="G16" s="2815"/>
      <c r="H16" s="2815"/>
      <c r="I16" s="2815"/>
      <c r="J16" s="2815"/>
      <c r="K16" s="2815"/>
      <c r="L16" s="2815"/>
      <c r="M16" s="2815"/>
      <c r="N16" s="2815"/>
      <c r="O16" s="2815"/>
      <c r="P16" s="2815">
        <v>2000</v>
      </c>
      <c r="Q16" s="2639"/>
    </row>
    <row r="17" spans="1:17" ht="66">
      <c r="A17" s="1861">
        <v>6</v>
      </c>
      <c r="B17" s="2814" t="s">
        <v>1508</v>
      </c>
      <c r="C17" s="2815">
        <f>SUM(D17:Q17)-L17-M17</f>
        <v>750</v>
      </c>
      <c r="D17" s="2815"/>
      <c r="E17" s="2815"/>
      <c r="F17" s="2815"/>
      <c r="G17" s="2815"/>
      <c r="H17" s="2815"/>
      <c r="I17" s="2815"/>
      <c r="J17" s="2815"/>
      <c r="K17" s="2815">
        <v>750</v>
      </c>
      <c r="L17" s="2815"/>
      <c r="M17" s="2815"/>
      <c r="N17" s="2815"/>
      <c r="O17" s="2815"/>
      <c r="P17" s="2815"/>
      <c r="Q17" s="2639"/>
    </row>
    <row r="18" spans="1:17">
      <c r="A18" s="1861">
        <v>7</v>
      </c>
      <c r="B18" s="2814" t="s">
        <v>1509</v>
      </c>
      <c r="C18" s="2815">
        <f>SUM(D18:Q18)-L18-M18</f>
        <v>3000</v>
      </c>
      <c r="D18" s="2815"/>
      <c r="E18" s="2815"/>
      <c r="F18" s="2815"/>
      <c r="G18" s="2815">
        <v>3000</v>
      </c>
      <c r="H18" s="2815"/>
      <c r="I18" s="2815"/>
      <c r="J18" s="2815"/>
      <c r="K18" s="2815"/>
      <c r="L18" s="2815"/>
      <c r="M18" s="2815"/>
      <c r="N18" s="2815"/>
      <c r="O18" s="2815"/>
      <c r="P18" s="2815"/>
      <c r="Q18" s="2639"/>
    </row>
    <row r="19" spans="1:17">
      <c r="A19" s="1861">
        <v>8</v>
      </c>
      <c r="B19" s="2814" t="s">
        <v>622</v>
      </c>
      <c r="C19" s="2815">
        <f t="shared" si="1"/>
        <v>117000</v>
      </c>
      <c r="D19" s="2815"/>
      <c r="E19" s="2815"/>
      <c r="F19" s="2815">
        <v>117000</v>
      </c>
      <c r="G19" s="2815"/>
      <c r="H19" s="2815"/>
      <c r="I19" s="2815"/>
      <c r="J19" s="2815"/>
      <c r="K19" s="2815"/>
      <c r="L19" s="2815"/>
      <c r="M19" s="2815"/>
      <c r="N19" s="2815"/>
      <c r="O19" s="2815"/>
      <c r="P19" s="2815"/>
      <c r="Q19" s="2639"/>
    </row>
    <row r="20" spans="1:17">
      <c r="A20" s="1861">
        <v>9</v>
      </c>
      <c r="B20" s="2814" t="s">
        <v>611</v>
      </c>
      <c r="C20" s="2815">
        <f t="shared" si="1"/>
        <v>0</v>
      </c>
      <c r="D20" s="2815"/>
      <c r="E20" s="2815"/>
      <c r="F20" s="2815"/>
      <c r="G20" s="2815"/>
      <c r="H20" s="2815"/>
      <c r="I20" s="2815"/>
      <c r="J20" s="2815"/>
      <c r="K20" s="2815"/>
      <c r="L20" s="2815"/>
      <c r="M20" s="2815"/>
      <c r="N20" s="2815"/>
      <c r="O20" s="2815"/>
      <c r="P20" s="2815"/>
      <c r="Q20" s="2639"/>
    </row>
    <row r="21" spans="1:17">
      <c r="A21" s="1861">
        <v>10</v>
      </c>
      <c r="B21" s="2814" t="s">
        <v>598</v>
      </c>
      <c r="C21" s="2815">
        <f t="shared" si="1"/>
        <v>0</v>
      </c>
      <c r="D21" s="2815"/>
      <c r="E21" s="2815"/>
      <c r="F21" s="2815"/>
      <c r="G21" s="2815"/>
      <c r="H21" s="2815"/>
      <c r="I21" s="2815"/>
      <c r="J21" s="2815"/>
      <c r="K21" s="2815"/>
      <c r="L21" s="2815"/>
      <c r="M21" s="2815"/>
      <c r="N21" s="2815"/>
      <c r="O21" s="2815"/>
      <c r="P21" s="2815"/>
      <c r="Q21" s="2639"/>
    </row>
    <row r="22" spans="1:17" ht="26.4">
      <c r="A22" s="1861">
        <v>11</v>
      </c>
      <c r="B22" s="2814" t="s">
        <v>621</v>
      </c>
      <c r="C22" s="2815">
        <f t="shared" si="1"/>
        <v>86700</v>
      </c>
      <c r="D22" s="2815">
        <v>86700</v>
      </c>
      <c r="E22" s="2815"/>
      <c r="F22" s="2815"/>
      <c r="G22" s="2815"/>
      <c r="H22" s="2815"/>
      <c r="I22" s="2815"/>
      <c r="J22" s="2815"/>
      <c r="K22" s="2815"/>
      <c r="L22" s="2815"/>
      <c r="M22" s="2815"/>
      <c r="N22" s="2815"/>
      <c r="O22" s="2815"/>
      <c r="P22" s="2815"/>
      <c r="Q22" s="2639"/>
    </row>
    <row r="23" spans="1:17" ht="39.6">
      <c r="A23" s="1861">
        <v>12</v>
      </c>
      <c r="B23" s="2814" t="s">
        <v>1510</v>
      </c>
      <c r="C23" s="2815">
        <f t="shared" si="1"/>
        <v>169805</v>
      </c>
      <c r="D23" s="2815"/>
      <c r="E23" s="2815"/>
      <c r="F23" s="2815"/>
      <c r="G23" s="2815"/>
      <c r="H23" s="2815"/>
      <c r="I23" s="2815"/>
      <c r="J23" s="2815"/>
      <c r="K23" s="2815">
        <f>44830+124975</f>
        <v>169805</v>
      </c>
      <c r="L23" s="2815"/>
      <c r="M23" s="2815">
        <f>44830+124975</f>
        <v>169805</v>
      </c>
      <c r="N23" s="2815"/>
      <c r="O23" s="2815"/>
      <c r="P23" s="2815"/>
      <c r="Q23" s="2639"/>
    </row>
    <row r="24" spans="1:17" ht="26.4">
      <c r="A24" s="1861">
        <v>13</v>
      </c>
      <c r="B24" s="2814" t="s">
        <v>1511</v>
      </c>
      <c r="C24" s="2815">
        <f t="shared" si="1"/>
        <v>11100</v>
      </c>
      <c r="D24" s="2815"/>
      <c r="E24" s="2815"/>
      <c r="F24" s="2815"/>
      <c r="G24" s="2815"/>
      <c r="H24" s="2815"/>
      <c r="I24" s="2815"/>
      <c r="J24" s="2815">
        <f>4100+7000</f>
        <v>11100</v>
      </c>
      <c r="K24" s="2815"/>
      <c r="L24" s="2815"/>
      <c r="M24" s="2815"/>
      <c r="N24" s="2815"/>
      <c r="O24" s="2815"/>
      <c r="P24" s="2815"/>
      <c r="Q24" s="2639"/>
    </row>
    <row r="25" spans="1:17" ht="26.4">
      <c r="A25" s="1861">
        <v>14</v>
      </c>
      <c r="B25" s="2814" t="s">
        <v>1512</v>
      </c>
      <c r="C25" s="2815">
        <f t="shared" si="1"/>
        <v>228180</v>
      </c>
      <c r="D25" s="2815"/>
      <c r="E25" s="2815"/>
      <c r="F25" s="2815"/>
      <c r="G25" s="2815"/>
      <c r="H25" s="2815"/>
      <c r="I25" s="2815"/>
      <c r="J25" s="2815"/>
      <c r="K25" s="2815">
        <f>98680+129500</f>
        <v>228180</v>
      </c>
      <c r="L25" s="2815">
        <f>98680+129500</f>
        <v>228180</v>
      </c>
      <c r="M25" s="2815"/>
      <c r="N25" s="2815"/>
      <c r="O25" s="2815"/>
      <c r="P25" s="2815"/>
      <c r="Q25" s="2639"/>
    </row>
    <row r="26" spans="1:17" ht="26.4">
      <c r="A26" s="1861">
        <v>15</v>
      </c>
      <c r="B26" s="2814" t="s">
        <v>1513</v>
      </c>
      <c r="C26" s="2815">
        <f t="shared" si="1"/>
        <v>26600</v>
      </c>
      <c r="D26" s="2815"/>
      <c r="E26" s="2815"/>
      <c r="F26" s="2815"/>
      <c r="G26" s="2815">
        <v>24000</v>
      </c>
      <c r="H26" s="2815"/>
      <c r="I26" s="2815">
        <v>2600</v>
      </c>
      <c r="J26" s="2815"/>
      <c r="K26" s="2815"/>
      <c r="L26" s="2815"/>
      <c r="M26" s="2815"/>
      <c r="N26" s="2815"/>
      <c r="O26" s="2815"/>
      <c r="P26" s="2815"/>
      <c r="Q26" s="2639"/>
    </row>
    <row r="27" spans="1:17" ht="39.6">
      <c r="A27" s="1861">
        <v>16</v>
      </c>
      <c r="B27" s="2814" t="s">
        <v>1514</v>
      </c>
      <c r="C27" s="2815">
        <f t="shared" si="1"/>
        <v>5000</v>
      </c>
      <c r="D27" s="2815"/>
      <c r="E27" s="2815"/>
      <c r="F27" s="2815"/>
      <c r="G27" s="2815"/>
      <c r="H27" s="2815"/>
      <c r="I27" s="2815"/>
      <c r="J27" s="2815"/>
      <c r="K27" s="2815"/>
      <c r="L27" s="2815"/>
      <c r="M27" s="2815"/>
      <c r="N27" s="2815"/>
      <c r="O27" s="2815">
        <v>5000</v>
      </c>
      <c r="P27" s="2815"/>
      <c r="Q27" s="2639"/>
    </row>
    <row r="28" spans="1:17" ht="26.4">
      <c r="A28" s="1861">
        <v>17</v>
      </c>
      <c r="B28" s="2814" t="s">
        <v>1515</v>
      </c>
      <c r="C28" s="2815">
        <f t="shared" si="1"/>
        <v>27400</v>
      </c>
      <c r="D28" s="2815"/>
      <c r="E28" s="2815"/>
      <c r="F28" s="2815"/>
      <c r="G28" s="2815"/>
      <c r="H28" s="2815"/>
      <c r="I28" s="2815"/>
      <c r="J28" s="2815"/>
      <c r="K28" s="2815"/>
      <c r="L28" s="2815"/>
      <c r="M28" s="2815"/>
      <c r="N28" s="2815">
        <v>27400</v>
      </c>
      <c r="O28" s="2815"/>
      <c r="P28" s="2815"/>
      <c r="Q28" s="2639"/>
    </row>
    <row r="29" spans="1:17" ht="26.4">
      <c r="A29" s="1861">
        <v>18</v>
      </c>
      <c r="B29" s="2814" t="s">
        <v>1516</v>
      </c>
      <c r="C29" s="2815">
        <f t="shared" si="1"/>
        <v>13000</v>
      </c>
      <c r="D29" s="2815"/>
      <c r="E29" s="2815"/>
      <c r="F29" s="2815"/>
      <c r="G29" s="2815"/>
      <c r="H29" s="2815"/>
      <c r="I29" s="2815"/>
      <c r="J29" s="2815"/>
      <c r="K29" s="2815"/>
      <c r="L29" s="2815"/>
      <c r="M29" s="2815"/>
      <c r="N29" s="2815">
        <v>13000</v>
      </c>
      <c r="O29" s="2815"/>
      <c r="P29" s="2815"/>
      <c r="Q29" s="2639"/>
    </row>
    <row r="30" spans="1:17" ht="26.4">
      <c r="A30" s="1861">
        <v>19</v>
      </c>
      <c r="B30" s="2814" t="s">
        <v>1517</v>
      </c>
      <c r="C30" s="2815">
        <f t="shared" si="1"/>
        <v>4500</v>
      </c>
      <c r="D30" s="2815"/>
      <c r="E30" s="2815"/>
      <c r="F30" s="2815"/>
      <c r="G30" s="2815"/>
      <c r="H30" s="2815">
        <v>4500</v>
      </c>
      <c r="I30" s="2815"/>
      <c r="J30" s="2815"/>
      <c r="K30" s="2815"/>
      <c r="L30" s="2815"/>
      <c r="M30" s="2815"/>
      <c r="N30" s="2815"/>
      <c r="O30" s="2815"/>
      <c r="P30" s="2815"/>
      <c r="Q30" s="2639"/>
    </row>
    <row r="31" spans="1:17" ht="26.4">
      <c r="A31" s="1861">
        <v>20</v>
      </c>
      <c r="B31" s="2814" t="s">
        <v>1518</v>
      </c>
      <c r="C31" s="2815">
        <f t="shared" si="1"/>
        <v>3000</v>
      </c>
      <c r="D31" s="2815"/>
      <c r="E31" s="2815"/>
      <c r="F31" s="2815"/>
      <c r="G31" s="2815"/>
      <c r="H31" s="2815"/>
      <c r="I31" s="2815"/>
      <c r="J31" s="2815"/>
      <c r="K31" s="2815"/>
      <c r="L31" s="2815"/>
      <c r="M31" s="2815"/>
      <c r="N31" s="2815">
        <v>3000</v>
      </c>
      <c r="O31" s="2815"/>
      <c r="P31" s="2815"/>
      <c r="Q31" s="2639"/>
    </row>
    <row r="32" spans="1:17" ht="26.4">
      <c r="A32" s="1861">
        <v>21</v>
      </c>
      <c r="B32" s="2814" t="s">
        <v>498</v>
      </c>
      <c r="C32" s="2815">
        <f t="shared" si="1"/>
        <v>19900</v>
      </c>
      <c r="D32" s="2815"/>
      <c r="E32" s="2815"/>
      <c r="F32" s="2815">
        <v>19900</v>
      </c>
      <c r="G32" s="2815"/>
      <c r="H32" s="2815"/>
      <c r="I32" s="2815"/>
      <c r="J32" s="2815"/>
      <c r="K32" s="2815"/>
      <c r="L32" s="2815"/>
      <c r="M32" s="2815"/>
      <c r="N32" s="2815"/>
      <c r="O32" s="2815"/>
      <c r="P32" s="2815"/>
      <c r="Q32" s="2639"/>
    </row>
    <row r="33" spans="1:17" ht="26.4">
      <c r="A33" s="1861">
        <v>22</v>
      </c>
      <c r="B33" s="2814" t="s">
        <v>1519</v>
      </c>
      <c r="C33" s="2815">
        <f t="shared" si="1"/>
        <v>5500</v>
      </c>
      <c r="D33" s="2815"/>
      <c r="E33" s="2815"/>
      <c r="F33" s="2815"/>
      <c r="G33" s="2815"/>
      <c r="H33" s="2815"/>
      <c r="I33" s="2815"/>
      <c r="J33" s="2815"/>
      <c r="K33" s="2815"/>
      <c r="L33" s="2815"/>
      <c r="M33" s="2815"/>
      <c r="N33" s="2815">
        <v>5500</v>
      </c>
      <c r="O33" s="2815"/>
      <c r="P33" s="2815"/>
      <c r="Q33" s="2639"/>
    </row>
    <row r="34" spans="1:17" ht="26.4">
      <c r="A34" s="1861">
        <v>23</v>
      </c>
      <c r="B34" s="2814" t="s">
        <v>502</v>
      </c>
      <c r="C34" s="2815">
        <f t="shared" si="1"/>
        <v>5000</v>
      </c>
      <c r="D34" s="2815">
        <v>5000</v>
      </c>
      <c r="E34" s="2815"/>
      <c r="F34" s="2815"/>
      <c r="G34" s="2815"/>
      <c r="H34" s="2815"/>
      <c r="I34" s="2815"/>
      <c r="J34" s="2815"/>
      <c r="K34" s="2815"/>
      <c r="L34" s="2815"/>
      <c r="M34" s="2815"/>
      <c r="N34" s="2815"/>
      <c r="O34" s="2815"/>
      <c r="P34" s="2815"/>
      <c r="Q34" s="2639"/>
    </row>
    <row r="35" spans="1:17" ht="26.4">
      <c r="A35" s="1861">
        <v>24</v>
      </c>
      <c r="B35" s="2814" t="s">
        <v>1520</v>
      </c>
      <c r="C35" s="2815">
        <f t="shared" si="1"/>
        <v>30500</v>
      </c>
      <c r="D35" s="2815">
        <v>25500</v>
      </c>
      <c r="E35" s="2815"/>
      <c r="F35" s="2815"/>
      <c r="G35" s="2815"/>
      <c r="H35" s="2815"/>
      <c r="I35" s="2815"/>
      <c r="J35" s="2815"/>
      <c r="K35" s="2815">
        <v>5000</v>
      </c>
      <c r="L35" s="2815"/>
      <c r="M35" s="2815">
        <v>5000</v>
      </c>
      <c r="N35" s="2815"/>
      <c r="O35" s="2815"/>
      <c r="P35" s="2815"/>
      <c r="Q35" s="2639"/>
    </row>
    <row r="36" spans="1:17" ht="26.4">
      <c r="A36" s="1861">
        <v>25</v>
      </c>
      <c r="B36" s="2814" t="s">
        <v>1521</v>
      </c>
      <c r="C36" s="2815">
        <f t="shared" si="1"/>
        <v>64900</v>
      </c>
      <c r="D36" s="2815">
        <v>14900</v>
      </c>
      <c r="E36" s="2815"/>
      <c r="F36" s="2815"/>
      <c r="G36" s="2815"/>
      <c r="H36" s="2815"/>
      <c r="I36" s="2815"/>
      <c r="J36" s="2815"/>
      <c r="K36" s="2815">
        <f>50000</f>
        <v>50000</v>
      </c>
      <c r="L36" s="2815">
        <f>50000</f>
        <v>50000</v>
      </c>
      <c r="M36" s="2815"/>
      <c r="N36" s="2815"/>
      <c r="O36" s="2815"/>
      <c r="P36" s="2815"/>
      <c r="Q36" s="2639"/>
    </row>
    <row r="37" spans="1:17" ht="26.4">
      <c r="A37" s="1861">
        <v>26</v>
      </c>
      <c r="B37" s="2814" t="s">
        <v>1522</v>
      </c>
      <c r="C37" s="2815">
        <f t="shared" si="1"/>
        <v>20500</v>
      </c>
      <c r="D37" s="2815">
        <v>17500</v>
      </c>
      <c r="E37" s="2815"/>
      <c r="F37" s="2815"/>
      <c r="G37" s="2815"/>
      <c r="H37" s="2815"/>
      <c r="I37" s="2815"/>
      <c r="J37" s="2815"/>
      <c r="K37" s="2815"/>
      <c r="L37" s="2815"/>
      <c r="M37" s="2815"/>
      <c r="N37" s="2815">
        <v>3000</v>
      </c>
      <c r="O37" s="2815"/>
      <c r="P37" s="2815"/>
      <c r="Q37" s="2639"/>
    </row>
    <row r="38" spans="1:17" ht="26.4">
      <c r="A38" s="1861">
        <v>27</v>
      </c>
      <c r="B38" s="2814" t="s">
        <v>1523</v>
      </c>
      <c r="C38" s="2815">
        <f t="shared" si="1"/>
        <v>38300</v>
      </c>
      <c r="D38" s="2815">
        <v>38300</v>
      </c>
      <c r="E38" s="2815"/>
      <c r="F38" s="2815"/>
      <c r="G38" s="2815"/>
      <c r="H38" s="2815"/>
      <c r="I38" s="2815"/>
      <c r="J38" s="2815"/>
      <c r="K38" s="2815"/>
      <c r="L38" s="2815"/>
      <c r="M38" s="2815"/>
      <c r="N38" s="2815"/>
      <c r="O38" s="2815"/>
      <c r="P38" s="2815"/>
      <c r="Q38" s="2639"/>
    </row>
    <row r="39" spans="1:17" ht="26.4">
      <c r="A39" s="1861">
        <v>28</v>
      </c>
      <c r="B39" s="2814" t="s">
        <v>1524</v>
      </c>
      <c r="C39" s="2815">
        <f t="shared" si="1"/>
        <v>100495</v>
      </c>
      <c r="D39" s="2815">
        <v>20125</v>
      </c>
      <c r="E39" s="2815"/>
      <c r="F39" s="2815"/>
      <c r="G39" s="2815"/>
      <c r="H39" s="2815"/>
      <c r="I39" s="2815"/>
      <c r="J39" s="2815"/>
      <c r="K39" s="2815">
        <f>72370+8000</f>
        <v>80370</v>
      </c>
      <c r="L39" s="2815">
        <f>72370+8000</f>
        <v>80370</v>
      </c>
      <c r="M39" s="2815"/>
      <c r="N39" s="2815"/>
      <c r="O39" s="2815"/>
      <c r="P39" s="2815"/>
      <c r="Q39" s="2639"/>
    </row>
    <row r="40" spans="1:17" ht="26.4">
      <c r="A40" s="1861">
        <v>29</v>
      </c>
      <c r="B40" s="2814" t="s">
        <v>1525</v>
      </c>
      <c r="C40" s="2815">
        <f t="shared" si="1"/>
        <v>68800</v>
      </c>
      <c r="D40" s="2815">
        <v>15800</v>
      </c>
      <c r="E40" s="2815"/>
      <c r="F40" s="2815"/>
      <c r="G40" s="2815"/>
      <c r="H40" s="2815"/>
      <c r="I40" s="2815"/>
      <c r="J40" s="2815"/>
      <c r="K40" s="2815"/>
      <c r="L40" s="2815"/>
      <c r="M40" s="2815"/>
      <c r="N40" s="2815">
        <v>53000</v>
      </c>
      <c r="O40" s="2815"/>
      <c r="P40" s="2815"/>
      <c r="Q40" s="2639"/>
    </row>
    <row r="41" spans="1:17" ht="26.4">
      <c r="A41" s="1861">
        <v>30</v>
      </c>
      <c r="B41" s="2814" t="s">
        <v>1526</v>
      </c>
      <c r="C41" s="2815">
        <f t="shared" si="1"/>
        <v>32900</v>
      </c>
      <c r="D41" s="2815">
        <v>32900</v>
      </c>
      <c r="E41" s="2815"/>
      <c r="F41" s="2815"/>
      <c r="G41" s="2815"/>
      <c r="H41" s="2815"/>
      <c r="I41" s="2815"/>
      <c r="J41" s="2815"/>
      <c r="K41" s="2815"/>
      <c r="L41" s="2815"/>
      <c r="M41" s="2815"/>
      <c r="N41" s="2815"/>
      <c r="O41" s="2815"/>
      <c r="P41" s="2815"/>
      <c r="Q41" s="2639"/>
    </row>
    <row r="42" spans="1:17" ht="26.4">
      <c r="A42" s="1861">
        <v>31</v>
      </c>
      <c r="B42" s="2814" t="s">
        <v>1527</v>
      </c>
      <c r="C42" s="2815">
        <f t="shared" si="1"/>
        <v>40060</v>
      </c>
      <c r="D42" s="2815">
        <v>19300</v>
      </c>
      <c r="E42" s="2815"/>
      <c r="F42" s="2815"/>
      <c r="G42" s="2815"/>
      <c r="H42" s="2815"/>
      <c r="I42" s="2815"/>
      <c r="J42" s="2815"/>
      <c r="K42" s="2815">
        <v>10000</v>
      </c>
      <c r="L42" s="2815">
        <v>10000</v>
      </c>
      <c r="M42" s="2815"/>
      <c r="N42" s="2815">
        <v>10760</v>
      </c>
      <c r="O42" s="2815"/>
      <c r="P42" s="2815"/>
      <c r="Q42" s="2639"/>
    </row>
    <row r="43" spans="1:17" ht="26.4">
      <c r="A43" s="1861">
        <v>32</v>
      </c>
      <c r="B43" s="2814" t="s">
        <v>1528</v>
      </c>
      <c r="C43" s="2815">
        <f t="shared" si="1"/>
        <v>64600</v>
      </c>
      <c r="D43" s="2815">
        <v>18000</v>
      </c>
      <c r="E43" s="2815"/>
      <c r="F43" s="2815"/>
      <c r="G43" s="2815"/>
      <c r="H43" s="2815"/>
      <c r="I43" s="2815"/>
      <c r="J43" s="2815"/>
      <c r="K43" s="2815">
        <f>46600</f>
        <v>46600</v>
      </c>
      <c r="L43" s="2815">
        <f>42000</f>
        <v>42000</v>
      </c>
      <c r="M43" s="2815"/>
      <c r="N43" s="2815"/>
      <c r="O43" s="2815"/>
      <c r="P43" s="2815"/>
      <c r="Q43" s="2639"/>
    </row>
    <row r="44" spans="1:17">
      <c r="A44" s="1861">
        <v>33</v>
      </c>
      <c r="B44" s="2814" t="s">
        <v>1529</v>
      </c>
      <c r="C44" s="2815">
        <f t="shared" si="1"/>
        <v>82700</v>
      </c>
      <c r="D44" s="2815">
        <v>3000</v>
      </c>
      <c r="E44" s="2815"/>
      <c r="F44" s="2815"/>
      <c r="G44" s="2815"/>
      <c r="H44" s="2815"/>
      <c r="I44" s="2815"/>
      <c r="J44" s="2815"/>
      <c r="K44" s="2815"/>
      <c r="L44" s="2815"/>
      <c r="M44" s="2815"/>
      <c r="N44" s="2815"/>
      <c r="O44" s="2815"/>
      <c r="P44" s="2815"/>
      <c r="Q44" s="2815">
        <f>43600+26100+10000</f>
        <v>79700</v>
      </c>
    </row>
    <row r="45" spans="1:17">
      <c r="A45" s="2816"/>
      <c r="B45" s="2817"/>
      <c r="C45" s="2818"/>
      <c r="D45" s="2818"/>
      <c r="E45" s="2818"/>
      <c r="F45" s="2818"/>
      <c r="G45" s="2818"/>
      <c r="H45" s="2818"/>
      <c r="I45" s="2818"/>
      <c r="J45" s="2818"/>
      <c r="K45" s="2818"/>
      <c r="L45" s="2818"/>
      <c r="M45" s="2818"/>
      <c r="N45" s="2818"/>
      <c r="O45" s="2818"/>
      <c r="P45" s="2818"/>
      <c r="Q45" s="2819"/>
    </row>
  </sheetData>
  <mergeCells count="19">
    <mergeCell ref="A4:O4"/>
    <mergeCell ref="A5:O5"/>
    <mergeCell ref="A7:A9"/>
    <mergeCell ref="B7:B9"/>
    <mergeCell ref="C7:C9"/>
    <mergeCell ref="D7:Q7"/>
    <mergeCell ref="D8:D9"/>
    <mergeCell ref="E8:E9"/>
    <mergeCell ref="F8:F9"/>
    <mergeCell ref="G8:G9"/>
    <mergeCell ref="O8:O9"/>
    <mergeCell ref="P8:P9"/>
    <mergeCell ref="Q8:Q9"/>
    <mergeCell ref="H8:H9"/>
    <mergeCell ref="I8:I9"/>
    <mergeCell ref="J8:J9"/>
    <mergeCell ref="K8:K9"/>
    <mergeCell ref="L8:M8"/>
    <mergeCell ref="N8:N9"/>
  </mergeCells>
  <printOptions horizontalCentered="1"/>
  <pageMargins left="0.25" right="0" top="0.5" bottom="0.25" header="0.25" footer="0.25"/>
  <pageSetup paperSize="9" scale="85" orientation="landscape" r:id="rId1"/>
  <headerFoot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3"/>
  <sheetViews>
    <sheetView showZeros="0" topLeftCell="G1" zoomScaleNormal="100" workbookViewId="0">
      <selection activeCell="P21" sqref="P21"/>
    </sheetView>
  </sheetViews>
  <sheetFormatPr defaultRowHeight="25.8" customHeight="1"/>
  <cols>
    <col min="1" max="1" width="6" style="2758" customWidth="1"/>
    <col min="2" max="2" width="30.109375" style="2778" customWidth="1"/>
    <col min="3" max="3" width="13.6640625" style="2779" customWidth="1"/>
    <col min="4" max="4" width="10.88671875" style="2758" customWidth="1"/>
    <col min="5" max="5" width="9.6640625" style="2758" customWidth="1"/>
    <col min="6" max="6" width="10.44140625" style="2758" customWidth="1"/>
    <col min="7" max="7" width="11" style="2758" customWidth="1"/>
    <col min="8" max="8" width="11.77734375" style="2758" customWidth="1"/>
    <col min="9" max="9" width="10.33203125" style="2758" customWidth="1"/>
    <col min="10" max="10" width="8.109375" style="2758" customWidth="1"/>
    <col min="11" max="11" width="8.44140625" style="2758" customWidth="1"/>
    <col min="12" max="12" width="10" style="2758" customWidth="1"/>
    <col min="13" max="13" width="11.88671875" style="2758" customWidth="1"/>
    <col min="14" max="14" width="11" style="2758" customWidth="1"/>
    <col min="15" max="15" width="11.109375" style="2758" customWidth="1"/>
    <col min="16" max="16" width="12.5546875" style="2758" customWidth="1"/>
    <col min="17" max="17" width="9.44140625" style="2758" customWidth="1"/>
    <col min="18" max="18" width="11.6640625" style="2758" customWidth="1"/>
    <col min="19" max="256" width="8.88671875" style="2758"/>
    <col min="257" max="257" width="6" style="2758" customWidth="1"/>
    <col min="258" max="258" width="16.44140625" style="2758" customWidth="1"/>
    <col min="259" max="259" width="8.88671875" style="2758"/>
    <col min="260" max="260" width="8.5546875" style="2758" customWidth="1"/>
    <col min="261" max="261" width="8.88671875" style="2758"/>
    <col min="262" max="262" width="8.44140625" style="2758" customWidth="1"/>
    <col min="263" max="263" width="8.5546875" style="2758" customWidth="1"/>
    <col min="264" max="264" width="8.88671875" style="2758"/>
    <col min="265" max="266" width="8.109375" style="2758" customWidth="1"/>
    <col min="267" max="267" width="8.88671875" style="2758"/>
    <col min="268" max="268" width="8.109375" style="2758" customWidth="1"/>
    <col min="269" max="512" width="8.88671875" style="2758"/>
    <col min="513" max="513" width="6" style="2758" customWidth="1"/>
    <col min="514" max="514" width="16.44140625" style="2758" customWidth="1"/>
    <col min="515" max="515" width="8.88671875" style="2758"/>
    <col min="516" max="516" width="8.5546875" style="2758" customWidth="1"/>
    <col min="517" max="517" width="8.88671875" style="2758"/>
    <col min="518" max="518" width="8.44140625" style="2758" customWidth="1"/>
    <col min="519" max="519" width="8.5546875" style="2758" customWidth="1"/>
    <col min="520" max="520" width="8.88671875" style="2758"/>
    <col min="521" max="522" width="8.109375" style="2758" customWidth="1"/>
    <col min="523" max="523" width="8.88671875" style="2758"/>
    <col min="524" max="524" width="8.109375" style="2758" customWidth="1"/>
    <col min="525" max="768" width="8.88671875" style="2758"/>
    <col min="769" max="769" width="6" style="2758" customWidth="1"/>
    <col min="770" max="770" width="16.44140625" style="2758" customWidth="1"/>
    <col min="771" max="771" width="8.88671875" style="2758"/>
    <col min="772" max="772" width="8.5546875" style="2758" customWidth="1"/>
    <col min="773" max="773" width="8.88671875" style="2758"/>
    <col min="774" max="774" width="8.44140625" style="2758" customWidth="1"/>
    <col min="775" max="775" width="8.5546875" style="2758" customWidth="1"/>
    <col min="776" max="776" width="8.88671875" style="2758"/>
    <col min="777" max="778" width="8.109375" style="2758" customWidth="1"/>
    <col min="779" max="779" width="8.88671875" style="2758"/>
    <col min="780" max="780" width="8.109375" style="2758" customWidth="1"/>
    <col min="781" max="1024" width="8.88671875" style="2758"/>
    <col min="1025" max="1025" width="6" style="2758" customWidth="1"/>
    <col min="1026" max="1026" width="16.44140625" style="2758" customWidth="1"/>
    <col min="1027" max="1027" width="8.88671875" style="2758"/>
    <col min="1028" max="1028" width="8.5546875" style="2758" customWidth="1"/>
    <col min="1029" max="1029" width="8.88671875" style="2758"/>
    <col min="1030" max="1030" width="8.44140625" style="2758" customWidth="1"/>
    <col min="1031" max="1031" width="8.5546875" style="2758" customWidth="1"/>
    <col min="1032" max="1032" width="8.88671875" style="2758"/>
    <col min="1033" max="1034" width="8.109375" style="2758" customWidth="1"/>
    <col min="1035" max="1035" width="8.88671875" style="2758"/>
    <col min="1036" max="1036" width="8.109375" style="2758" customWidth="1"/>
    <col min="1037" max="1280" width="8.88671875" style="2758"/>
    <col min="1281" max="1281" width="6" style="2758" customWidth="1"/>
    <col min="1282" max="1282" width="16.44140625" style="2758" customWidth="1"/>
    <col min="1283" max="1283" width="8.88671875" style="2758"/>
    <col min="1284" max="1284" width="8.5546875" style="2758" customWidth="1"/>
    <col min="1285" max="1285" width="8.88671875" style="2758"/>
    <col min="1286" max="1286" width="8.44140625" style="2758" customWidth="1"/>
    <col min="1287" max="1287" width="8.5546875" style="2758" customWidth="1"/>
    <col min="1288" max="1288" width="8.88671875" style="2758"/>
    <col min="1289" max="1290" width="8.109375" style="2758" customWidth="1"/>
    <col min="1291" max="1291" width="8.88671875" style="2758"/>
    <col min="1292" max="1292" width="8.109375" style="2758" customWidth="1"/>
    <col min="1293" max="1536" width="8.88671875" style="2758"/>
    <col min="1537" max="1537" width="6" style="2758" customWidth="1"/>
    <col min="1538" max="1538" width="16.44140625" style="2758" customWidth="1"/>
    <col min="1539" max="1539" width="8.88671875" style="2758"/>
    <col min="1540" max="1540" width="8.5546875" style="2758" customWidth="1"/>
    <col min="1541" max="1541" width="8.88671875" style="2758"/>
    <col min="1542" max="1542" width="8.44140625" style="2758" customWidth="1"/>
    <col min="1543" max="1543" width="8.5546875" style="2758" customWidth="1"/>
    <col min="1544" max="1544" width="8.88671875" style="2758"/>
    <col min="1545" max="1546" width="8.109375" style="2758" customWidth="1"/>
    <col min="1547" max="1547" width="8.88671875" style="2758"/>
    <col min="1548" max="1548" width="8.109375" style="2758" customWidth="1"/>
    <col min="1549" max="1792" width="8.88671875" style="2758"/>
    <col min="1793" max="1793" width="6" style="2758" customWidth="1"/>
    <col min="1794" max="1794" width="16.44140625" style="2758" customWidth="1"/>
    <col min="1795" max="1795" width="8.88671875" style="2758"/>
    <col min="1796" max="1796" width="8.5546875" style="2758" customWidth="1"/>
    <col min="1797" max="1797" width="8.88671875" style="2758"/>
    <col min="1798" max="1798" width="8.44140625" style="2758" customWidth="1"/>
    <col min="1799" max="1799" width="8.5546875" style="2758" customWidth="1"/>
    <col min="1800" max="1800" width="8.88671875" style="2758"/>
    <col min="1801" max="1802" width="8.109375" style="2758" customWidth="1"/>
    <col min="1803" max="1803" width="8.88671875" style="2758"/>
    <col min="1804" max="1804" width="8.109375" style="2758" customWidth="1"/>
    <col min="1805" max="2048" width="8.88671875" style="2758"/>
    <col min="2049" max="2049" width="6" style="2758" customWidth="1"/>
    <col min="2050" max="2050" width="16.44140625" style="2758" customWidth="1"/>
    <col min="2051" max="2051" width="8.88671875" style="2758"/>
    <col min="2052" max="2052" width="8.5546875" style="2758" customWidth="1"/>
    <col min="2053" max="2053" width="8.88671875" style="2758"/>
    <col min="2054" max="2054" width="8.44140625" style="2758" customWidth="1"/>
    <col min="2055" max="2055" width="8.5546875" style="2758" customWidth="1"/>
    <col min="2056" max="2056" width="8.88671875" style="2758"/>
    <col min="2057" max="2058" width="8.109375" style="2758" customWidth="1"/>
    <col min="2059" max="2059" width="8.88671875" style="2758"/>
    <col min="2060" max="2060" width="8.109375" style="2758" customWidth="1"/>
    <col min="2061" max="2304" width="8.88671875" style="2758"/>
    <col min="2305" max="2305" width="6" style="2758" customWidth="1"/>
    <col min="2306" max="2306" width="16.44140625" style="2758" customWidth="1"/>
    <col min="2307" max="2307" width="8.88671875" style="2758"/>
    <col min="2308" max="2308" width="8.5546875" style="2758" customWidth="1"/>
    <col min="2309" max="2309" width="8.88671875" style="2758"/>
    <col min="2310" max="2310" width="8.44140625" style="2758" customWidth="1"/>
    <col min="2311" max="2311" width="8.5546875" style="2758" customWidth="1"/>
    <col min="2312" max="2312" width="8.88671875" style="2758"/>
    <col min="2313" max="2314" width="8.109375" style="2758" customWidth="1"/>
    <col min="2315" max="2315" width="8.88671875" style="2758"/>
    <col min="2316" max="2316" width="8.109375" style="2758" customWidth="1"/>
    <col min="2317" max="2560" width="8.88671875" style="2758"/>
    <col min="2561" max="2561" width="6" style="2758" customWidth="1"/>
    <col min="2562" max="2562" width="16.44140625" style="2758" customWidth="1"/>
    <col min="2563" max="2563" width="8.88671875" style="2758"/>
    <col min="2564" max="2564" width="8.5546875" style="2758" customWidth="1"/>
    <col min="2565" max="2565" width="8.88671875" style="2758"/>
    <col min="2566" max="2566" width="8.44140625" style="2758" customWidth="1"/>
    <col min="2567" max="2567" width="8.5546875" style="2758" customWidth="1"/>
    <col min="2568" max="2568" width="8.88671875" style="2758"/>
    <col min="2569" max="2570" width="8.109375" style="2758" customWidth="1"/>
    <col min="2571" max="2571" width="8.88671875" style="2758"/>
    <col min="2572" max="2572" width="8.109375" style="2758" customWidth="1"/>
    <col min="2573" max="2816" width="8.88671875" style="2758"/>
    <col min="2817" max="2817" width="6" style="2758" customWidth="1"/>
    <col min="2818" max="2818" width="16.44140625" style="2758" customWidth="1"/>
    <col min="2819" max="2819" width="8.88671875" style="2758"/>
    <col min="2820" max="2820" width="8.5546875" style="2758" customWidth="1"/>
    <col min="2821" max="2821" width="8.88671875" style="2758"/>
    <col min="2822" max="2822" width="8.44140625" style="2758" customWidth="1"/>
    <col min="2823" max="2823" width="8.5546875" style="2758" customWidth="1"/>
    <col min="2824" max="2824" width="8.88671875" style="2758"/>
    <col min="2825" max="2826" width="8.109375" style="2758" customWidth="1"/>
    <col min="2827" max="2827" width="8.88671875" style="2758"/>
    <col min="2828" max="2828" width="8.109375" style="2758" customWidth="1"/>
    <col min="2829" max="3072" width="8.88671875" style="2758"/>
    <col min="3073" max="3073" width="6" style="2758" customWidth="1"/>
    <col min="3074" max="3074" width="16.44140625" style="2758" customWidth="1"/>
    <col min="3075" max="3075" width="8.88671875" style="2758"/>
    <col min="3076" max="3076" width="8.5546875" style="2758" customWidth="1"/>
    <col min="3077" max="3077" width="8.88671875" style="2758"/>
    <col min="3078" max="3078" width="8.44140625" style="2758" customWidth="1"/>
    <col min="3079" max="3079" width="8.5546875" style="2758" customWidth="1"/>
    <col min="3080" max="3080" width="8.88671875" style="2758"/>
    <col min="3081" max="3082" width="8.109375" style="2758" customWidth="1"/>
    <col min="3083" max="3083" width="8.88671875" style="2758"/>
    <col min="3084" max="3084" width="8.109375" style="2758" customWidth="1"/>
    <col min="3085" max="3328" width="8.88671875" style="2758"/>
    <col min="3329" max="3329" width="6" style="2758" customWidth="1"/>
    <col min="3330" max="3330" width="16.44140625" style="2758" customWidth="1"/>
    <col min="3331" max="3331" width="8.88671875" style="2758"/>
    <col min="3332" max="3332" width="8.5546875" style="2758" customWidth="1"/>
    <col min="3333" max="3333" width="8.88671875" style="2758"/>
    <col min="3334" max="3334" width="8.44140625" style="2758" customWidth="1"/>
    <col min="3335" max="3335" width="8.5546875" style="2758" customWidth="1"/>
    <col min="3336" max="3336" width="8.88671875" style="2758"/>
    <col min="3337" max="3338" width="8.109375" style="2758" customWidth="1"/>
    <col min="3339" max="3339" width="8.88671875" style="2758"/>
    <col min="3340" max="3340" width="8.109375" style="2758" customWidth="1"/>
    <col min="3341" max="3584" width="8.88671875" style="2758"/>
    <col min="3585" max="3585" width="6" style="2758" customWidth="1"/>
    <col min="3586" max="3586" width="16.44140625" style="2758" customWidth="1"/>
    <col min="3587" max="3587" width="8.88671875" style="2758"/>
    <col min="3588" max="3588" width="8.5546875" style="2758" customWidth="1"/>
    <col min="3589" max="3589" width="8.88671875" style="2758"/>
    <col min="3590" max="3590" width="8.44140625" style="2758" customWidth="1"/>
    <col min="3591" max="3591" width="8.5546875" style="2758" customWidth="1"/>
    <col min="3592" max="3592" width="8.88671875" style="2758"/>
    <col min="3593" max="3594" width="8.109375" style="2758" customWidth="1"/>
    <col min="3595" max="3595" width="8.88671875" style="2758"/>
    <col min="3596" max="3596" width="8.109375" style="2758" customWidth="1"/>
    <col min="3597" max="3840" width="8.88671875" style="2758"/>
    <col min="3841" max="3841" width="6" style="2758" customWidth="1"/>
    <col min="3842" max="3842" width="16.44140625" style="2758" customWidth="1"/>
    <col min="3843" max="3843" width="8.88671875" style="2758"/>
    <col min="3844" max="3844" width="8.5546875" style="2758" customWidth="1"/>
    <col min="3845" max="3845" width="8.88671875" style="2758"/>
    <col min="3846" max="3846" width="8.44140625" style="2758" customWidth="1"/>
    <col min="3847" max="3847" width="8.5546875" style="2758" customWidth="1"/>
    <col min="3848" max="3848" width="8.88671875" style="2758"/>
    <col min="3849" max="3850" width="8.109375" style="2758" customWidth="1"/>
    <col min="3851" max="3851" width="8.88671875" style="2758"/>
    <col min="3852" max="3852" width="8.109375" style="2758" customWidth="1"/>
    <col min="3853" max="4096" width="8.88671875" style="2758"/>
    <col min="4097" max="4097" width="6" style="2758" customWidth="1"/>
    <col min="4098" max="4098" width="16.44140625" style="2758" customWidth="1"/>
    <col min="4099" max="4099" width="8.88671875" style="2758"/>
    <col min="4100" max="4100" width="8.5546875" style="2758" customWidth="1"/>
    <col min="4101" max="4101" width="8.88671875" style="2758"/>
    <col min="4102" max="4102" width="8.44140625" style="2758" customWidth="1"/>
    <col min="4103" max="4103" width="8.5546875" style="2758" customWidth="1"/>
    <col min="4104" max="4104" width="8.88671875" style="2758"/>
    <col min="4105" max="4106" width="8.109375" style="2758" customWidth="1"/>
    <col min="4107" max="4107" width="8.88671875" style="2758"/>
    <col min="4108" max="4108" width="8.109375" style="2758" customWidth="1"/>
    <col min="4109" max="4352" width="8.88671875" style="2758"/>
    <col min="4353" max="4353" width="6" style="2758" customWidth="1"/>
    <col min="4354" max="4354" width="16.44140625" style="2758" customWidth="1"/>
    <col min="4355" max="4355" width="8.88671875" style="2758"/>
    <col min="4356" max="4356" width="8.5546875" style="2758" customWidth="1"/>
    <col min="4357" max="4357" width="8.88671875" style="2758"/>
    <col min="4358" max="4358" width="8.44140625" style="2758" customWidth="1"/>
    <col min="4359" max="4359" width="8.5546875" style="2758" customWidth="1"/>
    <col min="4360" max="4360" width="8.88671875" style="2758"/>
    <col min="4361" max="4362" width="8.109375" style="2758" customWidth="1"/>
    <col min="4363" max="4363" width="8.88671875" style="2758"/>
    <col min="4364" max="4364" width="8.109375" style="2758" customWidth="1"/>
    <col min="4365" max="4608" width="8.88671875" style="2758"/>
    <col min="4609" max="4609" width="6" style="2758" customWidth="1"/>
    <col min="4610" max="4610" width="16.44140625" style="2758" customWidth="1"/>
    <col min="4611" max="4611" width="8.88671875" style="2758"/>
    <col min="4612" max="4612" width="8.5546875" style="2758" customWidth="1"/>
    <col min="4613" max="4613" width="8.88671875" style="2758"/>
    <col min="4614" max="4614" width="8.44140625" style="2758" customWidth="1"/>
    <col min="4615" max="4615" width="8.5546875" style="2758" customWidth="1"/>
    <col min="4616" max="4616" width="8.88671875" style="2758"/>
    <col min="4617" max="4618" width="8.109375" style="2758" customWidth="1"/>
    <col min="4619" max="4619" width="8.88671875" style="2758"/>
    <col min="4620" max="4620" width="8.109375" style="2758" customWidth="1"/>
    <col min="4621" max="4864" width="8.88671875" style="2758"/>
    <col min="4865" max="4865" width="6" style="2758" customWidth="1"/>
    <col min="4866" max="4866" width="16.44140625" style="2758" customWidth="1"/>
    <col min="4867" max="4867" width="8.88671875" style="2758"/>
    <col min="4868" max="4868" width="8.5546875" style="2758" customWidth="1"/>
    <col min="4869" max="4869" width="8.88671875" style="2758"/>
    <col min="4870" max="4870" width="8.44140625" style="2758" customWidth="1"/>
    <col min="4871" max="4871" width="8.5546875" style="2758" customWidth="1"/>
    <col min="4872" max="4872" width="8.88671875" style="2758"/>
    <col min="4873" max="4874" width="8.109375" style="2758" customWidth="1"/>
    <col min="4875" max="4875" width="8.88671875" style="2758"/>
    <col min="4876" max="4876" width="8.109375" style="2758" customWidth="1"/>
    <col min="4877" max="5120" width="8.88671875" style="2758"/>
    <col min="5121" max="5121" width="6" style="2758" customWidth="1"/>
    <col min="5122" max="5122" width="16.44140625" style="2758" customWidth="1"/>
    <col min="5123" max="5123" width="8.88671875" style="2758"/>
    <col min="5124" max="5124" width="8.5546875" style="2758" customWidth="1"/>
    <col min="5125" max="5125" width="8.88671875" style="2758"/>
    <col min="5126" max="5126" width="8.44140625" style="2758" customWidth="1"/>
    <col min="5127" max="5127" width="8.5546875" style="2758" customWidth="1"/>
    <col min="5128" max="5128" width="8.88671875" style="2758"/>
    <col min="5129" max="5130" width="8.109375" style="2758" customWidth="1"/>
    <col min="5131" max="5131" width="8.88671875" style="2758"/>
    <col min="5132" max="5132" width="8.109375" style="2758" customWidth="1"/>
    <col min="5133" max="5376" width="8.88671875" style="2758"/>
    <col min="5377" max="5377" width="6" style="2758" customWidth="1"/>
    <col min="5378" max="5378" width="16.44140625" style="2758" customWidth="1"/>
    <col min="5379" max="5379" width="8.88671875" style="2758"/>
    <col min="5380" max="5380" width="8.5546875" style="2758" customWidth="1"/>
    <col min="5381" max="5381" width="8.88671875" style="2758"/>
    <col min="5382" max="5382" width="8.44140625" style="2758" customWidth="1"/>
    <col min="5383" max="5383" width="8.5546875" style="2758" customWidth="1"/>
    <col min="5384" max="5384" width="8.88671875" style="2758"/>
    <col min="5385" max="5386" width="8.109375" style="2758" customWidth="1"/>
    <col min="5387" max="5387" width="8.88671875" style="2758"/>
    <col min="5388" max="5388" width="8.109375" style="2758" customWidth="1"/>
    <col min="5389" max="5632" width="8.88671875" style="2758"/>
    <col min="5633" max="5633" width="6" style="2758" customWidth="1"/>
    <col min="5634" max="5634" width="16.44140625" style="2758" customWidth="1"/>
    <col min="5635" max="5635" width="8.88671875" style="2758"/>
    <col min="5636" max="5636" width="8.5546875" style="2758" customWidth="1"/>
    <col min="5637" max="5637" width="8.88671875" style="2758"/>
    <col min="5638" max="5638" width="8.44140625" style="2758" customWidth="1"/>
    <col min="5639" max="5639" width="8.5546875" style="2758" customWidth="1"/>
    <col min="5640" max="5640" width="8.88671875" style="2758"/>
    <col min="5641" max="5642" width="8.109375" style="2758" customWidth="1"/>
    <col min="5643" max="5643" width="8.88671875" style="2758"/>
    <col min="5644" max="5644" width="8.109375" style="2758" customWidth="1"/>
    <col min="5645" max="5888" width="8.88671875" style="2758"/>
    <col min="5889" max="5889" width="6" style="2758" customWidth="1"/>
    <col min="5890" max="5890" width="16.44140625" style="2758" customWidth="1"/>
    <col min="5891" max="5891" width="8.88671875" style="2758"/>
    <col min="5892" max="5892" width="8.5546875" style="2758" customWidth="1"/>
    <col min="5893" max="5893" width="8.88671875" style="2758"/>
    <col min="5894" max="5894" width="8.44140625" style="2758" customWidth="1"/>
    <col min="5895" max="5895" width="8.5546875" style="2758" customWidth="1"/>
    <col min="5896" max="5896" width="8.88671875" style="2758"/>
    <col min="5897" max="5898" width="8.109375" style="2758" customWidth="1"/>
    <col min="5899" max="5899" width="8.88671875" style="2758"/>
    <col min="5900" max="5900" width="8.109375" style="2758" customWidth="1"/>
    <col min="5901" max="6144" width="8.88671875" style="2758"/>
    <col min="6145" max="6145" width="6" style="2758" customWidth="1"/>
    <col min="6146" max="6146" width="16.44140625" style="2758" customWidth="1"/>
    <col min="6147" max="6147" width="8.88671875" style="2758"/>
    <col min="6148" max="6148" width="8.5546875" style="2758" customWidth="1"/>
    <col min="6149" max="6149" width="8.88671875" style="2758"/>
    <col min="6150" max="6150" width="8.44140625" style="2758" customWidth="1"/>
    <col min="6151" max="6151" width="8.5546875" style="2758" customWidth="1"/>
    <col min="6152" max="6152" width="8.88671875" style="2758"/>
    <col min="6153" max="6154" width="8.109375" style="2758" customWidth="1"/>
    <col min="6155" max="6155" width="8.88671875" style="2758"/>
    <col min="6156" max="6156" width="8.109375" style="2758" customWidth="1"/>
    <col min="6157" max="6400" width="8.88671875" style="2758"/>
    <col min="6401" max="6401" width="6" style="2758" customWidth="1"/>
    <col min="6402" max="6402" width="16.44140625" style="2758" customWidth="1"/>
    <col min="6403" max="6403" width="8.88671875" style="2758"/>
    <col min="6404" max="6404" width="8.5546875" style="2758" customWidth="1"/>
    <col min="6405" max="6405" width="8.88671875" style="2758"/>
    <col min="6406" max="6406" width="8.44140625" style="2758" customWidth="1"/>
    <col min="6407" max="6407" width="8.5546875" style="2758" customWidth="1"/>
    <col min="6408" max="6408" width="8.88671875" style="2758"/>
    <col min="6409" max="6410" width="8.109375" style="2758" customWidth="1"/>
    <col min="6411" max="6411" width="8.88671875" style="2758"/>
    <col min="6412" max="6412" width="8.109375" style="2758" customWidth="1"/>
    <col min="6413" max="6656" width="8.88671875" style="2758"/>
    <col min="6657" max="6657" width="6" style="2758" customWidth="1"/>
    <col min="6658" max="6658" width="16.44140625" style="2758" customWidth="1"/>
    <col min="6659" max="6659" width="8.88671875" style="2758"/>
    <col min="6660" max="6660" width="8.5546875" style="2758" customWidth="1"/>
    <col min="6661" max="6661" width="8.88671875" style="2758"/>
    <col min="6662" max="6662" width="8.44140625" style="2758" customWidth="1"/>
    <col min="6663" max="6663" width="8.5546875" style="2758" customWidth="1"/>
    <col min="6664" max="6664" width="8.88671875" style="2758"/>
    <col min="6665" max="6666" width="8.109375" style="2758" customWidth="1"/>
    <col min="6667" max="6667" width="8.88671875" style="2758"/>
    <col min="6668" max="6668" width="8.109375" style="2758" customWidth="1"/>
    <col min="6669" max="6912" width="8.88671875" style="2758"/>
    <col min="6913" max="6913" width="6" style="2758" customWidth="1"/>
    <col min="6914" max="6914" width="16.44140625" style="2758" customWidth="1"/>
    <col min="6915" max="6915" width="8.88671875" style="2758"/>
    <col min="6916" max="6916" width="8.5546875" style="2758" customWidth="1"/>
    <col min="6917" max="6917" width="8.88671875" style="2758"/>
    <col min="6918" max="6918" width="8.44140625" style="2758" customWidth="1"/>
    <col min="6919" max="6919" width="8.5546875" style="2758" customWidth="1"/>
    <col min="6920" max="6920" width="8.88671875" style="2758"/>
    <col min="6921" max="6922" width="8.109375" style="2758" customWidth="1"/>
    <col min="6923" max="6923" width="8.88671875" style="2758"/>
    <col min="6924" max="6924" width="8.109375" style="2758" customWidth="1"/>
    <col min="6925" max="7168" width="8.88671875" style="2758"/>
    <col min="7169" max="7169" width="6" style="2758" customWidth="1"/>
    <col min="7170" max="7170" width="16.44140625" style="2758" customWidth="1"/>
    <col min="7171" max="7171" width="8.88671875" style="2758"/>
    <col min="7172" max="7172" width="8.5546875" style="2758" customWidth="1"/>
    <col min="7173" max="7173" width="8.88671875" style="2758"/>
    <col min="7174" max="7174" width="8.44140625" style="2758" customWidth="1"/>
    <col min="7175" max="7175" width="8.5546875" style="2758" customWidth="1"/>
    <col min="7176" max="7176" width="8.88671875" style="2758"/>
    <col min="7177" max="7178" width="8.109375" style="2758" customWidth="1"/>
    <col min="7179" max="7179" width="8.88671875" style="2758"/>
    <col min="7180" max="7180" width="8.109375" style="2758" customWidth="1"/>
    <col min="7181" max="7424" width="8.88671875" style="2758"/>
    <col min="7425" max="7425" width="6" style="2758" customWidth="1"/>
    <col min="7426" max="7426" width="16.44140625" style="2758" customWidth="1"/>
    <col min="7427" max="7427" width="8.88671875" style="2758"/>
    <col min="7428" max="7428" width="8.5546875" style="2758" customWidth="1"/>
    <col min="7429" max="7429" width="8.88671875" style="2758"/>
    <col min="7430" max="7430" width="8.44140625" style="2758" customWidth="1"/>
    <col min="7431" max="7431" width="8.5546875" style="2758" customWidth="1"/>
    <col min="7432" max="7432" width="8.88671875" style="2758"/>
    <col min="7433" max="7434" width="8.109375" style="2758" customWidth="1"/>
    <col min="7435" max="7435" width="8.88671875" style="2758"/>
    <col min="7436" max="7436" width="8.109375" style="2758" customWidth="1"/>
    <col min="7437" max="7680" width="8.88671875" style="2758"/>
    <col min="7681" max="7681" width="6" style="2758" customWidth="1"/>
    <col min="7682" max="7682" width="16.44140625" style="2758" customWidth="1"/>
    <col min="7683" max="7683" width="8.88671875" style="2758"/>
    <col min="7684" max="7684" width="8.5546875" style="2758" customWidth="1"/>
    <col min="7685" max="7685" width="8.88671875" style="2758"/>
    <col min="7686" max="7686" width="8.44140625" style="2758" customWidth="1"/>
    <col min="7687" max="7687" width="8.5546875" style="2758" customWidth="1"/>
    <col min="7688" max="7688" width="8.88671875" style="2758"/>
    <col min="7689" max="7690" width="8.109375" style="2758" customWidth="1"/>
    <col min="7691" max="7691" width="8.88671875" style="2758"/>
    <col min="7692" max="7692" width="8.109375" style="2758" customWidth="1"/>
    <col min="7693" max="7936" width="8.88671875" style="2758"/>
    <col min="7937" max="7937" width="6" style="2758" customWidth="1"/>
    <col min="7938" max="7938" width="16.44140625" style="2758" customWidth="1"/>
    <col min="7939" max="7939" width="8.88671875" style="2758"/>
    <col min="7940" max="7940" width="8.5546875" style="2758" customWidth="1"/>
    <col min="7941" max="7941" width="8.88671875" style="2758"/>
    <col min="7942" max="7942" width="8.44140625" style="2758" customWidth="1"/>
    <col min="7943" max="7943" width="8.5546875" style="2758" customWidth="1"/>
    <col min="7944" max="7944" width="8.88671875" style="2758"/>
    <col min="7945" max="7946" width="8.109375" style="2758" customWidth="1"/>
    <col min="7947" max="7947" width="8.88671875" style="2758"/>
    <col min="7948" max="7948" width="8.109375" style="2758" customWidth="1"/>
    <col min="7949" max="8192" width="8.88671875" style="2758"/>
    <col min="8193" max="8193" width="6" style="2758" customWidth="1"/>
    <col min="8194" max="8194" width="16.44140625" style="2758" customWidth="1"/>
    <col min="8195" max="8195" width="8.88671875" style="2758"/>
    <col min="8196" max="8196" width="8.5546875" style="2758" customWidth="1"/>
    <col min="8197" max="8197" width="8.88671875" style="2758"/>
    <col min="8198" max="8198" width="8.44140625" style="2758" customWidth="1"/>
    <col min="8199" max="8199" width="8.5546875" style="2758" customWidth="1"/>
    <col min="8200" max="8200" width="8.88671875" style="2758"/>
    <col min="8201" max="8202" width="8.109375" style="2758" customWidth="1"/>
    <col min="8203" max="8203" width="8.88671875" style="2758"/>
    <col min="8204" max="8204" width="8.109375" style="2758" customWidth="1"/>
    <col min="8205" max="8448" width="8.88671875" style="2758"/>
    <col min="8449" max="8449" width="6" style="2758" customWidth="1"/>
    <col min="8450" max="8450" width="16.44140625" style="2758" customWidth="1"/>
    <col min="8451" max="8451" width="8.88671875" style="2758"/>
    <col min="8452" max="8452" width="8.5546875" style="2758" customWidth="1"/>
    <col min="8453" max="8453" width="8.88671875" style="2758"/>
    <col min="8454" max="8454" width="8.44140625" style="2758" customWidth="1"/>
    <col min="8455" max="8455" width="8.5546875" style="2758" customWidth="1"/>
    <col min="8456" max="8456" width="8.88671875" style="2758"/>
    <col min="8457" max="8458" width="8.109375" style="2758" customWidth="1"/>
    <col min="8459" max="8459" width="8.88671875" style="2758"/>
    <col min="8460" max="8460" width="8.109375" style="2758" customWidth="1"/>
    <col min="8461" max="8704" width="8.88671875" style="2758"/>
    <col min="8705" max="8705" width="6" style="2758" customWidth="1"/>
    <col min="8706" max="8706" width="16.44140625" style="2758" customWidth="1"/>
    <col min="8707" max="8707" width="8.88671875" style="2758"/>
    <col min="8708" max="8708" width="8.5546875" style="2758" customWidth="1"/>
    <col min="8709" max="8709" width="8.88671875" style="2758"/>
    <col min="8710" max="8710" width="8.44140625" style="2758" customWidth="1"/>
    <col min="8711" max="8711" width="8.5546875" style="2758" customWidth="1"/>
    <col min="8712" max="8712" width="8.88671875" style="2758"/>
    <col min="8713" max="8714" width="8.109375" style="2758" customWidth="1"/>
    <col min="8715" max="8715" width="8.88671875" style="2758"/>
    <col min="8716" max="8716" width="8.109375" style="2758" customWidth="1"/>
    <col min="8717" max="8960" width="8.88671875" style="2758"/>
    <col min="8961" max="8961" width="6" style="2758" customWidth="1"/>
    <col min="8962" max="8962" width="16.44140625" style="2758" customWidth="1"/>
    <col min="8963" max="8963" width="8.88671875" style="2758"/>
    <col min="8964" max="8964" width="8.5546875" style="2758" customWidth="1"/>
    <col min="8965" max="8965" width="8.88671875" style="2758"/>
    <col min="8966" max="8966" width="8.44140625" style="2758" customWidth="1"/>
    <col min="8967" max="8967" width="8.5546875" style="2758" customWidth="1"/>
    <col min="8968" max="8968" width="8.88671875" style="2758"/>
    <col min="8969" max="8970" width="8.109375" style="2758" customWidth="1"/>
    <col min="8971" max="8971" width="8.88671875" style="2758"/>
    <col min="8972" max="8972" width="8.109375" style="2758" customWidth="1"/>
    <col min="8973" max="9216" width="8.88671875" style="2758"/>
    <col min="9217" max="9217" width="6" style="2758" customWidth="1"/>
    <col min="9218" max="9218" width="16.44140625" style="2758" customWidth="1"/>
    <col min="9219" max="9219" width="8.88671875" style="2758"/>
    <col min="9220" max="9220" width="8.5546875" style="2758" customWidth="1"/>
    <col min="9221" max="9221" width="8.88671875" style="2758"/>
    <col min="9222" max="9222" width="8.44140625" style="2758" customWidth="1"/>
    <col min="9223" max="9223" width="8.5546875" style="2758" customWidth="1"/>
    <col min="9224" max="9224" width="8.88671875" style="2758"/>
    <col min="9225" max="9226" width="8.109375" style="2758" customWidth="1"/>
    <col min="9227" max="9227" width="8.88671875" style="2758"/>
    <col min="9228" max="9228" width="8.109375" style="2758" customWidth="1"/>
    <col min="9229" max="9472" width="8.88671875" style="2758"/>
    <col min="9473" max="9473" width="6" style="2758" customWidth="1"/>
    <col min="9474" max="9474" width="16.44140625" style="2758" customWidth="1"/>
    <col min="9475" max="9475" width="8.88671875" style="2758"/>
    <col min="9476" max="9476" width="8.5546875" style="2758" customWidth="1"/>
    <col min="9477" max="9477" width="8.88671875" style="2758"/>
    <col min="9478" max="9478" width="8.44140625" style="2758" customWidth="1"/>
    <col min="9479" max="9479" width="8.5546875" style="2758" customWidth="1"/>
    <col min="9480" max="9480" width="8.88671875" style="2758"/>
    <col min="9481" max="9482" width="8.109375" style="2758" customWidth="1"/>
    <col min="9483" max="9483" width="8.88671875" style="2758"/>
    <col min="9484" max="9484" width="8.109375" style="2758" customWidth="1"/>
    <col min="9485" max="9728" width="8.88671875" style="2758"/>
    <col min="9729" max="9729" width="6" style="2758" customWidth="1"/>
    <col min="9730" max="9730" width="16.44140625" style="2758" customWidth="1"/>
    <col min="9731" max="9731" width="8.88671875" style="2758"/>
    <col min="9732" max="9732" width="8.5546875" style="2758" customWidth="1"/>
    <col min="9733" max="9733" width="8.88671875" style="2758"/>
    <col min="9734" max="9734" width="8.44140625" style="2758" customWidth="1"/>
    <col min="9735" max="9735" width="8.5546875" style="2758" customWidth="1"/>
    <col min="9736" max="9736" width="8.88671875" style="2758"/>
    <col min="9737" max="9738" width="8.109375" style="2758" customWidth="1"/>
    <col min="9739" max="9739" width="8.88671875" style="2758"/>
    <col min="9740" max="9740" width="8.109375" style="2758" customWidth="1"/>
    <col min="9741" max="9984" width="8.88671875" style="2758"/>
    <col min="9985" max="9985" width="6" style="2758" customWidth="1"/>
    <col min="9986" max="9986" width="16.44140625" style="2758" customWidth="1"/>
    <col min="9987" max="9987" width="8.88671875" style="2758"/>
    <col min="9988" max="9988" width="8.5546875" style="2758" customWidth="1"/>
    <col min="9989" max="9989" width="8.88671875" style="2758"/>
    <col min="9990" max="9990" width="8.44140625" style="2758" customWidth="1"/>
    <col min="9991" max="9991" width="8.5546875" style="2758" customWidth="1"/>
    <col min="9992" max="9992" width="8.88671875" style="2758"/>
    <col min="9993" max="9994" width="8.109375" style="2758" customWidth="1"/>
    <col min="9995" max="9995" width="8.88671875" style="2758"/>
    <col min="9996" max="9996" width="8.109375" style="2758" customWidth="1"/>
    <col min="9997" max="10240" width="8.88671875" style="2758"/>
    <col min="10241" max="10241" width="6" style="2758" customWidth="1"/>
    <col min="10242" max="10242" width="16.44140625" style="2758" customWidth="1"/>
    <col min="10243" max="10243" width="8.88671875" style="2758"/>
    <col min="10244" max="10244" width="8.5546875" style="2758" customWidth="1"/>
    <col min="10245" max="10245" width="8.88671875" style="2758"/>
    <col min="10246" max="10246" width="8.44140625" style="2758" customWidth="1"/>
    <col min="10247" max="10247" width="8.5546875" style="2758" customWidth="1"/>
    <col min="10248" max="10248" width="8.88671875" style="2758"/>
    <col min="10249" max="10250" width="8.109375" style="2758" customWidth="1"/>
    <col min="10251" max="10251" width="8.88671875" style="2758"/>
    <col min="10252" max="10252" width="8.109375" style="2758" customWidth="1"/>
    <col min="10253" max="10496" width="8.88671875" style="2758"/>
    <col min="10497" max="10497" width="6" style="2758" customWidth="1"/>
    <col min="10498" max="10498" width="16.44140625" style="2758" customWidth="1"/>
    <col min="10499" max="10499" width="8.88671875" style="2758"/>
    <col min="10500" max="10500" width="8.5546875" style="2758" customWidth="1"/>
    <col min="10501" max="10501" width="8.88671875" style="2758"/>
    <col min="10502" max="10502" width="8.44140625" style="2758" customWidth="1"/>
    <col min="10503" max="10503" width="8.5546875" style="2758" customWidth="1"/>
    <col min="10504" max="10504" width="8.88671875" style="2758"/>
    <col min="10505" max="10506" width="8.109375" style="2758" customWidth="1"/>
    <col min="10507" max="10507" width="8.88671875" style="2758"/>
    <col min="10508" max="10508" width="8.109375" style="2758" customWidth="1"/>
    <col min="10509" max="10752" width="8.88671875" style="2758"/>
    <col min="10753" max="10753" width="6" style="2758" customWidth="1"/>
    <col min="10754" max="10754" width="16.44140625" style="2758" customWidth="1"/>
    <col min="10755" max="10755" width="8.88671875" style="2758"/>
    <col min="10756" max="10756" width="8.5546875" style="2758" customWidth="1"/>
    <col min="10757" max="10757" width="8.88671875" style="2758"/>
    <col min="10758" max="10758" width="8.44140625" style="2758" customWidth="1"/>
    <col min="10759" max="10759" width="8.5546875" style="2758" customWidth="1"/>
    <col min="10760" max="10760" width="8.88671875" style="2758"/>
    <col min="10761" max="10762" width="8.109375" style="2758" customWidth="1"/>
    <col min="10763" max="10763" width="8.88671875" style="2758"/>
    <col min="10764" max="10764" width="8.109375" style="2758" customWidth="1"/>
    <col min="10765" max="11008" width="8.88671875" style="2758"/>
    <col min="11009" max="11009" width="6" style="2758" customWidth="1"/>
    <col min="11010" max="11010" width="16.44140625" style="2758" customWidth="1"/>
    <col min="11011" max="11011" width="8.88671875" style="2758"/>
    <col min="11012" max="11012" width="8.5546875" style="2758" customWidth="1"/>
    <col min="11013" max="11013" width="8.88671875" style="2758"/>
    <col min="11014" max="11014" width="8.44140625" style="2758" customWidth="1"/>
    <col min="11015" max="11015" width="8.5546875" style="2758" customWidth="1"/>
    <col min="11016" max="11016" width="8.88671875" style="2758"/>
    <col min="11017" max="11018" width="8.109375" style="2758" customWidth="1"/>
    <col min="11019" max="11019" width="8.88671875" style="2758"/>
    <col min="11020" max="11020" width="8.109375" style="2758" customWidth="1"/>
    <col min="11021" max="11264" width="8.88671875" style="2758"/>
    <col min="11265" max="11265" width="6" style="2758" customWidth="1"/>
    <col min="11266" max="11266" width="16.44140625" style="2758" customWidth="1"/>
    <col min="11267" max="11267" width="8.88671875" style="2758"/>
    <col min="11268" max="11268" width="8.5546875" style="2758" customWidth="1"/>
    <col min="11269" max="11269" width="8.88671875" style="2758"/>
    <col min="11270" max="11270" width="8.44140625" style="2758" customWidth="1"/>
    <col min="11271" max="11271" width="8.5546875" style="2758" customWidth="1"/>
    <col min="11272" max="11272" width="8.88671875" style="2758"/>
    <col min="11273" max="11274" width="8.109375" style="2758" customWidth="1"/>
    <col min="11275" max="11275" width="8.88671875" style="2758"/>
    <col min="11276" max="11276" width="8.109375" style="2758" customWidth="1"/>
    <col min="11277" max="11520" width="8.88671875" style="2758"/>
    <col min="11521" max="11521" width="6" style="2758" customWidth="1"/>
    <col min="11522" max="11522" width="16.44140625" style="2758" customWidth="1"/>
    <col min="11523" max="11523" width="8.88671875" style="2758"/>
    <col min="11524" max="11524" width="8.5546875" style="2758" customWidth="1"/>
    <col min="11525" max="11525" width="8.88671875" style="2758"/>
    <col min="11526" max="11526" width="8.44140625" style="2758" customWidth="1"/>
    <col min="11527" max="11527" width="8.5546875" style="2758" customWidth="1"/>
    <col min="11528" max="11528" width="8.88671875" style="2758"/>
    <col min="11529" max="11530" width="8.109375" style="2758" customWidth="1"/>
    <col min="11531" max="11531" width="8.88671875" style="2758"/>
    <col min="11532" max="11532" width="8.109375" style="2758" customWidth="1"/>
    <col min="11533" max="11776" width="8.88671875" style="2758"/>
    <col min="11777" max="11777" width="6" style="2758" customWidth="1"/>
    <col min="11778" max="11778" width="16.44140625" style="2758" customWidth="1"/>
    <col min="11779" max="11779" width="8.88671875" style="2758"/>
    <col min="11780" max="11780" width="8.5546875" style="2758" customWidth="1"/>
    <col min="11781" max="11781" width="8.88671875" style="2758"/>
    <col min="11782" max="11782" width="8.44140625" style="2758" customWidth="1"/>
    <col min="11783" max="11783" width="8.5546875" style="2758" customWidth="1"/>
    <col min="11784" max="11784" width="8.88671875" style="2758"/>
    <col min="11785" max="11786" width="8.109375" style="2758" customWidth="1"/>
    <col min="11787" max="11787" width="8.88671875" style="2758"/>
    <col min="11788" max="11788" width="8.109375" style="2758" customWidth="1"/>
    <col min="11789" max="12032" width="8.88671875" style="2758"/>
    <col min="12033" max="12033" width="6" style="2758" customWidth="1"/>
    <col min="12034" max="12034" width="16.44140625" style="2758" customWidth="1"/>
    <col min="12035" max="12035" width="8.88671875" style="2758"/>
    <col min="12036" max="12036" width="8.5546875" style="2758" customWidth="1"/>
    <col min="12037" max="12037" width="8.88671875" style="2758"/>
    <col min="12038" max="12038" width="8.44140625" style="2758" customWidth="1"/>
    <col min="12039" max="12039" width="8.5546875" style="2758" customWidth="1"/>
    <col min="12040" max="12040" width="8.88671875" style="2758"/>
    <col min="12041" max="12042" width="8.109375" style="2758" customWidth="1"/>
    <col min="12043" max="12043" width="8.88671875" style="2758"/>
    <col min="12044" max="12044" width="8.109375" style="2758" customWidth="1"/>
    <col min="12045" max="12288" width="8.88671875" style="2758"/>
    <col min="12289" max="12289" width="6" style="2758" customWidth="1"/>
    <col min="12290" max="12290" width="16.44140625" style="2758" customWidth="1"/>
    <col min="12291" max="12291" width="8.88671875" style="2758"/>
    <col min="12292" max="12292" width="8.5546875" style="2758" customWidth="1"/>
    <col min="12293" max="12293" width="8.88671875" style="2758"/>
    <col min="12294" max="12294" width="8.44140625" style="2758" customWidth="1"/>
    <col min="12295" max="12295" width="8.5546875" style="2758" customWidth="1"/>
    <col min="12296" max="12296" width="8.88671875" style="2758"/>
    <col min="12297" max="12298" width="8.109375" style="2758" customWidth="1"/>
    <col min="12299" max="12299" width="8.88671875" style="2758"/>
    <col min="12300" max="12300" width="8.109375" style="2758" customWidth="1"/>
    <col min="12301" max="12544" width="8.88671875" style="2758"/>
    <col min="12545" max="12545" width="6" style="2758" customWidth="1"/>
    <col min="12546" max="12546" width="16.44140625" style="2758" customWidth="1"/>
    <col min="12547" max="12547" width="8.88671875" style="2758"/>
    <col min="12548" max="12548" width="8.5546875" style="2758" customWidth="1"/>
    <col min="12549" max="12549" width="8.88671875" style="2758"/>
    <col min="12550" max="12550" width="8.44140625" style="2758" customWidth="1"/>
    <col min="12551" max="12551" width="8.5546875" style="2758" customWidth="1"/>
    <col min="12552" max="12552" width="8.88671875" style="2758"/>
    <col min="12553" max="12554" width="8.109375" style="2758" customWidth="1"/>
    <col min="12555" max="12555" width="8.88671875" style="2758"/>
    <col min="12556" max="12556" width="8.109375" style="2758" customWidth="1"/>
    <col min="12557" max="12800" width="8.88671875" style="2758"/>
    <col min="12801" max="12801" width="6" style="2758" customWidth="1"/>
    <col min="12802" max="12802" width="16.44140625" style="2758" customWidth="1"/>
    <col min="12803" max="12803" width="8.88671875" style="2758"/>
    <col min="12804" max="12804" width="8.5546875" style="2758" customWidth="1"/>
    <col min="12805" max="12805" width="8.88671875" style="2758"/>
    <col min="12806" max="12806" width="8.44140625" style="2758" customWidth="1"/>
    <col min="12807" max="12807" width="8.5546875" style="2758" customWidth="1"/>
    <col min="12808" max="12808" width="8.88671875" style="2758"/>
    <col min="12809" max="12810" width="8.109375" style="2758" customWidth="1"/>
    <col min="12811" max="12811" width="8.88671875" style="2758"/>
    <col min="12812" max="12812" width="8.109375" style="2758" customWidth="1"/>
    <col min="12813" max="13056" width="8.88671875" style="2758"/>
    <col min="13057" max="13057" width="6" style="2758" customWidth="1"/>
    <col min="13058" max="13058" width="16.44140625" style="2758" customWidth="1"/>
    <col min="13059" max="13059" width="8.88671875" style="2758"/>
    <col min="13060" max="13060" width="8.5546875" style="2758" customWidth="1"/>
    <col min="13061" max="13061" width="8.88671875" style="2758"/>
    <col min="13062" max="13062" width="8.44140625" style="2758" customWidth="1"/>
    <col min="13063" max="13063" width="8.5546875" style="2758" customWidth="1"/>
    <col min="13064" max="13064" width="8.88671875" style="2758"/>
    <col min="13065" max="13066" width="8.109375" style="2758" customWidth="1"/>
    <col min="13067" max="13067" width="8.88671875" style="2758"/>
    <col min="13068" max="13068" width="8.109375" style="2758" customWidth="1"/>
    <col min="13069" max="13312" width="8.88671875" style="2758"/>
    <col min="13313" max="13313" width="6" style="2758" customWidth="1"/>
    <col min="13314" max="13314" width="16.44140625" style="2758" customWidth="1"/>
    <col min="13315" max="13315" width="8.88671875" style="2758"/>
    <col min="13316" max="13316" width="8.5546875" style="2758" customWidth="1"/>
    <col min="13317" max="13317" width="8.88671875" style="2758"/>
    <col min="13318" max="13318" width="8.44140625" style="2758" customWidth="1"/>
    <col min="13319" max="13319" width="8.5546875" style="2758" customWidth="1"/>
    <col min="13320" max="13320" width="8.88671875" style="2758"/>
    <col min="13321" max="13322" width="8.109375" style="2758" customWidth="1"/>
    <col min="13323" max="13323" width="8.88671875" style="2758"/>
    <col min="13324" max="13324" width="8.109375" style="2758" customWidth="1"/>
    <col min="13325" max="13568" width="8.88671875" style="2758"/>
    <col min="13569" max="13569" width="6" style="2758" customWidth="1"/>
    <col min="13570" max="13570" width="16.44140625" style="2758" customWidth="1"/>
    <col min="13571" max="13571" width="8.88671875" style="2758"/>
    <col min="13572" max="13572" width="8.5546875" style="2758" customWidth="1"/>
    <col min="13573" max="13573" width="8.88671875" style="2758"/>
    <col min="13574" max="13574" width="8.44140625" style="2758" customWidth="1"/>
    <col min="13575" max="13575" width="8.5546875" style="2758" customWidth="1"/>
    <col min="13576" max="13576" width="8.88671875" style="2758"/>
    <col min="13577" max="13578" width="8.109375" style="2758" customWidth="1"/>
    <col min="13579" max="13579" width="8.88671875" style="2758"/>
    <col min="13580" max="13580" width="8.109375" style="2758" customWidth="1"/>
    <col min="13581" max="13824" width="8.88671875" style="2758"/>
    <col min="13825" max="13825" width="6" style="2758" customWidth="1"/>
    <col min="13826" max="13826" width="16.44140625" style="2758" customWidth="1"/>
    <col min="13827" max="13827" width="8.88671875" style="2758"/>
    <col min="13828" max="13828" width="8.5546875" style="2758" customWidth="1"/>
    <col min="13829" max="13829" width="8.88671875" style="2758"/>
    <col min="13830" max="13830" width="8.44140625" style="2758" customWidth="1"/>
    <col min="13831" max="13831" width="8.5546875" style="2758" customWidth="1"/>
    <col min="13832" max="13832" width="8.88671875" style="2758"/>
    <col min="13833" max="13834" width="8.109375" style="2758" customWidth="1"/>
    <col min="13835" max="13835" width="8.88671875" style="2758"/>
    <col min="13836" max="13836" width="8.109375" style="2758" customWidth="1"/>
    <col min="13837" max="14080" width="8.88671875" style="2758"/>
    <col min="14081" max="14081" width="6" style="2758" customWidth="1"/>
    <col min="14082" max="14082" width="16.44140625" style="2758" customWidth="1"/>
    <col min="14083" max="14083" width="8.88671875" style="2758"/>
    <col min="14084" max="14084" width="8.5546875" style="2758" customWidth="1"/>
    <col min="14085" max="14085" width="8.88671875" style="2758"/>
    <col min="14086" max="14086" width="8.44140625" style="2758" customWidth="1"/>
    <col min="14087" max="14087" width="8.5546875" style="2758" customWidth="1"/>
    <col min="14088" max="14088" width="8.88671875" style="2758"/>
    <col min="14089" max="14090" width="8.109375" style="2758" customWidth="1"/>
    <col min="14091" max="14091" width="8.88671875" style="2758"/>
    <col min="14092" max="14092" width="8.109375" style="2758" customWidth="1"/>
    <col min="14093" max="14336" width="8.88671875" style="2758"/>
    <col min="14337" max="14337" width="6" style="2758" customWidth="1"/>
    <col min="14338" max="14338" width="16.44140625" style="2758" customWidth="1"/>
    <col min="14339" max="14339" width="8.88671875" style="2758"/>
    <col min="14340" max="14340" width="8.5546875" style="2758" customWidth="1"/>
    <col min="14341" max="14341" width="8.88671875" style="2758"/>
    <col min="14342" max="14342" width="8.44140625" style="2758" customWidth="1"/>
    <col min="14343" max="14343" width="8.5546875" style="2758" customWidth="1"/>
    <col min="14344" max="14344" width="8.88671875" style="2758"/>
    <col min="14345" max="14346" width="8.109375" style="2758" customWidth="1"/>
    <col min="14347" max="14347" width="8.88671875" style="2758"/>
    <col min="14348" max="14348" width="8.109375" style="2758" customWidth="1"/>
    <col min="14349" max="14592" width="8.88671875" style="2758"/>
    <col min="14593" max="14593" width="6" style="2758" customWidth="1"/>
    <col min="14594" max="14594" width="16.44140625" style="2758" customWidth="1"/>
    <col min="14595" max="14595" width="8.88671875" style="2758"/>
    <col min="14596" max="14596" width="8.5546875" style="2758" customWidth="1"/>
    <col min="14597" max="14597" width="8.88671875" style="2758"/>
    <col min="14598" max="14598" width="8.44140625" style="2758" customWidth="1"/>
    <col min="14599" max="14599" width="8.5546875" style="2758" customWidth="1"/>
    <col min="14600" max="14600" width="8.88671875" style="2758"/>
    <col min="14601" max="14602" width="8.109375" style="2758" customWidth="1"/>
    <col min="14603" max="14603" width="8.88671875" style="2758"/>
    <col min="14604" max="14604" width="8.109375" style="2758" customWidth="1"/>
    <col min="14605" max="14848" width="8.88671875" style="2758"/>
    <col min="14849" max="14849" width="6" style="2758" customWidth="1"/>
    <col min="14850" max="14850" width="16.44140625" style="2758" customWidth="1"/>
    <col min="14851" max="14851" width="8.88671875" style="2758"/>
    <col min="14852" max="14852" width="8.5546875" style="2758" customWidth="1"/>
    <col min="14853" max="14853" width="8.88671875" style="2758"/>
    <col min="14854" max="14854" width="8.44140625" style="2758" customWidth="1"/>
    <col min="14855" max="14855" width="8.5546875" style="2758" customWidth="1"/>
    <col min="14856" max="14856" width="8.88671875" style="2758"/>
    <col min="14857" max="14858" width="8.109375" style="2758" customWidth="1"/>
    <col min="14859" max="14859" width="8.88671875" style="2758"/>
    <col min="14860" max="14860" width="8.109375" style="2758" customWidth="1"/>
    <col min="14861" max="15104" width="8.88671875" style="2758"/>
    <col min="15105" max="15105" width="6" style="2758" customWidth="1"/>
    <col min="15106" max="15106" width="16.44140625" style="2758" customWidth="1"/>
    <col min="15107" max="15107" width="8.88671875" style="2758"/>
    <col min="15108" max="15108" width="8.5546875" style="2758" customWidth="1"/>
    <col min="15109" max="15109" width="8.88671875" style="2758"/>
    <col min="15110" max="15110" width="8.44140625" style="2758" customWidth="1"/>
    <col min="15111" max="15111" width="8.5546875" style="2758" customWidth="1"/>
    <col min="15112" max="15112" width="8.88671875" style="2758"/>
    <col min="15113" max="15114" width="8.109375" style="2758" customWidth="1"/>
    <col min="15115" max="15115" width="8.88671875" style="2758"/>
    <col min="15116" max="15116" width="8.109375" style="2758" customWidth="1"/>
    <col min="15117" max="15360" width="8.88671875" style="2758"/>
    <col min="15361" max="15361" width="6" style="2758" customWidth="1"/>
    <col min="15362" max="15362" width="16.44140625" style="2758" customWidth="1"/>
    <col min="15363" max="15363" width="8.88671875" style="2758"/>
    <col min="15364" max="15364" width="8.5546875" style="2758" customWidth="1"/>
    <col min="15365" max="15365" width="8.88671875" style="2758"/>
    <col min="15366" max="15366" width="8.44140625" style="2758" customWidth="1"/>
    <col min="15367" max="15367" width="8.5546875" style="2758" customWidth="1"/>
    <col min="15368" max="15368" width="8.88671875" style="2758"/>
    <col min="15369" max="15370" width="8.109375" style="2758" customWidth="1"/>
    <col min="15371" max="15371" width="8.88671875" style="2758"/>
    <col min="15372" max="15372" width="8.109375" style="2758" customWidth="1"/>
    <col min="15373" max="15616" width="8.88671875" style="2758"/>
    <col min="15617" max="15617" width="6" style="2758" customWidth="1"/>
    <col min="15618" max="15618" width="16.44140625" style="2758" customWidth="1"/>
    <col min="15619" max="15619" width="8.88671875" style="2758"/>
    <col min="15620" max="15620" width="8.5546875" style="2758" customWidth="1"/>
    <col min="15621" max="15621" width="8.88671875" style="2758"/>
    <col min="15622" max="15622" width="8.44140625" style="2758" customWidth="1"/>
    <col min="15623" max="15623" width="8.5546875" style="2758" customWidth="1"/>
    <col min="15624" max="15624" width="8.88671875" style="2758"/>
    <col min="15625" max="15626" width="8.109375" style="2758" customWidth="1"/>
    <col min="15627" max="15627" width="8.88671875" style="2758"/>
    <col min="15628" max="15628" width="8.109375" style="2758" customWidth="1"/>
    <col min="15629" max="15872" width="8.88671875" style="2758"/>
    <col min="15873" max="15873" width="6" style="2758" customWidth="1"/>
    <col min="15874" max="15874" width="16.44140625" style="2758" customWidth="1"/>
    <col min="15875" max="15875" width="8.88671875" style="2758"/>
    <col min="15876" max="15876" width="8.5546875" style="2758" customWidth="1"/>
    <col min="15877" max="15877" width="8.88671875" style="2758"/>
    <col min="15878" max="15878" width="8.44140625" style="2758" customWidth="1"/>
    <col min="15879" max="15879" width="8.5546875" style="2758" customWidth="1"/>
    <col min="15880" max="15880" width="8.88671875" style="2758"/>
    <col min="15881" max="15882" width="8.109375" style="2758" customWidth="1"/>
    <col min="15883" max="15883" width="8.88671875" style="2758"/>
    <col min="15884" max="15884" width="8.109375" style="2758" customWidth="1"/>
    <col min="15885" max="16128" width="8.88671875" style="2758"/>
    <col min="16129" max="16129" width="6" style="2758" customWidth="1"/>
    <col min="16130" max="16130" width="16.44140625" style="2758" customWidth="1"/>
    <col min="16131" max="16131" width="8.88671875" style="2758"/>
    <col min="16132" max="16132" width="8.5546875" style="2758" customWidth="1"/>
    <col min="16133" max="16133" width="8.88671875" style="2758"/>
    <col min="16134" max="16134" width="8.44140625" style="2758" customWidth="1"/>
    <col min="16135" max="16135" width="8.5546875" style="2758" customWidth="1"/>
    <col min="16136" max="16136" width="8.88671875" style="2758"/>
    <col min="16137" max="16138" width="8.109375" style="2758" customWidth="1"/>
    <col min="16139" max="16139" width="8.88671875" style="2758"/>
    <col min="16140" max="16140" width="8.109375" style="2758" customWidth="1"/>
    <col min="16141" max="16384" width="8.88671875" style="2758"/>
  </cols>
  <sheetData>
    <row r="1" spans="1:18" ht="25.8" customHeight="1">
      <c r="A1" s="2782" t="s">
        <v>69</v>
      </c>
      <c r="B1" s="2764"/>
      <c r="C1" s="2765"/>
      <c r="D1" s="2765"/>
      <c r="E1" s="2765"/>
      <c r="F1" s="2765"/>
      <c r="G1" s="2765"/>
      <c r="H1" s="2765"/>
      <c r="I1" s="2765"/>
      <c r="J1" s="2765"/>
      <c r="K1" s="2765"/>
      <c r="L1" s="2765"/>
      <c r="M1" s="2765"/>
      <c r="N1" s="2765"/>
      <c r="O1" s="2765"/>
      <c r="P1" s="2765"/>
      <c r="Q1" s="2765"/>
      <c r="R1" s="2765"/>
    </row>
    <row r="2" spans="1:18" ht="15.6" customHeight="1">
      <c r="A2" s="2766" t="s">
        <v>1491</v>
      </c>
      <c r="B2" s="2767"/>
      <c r="C2" s="2768"/>
      <c r="D2" s="2768"/>
      <c r="E2" s="2768"/>
      <c r="F2" s="2768"/>
      <c r="G2" s="2768"/>
      <c r="H2" s="2768"/>
      <c r="I2" s="2768"/>
      <c r="J2" s="2768"/>
      <c r="K2" s="2768"/>
      <c r="L2" s="2768"/>
      <c r="M2" s="2768"/>
      <c r="N2" s="2768"/>
      <c r="O2" s="2768"/>
      <c r="P2" s="2768"/>
      <c r="Q2" s="2768"/>
      <c r="R2" s="2768"/>
    </row>
    <row r="3" spans="1:18" ht="13.2" customHeight="1">
      <c r="A3" s="2766" t="s">
        <v>1492</v>
      </c>
      <c r="B3" s="2767"/>
      <c r="C3" s="2765"/>
      <c r="D3" s="2765"/>
      <c r="E3" s="2765"/>
      <c r="F3" s="2765"/>
      <c r="G3" s="2765"/>
      <c r="H3" s="2765"/>
      <c r="I3" s="2765"/>
      <c r="J3" s="2765"/>
      <c r="K3" s="2765"/>
      <c r="L3" s="2765"/>
      <c r="M3" s="2765"/>
      <c r="N3" s="2765"/>
      <c r="O3" s="2765"/>
      <c r="P3" s="2765"/>
      <c r="Q3" s="2765"/>
      <c r="R3" s="2765"/>
    </row>
    <row r="4" spans="1:18" ht="25.8" customHeight="1">
      <c r="A4" s="2766" t="s">
        <v>714</v>
      </c>
      <c r="B4" s="2769"/>
      <c r="C4" s="2770"/>
      <c r="D4" s="2771"/>
      <c r="E4" s="2765"/>
      <c r="F4" s="2765"/>
      <c r="G4" s="2765"/>
      <c r="H4" s="2772"/>
      <c r="I4" s="2765"/>
      <c r="J4" s="2765"/>
      <c r="K4" s="2765"/>
      <c r="L4" s="2765"/>
      <c r="M4" s="2765"/>
      <c r="N4" s="2765"/>
      <c r="O4" s="2765"/>
      <c r="P4" s="2765"/>
      <c r="Q4" s="2765"/>
      <c r="R4" s="2765"/>
    </row>
    <row r="5" spans="1:18" ht="25.8" customHeight="1">
      <c r="A5" s="2773"/>
      <c r="B5" s="2774"/>
      <c r="C5" s="2772"/>
      <c r="D5" s="2775"/>
      <c r="E5" s="2775"/>
      <c r="F5" s="2775"/>
      <c r="G5" s="2776"/>
      <c r="H5" s="2776"/>
      <c r="I5" s="2776"/>
      <c r="J5" s="2776"/>
      <c r="K5" s="2776"/>
      <c r="L5" s="2776"/>
      <c r="M5" s="2776"/>
      <c r="N5" s="2776"/>
      <c r="O5" s="2776"/>
      <c r="P5" s="2780" t="s">
        <v>167</v>
      </c>
      <c r="Q5" s="2780"/>
      <c r="R5" s="2780"/>
    </row>
    <row r="6" spans="1:18" s="2762" customFormat="1" ht="25.8" customHeight="1">
      <c r="A6" s="2999" t="s">
        <v>715</v>
      </c>
      <c r="B6" s="2996" t="s">
        <v>399</v>
      </c>
      <c r="C6" s="3001" t="s">
        <v>716</v>
      </c>
      <c r="D6" s="2996" t="s">
        <v>717</v>
      </c>
      <c r="E6" s="2996" t="s">
        <v>718</v>
      </c>
      <c r="F6" s="2996" t="s">
        <v>269</v>
      </c>
      <c r="G6" s="2996" t="s">
        <v>270</v>
      </c>
      <c r="H6" s="2996" t="s">
        <v>271</v>
      </c>
      <c r="I6" s="2996" t="s">
        <v>272</v>
      </c>
      <c r="J6" s="2996" t="s">
        <v>273</v>
      </c>
      <c r="K6" s="2996" t="s">
        <v>274</v>
      </c>
      <c r="L6" s="2996" t="s">
        <v>275</v>
      </c>
      <c r="M6" s="2996" t="s">
        <v>276</v>
      </c>
      <c r="N6" s="2998" t="s">
        <v>75</v>
      </c>
      <c r="O6" s="2998"/>
      <c r="P6" s="2996" t="s">
        <v>277</v>
      </c>
      <c r="Q6" s="2996" t="s">
        <v>278</v>
      </c>
      <c r="R6" s="2996" t="s">
        <v>720</v>
      </c>
    </row>
    <row r="7" spans="1:18" s="2777" customFormat="1" ht="131.4" customHeight="1">
      <c r="A7" s="3000"/>
      <c r="B7" s="2997"/>
      <c r="C7" s="3002"/>
      <c r="D7" s="2997"/>
      <c r="E7" s="2997"/>
      <c r="F7" s="2997"/>
      <c r="G7" s="2997"/>
      <c r="H7" s="2997"/>
      <c r="I7" s="2997"/>
      <c r="J7" s="2997"/>
      <c r="K7" s="2997"/>
      <c r="L7" s="2997"/>
      <c r="M7" s="2997"/>
      <c r="N7" s="2761" t="s">
        <v>721</v>
      </c>
      <c r="O7" s="2761" t="s">
        <v>722</v>
      </c>
      <c r="P7" s="2997"/>
      <c r="Q7" s="2997"/>
      <c r="R7" s="2997"/>
    </row>
    <row r="8" spans="1:18" s="2760" customFormat="1" ht="25.8" customHeight="1">
      <c r="A8" s="2759" t="s">
        <v>80</v>
      </c>
      <c r="B8" s="2763" t="s">
        <v>81</v>
      </c>
      <c r="C8" s="2759">
        <v>1</v>
      </c>
      <c r="D8" s="2759">
        <v>2</v>
      </c>
      <c r="E8" s="2759">
        <v>3</v>
      </c>
      <c r="F8" s="2759">
        <v>4</v>
      </c>
      <c r="G8" s="2759">
        <v>5</v>
      </c>
      <c r="H8" s="2759">
        <v>6</v>
      </c>
      <c r="I8" s="2759">
        <v>7</v>
      </c>
      <c r="J8" s="2759">
        <v>8</v>
      </c>
      <c r="K8" s="2759">
        <v>9</v>
      </c>
      <c r="L8" s="2759">
        <v>10</v>
      </c>
      <c r="M8" s="2759">
        <v>11</v>
      </c>
      <c r="N8" s="2759">
        <v>12</v>
      </c>
      <c r="O8" s="2759">
        <v>13</v>
      </c>
      <c r="P8" s="2759">
        <v>14</v>
      </c>
      <c r="Q8" s="2759">
        <v>15</v>
      </c>
      <c r="R8" s="2759">
        <v>16</v>
      </c>
    </row>
    <row r="9" spans="1:18" ht="25.8" hidden="1" customHeight="1">
      <c r="A9" s="2756"/>
      <c r="B9" s="2755" t="s">
        <v>723</v>
      </c>
      <c r="C9" s="2757"/>
      <c r="D9" s="2756" t="s">
        <v>724</v>
      </c>
      <c r="E9" s="2756" t="s">
        <v>725</v>
      </c>
      <c r="F9" s="2756" t="s">
        <v>726</v>
      </c>
      <c r="G9" s="2756" t="s">
        <v>727</v>
      </c>
      <c r="H9" s="2756" t="s">
        <v>728</v>
      </c>
      <c r="I9" s="2756" t="s">
        <v>729</v>
      </c>
      <c r="J9" s="2756" t="s">
        <v>730</v>
      </c>
      <c r="K9" s="2756" t="s">
        <v>731</v>
      </c>
      <c r="L9" s="2756" t="s">
        <v>732</v>
      </c>
      <c r="M9" s="2756" t="s">
        <v>733</v>
      </c>
      <c r="N9" s="2756"/>
      <c r="O9" s="2756"/>
      <c r="P9" s="2756" t="s">
        <v>734</v>
      </c>
      <c r="Q9" s="2756" t="s">
        <v>735</v>
      </c>
      <c r="R9" s="2756" t="s">
        <v>736</v>
      </c>
    </row>
    <row r="10" spans="1:18" s="2779" customFormat="1" ht="25.8" customHeight="1">
      <c r="A10" s="2757"/>
      <c r="B10" s="2781" t="s">
        <v>737</v>
      </c>
      <c r="C10" s="2757">
        <f>SUM(D10,E10,F10,G10,H10,I10,J10,K10,L10,M10,P10,Q10,R10)</f>
        <v>2009103</v>
      </c>
      <c r="D10" s="2757">
        <f>SUM(D12,D17,D18,D21,D22,D23,D24,D33,D63,D73,D74,D82,D83,D104,D108,D109,D112,D119,D123,D126,D130,D134,D135,D140,D144,D145,D148,D151,D154,D158,D161,D162,D164,D165,D166,D167,D168,D169,D170,D171,D172,D183,D187,D188,D189,D190)</f>
        <v>469412</v>
      </c>
      <c r="E10" s="2757">
        <f t="shared" ref="E10:Q10" si="0">SUM(E12,E17,E18,E21,E22,E23,E24,E33,E63,E73,E74,E82,E83,E104,E108,E109,E112,E119,E123,E126,E130,E134,E135,E140,E144,E145,E148,E151,E154,E158,E161,E162,E164,E165,E166,E167,E168,E169,E170,E171,E172,E183,E187,E188,E189,E190)</f>
        <v>29491</v>
      </c>
      <c r="F10" s="2757">
        <f t="shared" si="0"/>
        <v>33028</v>
      </c>
      <c r="G10" s="2757">
        <f t="shared" si="0"/>
        <v>21143</v>
      </c>
      <c r="H10" s="2757">
        <f t="shared" si="0"/>
        <v>588992</v>
      </c>
      <c r="I10" s="2757">
        <f t="shared" si="0"/>
        <v>21704</v>
      </c>
      <c r="J10" s="2757">
        <f t="shared" si="0"/>
        <v>9412</v>
      </c>
      <c r="K10" s="2757">
        <f t="shared" si="0"/>
        <v>8640</v>
      </c>
      <c r="L10" s="2757">
        <f t="shared" si="0"/>
        <v>29693</v>
      </c>
      <c r="M10" s="2757">
        <f t="shared" si="0"/>
        <v>235826</v>
      </c>
      <c r="N10" s="3328">
        <f t="shared" si="0"/>
        <v>53768</v>
      </c>
      <c r="O10" s="3328">
        <f t="shared" si="0"/>
        <v>72240</v>
      </c>
      <c r="P10" s="2757">
        <f t="shared" si="0"/>
        <v>303429</v>
      </c>
      <c r="Q10" s="2757">
        <f t="shared" si="0"/>
        <v>34917</v>
      </c>
      <c r="R10" s="2757">
        <f>SUM(R12,R17,R18,R21,R22,R23,R24,R33,R63,R73,R74,R82,R83,R104,R108,R109,R112,R119,R123,R126,R130,R134,R135,R140,R144,R145,R148,R151,R154,R158,R161,R162,R164,R165,R166,R167,R168,R169,R170,R171,R172,R183,R187,R188,R189,R190,R191,R192,R193)</f>
        <v>223416</v>
      </c>
    </row>
    <row r="11" spans="1:18" ht="25.8" hidden="1" customHeight="1">
      <c r="A11" s="2756"/>
      <c r="B11" s="2755" t="s">
        <v>494</v>
      </c>
      <c r="C11" s="2757">
        <v>360112</v>
      </c>
      <c r="D11" s="2756">
        <v>360112</v>
      </c>
      <c r="E11" s="2756"/>
      <c r="F11" s="2756"/>
      <c r="G11" s="2756"/>
      <c r="H11" s="2756"/>
      <c r="I11" s="2756"/>
      <c r="J11" s="2756"/>
      <c r="K11" s="2756"/>
      <c r="L11" s="2756"/>
      <c r="M11" s="2756"/>
      <c r="N11" s="3329"/>
      <c r="O11" s="3329"/>
      <c r="P11" s="2756"/>
      <c r="Q11" s="2756"/>
      <c r="R11" s="2756"/>
    </row>
    <row r="12" spans="1:18" ht="25.8" customHeight="1">
      <c r="A12" s="2756">
        <v>1</v>
      </c>
      <c r="B12" s="2755" t="s">
        <v>621</v>
      </c>
      <c r="C12" s="2757">
        <f>SUM(D12,E12,F12,G12,H12,I12,J12,K12,L12,M12,P12,Q12,R12)</f>
        <v>357092</v>
      </c>
      <c r="D12" s="2756">
        <v>349194</v>
      </c>
      <c r="E12" s="2756">
        <v>0</v>
      </c>
      <c r="F12" s="2756">
        <v>0</v>
      </c>
      <c r="G12" s="2756">
        <v>0</v>
      </c>
      <c r="H12" s="2756">
        <v>0</v>
      </c>
      <c r="I12" s="2756">
        <v>0</v>
      </c>
      <c r="J12" s="2756">
        <v>0</v>
      </c>
      <c r="K12" s="2756">
        <v>0</v>
      </c>
      <c r="L12" s="2756">
        <v>0</v>
      </c>
      <c r="M12" s="2756">
        <v>0</v>
      </c>
      <c r="N12" s="3329">
        <v>0</v>
      </c>
      <c r="O12" s="3329">
        <v>0</v>
      </c>
      <c r="P12" s="2756">
        <v>7898</v>
      </c>
      <c r="Q12" s="2756">
        <v>0</v>
      </c>
      <c r="R12" s="2756">
        <v>0</v>
      </c>
    </row>
    <row r="13" spans="1:18" ht="25.8" hidden="1" customHeight="1">
      <c r="A13" s="2756"/>
      <c r="B13" s="2755" t="s">
        <v>738</v>
      </c>
      <c r="C13" s="2757">
        <v>347393</v>
      </c>
      <c r="D13" s="2756">
        <v>347393</v>
      </c>
      <c r="E13" s="2756">
        <v>0</v>
      </c>
      <c r="F13" s="2756">
        <v>0</v>
      </c>
      <c r="G13" s="2756">
        <v>0</v>
      </c>
      <c r="H13" s="2756">
        <v>0</v>
      </c>
      <c r="I13" s="2756">
        <v>0</v>
      </c>
      <c r="J13" s="2756">
        <v>0</v>
      </c>
      <c r="K13" s="2756">
        <v>0</v>
      </c>
      <c r="L13" s="2756">
        <v>0</v>
      </c>
      <c r="M13" s="2756">
        <v>0</v>
      </c>
      <c r="N13" s="3329">
        <v>0</v>
      </c>
      <c r="O13" s="3329">
        <v>0</v>
      </c>
      <c r="P13" s="2756">
        <v>0</v>
      </c>
      <c r="Q13" s="2756">
        <v>0</v>
      </c>
      <c r="R13" s="2756">
        <v>0</v>
      </c>
    </row>
    <row r="14" spans="1:18" ht="25.8" hidden="1" customHeight="1">
      <c r="A14" s="2756"/>
      <c r="B14" s="2755" t="s">
        <v>739</v>
      </c>
      <c r="C14" s="2757">
        <v>7272</v>
      </c>
      <c r="D14" s="2756">
        <v>0</v>
      </c>
      <c r="E14" s="2756">
        <v>0</v>
      </c>
      <c r="F14" s="2756">
        <v>0</v>
      </c>
      <c r="G14" s="2756">
        <v>0</v>
      </c>
      <c r="H14" s="2756">
        <v>0</v>
      </c>
      <c r="I14" s="2756">
        <v>0</v>
      </c>
      <c r="J14" s="2756">
        <v>0</v>
      </c>
      <c r="K14" s="2756">
        <v>0</v>
      </c>
      <c r="L14" s="2756">
        <v>0</v>
      </c>
      <c r="M14" s="2756">
        <v>0</v>
      </c>
      <c r="N14" s="3329">
        <v>0</v>
      </c>
      <c r="O14" s="3329">
        <v>0</v>
      </c>
      <c r="P14" s="2756">
        <v>7272</v>
      </c>
      <c r="Q14" s="2756">
        <v>0</v>
      </c>
      <c r="R14" s="2756">
        <v>0</v>
      </c>
    </row>
    <row r="15" spans="1:18" ht="25.8" hidden="1" customHeight="1">
      <c r="A15" s="2756"/>
      <c r="B15" s="2755" t="s">
        <v>740</v>
      </c>
      <c r="C15" s="2757">
        <v>702</v>
      </c>
      <c r="D15" s="2756">
        <v>76</v>
      </c>
      <c r="E15" s="2756">
        <v>0</v>
      </c>
      <c r="F15" s="2756">
        <v>0</v>
      </c>
      <c r="G15" s="2756">
        <v>0</v>
      </c>
      <c r="H15" s="2756">
        <v>0</v>
      </c>
      <c r="I15" s="2756">
        <v>0</v>
      </c>
      <c r="J15" s="2756">
        <v>0</v>
      </c>
      <c r="K15" s="2756">
        <v>0</v>
      </c>
      <c r="L15" s="2756">
        <v>0</v>
      </c>
      <c r="M15" s="2756">
        <v>0</v>
      </c>
      <c r="N15" s="3329">
        <v>0</v>
      </c>
      <c r="O15" s="3329">
        <v>0</v>
      </c>
      <c r="P15" s="2756">
        <v>626</v>
      </c>
      <c r="Q15" s="2756">
        <v>0</v>
      </c>
      <c r="R15" s="2756"/>
    </row>
    <row r="16" spans="1:18" ht="25.8" hidden="1" customHeight="1">
      <c r="A16" s="2756"/>
      <c r="B16" s="2755" t="s">
        <v>741</v>
      </c>
      <c r="C16" s="2757">
        <v>1725</v>
      </c>
      <c r="D16" s="2756">
        <v>1725</v>
      </c>
      <c r="E16" s="2756">
        <v>0</v>
      </c>
      <c r="F16" s="2756">
        <v>0</v>
      </c>
      <c r="G16" s="2756">
        <v>0</v>
      </c>
      <c r="H16" s="2756">
        <v>0</v>
      </c>
      <c r="I16" s="2756">
        <v>0</v>
      </c>
      <c r="J16" s="2756">
        <v>0</v>
      </c>
      <c r="K16" s="2756">
        <v>0</v>
      </c>
      <c r="L16" s="2756">
        <v>0</v>
      </c>
      <c r="M16" s="2756">
        <v>0</v>
      </c>
      <c r="N16" s="3329">
        <v>0</v>
      </c>
      <c r="O16" s="3329">
        <v>0</v>
      </c>
      <c r="P16" s="2756">
        <v>0</v>
      </c>
      <c r="Q16" s="2756">
        <v>0</v>
      </c>
      <c r="R16" s="2756">
        <v>0</v>
      </c>
    </row>
    <row r="17" spans="1:18" ht="25.8" customHeight="1">
      <c r="A17" s="2756">
        <v>2</v>
      </c>
      <c r="B17" s="2755" t="s">
        <v>496</v>
      </c>
      <c r="C17" s="2757">
        <f t="shared" ref="C17:C80" si="1">SUM(D17,E17,F17,G17,H17,I17,J17,K17,L17,M17,P17,Q17,R17)</f>
        <v>10918</v>
      </c>
      <c r="D17" s="2756">
        <v>10918</v>
      </c>
      <c r="E17" s="2756">
        <v>0</v>
      </c>
      <c r="F17" s="2756">
        <v>0</v>
      </c>
      <c r="G17" s="2756">
        <v>0</v>
      </c>
      <c r="H17" s="2756">
        <v>0</v>
      </c>
      <c r="I17" s="2756">
        <v>0</v>
      </c>
      <c r="J17" s="2756">
        <v>0</v>
      </c>
      <c r="K17" s="2756">
        <v>0</v>
      </c>
      <c r="L17" s="2756">
        <v>0</v>
      </c>
      <c r="M17" s="2756">
        <v>0</v>
      </c>
      <c r="N17" s="3329">
        <v>0</v>
      </c>
      <c r="O17" s="3329">
        <v>0</v>
      </c>
      <c r="P17" s="2756">
        <v>0</v>
      </c>
      <c r="Q17" s="2756">
        <v>0</v>
      </c>
      <c r="R17" s="2756">
        <v>0</v>
      </c>
    </row>
    <row r="18" spans="1:18" ht="25.8" customHeight="1">
      <c r="A18" s="2756">
        <v>3</v>
      </c>
      <c r="B18" s="2755" t="s">
        <v>498</v>
      </c>
      <c r="C18" s="2757">
        <f t="shared" si="1"/>
        <v>18813</v>
      </c>
      <c r="D18" s="2756">
        <v>18813</v>
      </c>
      <c r="E18" s="2756">
        <v>0</v>
      </c>
      <c r="F18" s="2756">
        <v>0</v>
      </c>
      <c r="G18" s="2756">
        <v>0</v>
      </c>
      <c r="H18" s="2756">
        <v>0</v>
      </c>
      <c r="I18" s="2756">
        <v>0</v>
      </c>
      <c r="J18" s="2756">
        <v>0</v>
      </c>
      <c r="K18" s="2756">
        <v>0</v>
      </c>
      <c r="L18" s="2756">
        <v>0</v>
      </c>
      <c r="M18" s="2756">
        <v>0</v>
      </c>
      <c r="N18" s="3329">
        <v>0</v>
      </c>
      <c r="O18" s="3329">
        <v>0</v>
      </c>
      <c r="P18" s="2756">
        <v>0</v>
      </c>
      <c r="Q18" s="2756">
        <v>0</v>
      </c>
      <c r="R18" s="2756">
        <v>0</v>
      </c>
    </row>
    <row r="19" spans="1:18" ht="25.8" hidden="1" customHeight="1">
      <c r="A19" s="2756"/>
      <c r="B19" s="2755" t="s">
        <v>742</v>
      </c>
      <c r="C19" s="2757">
        <f t="shared" si="1"/>
        <v>18393</v>
      </c>
      <c r="D19" s="2756">
        <v>18393</v>
      </c>
      <c r="E19" s="2756">
        <v>0</v>
      </c>
      <c r="F19" s="2756">
        <v>0</v>
      </c>
      <c r="G19" s="2756">
        <v>0</v>
      </c>
      <c r="H19" s="2756">
        <v>0</v>
      </c>
      <c r="I19" s="2756">
        <v>0</v>
      </c>
      <c r="J19" s="2756">
        <v>0</v>
      </c>
      <c r="K19" s="2756">
        <v>0</v>
      </c>
      <c r="L19" s="2756">
        <v>0</v>
      </c>
      <c r="M19" s="2756">
        <v>0</v>
      </c>
      <c r="N19" s="3329">
        <v>0</v>
      </c>
      <c r="O19" s="3329">
        <v>0</v>
      </c>
      <c r="P19" s="2756">
        <v>0</v>
      </c>
      <c r="Q19" s="2756">
        <v>0</v>
      </c>
      <c r="R19" s="2756">
        <v>0</v>
      </c>
    </row>
    <row r="20" spans="1:18" ht="36.6" hidden="1" customHeight="1">
      <c r="A20" s="2756"/>
      <c r="B20" s="2755" t="s">
        <v>743</v>
      </c>
      <c r="C20" s="2757">
        <f t="shared" si="1"/>
        <v>420</v>
      </c>
      <c r="D20" s="2756">
        <v>420</v>
      </c>
      <c r="E20" s="2756">
        <v>0</v>
      </c>
      <c r="F20" s="2756">
        <v>0</v>
      </c>
      <c r="G20" s="2756">
        <v>0</v>
      </c>
      <c r="H20" s="2756">
        <v>0</v>
      </c>
      <c r="I20" s="2756">
        <v>0</v>
      </c>
      <c r="J20" s="2756">
        <v>0</v>
      </c>
      <c r="K20" s="2756">
        <v>0</v>
      </c>
      <c r="L20" s="2756">
        <v>0</v>
      </c>
      <c r="M20" s="2756">
        <v>0</v>
      </c>
      <c r="N20" s="3329">
        <v>0</v>
      </c>
      <c r="O20" s="3329">
        <v>0</v>
      </c>
      <c r="P20" s="2756">
        <v>0</v>
      </c>
      <c r="Q20" s="2756">
        <v>0</v>
      </c>
      <c r="R20" s="2756">
        <v>0</v>
      </c>
    </row>
    <row r="21" spans="1:18" ht="25.8" customHeight="1">
      <c r="A21" s="2756">
        <v>4</v>
      </c>
      <c r="B21" s="2755" t="s">
        <v>499</v>
      </c>
      <c r="C21" s="2757">
        <f t="shared" si="1"/>
        <v>8027</v>
      </c>
      <c r="D21" s="2756">
        <v>8027</v>
      </c>
      <c r="E21" s="2756"/>
      <c r="F21" s="2756">
        <v>0</v>
      </c>
      <c r="G21" s="2756">
        <v>0</v>
      </c>
      <c r="H21" s="2756">
        <v>0</v>
      </c>
      <c r="I21" s="2756">
        <v>0</v>
      </c>
      <c r="J21" s="2756">
        <v>0</v>
      </c>
      <c r="K21" s="2756">
        <v>0</v>
      </c>
      <c r="L21" s="2756">
        <v>0</v>
      </c>
      <c r="M21" s="2756">
        <v>0</v>
      </c>
      <c r="N21" s="3329">
        <v>0</v>
      </c>
      <c r="O21" s="3329">
        <v>0</v>
      </c>
      <c r="P21" s="2756">
        <v>0</v>
      </c>
      <c r="Q21" s="2756">
        <v>0</v>
      </c>
      <c r="R21" s="2756">
        <v>0</v>
      </c>
    </row>
    <row r="22" spans="1:18" ht="25.8" customHeight="1">
      <c r="A22" s="2756">
        <v>5</v>
      </c>
      <c r="B22" s="2755" t="s">
        <v>501</v>
      </c>
      <c r="C22" s="2757">
        <f t="shared" si="1"/>
        <v>3221</v>
      </c>
      <c r="D22" s="2756">
        <v>3221</v>
      </c>
      <c r="E22" s="2756">
        <v>0</v>
      </c>
      <c r="F22" s="2756">
        <v>0</v>
      </c>
      <c r="G22" s="2756">
        <v>0</v>
      </c>
      <c r="H22" s="2756">
        <v>0</v>
      </c>
      <c r="I22" s="2756">
        <v>0</v>
      </c>
      <c r="J22" s="2756">
        <v>0</v>
      </c>
      <c r="K22" s="2756">
        <v>0</v>
      </c>
      <c r="L22" s="2756">
        <v>0</v>
      </c>
      <c r="M22" s="2756">
        <v>0</v>
      </c>
      <c r="N22" s="3329">
        <v>0</v>
      </c>
      <c r="O22" s="3329">
        <v>0</v>
      </c>
      <c r="P22" s="2756">
        <v>0</v>
      </c>
      <c r="Q22" s="2756">
        <v>0</v>
      </c>
      <c r="R22" s="2756">
        <v>0</v>
      </c>
    </row>
    <row r="23" spans="1:18" ht="25.8" customHeight="1">
      <c r="A23" s="2756">
        <v>6</v>
      </c>
      <c r="B23" s="2755" t="s">
        <v>502</v>
      </c>
      <c r="C23" s="2757">
        <f t="shared" si="1"/>
        <v>7685</v>
      </c>
      <c r="D23" s="2756">
        <v>7685</v>
      </c>
      <c r="E23" s="2756">
        <v>0</v>
      </c>
      <c r="F23" s="2756">
        <v>0</v>
      </c>
      <c r="G23" s="2756">
        <v>0</v>
      </c>
      <c r="H23" s="2756">
        <v>0</v>
      </c>
      <c r="I23" s="2756">
        <v>0</v>
      </c>
      <c r="J23" s="2756">
        <v>0</v>
      </c>
      <c r="K23" s="2756">
        <v>0</v>
      </c>
      <c r="L23" s="2756">
        <v>0</v>
      </c>
      <c r="M23" s="2756">
        <v>0</v>
      </c>
      <c r="N23" s="3329">
        <v>0</v>
      </c>
      <c r="O23" s="3329">
        <v>0</v>
      </c>
      <c r="P23" s="2756">
        <v>0</v>
      </c>
      <c r="Q23" s="2756">
        <v>0</v>
      </c>
      <c r="R23" s="2756">
        <v>0</v>
      </c>
    </row>
    <row r="24" spans="1:18" ht="25.8" customHeight="1">
      <c r="A24" s="2756">
        <v>7</v>
      </c>
      <c r="B24" s="2755" t="s">
        <v>1488</v>
      </c>
      <c r="C24" s="2757">
        <f t="shared" si="1"/>
        <v>38198</v>
      </c>
      <c r="D24" s="2756">
        <v>21</v>
      </c>
      <c r="E24" s="2756">
        <v>29491</v>
      </c>
      <c r="F24" s="2756">
        <v>0</v>
      </c>
      <c r="G24" s="2756">
        <v>0</v>
      </c>
      <c r="H24" s="2756">
        <v>0</v>
      </c>
      <c r="I24" s="2756">
        <v>0</v>
      </c>
      <c r="J24" s="2756">
        <v>0</v>
      </c>
      <c r="K24" s="2756">
        <v>0</v>
      </c>
      <c r="L24" s="2756">
        <v>0</v>
      </c>
      <c r="M24" s="2756">
        <v>0</v>
      </c>
      <c r="N24" s="3329">
        <v>0</v>
      </c>
      <c r="O24" s="3329">
        <v>0</v>
      </c>
      <c r="P24" s="2756">
        <v>8686</v>
      </c>
      <c r="Q24" s="2756">
        <v>0</v>
      </c>
      <c r="R24" s="2756">
        <v>0</v>
      </c>
    </row>
    <row r="25" spans="1:18" ht="25.8" hidden="1" customHeight="1">
      <c r="A25" s="2756"/>
      <c r="B25" s="2755" t="s">
        <v>582</v>
      </c>
      <c r="C25" s="2757">
        <f t="shared" si="1"/>
        <v>27969</v>
      </c>
      <c r="D25" s="2756">
        <v>0</v>
      </c>
      <c r="E25" s="2756">
        <v>21415</v>
      </c>
      <c r="F25" s="2756">
        <v>0</v>
      </c>
      <c r="G25" s="2756">
        <v>0</v>
      </c>
      <c r="H25" s="2756">
        <v>0</v>
      </c>
      <c r="I25" s="2756">
        <v>0</v>
      </c>
      <c r="J25" s="2756">
        <v>0</v>
      </c>
      <c r="K25" s="2756">
        <v>0</v>
      </c>
      <c r="L25" s="2756">
        <v>0</v>
      </c>
      <c r="M25" s="2756">
        <v>0</v>
      </c>
      <c r="N25" s="3329">
        <v>0</v>
      </c>
      <c r="O25" s="3329">
        <v>0</v>
      </c>
      <c r="P25" s="2756">
        <v>6554</v>
      </c>
      <c r="Q25" s="2756"/>
      <c r="R25" s="2756"/>
    </row>
    <row r="26" spans="1:18" ht="25.8" hidden="1" customHeight="1">
      <c r="A26" s="2756"/>
      <c r="B26" s="2755" t="s">
        <v>583</v>
      </c>
      <c r="C26" s="2757">
        <f t="shared" si="1"/>
        <v>0</v>
      </c>
      <c r="D26" s="2756">
        <v>0</v>
      </c>
      <c r="E26" s="2756">
        <v>0</v>
      </c>
      <c r="F26" s="2756">
        <v>0</v>
      </c>
      <c r="G26" s="2756">
        <v>0</v>
      </c>
      <c r="H26" s="2756">
        <v>0</v>
      </c>
      <c r="I26" s="2756">
        <v>0</v>
      </c>
      <c r="J26" s="2756">
        <v>0</v>
      </c>
      <c r="K26" s="2756">
        <v>0</v>
      </c>
      <c r="L26" s="2756">
        <v>0</v>
      </c>
      <c r="M26" s="2756">
        <v>0</v>
      </c>
      <c r="N26" s="3329">
        <v>0</v>
      </c>
      <c r="O26" s="3329">
        <v>0</v>
      </c>
      <c r="P26" s="2756">
        <v>0</v>
      </c>
      <c r="Q26" s="2756">
        <v>0</v>
      </c>
      <c r="R26" s="2756">
        <v>0</v>
      </c>
    </row>
    <row r="27" spans="1:18" ht="31.2" hidden="1" customHeight="1">
      <c r="A27" s="2756"/>
      <c r="B27" s="2755" t="s">
        <v>584</v>
      </c>
      <c r="C27" s="2757">
        <f t="shared" si="1"/>
        <v>4691</v>
      </c>
      <c r="D27" s="2756">
        <v>21</v>
      </c>
      <c r="E27" s="2756">
        <v>4670</v>
      </c>
      <c r="F27" s="2756">
        <v>0</v>
      </c>
      <c r="G27" s="2756">
        <v>0</v>
      </c>
      <c r="H27" s="2756">
        <v>0</v>
      </c>
      <c r="I27" s="2756">
        <v>0</v>
      </c>
      <c r="J27" s="2756">
        <v>0</v>
      </c>
      <c r="K27" s="2756">
        <v>0</v>
      </c>
      <c r="L27" s="2756">
        <v>0</v>
      </c>
      <c r="M27" s="2756">
        <v>0</v>
      </c>
      <c r="N27" s="3329">
        <v>0</v>
      </c>
      <c r="O27" s="3329">
        <v>0</v>
      </c>
      <c r="P27" s="2756">
        <v>0</v>
      </c>
      <c r="Q27" s="2756">
        <v>0</v>
      </c>
      <c r="R27" s="2756">
        <v>0</v>
      </c>
    </row>
    <row r="28" spans="1:18" ht="32.4" hidden="1" customHeight="1">
      <c r="A28" s="2756"/>
      <c r="B28" s="2755" t="s">
        <v>585</v>
      </c>
      <c r="C28" s="2757">
        <f t="shared" si="1"/>
        <v>500</v>
      </c>
      <c r="D28" s="2756">
        <v>0</v>
      </c>
      <c r="E28" s="2756">
        <v>500</v>
      </c>
      <c r="F28" s="2756">
        <v>0</v>
      </c>
      <c r="G28" s="2756">
        <v>0</v>
      </c>
      <c r="H28" s="2756">
        <v>0</v>
      </c>
      <c r="I28" s="2756">
        <v>0</v>
      </c>
      <c r="J28" s="2756">
        <v>0</v>
      </c>
      <c r="K28" s="2756">
        <v>0</v>
      </c>
      <c r="L28" s="2756">
        <v>0</v>
      </c>
      <c r="M28" s="2756">
        <v>0</v>
      </c>
      <c r="N28" s="3329">
        <v>0</v>
      </c>
      <c r="O28" s="3329">
        <v>0</v>
      </c>
      <c r="P28" s="2756">
        <v>0</v>
      </c>
      <c r="Q28" s="2756">
        <v>0</v>
      </c>
      <c r="R28" s="2756">
        <v>0</v>
      </c>
    </row>
    <row r="29" spans="1:18" ht="31.8" hidden="1" customHeight="1">
      <c r="A29" s="2756"/>
      <c r="B29" s="2755" t="s">
        <v>586</v>
      </c>
      <c r="C29" s="2757">
        <f t="shared" si="1"/>
        <v>912</v>
      </c>
      <c r="D29" s="2756">
        <v>0</v>
      </c>
      <c r="E29" s="2756">
        <v>912</v>
      </c>
      <c r="F29" s="2756">
        <v>0</v>
      </c>
      <c r="G29" s="2756">
        <v>0</v>
      </c>
      <c r="H29" s="2756">
        <v>0</v>
      </c>
      <c r="I29" s="2756">
        <v>0</v>
      </c>
      <c r="J29" s="2756">
        <v>0</v>
      </c>
      <c r="K29" s="2756">
        <v>0</v>
      </c>
      <c r="L29" s="2756">
        <v>0</v>
      </c>
      <c r="M29" s="2756">
        <v>0</v>
      </c>
      <c r="N29" s="3329">
        <v>0</v>
      </c>
      <c r="O29" s="3329">
        <v>0</v>
      </c>
      <c r="P29" s="2756">
        <v>0</v>
      </c>
      <c r="Q29" s="2756">
        <v>0</v>
      </c>
      <c r="R29" s="2756">
        <v>0</v>
      </c>
    </row>
    <row r="30" spans="1:18" ht="32.4" hidden="1" customHeight="1">
      <c r="A30" s="2756"/>
      <c r="B30" s="2755" t="s">
        <v>587</v>
      </c>
      <c r="C30" s="2757">
        <f t="shared" si="1"/>
        <v>1994</v>
      </c>
      <c r="D30" s="2756">
        <v>0</v>
      </c>
      <c r="E30" s="2756">
        <v>1994</v>
      </c>
      <c r="F30" s="2756">
        <v>0</v>
      </c>
      <c r="G30" s="2756">
        <v>0</v>
      </c>
      <c r="H30" s="2756">
        <v>0</v>
      </c>
      <c r="I30" s="2756">
        <v>0</v>
      </c>
      <c r="J30" s="2756">
        <v>0</v>
      </c>
      <c r="K30" s="2756">
        <v>0</v>
      </c>
      <c r="L30" s="2756">
        <v>0</v>
      </c>
      <c r="M30" s="2756">
        <v>0</v>
      </c>
      <c r="N30" s="3329">
        <v>0</v>
      </c>
      <c r="O30" s="3329">
        <v>0</v>
      </c>
      <c r="P30" s="2756">
        <v>0</v>
      </c>
      <c r="Q30" s="2756">
        <v>0</v>
      </c>
      <c r="R30" s="2756">
        <v>0</v>
      </c>
    </row>
    <row r="31" spans="1:18" ht="28.2" hidden="1" customHeight="1">
      <c r="A31" s="2756"/>
      <c r="B31" s="2755" t="s">
        <v>745</v>
      </c>
      <c r="C31" s="2757">
        <f t="shared" si="1"/>
        <v>2132</v>
      </c>
      <c r="D31" s="2756">
        <v>0</v>
      </c>
      <c r="E31" s="2756">
        <v>0</v>
      </c>
      <c r="F31" s="2756">
        <v>0</v>
      </c>
      <c r="G31" s="2756">
        <v>0</v>
      </c>
      <c r="H31" s="2756">
        <v>0</v>
      </c>
      <c r="I31" s="2756">
        <v>0</v>
      </c>
      <c r="J31" s="2756">
        <v>0</v>
      </c>
      <c r="K31" s="2756">
        <v>0</v>
      </c>
      <c r="L31" s="2756">
        <v>0</v>
      </c>
      <c r="M31" s="2756">
        <v>0</v>
      </c>
      <c r="N31" s="3329">
        <v>0</v>
      </c>
      <c r="O31" s="3329">
        <v>0</v>
      </c>
      <c r="P31" s="2756">
        <v>2132</v>
      </c>
      <c r="Q31" s="2756">
        <v>0</v>
      </c>
      <c r="R31" s="2756"/>
    </row>
    <row r="32" spans="1:18" ht="25.8" hidden="1" customHeight="1">
      <c r="A32" s="2756"/>
      <c r="B32" s="2755" t="s">
        <v>588</v>
      </c>
      <c r="C32" s="2757">
        <f t="shared" si="1"/>
        <v>0</v>
      </c>
      <c r="D32" s="2756"/>
      <c r="E32" s="2756">
        <v>0</v>
      </c>
      <c r="F32" s="2756">
        <v>0</v>
      </c>
      <c r="G32" s="2756">
        <v>0</v>
      </c>
      <c r="H32" s="2756">
        <v>0</v>
      </c>
      <c r="I32" s="2756">
        <v>0</v>
      </c>
      <c r="J32" s="2756">
        <v>0</v>
      </c>
      <c r="K32" s="2756">
        <v>0</v>
      </c>
      <c r="L32" s="2756">
        <v>0</v>
      </c>
      <c r="M32" s="2756">
        <v>0</v>
      </c>
      <c r="N32" s="3329">
        <v>0</v>
      </c>
      <c r="O32" s="3329">
        <v>0</v>
      </c>
      <c r="P32" s="2756">
        <v>0</v>
      </c>
      <c r="Q32" s="2756">
        <v>0</v>
      </c>
      <c r="R32" s="2756">
        <v>0</v>
      </c>
    </row>
    <row r="33" spans="1:18" ht="25.8" customHeight="1">
      <c r="A33" s="2756">
        <v>8</v>
      </c>
      <c r="B33" s="2755" t="s">
        <v>746</v>
      </c>
      <c r="C33" s="2757">
        <f t="shared" si="1"/>
        <v>197680</v>
      </c>
      <c r="D33" s="2756">
        <v>2679</v>
      </c>
      <c r="E33" s="2756">
        <v>0</v>
      </c>
      <c r="F33" s="2756">
        <v>0</v>
      </c>
      <c r="G33" s="2756">
        <v>0</v>
      </c>
      <c r="H33" s="2756">
        <v>180677</v>
      </c>
      <c r="I33" s="2756">
        <v>0</v>
      </c>
      <c r="J33" s="2756">
        <v>0</v>
      </c>
      <c r="K33" s="2756">
        <v>0</v>
      </c>
      <c r="L33" s="2756">
        <v>0</v>
      </c>
      <c r="M33" s="2756">
        <v>0</v>
      </c>
      <c r="N33" s="3329">
        <v>0</v>
      </c>
      <c r="O33" s="3329">
        <v>0</v>
      </c>
      <c r="P33" s="2756">
        <v>14324</v>
      </c>
      <c r="Q33" s="2756">
        <v>0</v>
      </c>
      <c r="R33" s="2756">
        <v>0</v>
      </c>
    </row>
    <row r="34" spans="1:18" ht="25.8" hidden="1" customHeight="1">
      <c r="A34" s="2756"/>
      <c r="B34" s="2755" t="s">
        <v>747</v>
      </c>
      <c r="C34" s="2757">
        <f t="shared" si="1"/>
        <v>63994</v>
      </c>
      <c r="D34" s="2756">
        <v>314</v>
      </c>
      <c r="E34" s="2756"/>
      <c r="F34" s="2756">
        <v>0</v>
      </c>
      <c r="G34" s="2756">
        <v>0</v>
      </c>
      <c r="H34" s="2756">
        <v>49356</v>
      </c>
      <c r="I34" s="2756">
        <v>0</v>
      </c>
      <c r="J34" s="2756">
        <v>0</v>
      </c>
      <c r="K34" s="2756">
        <v>0</v>
      </c>
      <c r="L34" s="2756">
        <v>0</v>
      </c>
      <c r="M34" s="2756">
        <v>0</v>
      </c>
      <c r="N34" s="3329">
        <v>0</v>
      </c>
      <c r="O34" s="3329">
        <v>0</v>
      </c>
      <c r="P34" s="2756">
        <v>14324</v>
      </c>
      <c r="Q34" s="2756"/>
      <c r="R34" s="2756"/>
    </row>
    <row r="35" spans="1:18" ht="25.8" hidden="1" customHeight="1">
      <c r="A35" s="2756"/>
      <c r="B35" s="2755" t="s">
        <v>748</v>
      </c>
      <c r="C35" s="2757">
        <f t="shared" si="1"/>
        <v>2200</v>
      </c>
      <c r="D35" s="2756">
        <v>0</v>
      </c>
      <c r="E35" s="2756">
        <v>0</v>
      </c>
      <c r="F35" s="2756">
        <v>0</v>
      </c>
      <c r="G35" s="2756">
        <v>0</v>
      </c>
      <c r="H35" s="2756">
        <v>2200</v>
      </c>
      <c r="I35" s="2756">
        <v>0</v>
      </c>
      <c r="J35" s="2756">
        <v>0</v>
      </c>
      <c r="K35" s="2756">
        <v>0</v>
      </c>
      <c r="L35" s="2756">
        <v>0</v>
      </c>
      <c r="M35" s="2756">
        <v>0</v>
      </c>
      <c r="N35" s="3329">
        <v>0</v>
      </c>
      <c r="O35" s="3329">
        <v>0</v>
      </c>
      <c r="P35" s="2756">
        <v>0</v>
      </c>
      <c r="Q35" s="2756">
        <v>0</v>
      </c>
      <c r="R35" s="2756">
        <v>0</v>
      </c>
    </row>
    <row r="36" spans="1:18" ht="25.8" hidden="1" customHeight="1">
      <c r="A36" s="2756"/>
      <c r="B36" s="2755" t="s">
        <v>749</v>
      </c>
      <c r="C36" s="2757">
        <f t="shared" si="1"/>
        <v>1809</v>
      </c>
      <c r="D36" s="2756">
        <v>20</v>
      </c>
      <c r="E36" s="2756">
        <v>0</v>
      </c>
      <c r="F36" s="2756">
        <v>0</v>
      </c>
      <c r="G36" s="2756">
        <v>0</v>
      </c>
      <c r="H36" s="2756">
        <v>1789</v>
      </c>
      <c r="I36" s="2756">
        <v>0</v>
      </c>
      <c r="J36" s="2756">
        <v>0</v>
      </c>
      <c r="K36" s="2756">
        <v>0</v>
      </c>
      <c r="L36" s="2756">
        <v>0</v>
      </c>
      <c r="M36" s="2756">
        <v>0</v>
      </c>
      <c r="N36" s="3329">
        <v>0</v>
      </c>
      <c r="O36" s="3329">
        <v>0</v>
      </c>
      <c r="P36" s="2756">
        <v>0</v>
      </c>
      <c r="Q36" s="2756">
        <v>0</v>
      </c>
      <c r="R36" s="2756">
        <v>0</v>
      </c>
    </row>
    <row r="37" spans="1:18" ht="25.8" hidden="1" customHeight="1">
      <c r="A37" s="2756"/>
      <c r="B37" s="2755" t="s">
        <v>750</v>
      </c>
      <c r="C37" s="2757">
        <f t="shared" si="1"/>
        <v>14755</v>
      </c>
      <c r="D37" s="2756">
        <v>0</v>
      </c>
      <c r="E37" s="2756">
        <v>0</v>
      </c>
      <c r="F37" s="2756">
        <v>0</v>
      </c>
      <c r="G37" s="2756">
        <v>0</v>
      </c>
      <c r="H37" s="2756">
        <v>14755</v>
      </c>
      <c r="I37" s="2756">
        <v>0</v>
      </c>
      <c r="J37" s="2756">
        <v>0</v>
      </c>
      <c r="K37" s="2756">
        <v>0</v>
      </c>
      <c r="L37" s="2756">
        <v>0</v>
      </c>
      <c r="M37" s="2756">
        <v>0</v>
      </c>
      <c r="N37" s="3329">
        <v>0</v>
      </c>
      <c r="O37" s="3329">
        <v>0</v>
      </c>
      <c r="P37" s="2756">
        <v>0</v>
      </c>
      <c r="Q37" s="2756">
        <v>0</v>
      </c>
      <c r="R37" s="2756">
        <v>0</v>
      </c>
    </row>
    <row r="38" spans="1:18" ht="25.8" hidden="1" customHeight="1">
      <c r="A38" s="2756"/>
      <c r="B38" s="2755" t="s">
        <v>751</v>
      </c>
      <c r="C38" s="2757">
        <f t="shared" si="1"/>
        <v>0</v>
      </c>
      <c r="D38" s="2756">
        <v>0</v>
      </c>
      <c r="E38" s="2756">
        <v>0</v>
      </c>
      <c r="F38" s="2756">
        <v>0</v>
      </c>
      <c r="G38" s="2756">
        <v>0</v>
      </c>
      <c r="H38" s="2756">
        <v>0</v>
      </c>
      <c r="I38" s="2756">
        <v>0</v>
      </c>
      <c r="J38" s="2756">
        <v>0</v>
      </c>
      <c r="K38" s="2756">
        <v>0</v>
      </c>
      <c r="L38" s="2756">
        <v>0</v>
      </c>
      <c r="M38" s="2756">
        <v>0</v>
      </c>
      <c r="N38" s="3329">
        <v>0</v>
      </c>
      <c r="O38" s="3329">
        <v>0</v>
      </c>
      <c r="P38" s="2756">
        <v>0</v>
      </c>
      <c r="Q38" s="2756">
        <v>0</v>
      </c>
      <c r="R38" s="2756">
        <v>0</v>
      </c>
    </row>
    <row r="39" spans="1:18" ht="25.8" hidden="1" customHeight="1">
      <c r="A39" s="2756"/>
      <c r="B39" s="2755" t="s">
        <v>752</v>
      </c>
      <c r="C39" s="2757">
        <f t="shared" si="1"/>
        <v>4647</v>
      </c>
      <c r="D39" s="2756">
        <v>0</v>
      </c>
      <c r="E39" s="2756">
        <v>0</v>
      </c>
      <c r="F39" s="2756">
        <v>0</v>
      </c>
      <c r="G39" s="2756">
        <v>0</v>
      </c>
      <c r="H39" s="2756">
        <v>4647</v>
      </c>
      <c r="I39" s="2756">
        <v>0</v>
      </c>
      <c r="J39" s="2756">
        <v>0</v>
      </c>
      <c r="K39" s="2756">
        <v>0</v>
      </c>
      <c r="L39" s="2756">
        <v>0</v>
      </c>
      <c r="M39" s="2756">
        <v>0</v>
      </c>
      <c r="N39" s="3329">
        <v>0</v>
      </c>
      <c r="O39" s="3329">
        <v>0</v>
      </c>
      <c r="P39" s="2756">
        <v>0</v>
      </c>
      <c r="Q39" s="2756">
        <v>0</v>
      </c>
      <c r="R39" s="2756">
        <v>0</v>
      </c>
    </row>
    <row r="40" spans="1:18" ht="25.8" hidden="1" customHeight="1">
      <c r="A40" s="2756"/>
      <c r="B40" s="2755" t="s">
        <v>753</v>
      </c>
      <c r="C40" s="2757">
        <f t="shared" si="1"/>
        <v>0</v>
      </c>
      <c r="D40" s="2756">
        <v>0</v>
      </c>
      <c r="E40" s="2756">
        <v>0</v>
      </c>
      <c r="F40" s="2756">
        <v>0</v>
      </c>
      <c r="G40" s="2756">
        <v>0</v>
      </c>
      <c r="H40" s="2756">
        <v>0</v>
      </c>
      <c r="I40" s="2756">
        <v>0</v>
      </c>
      <c r="J40" s="2756">
        <v>0</v>
      </c>
      <c r="K40" s="2756">
        <v>0</v>
      </c>
      <c r="L40" s="2756">
        <v>0</v>
      </c>
      <c r="M40" s="2756">
        <v>0</v>
      </c>
      <c r="N40" s="3329">
        <v>0</v>
      </c>
      <c r="O40" s="3329">
        <v>0</v>
      </c>
      <c r="P40" s="2756">
        <v>0</v>
      </c>
      <c r="Q40" s="2756">
        <v>0</v>
      </c>
      <c r="R40" s="2756">
        <v>0</v>
      </c>
    </row>
    <row r="41" spans="1:18" ht="25.8" hidden="1" customHeight="1">
      <c r="A41" s="2756"/>
      <c r="B41" s="2755" t="s">
        <v>754</v>
      </c>
      <c r="C41" s="2757">
        <f t="shared" si="1"/>
        <v>0</v>
      </c>
      <c r="D41" s="2756">
        <v>0</v>
      </c>
      <c r="E41" s="2756">
        <v>0</v>
      </c>
      <c r="F41" s="2756">
        <v>0</v>
      </c>
      <c r="G41" s="2756">
        <v>0</v>
      </c>
      <c r="H41" s="2756">
        <v>0</v>
      </c>
      <c r="I41" s="2756">
        <v>0</v>
      </c>
      <c r="J41" s="2756">
        <v>0</v>
      </c>
      <c r="K41" s="2756">
        <v>0</v>
      </c>
      <c r="L41" s="2756">
        <v>0</v>
      </c>
      <c r="M41" s="2756">
        <v>0</v>
      </c>
      <c r="N41" s="3329">
        <v>0</v>
      </c>
      <c r="O41" s="3329">
        <v>0</v>
      </c>
      <c r="P41" s="2756">
        <v>0</v>
      </c>
      <c r="Q41" s="2756">
        <v>0</v>
      </c>
      <c r="R41" s="2756">
        <v>0</v>
      </c>
    </row>
    <row r="42" spans="1:18" ht="25.8" hidden="1" customHeight="1">
      <c r="A42" s="2756"/>
      <c r="B42" s="2755" t="s">
        <v>755</v>
      </c>
      <c r="C42" s="2757">
        <f t="shared" si="1"/>
        <v>1362</v>
      </c>
      <c r="D42" s="2756">
        <v>0</v>
      </c>
      <c r="E42" s="2756">
        <v>0</v>
      </c>
      <c r="F42" s="2756">
        <v>0</v>
      </c>
      <c r="G42" s="2756">
        <v>0</v>
      </c>
      <c r="H42" s="2756">
        <v>1362</v>
      </c>
      <c r="I42" s="2756">
        <v>0</v>
      </c>
      <c r="J42" s="2756">
        <v>0</v>
      </c>
      <c r="K42" s="2756">
        <v>0</v>
      </c>
      <c r="L42" s="2756">
        <v>0</v>
      </c>
      <c r="M42" s="2756">
        <v>0</v>
      </c>
      <c r="N42" s="3329">
        <v>0</v>
      </c>
      <c r="O42" s="3329">
        <v>0</v>
      </c>
      <c r="P42" s="2756">
        <v>0</v>
      </c>
      <c r="Q42" s="2756">
        <v>0</v>
      </c>
      <c r="R42" s="2756">
        <v>0</v>
      </c>
    </row>
    <row r="43" spans="1:18" ht="25.8" hidden="1" customHeight="1">
      <c r="A43" s="2756"/>
      <c r="B43" s="2755" t="s">
        <v>756</v>
      </c>
      <c r="C43" s="2757">
        <f t="shared" si="1"/>
        <v>13768</v>
      </c>
      <c r="D43" s="2756">
        <v>0</v>
      </c>
      <c r="E43" s="2756">
        <v>0</v>
      </c>
      <c r="F43" s="2756">
        <v>0</v>
      </c>
      <c r="G43" s="2756">
        <v>0</v>
      </c>
      <c r="H43" s="2756">
        <v>13768</v>
      </c>
      <c r="I43" s="2756">
        <v>0</v>
      </c>
      <c r="J43" s="2756">
        <v>0</v>
      </c>
      <c r="K43" s="2756">
        <v>0</v>
      </c>
      <c r="L43" s="2756">
        <v>0</v>
      </c>
      <c r="M43" s="2756">
        <v>0</v>
      </c>
      <c r="N43" s="3329">
        <v>0</v>
      </c>
      <c r="O43" s="3329">
        <v>0</v>
      </c>
      <c r="P43" s="2756">
        <v>0</v>
      </c>
      <c r="Q43" s="2756">
        <v>0</v>
      </c>
      <c r="R43" s="2756">
        <v>0</v>
      </c>
    </row>
    <row r="44" spans="1:18" ht="25.8" hidden="1" customHeight="1">
      <c r="A44" s="2756"/>
      <c r="B44" s="2755" t="s">
        <v>757</v>
      </c>
      <c r="C44" s="2757">
        <f t="shared" si="1"/>
        <v>0</v>
      </c>
      <c r="D44" s="2756">
        <v>0</v>
      </c>
      <c r="E44" s="2756">
        <v>0</v>
      </c>
      <c r="F44" s="2756">
        <v>0</v>
      </c>
      <c r="G44" s="2756">
        <v>0</v>
      </c>
      <c r="H44" s="2756">
        <v>0</v>
      </c>
      <c r="I44" s="2756">
        <v>0</v>
      </c>
      <c r="J44" s="2756">
        <v>0</v>
      </c>
      <c r="K44" s="2756">
        <v>0</v>
      </c>
      <c r="L44" s="2756">
        <v>0</v>
      </c>
      <c r="M44" s="2756">
        <v>0</v>
      </c>
      <c r="N44" s="3329">
        <v>0</v>
      </c>
      <c r="O44" s="3329">
        <v>0</v>
      </c>
      <c r="P44" s="2756">
        <v>0</v>
      </c>
      <c r="Q44" s="2756">
        <v>0</v>
      </c>
      <c r="R44" s="2756">
        <v>0</v>
      </c>
    </row>
    <row r="45" spans="1:18" ht="25.8" hidden="1" customHeight="1">
      <c r="A45" s="2756"/>
      <c r="B45" s="2755" t="s">
        <v>623</v>
      </c>
      <c r="C45" s="2757">
        <f t="shared" si="1"/>
        <v>9000</v>
      </c>
      <c r="D45" s="2756">
        <v>0</v>
      </c>
      <c r="E45" s="2756">
        <v>0</v>
      </c>
      <c r="F45" s="2756">
        <v>0</v>
      </c>
      <c r="G45" s="2756">
        <v>0</v>
      </c>
      <c r="H45" s="2756"/>
      <c r="I45" s="2756">
        <v>0</v>
      </c>
      <c r="J45" s="2756">
        <v>0</v>
      </c>
      <c r="K45" s="2756">
        <v>0</v>
      </c>
      <c r="L45" s="2756">
        <v>0</v>
      </c>
      <c r="M45" s="2756">
        <v>0</v>
      </c>
      <c r="N45" s="3329">
        <v>0</v>
      </c>
      <c r="O45" s="3329">
        <v>0</v>
      </c>
      <c r="P45" s="2756">
        <v>9000</v>
      </c>
      <c r="Q45" s="2756"/>
      <c r="R45" s="2756"/>
    </row>
    <row r="46" spans="1:18" ht="25.8" hidden="1" customHeight="1">
      <c r="A46" s="2756"/>
      <c r="B46" s="2755" t="s">
        <v>758</v>
      </c>
      <c r="C46" s="2757">
        <f t="shared" si="1"/>
        <v>2345</v>
      </c>
      <c r="D46" s="2756">
        <v>2345</v>
      </c>
      <c r="E46" s="2756">
        <v>0</v>
      </c>
      <c r="F46" s="2756">
        <v>0</v>
      </c>
      <c r="G46" s="2756">
        <v>0</v>
      </c>
      <c r="H46" s="2756">
        <v>0</v>
      </c>
      <c r="I46" s="2756">
        <v>0</v>
      </c>
      <c r="J46" s="2756">
        <v>0</v>
      </c>
      <c r="K46" s="2756">
        <v>0</v>
      </c>
      <c r="L46" s="2756">
        <v>0</v>
      </c>
      <c r="M46" s="2756">
        <v>0</v>
      </c>
      <c r="N46" s="3329">
        <v>0</v>
      </c>
      <c r="O46" s="3329">
        <v>0</v>
      </c>
      <c r="P46" s="2756">
        <v>0</v>
      </c>
      <c r="Q46" s="2756">
        <v>0</v>
      </c>
      <c r="R46" s="2756">
        <v>0</v>
      </c>
    </row>
    <row r="47" spans="1:18" ht="25.8" hidden="1" customHeight="1">
      <c r="A47" s="2756"/>
      <c r="B47" s="2755" t="s">
        <v>535</v>
      </c>
      <c r="C47" s="2757">
        <f t="shared" si="1"/>
        <v>1500</v>
      </c>
      <c r="D47" s="2756">
        <v>0</v>
      </c>
      <c r="E47" s="2756">
        <v>0</v>
      </c>
      <c r="F47" s="2756">
        <v>0</v>
      </c>
      <c r="G47" s="2756">
        <v>0</v>
      </c>
      <c r="H47" s="2756">
        <v>1500</v>
      </c>
      <c r="I47" s="2756">
        <v>0</v>
      </c>
      <c r="J47" s="2756">
        <v>0</v>
      </c>
      <c r="K47" s="2756">
        <v>0</v>
      </c>
      <c r="L47" s="2756">
        <v>0</v>
      </c>
      <c r="M47" s="2756">
        <v>0</v>
      </c>
      <c r="N47" s="3329">
        <v>0</v>
      </c>
      <c r="O47" s="3329">
        <v>0</v>
      </c>
      <c r="P47" s="2756">
        <v>0</v>
      </c>
      <c r="Q47" s="2756">
        <v>0</v>
      </c>
      <c r="R47" s="2756">
        <v>0</v>
      </c>
    </row>
    <row r="48" spans="1:18" ht="25.8" hidden="1" customHeight="1">
      <c r="A48" s="2756"/>
      <c r="B48" s="2755" t="s">
        <v>536</v>
      </c>
      <c r="C48" s="2757">
        <f t="shared" si="1"/>
        <v>1500</v>
      </c>
      <c r="D48" s="2756">
        <v>0</v>
      </c>
      <c r="E48" s="2756">
        <v>0</v>
      </c>
      <c r="F48" s="2756">
        <v>0</v>
      </c>
      <c r="G48" s="2756">
        <v>0</v>
      </c>
      <c r="H48" s="2756">
        <v>1500</v>
      </c>
      <c r="I48" s="2756">
        <v>0</v>
      </c>
      <c r="J48" s="2756">
        <v>0</v>
      </c>
      <c r="K48" s="2756">
        <v>0</v>
      </c>
      <c r="L48" s="2756">
        <v>0</v>
      </c>
      <c r="M48" s="2756">
        <v>0</v>
      </c>
      <c r="N48" s="3329">
        <v>0</v>
      </c>
      <c r="O48" s="3329">
        <v>0</v>
      </c>
      <c r="P48" s="2756">
        <v>0</v>
      </c>
      <c r="Q48" s="2756">
        <v>0</v>
      </c>
      <c r="R48" s="2756">
        <v>0</v>
      </c>
    </row>
    <row r="49" spans="1:18" ht="25.8" hidden="1" customHeight="1">
      <c r="A49" s="2756"/>
      <c r="B49" s="2755" t="s">
        <v>537</v>
      </c>
      <c r="C49" s="2757">
        <f t="shared" si="1"/>
        <v>0</v>
      </c>
      <c r="D49" s="2756">
        <v>0</v>
      </c>
      <c r="E49" s="2756">
        <v>0</v>
      </c>
      <c r="F49" s="2756">
        <v>0</v>
      </c>
      <c r="G49" s="2756">
        <v>0</v>
      </c>
      <c r="H49" s="2756">
        <v>0</v>
      </c>
      <c r="I49" s="2756">
        <v>0</v>
      </c>
      <c r="J49" s="2756">
        <v>0</v>
      </c>
      <c r="K49" s="2756">
        <v>0</v>
      </c>
      <c r="L49" s="2756">
        <v>0</v>
      </c>
      <c r="M49" s="2756">
        <v>0</v>
      </c>
      <c r="N49" s="3329">
        <v>0</v>
      </c>
      <c r="O49" s="3329">
        <v>0</v>
      </c>
      <c r="P49" s="2756">
        <v>0</v>
      </c>
      <c r="Q49" s="2756">
        <v>0</v>
      </c>
      <c r="R49" s="2756">
        <v>0</v>
      </c>
    </row>
    <row r="50" spans="1:18" ht="25.8" hidden="1" customHeight="1">
      <c r="A50" s="2756"/>
      <c r="B50" s="2755" t="s">
        <v>538</v>
      </c>
      <c r="C50" s="2757">
        <f t="shared" si="1"/>
        <v>12500</v>
      </c>
      <c r="D50" s="2756">
        <v>0</v>
      </c>
      <c r="E50" s="2756">
        <v>0</v>
      </c>
      <c r="F50" s="2756">
        <v>0</v>
      </c>
      <c r="G50" s="2756">
        <v>0</v>
      </c>
      <c r="H50" s="2756">
        <v>12500</v>
      </c>
      <c r="I50" s="2756">
        <v>0</v>
      </c>
      <c r="J50" s="2756">
        <v>0</v>
      </c>
      <c r="K50" s="2756">
        <v>0</v>
      </c>
      <c r="L50" s="2756">
        <v>0</v>
      </c>
      <c r="M50" s="2756">
        <v>0</v>
      </c>
      <c r="N50" s="3329">
        <v>0</v>
      </c>
      <c r="O50" s="3329">
        <v>0</v>
      </c>
      <c r="P50" s="2756">
        <v>0</v>
      </c>
      <c r="Q50" s="2756">
        <v>0</v>
      </c>
      <c r="R50" s="2756">
        <v>0</v>
      </c>
    </row>
    <row r="51" spans="1:18" ht="25.8" hidden="1" customHeight="1">
      <c r="A51" s="2756"/>
      <c r="B51" s="2755" t="s">
        <v>540</v>
      </c>
      <c r="C51" s="2757">
        <f t="shared" si="1"/>
        <v>0</v>
      </c>
      <c r="D51" s="2756">
        <v>0</v>
      </c>
      <c r="E51" s="2756">
        <v>0</v>
      </c>
      <c r="F51" s="2756">
        <v>0</v>
      </c>
      <c r="G51" s="2756">
        <v>0</v>
      </c>
      <c r="H51" s="2756">
        <v>0</v>
      </c>
      <c r="I51" s="2756">
        <v>0</v>
      </c>
      <c r="J51" s="2756">
        <v>0</v>
      </c>
      <c r="K51" s="2756">
        <v>0</v>
      </c>
      <c r="L51" s="2756">
        <v>0</v>
      </c>
      <c r="M51" s="2756">
        <v>0</v>
      </c>
      <c r="N51" s="3329">
        <v>0</v>
      </c>
      <c r="O51" s="3329">
        <v>0</v>
      </c>
      <c r="P51" s="2756">
        <v>0</v>
      </c>
      <c r="Q51" s="2756">
        <v>0</v>
      </c>
      <c r="R51" s="2756">
        <v>0</v>
      </c>
    </row>
    <row r="52" spans="1:18" ht="25.8" hidden="1" customHeight="1">
      <c r="A52" s="2756"/>
      <c r="B52" s="2755" t="s">
        <v>542</v>
      </c>
      <c r="C52" s="2757">
        <f t="shared" si="1"/>
        <v>4500</v>
      </c>
      <c r="D52" s="2756">
        <v>0</v>
      </c>
      <c r="E52" s="2756">
        <v>0</v>
      </c>
      <c r="F52" s="2756">
        <v>0</v>
      </c>
      <c r="G52" s="2756">
        <v>0</v>
      </c>
      <c r="H52" s="2756">
        <v>4500</v>
      </c>
      <c r="I52" s="2756">
        <v>0</v>
      </c>
      <c r="J52" s="2756">
        <v>0</v>
      </c>
      <c r="K52" s="2756">
        <v>0</v>
      </c>
      <c r="L52" s="2756">
        <v>0</v>
      </c>
      <c r="M52" s="2756">
        <v>0</v>
      </c>
      <c r="N52" s="3329">
        <v>0</v>
      </c>
      <c r="O52" s="3329">
        <v>0</v>
      </c>
      <c r="P52" s="2756">
        <v>0</v>
      </c>
      <c r="Q52" s="2756">
        <v>0</v>
      </c>
      <c r="R52" s="2756">
        <v>0</v>
      </c>
    </row>
    <row r="53" spans="1:18" ht="25.8" hidden="1" customHeight="1">
      <c r="A53" s="2756"/>
      <c r="B53" s="2755" t="s">
        <v>544</v>
      </c>
      <c r="C53" s="2757">
        <f t="shared" si="1"/>
        <v>1500</v>
      </c>
      <c r="D53" s="2756">
        <v>0</v>
      </c>
      <c r="E53" s="2756">
        <v>0</v>
      </c>
      <c r="F53" s="2756">
        <v>0</v>
      </c>
      <c r="G53" s="2756">
        <v>0</v>
      </c>
      <c r="H53" s="2756">
        <v>1500</v>
      </c>
      <c r="I53" s="2756">
        <v>0</v>
      </c>
      <c r="J53" s="2756">
        <v>0</v>
      </c>
      <c r="K53" s="2756">
        <v>0</v>
      </c>
      <c r="L53" s="2756">
        <v>0</v>
      </c>
      <c r="M53" s="2756">
        <v>0</v>
      </c>
      <c r="N53" s="3329">
        <v>0</v>
      </c>
      <c r="O53" s="3329">
        <v>0</v>
      </c>
      <c r="P53" s="2756">
        <v>0</v>
      </c>
      <c r="Q53" s="2756">
        <v>0</v>
      </c>
      <c r="R53" s="2756">
        <v>0</v>
      </c>
    </row>
    <row r="54" spans="1:18" ht="25.8" hidden="1" customHeight="1">
      <c r="A54" s="2756"/>
      <c r="B54" s="2755" t="s">
        <v>546</v>
      </c>
      <c r="C54" s="2757">
        <f t="shared" si="1"/>
        <v>4000</v>
      </c>
      <c r="D54" s="2756">
        <v>0</v>
      </c>
      <c r="E54" s="2756">
        <v>0</v>
      </c>
      <c r="F54" s="2756">
        <v>0</v>
      </c>
      <c r="G54" s="2756">
        <v>0</v>
      </c>
      <c r="H54" s="2756">
        <v>4000</v>
      </c>
      <c r="I54" s="2756">
        <v>0</v>
      </c>
      <c r="J54" s="2756">
        <v>0</v>
      </c>
      <c r="K54" s="2756">
        <v>0</v>
      </c>
      <c r="L54" s="2756">
        <v>0</v>
      </c>
      <c r="M54" s="2756">
        <v>0</v>
      </c>
      <c r="N54" s="3329">
        <v>0</v>
      </c>
      <c r="O54" s="3329">
        <v>0</v>
      </c>
      <c r="P54" s="2756">
        <v>0</v>
      </c>
      <c r="Q54" s="2756">
        <v>0</v>
      </c>
      <c r="R54" s="2756">
        <v>0</v>
      </c>
    </row>
    <row r="55" spans="1:18" ht="25.8" hidden="1" customHeight="1">
      <c r="A55" s="2756"/>
      <c r="B55" s="2755" t="s">
        <v>548</v>
      </c>
      <c r="C55" s="2757">
        <f t="shared" si="1"/>
        <v>2500</v>
      </c>
      <c r="D55" s="2756">
        <v>0</v>
      </c>
      <c r="E55" s="2756">
        <v>0</v>
      </c>
      <c r="F55" s="2756">
        <v>0</v>
      </c>
      <c r="G55" s="2756">
        <v>0</v>
      </c>
      <c r="H55" s="2756">
        <v>2500</v>
      </c>
      <c r="I55" s="2756">
        <v>0</v>
      </c>
      <c r="J55" s="2756">
        <v>0</v>
      </c>
      <c r="K55" s="2756">
        <v>0</v>
      </c>
      <c r="L55" s="2756">
        <v>0</v>
      </c>
      <c r="M55" s="2756">
        <v>0</v>
      </c>
      <c r="N55" s="3329">
        <v>0</v>
      </c>
      <c r="O55" s="3329">
        <v>0</v>
      </c>
      <c r="P55" s="2756">
        <v>0</v>
      </c>
      <c r="Q55" s="2756">
        <v>0</v>
      </c>
      <c r="R55" s="2756">
        <v>0</v>
      </c>
    </row>
    <row r="56" spans="1:18" ht="25.8" hidden="1" customHeight="1">
      <c r="A56" s="2756"/>
      <c r="B56" s="2755" t="s">
        <v>549</v>
      </c>
      <c r="C56" s="2757">
        <f t="shared" si="1"/>
        <v>2000</v>
      </c>
      <c r="D56" s="2756">
        <v>0</v>
      </c>
      <c r="E56" s="2756">
        <v>0</v>
      </c>
      <c r="F56" s="2756">
        <v>0</v>
      </c>
      <c r="G56" s="2756">
        <v>0</v>
      </c>
      <c r="H56" s="2756">
        <v>2000</v>
      </c>
      <c r="I56" s="2756">
        <v>0</v>
      </c>
      <c r="J56" s="2756">
        <v>0</v>
      </c>
      <c r="K56" s="2756">
        <v>0</v>
      </c>
      <c r="L56" s="2756">
        <v>0</v>
      </c>
      <c r="M56" s="2756">
        <v>0</v>
      </c>
      <c r="N56" s="3329">
        <v>0</v>
      </c>
      <c r="O56" s="3329">
        <v>0</v>
      </c>
      <c r="P56" s="2756">
        <v>0</v>
      </c>
      <c r="Q56" s="2756">
        <v>0</v>
      </c>
      <c r="R56" s="2756">
        <v>0</v>
      </c>
    </row>
    <row r="57" spans="1:18" ht="25.8" hidden="1" customHeight="1">
      <c r="A57" s="2756"/>
      <c r="B57" s="2755" t="s">
        <v>550</v>
      </c>
      <c r="C57" s="2757">
        <f t="shared" si="1"/>
        <v>0</v>
      </c>
      <c r="D57" s="2756">
        <v>0</v>
      </c>
      <c r="E57" s="2756">
        <v>0</v>
      </c>
      <c r="F57" s="2756">
        <v>0</v>
      </c>
      <c r="G57" s="2756">
        <v>0</v>
      </c>
      <c r="H57" s="2756">
        <v>0</v>
      </c>
      <c r="I57" s="2756">
        <v>0</v>
      </c>
      <c r="J57" s="2756">
        <v>0</v>
      </c>
      <c r="K57" s="2756">
        <v>0</v>
      </c>
      <c r="L57" s="2756">
        <v>0</v>
      </c>
      <c r="M57" s="2756">
        <v>0</v>
      </c>
      <c r="N57" s="3329">
        <v>0</v>
      </c>
      <c r="O57" s="3329">
        <v>0</v>
      </c>
      <c r="P57" s="2756">
        <v>0</v>
      </c>
      <c r="Q57" s="2756">
        <v>0</v>
      </c>
      <c r="R57" s="2756">
        <v>0</v>
      </c>
    </row>
    <row r="58" spans="1:18" ht="25.8" hidden="1" customHeight="1">
      <c r="A58" s="2756"/>
      <c r="B58" s="2755" t="s">
        <v>551</v>
      </c>
      <c r="C58" s="2757">
        <f t="shared" si="1"/>
        <v>7858</v>
      </c>
      <c r="D58" s="2756">
        <v>0</v>
      </c>
      <c r="E58" s="2756">
        <v>0</v>
      </c>
      <c r="F58" s="2756">
        <v>0</v>
      </c>
      <c r="G58" s="2756">
        <v>0</v>
      </c>
      <c r="H58" s="2756">
        <v>7858</v>
      </c>
      <c r="I58" s="2756">
        <v>0</v>
      </c>
      <c r="J58" s="2756">
        <v>0</v>
      </c>
      <c r="K58" s="2756">
        <v>0</v>
      </c>
      <c r="L58" s="2756">
        <v>0</v>
      </c>
      <c r="M58" s="2756">
        <v>0</v>
      </c>
      <c r="N58" s="3329">
        <v>0</v>
      </c>
      <c r="O58" s="3329">
        <v>0</v>
      </c>
      <c r="P58" s="2756">
        <v>0</v>
      </c>
      <c r="Q58" s="2756">
        <v>0</v>
      </c>
      <c r="R58" s="2756">
        <v>0</v>
      </c>
    </row>
    <row r="59" spans="1:18" ht="25.8" hidden="1" customHeight="1">
      <c r="A59" s="2756"/>
      <c r="B59" s="2755" t="s">
        <v>553</v>
      </c>
      <c r="C59" s="2757">
        <f t="shared" si="1"/>
        <v>68942</v>
      </c>
      <c r="D59" s="2756">
        <v>0</v>
      </c>
      <c r="E59" s="2756">
        <v>0</v>
      </c>
      <c r="F59" s="2756">
        <v>0</v>
      </c>
      <c r="G59" s="2756">
        <v>0</v>
      </c>
      <c r="H59" s="2756">
        <v>68942</v>
      </c>
      <c r="I59" s="2756">
        <v>0</v>
      </c>
      <c r="J59" s="2756">
        <v>0</v>
      </c>
      <c r="K59" s="2756">
        <v>0</v>
      </c>
      <c r="L59" s="2756">
        <v>0</v>
      </c>
      <c r="M59" s="2756">
        <v>0</v>
      </c>
      <c r="N59" s="3329">
        <v>0</v>
      </c>
      <c r="O59" s="3329">
        <v>0</v>
      </c>
      <c r="P59" s="2756">
        <v>0</v>
      </c>
      <c r="Q59" s="2756">
        <v>0</v>
      </c>
      <c r="R59" s="2756">
        <v>0</v>
      </c>
    </row>
    <row r="60" spans="1:18" ht="25.8" hidden="1" customHeight="1">
      <c r="A60" s="2756"/>
      <c r="B60" s="2755" t="s">
        <v>554</v>
      </c>
      <c r="C60" s="2757">
        <f t="shared" si="1"/>
        <v>0</v>
      </c>
      <c r="D60" s="2756">
        <v>0</v>
      </c>
      <c r="E60" s="2756">
        <v>0</v>
      </c>
      <c r="F60" s="2756">
        <v>0</v>
      </c>
      <c r="G60" s="2756">
        <v>0</v>
      </c>
      <c r="H60" s="2756">
        <v>0</v>
      </c>
      <c r="I60" s="2756">
        <v>0</v>
      </c>
      <c r="J60" s="2756">
        <v>0</v>
      </c>
      <c r="K60" s="2756">
        <v>0</v>
      </c>
      <c r="L60" s="2756">
        <v>0</v>
      </c>
      <c r="M60" s="2756">
        <v>0</v>
      </c>
      <c r="N60" s="3329">
        <v>0</v>
      </c>
      <c r="O60" s="3329">
        <v>0</v>
      </c>
      <c r="P60" s="2756">
        <v>0</v>
      </c>
      <c r="Q60" s="2756">
        <v>0</v>
      </c>
      <c r="R60" s="2756">
        <v>0</v>
      </c>
    </row>
    <row r="61" spans="1:18" ht="25.8" hidden="1" customHeight="1">
      <c r="A61" s="2756"/>
      <c r="B61" s="2755" t="s">
        <v>534</v>
      </c>
      <c r="C61" s="2757">
        <f t="shared" si="1"/>
        <v>0</v>
      </c>
      <c r="D61" s="2756">
        <v>0</v>
      </c>
      <c r="E61" s="2756">
        <v>0</v>
      </c>
      <c r="F61" s="2756">
        <v>0</v>
      </c>
      <c r="G61" s="2756">
        <v>0</v>
      </c>
      <c r="H61" s="2756">
        <v>0</v>
      </c>
      <c r="I61" s="2756">
        <v>0</v>
      </c>
      <c r="J61" s="2756">
        <v>0</v>
      </c>
      <c r="K61" s="2756">
        <v>0</v>
      </c>
      <c r="L61" s="2756">
        <v>0</v>
      </c>
      <c r="M61" s="2756">
        <v>0</v>
      </c>
      <c r="N61" s="3329">
        <v>0</v>
      </c>
      <c r="O61" s="3329">
        <v>0</v>
      </c>
      <c r="P61" s="2756">
        <v>0</v>
      </c>
      <c r="Q61" s="2756">
        <v>0</v>
      </c>
      <c r="R61" s="2756">
        <v>0</v>
      </c>
    </row>
    <row r="62" spans="1:18" ht="25.8" hidden="1" customHeight="1">
      <c r="A62" s="2756">
        <v>10</v>
      </c>
      <c r="B62" s="2755" t="s">
        <v>532</v>
      </c>
      <c r="C62" s="2757">
        <f t="shared" si="1"/>
        <v>1900</v>
      </c>
      <c r="D62" s="2756">
        <v>0</v>
      </c>
      <c r="E62" s="2756">
        <v>0</v>
      </c>
      <c r="F62" s="2756">
        <v>0</v>
      </c>
      <c r="G62" s="2756">
        <v>0</v>
      </c>
      <c r="H62" s="2756">
        <v>1900</v>
      </c>
      <c r="I62" s="2756">
        <v>0</v>
      </c>
      <c r="J62" s="2756">
        <v>0</v>
      </c>
      <c r="K62" s="2756">
        <v>0</v>
      </c>
      <c r="L62" s="2756">
        <v>0</v>
      </c>
      <c r="M62" s="2756">
        <v>0</v>
      </c>
      <c r="N62" s="3329">
        <v>0</v>
      </c>
      <c r="O62" s="3329">
        <v>0</v>
      </c>
      <c r="P62" s="2756">
        <v>0</v>
      </c>
      <c r="Q62" s="2756">
        <v>0</v>
      </c>
      <c r="R62" s="2756">
        <v>0</v>
      </c>
    </row>
    <row r="63" spans="1:18" ht="25.8" customHeight="1">
      <c r="A63" s="2756">
        <v>9</v>
      </c>
      <c r="B63" s="2755" t="s">
        <v>759</v>
      </c>
      <c r="C63" s="2757">
        <f t="shared" si="1"/>
        <v>52194</v>
      </c>
      <c r="D63" s="2756">
        <v>11471</v>
      </c>
      <c r="E63" s="2756">
        <v>0</v>
      </c>
      <c r="F63" s="2756">
        <v>0</v>
      </c>
      <c r="G63" s="2756">
        <v>0</v>
      </c>
      <c r="H63" s="2756">
        <v>0</v>
      </c>
      <c r="I63" s="2756">
        <v>21704</v>
      </c>
      <c r="J63" s="2756">
        <v>0</v>
      </c>
      <c r="K63" s="2756">
        <v>8640</v>
      </c>
      <c r="L63" s="2756">
        <v>0</v>
      </c>
      <c r="M63" s="2756">
        <v>1601</v>
      </c>
      <c r="N63" s="3329">
        <v>0</v>
      </c>
      <c r="O63" s="3329">
        <v>0</v>
      </c>
      <c r="P63" s="2756">
        <v>8778</v>
      </c>
      <c r="Q63" s="2756">
        <v>0</v>
      </c>
      <c r="R63" s="2756">
        <v>0</v>
      </c>
    </row>
    <row r="64" spans="1:18" ht="25.8" hidden="1" customHeight="1">
      <c r="A64" s="2756"/>
      <c r="B64" s="2755" t="s">
        <v>760</v>
      </c>
      <c r="C64" s="2757">
        <f t="shared" si="1"/>
        <v>9145</v>
      </c>
      <c r="D64" s="2756">
        <v>367</v>
      </c>
      <c r="E64" s="2756">
        <v>0</v>
      </c>
      <c r="F64" s="2756">
        <v>0</v>
      </c>
      <c r="G64" s="2756">
        <v>0</v>
      </c>
      <c r="H64" s="2756">
        <v>0</v>
      </c>
      <c r="I64" s="2756">
        <v>0</v>
      </c>
      <c r="J64" s="2756">
        <v>0</v>
      </c>
      <c r="K64" s="2756">
        <v>0</v>
      </c>
      <c r="L64" s="2756">
        <v>0</v>
      </c>
      <c r="M64" s="2756">
        <v>0</v>
      </c>
      <c r="N64" s="3329">
        <v>0</v>
      </c>
      <c r="O64" s="3329">
        <v>0</v>
      </c>
      <c r="P64" s="2756">
        <v>8778</v>
      </c>
      <c r="Q64" s="2756"/>
      <c r="R64" s="2756"/>
    </row>
    <row r="65" spans="1:18" ht="25.8" hidden="1" customHeight="1">
      <c r="A65" s="2756"/>
      <c r="B65" s="2755" t="s">
        <v>563</v>
      </c>
      <c r="C65" s="2757">
        <f t="shared" si="1"/>
        <v>5060</v>
      </c>
      <c r="D65" s="2756">
        <v>0</v>
      </c>
      <c r="E65" s="2756">
        <v>0</v>
      </c>
      <c r="F65" s="2756">
        <v>0</v>
      </c>
      <c r="G65" s="2756">
        <v>0</v>
      </c>
      <c r="H65" s="2756">
        <v>0</v>
      </c>
      <c r="I65" s="2756">
        <v>5060</v>
      </c>
      <c r="J65" s="2756">
        <v>0</v>
      </c>
      <c r="K65" s="2756">
        <v>0</v>
      </c>
      <c r="L65" s="2756">
        <v>0</v>
      </c>
      <c r="M65" s="2756">
        <v>0</v>
      </c>
      <c r="N65" s="3329">
        <v>0</v>
      </c>
      <c r="O65" s="3329">
        <v>0</v>
      </c>
      <c r="P65" s="2756">
        <v>0</v>
      </c>
      <c r="Q65" s="2756">
        <v>0</v>
      </c>
      <c r="R65" s="2756">
        <v>0</v>
      </c>
    </row>
    <row r="66" spans="1:18" ht="25.8" hidden="1" customHeight="1">
      <c r="A66" s="2756"/>
      <c r="B66" s="2755" t="s">
        <v>564</v>
      </c>
      <c r="C66" s="2757">
        <f t="shared" si="1"/>
        <v>3583</v>
      </c>
      <c r="D66" s="2756">
        <v>18</v>
      </c>
      <c r="E66" s="2756">
        <v>0</v>
      </c>
      <c r="F66" s="2756">
        <v>0</v>
      </c>
      <c r="G66" s="2756">
        <v>0</v>
      </c>
      <c r="H66" s="2756">
        <v>0</v>
      </c>
      <c r="I66" s="2756">
        <v>3565</v>
      </c>
      <c r="J66" s="2756">
        <v>0</v>
      </c>
      <c r="K66" s="2756">
        <v>0</v>
      </c>
      <c r="L66" s="2756">
        <v>0</v>
      </c>
      <c r="M66" s="2756">
        <v>0</v>
      </c>
      <c r="N66" s="3329">
        <v>0</v>
      </c>
      <c r="O66" s="3329">
        <v>0</v>
      </c>
      <c r="P66" s="2756">
        <v>0</v>
      </c>
      <c r="Q66" s="2756">
        <v>0</v>
      </c>
      <c r="R66" s="2756">
        <v>0</v>
      </c>
    </row>
    <row r="67" spans="1:18" ht="25.8" hidden="1" customHeight="1">
      <c r="A67" s="2756"/>
      <c r="B67" s="2755" t="s">
        <v>565</v>
      </c>
      <c r="C67" s="2757">
        <f t="shared" si="1"/>
        <v>2865</v>
      </c>
      <c r="D67" s="2756">
        <v>0</v>
      </c>
      <c r="E67" s="2756">
        <v>0</v>
      </c>
      <c r="F67" s="2756">
        <v>0</v>
      </c>
      <c r="G67" s="2756">
        <v>0</v>
      </c>
      <c r="H67" s="2756">
        <v>0</v>
      </c>
      <c r="I67" s="2756">
        <v>2865</v>
      </c>
      <c r="J67" s="2756">
        <v>0</v>
      </c>
      <c r="K67" s="2756">
        <v>0</v>
      </c>
      <c r="L67" s="2756">
        <v>0</v>
      </c>
      <c r="M67" s="2756">
        <v>0</v>
      </c>
      <c r="N67" s="3329">
        <v>0</v>
      </c>
      <c r="O67" s="3329">
        <v>0</v>
      </c>
      <c r="P67" s="2756">
        <v>0</v>
      </c>
      <c r="Q67" s="2756">
        <v>0</v>
      </c>
      <c r="R67" s="2756">
        <v>0</v>
      </c>
    </row>
    <row r="68" spans="1:18" ht="25.8" hidden="1" customHeight="1">
      <c r="A68" s="2756"/>
      <c r="B68" s="2755" t="s">
        <v>567</v>
      </c>
      <c r="C68" s="2757">
        <f t="shared" si="1"/>
        <v>3458</v>
      </c>
      <c r="D68" s="2756">
        <v>0</v>
      </c>
      <c r="E68" s="2756">
        <v>0</v>
      </c>
      <c r="F68" s="2756">
        <v>0</v>
      </c>
      <c r="G68" s="2756">
        <v>0</v>
      </c>
      <c r="H68" s="2756">
        <v>0</v>
      </c>
      <c r="I68" s="2756">
        <v>3458</v>
      </c>
      <c r="J68" s="2756">
        <v>0</v>
      </c>
      <c r="K68" s="2756">
        <v>0</v>
      </c>
      <c r="L68" s="2756">
        <v>0</v>
      </c>
      <c r="M68" s="2756">
        <v>0</v>
      </c>
      <c r="N68" s="3329">
        <v>0</v>
      </c>
      <c r="O68" s="3329">
        <v>0</v>
      </c>
      <c r="P68" s="2756">
        <v>0</v>
      </c>
      <c r="Q68" s="2756">
        <v>0</v>
      </c>
      <c r="R68" s="2756">
        <v>0</v>
      </c>
    </row>
    <row r="69" spans="1:18" ht="25.8" hidden="1" customHeight="1">
      <c r="A69" s="2756"/>
      <c r="B69" s="2755" t="s">
        <v>568</v>
      </c>
      <c r="C69" s="2757">
        <f t="shared" si="1"/>
        <v>6756</v>
      </c>
      <c r="D69" s="2756">
        <v>0</v>
      </c>
      <c r="E69" s="2756">
        <v>0</v>
      </c>
      <c r="F69" s="2756">
        <v>0</v>
      </c>
      <c r="G69" s="2756">
        <v>0</v>
      </c>
      <c r="H69" s="2756">
        <v>0</v>
      </c>
      <c r="I69" s="2756">
        <v>6756</v>
      </c>
      <c r="J69" s="2756">
        <v>0</v>
      </c>
      <c r="K69" s="2756">
        <v>0</v>
      </c>
      <c r="L69" s="2756">
        <v>0</v>
      </c>
      <c r="M69" s="2756">
        <v>0</v>
      </c>
      <c r="N69" s="3329">
        <v>0</v>
      </c>
      <c r="O69" s="3329">
        <v>0</v>
      </c>
      <c r="P69" s="2756">
        <v>0</v>
      </c>
      <c r="Q69" s="2756">
        <v>0</v>
      </c>
      <c r="R69" s="2756">
        <v>0</v>
      </c>
    </row>
    <row r="70" spans="1:18" ht="31.2" hidden="1" customHeight="1">
      <c r="A70" s="2756"/>
      <c r="B70" s="2755" t="s">
        <v>761</v>
      </c>
      <c r="C70" s="2757">
        <f t="shared" si="1"/>
        <v>10953</v>
      </c>
      <c r="D70" s="2756">
        <v>10953</v>
      </c>
      <c r="E70" s="2756">
        <v>0</v>
      </c>
      <c r="F70" s="2756">
        <v>0</v>
      </c>
      <c r="G70" s="2756">
        <v>0</v>
      </c>
      <c r="H70" s="2756">
        <v>0</v>
      </c>
      <c r="I70" s="2756">
        <v>0</v>
      </c>
      <c r="J70" s="2756">
        <v>0</v>
      </c>
      <c r="K70" s="2756">
        <v>0</v>
      </c>
      <c r="L70" s="2756">
        <v>0</v>
      </c>
      <c r="M70" s="2756">
        <v>0</v>
      </c>
      <c r="N70" s="3329">
        <v>0</v>
      </c>
      <c r="O70" s="3329">
        <v>0</v>
      </c>
      <c r="P70" s="2756">
        <v>0</v>
      </c>
      <c r="Q70" s="2756">
        <v>0</v>
      </c>
      <c r="R70" s="2756">
        <v>0</v>
      </c>
    </row>
    <row r="71" spans="1:18" ht="33" hidden="1" customHeight="1">
      <c r="A71" s="2756"/>
      <c r="B71" s="2755" t="s">
        <v>566</v>
      </c>
      <c r="C71" s="2757">
        <f t="shared" si="1"/>
        <v>8640</v>
      </c>
      <c r="D71" s="2756">
        <v>0</v>
      </c>
      <c r="E71" s="2756">
        <v>0</v>
      </c>
      <c r="F71" s="2756">
        <v>0</v>
      </c>
      <c r="G71" s="2756">
        <v>0</v>
      </c>
      <c r="H71" s="2756">
        <v>0</v>
      </c>
      <c r="I71" s="2756">
        <v>0</v>
      </c>
      <c r="J71" s="2756">
        <v>0</v>
      </c>
      <c r="K71" s="2756">
        <v>8640</v>
      </c>
      <c r="L71" s="2756">
        <v>0</v>
      </c>
      <c r="M71" s="2756">
        <v>0</v>
      </c>
      <c r="N71" s="3329">
        <v>0</v>
      </c>
      <c r="O71" s="3329">
        <v>0</v>
      </c>
      <c r="P71" s="2756">
        <v>0</v>
      </c>
      <c r="Q71" s="2756">
        <v>0</v>
      </c>
      <c r="R71" s="2756">
        <v>0</v>
      </c>
    </row>
    <row r="72" spans="1:18" ht="25.8" hidden="1" customHeight="1">
      <c r="A72" s="2756"/>
      <c r="B72" s="2755" t="s">
        <v>762</v>
      </c>
      <c r="C72" s="2757">
        <f t="shared" si="1"/>
        <v>1734</v>
      </c>
      <c r="D72" s="2756">
        <v>133</v>
      </c>
      <c r="E72" s="2756">
        <v>0</v>
      </c>
      <c r="F72" s="2756">
        <v>0</v>
      </c>
      <c r="G72" s="2756">
        <v>0</v>
      </c>
      <c r="H72" s="2756">
        <v>0</v>
      </c>
      <c r="I72" s="2756">
        <v>0</v>
      </c>
      <c r="J72" s="2756">
        <v>0</v>
      </c>
      <c r="K72" s="2756">
        <v>0</v>
      </c>
      <c r="L72" s="2756">
        <v>0</v>
      </c>
      <c r="M72" s="2756">
        <v>1601</v>
      </c>
      <c r="N72" s="3329">
        <v>0</v>
      </c>
      <c r="O72" s="3329">
        <v>0</v>
      </c>
      <c r="P72" s="2756">
        <v>0</v>
      </c>
      <c r="Q72" s="2756">
        <v>0</v>
      </c>
      <c r="R72" s="2756">
        <v>0</v>
      </c>
    </row>
    <row r="73" spans="1:18" ht="25.8" customHeight="1">
      <c r="A73" s="2756">
        <v>10</v>
      </c>
      <c r="B73" s="2755" t="s">
        <v>570</v>
      </c>
      <c r="C73" s="2757">
        <f t="shared" si="1"/>
        <v>9412</v>
      </c>
      <c r="D73" s="2756">
        <v>0</v>
      </c>
      <c r="E73" s="2756">
        <v>0</v>
      </c>
      <c r="F73" s="2756">
        <v>0</v>
      </c>
      <c r="G73" s="2756">
        <v>0</v>
      </c>
      <c r="H73" s="2756">
        <v>0</v>
      </c>
      <c r="I73" s="2756">
        <v>0</v>
      </c>
      <c r="J73" s="2756">
        <v>9412</v>
      </c>
      <c r="K73" s="2756"/>
      <c r="L73" s="2756">
        <v>0</v>
      </c>
      <c r="M73" s="2756">
        <v>0</v>
      </c>
      <c r="N73" s="3329">
        <v>0</v>
      </c>
      <c r="O73" s="3329">
        <v>0</v>
      </c>
      <c r="P73" s="2756">
        <v>0</v>
      </c>
      <c r="Q73" s="2756">
        <v>0</v>
      </c>
      <c r="R73" s="2756">
        <v>0</v>
      </c>
    </row>
    <row r="74" spans="1:18" ht="25.8" customHeight="1">
      <c r="A74" s="2756">
        <v>11</v>
      </c>
      <c r="B74" s="2755" t="s">
        <v>620</v>
      </c>
      <c r="C74" s="2757">
        <f t="shared" si="1"/>
        <v>60675</v>
      </c>
      <c r="D74" s="2756">
        <v>20</v>
      </c>
      <c r="E74" s="2756">
        <v>0</v>
      </c>
      <c r="F74" s="2756">
        <v>0</v>
      </c>
      <c r="G74" s="2756">
        <v>0</v>
      </c>
      <c r="H74" s="2756">
        <v>0</v>
      </c>
      <c r="I74" s="2756">
        <v>0</v>
      </c>
      <c r="J74" s="2756">
        <v>0</v>
      </c>
      <c r="K74" s="2756">
        <v>0</v>
      </c>
      <c r="L74" s="2756">
        <v>27550</v>
      </c>
      <c r="M74" s="2756">
        <v>26546</v>
      </c>
      <c r="N74" s="3329">
        <v>0</v>
      </c>
      <c r="O74" s="3329">
        <v>0</v>
      </c>
      <c r="P74" s="2756">
        <v>5471</v>
      </c>
      <c r="Q74" s="2756">
        <v>0</v>
      </c>
      <c r="R74" s="2756">
        <v>1088</v>
      </c>
    </row>
    <row r="75" spans="1:18" ht="25.8" hidden="1" customHeight="1">
      <c r="A75" s="2756"/>
      <c r="B75" s="2755" t="s">
        <v>763</v>
      </c>
      <c r="C75" s="2757">
        <f t="shared" si="1"/>
        <v>54572</v>
      </c>
      <c r="D75" s="2756">
        <v>20</v>
      </c>
      <c r="E75" s="2756">
        <v>0</v>
      </c>
      <c r="F75" s="2756">
        <v>0</v>
      </c>
      <c r="G75" s="2756">
        <v>0</v>
      </c>
      <c r="H75" s="2756">
        <v>0</v>
      </c>
      <c r="I75" s="2756">
        <v>0</v>
      </c>
      <c r="J75" s="2756">
        <v>0</v>
      </c>
      <c r="K75" s="2756">
        <v>0</v>
      </c>
      <c r="L75" s="2756">
        <v>27550</v>
      </c>
      <c r="M75" s="2756">
        <v>20443</v>
      </c>
      <c r="N75" s="3329">
        <v>0</v>
      </c>
      <c r="O75" s="3329">
        <v>0</v>
      </c>
      <c r="P75" s="2756">
        <v>5471</v>
      </c>
      <c r="Q75" s="2756"/>
      <c r="R75" s="2756">
        <v>1088</v>
      </c>
    </row>
    <row r="76" spans="1:18" ht="25.8" hidden="1" customHeight="1">
      <c r="A76" s="2756"/>
      <c r="B76" s="2755" t="s">
        <v>471</v>
      </c>
      <c r="C76" s="2757">
        <f t="shared" si="1"/>
        <v>1703</v>
      </c>
      <c r="D76" s="2756">
        <v>0</v>
      </c>
      <c r="E76" s="2756">
        <v>0</v>
      </c>
      <c r="F76" s="2756">
        <v>0</v>
      </c>
      <c r="G76" s="2756">
        <v>0</v>
      </c>
      <c r="H76" s="2756">
        <v>0</v>
      </c>
      <c r="I76" s="2756">
        <v>0</v>
      </c>
      <c r="J76" s="2756">
        <v>0</v>
      </c>
      <c r="K76" s="2756">
        <v>0</v>
      </c>
      <c r="L76" s="2756"/>
      <c r="M76" s="2756">
        <v>1703</v>
      </c>
      <c r="N76" s="3329">
        <v>0</v>
      </c>
      <c r="O76" s="3329">
        <v>0</v>
      </c>
      <c r="P76" s="2756">
        <v>0</v>
      </c>
      <c r="Q76" s="2756">
        <v>0</v>
      </c>
      <c r="R76" s="2756">
        <v>0</v>
      </c>
    </row>
    <row r="77" spans="1:18" ht="25.8" hidden="1" customHeight="1">
      <c r="A77" s="2756"/>
      <c r="B77" s="2755" t="s">
        <v>472</v>
      </c>
      <c r="C77" s="2757">
        <f t="shared" si="1"/>
        <v>0</v>
      </c>
      <c r="D77" s="2756">
        <v>0</v>
      </c>
      <c r="E77" s="2756">
        <v>0</v>
      </c>
      <c r="F77" s="2756">
        <v>0</v>
      </c>
      <c r="G77" s="2756">
        <v>0</v>
      </c>
      <c r="H77" s="2756">
        <v>0</v>
      </c>
      <c r="I77" s="2756">
        <v>0</v>
      </c>
      <c r="J77" s="2756">
        <v>0</v>
      </c>
      <c r="K77" s="2756">
        <v>0</v>
      </c>
      <c r="L77" s="2756"/>
      <c r="M77" s="2756">
        <v>0</v>
      </c>
      <c r="N77" s="3329">
        <v>0</v>
      </c>
      <c r="O77" s="3329">
        <v>0</v>
      </c>
      <c r="P77" s="2756">
        <v>0</v>
      </c>
      <c r="Q77" s="2756">
        <v>0</v>
      </c>
      <c r="R77" s="2756">
        <v>0</v>
      </c>
    </row>
    <row r="78" spans="1:18" ht="25.8" hidden="1" customHeight="1">
      <c r="A78" s="2756"/>
      <c r="B78" s="2755" t="s">
        <v>473</v>
      </c>
      <c r="C78" s="2757">
        <f t="shared" si="1"/>
        <v>1738</v>
      </c>
      <c r="D78" s="2756">
        <v>0</v>
      </c>
      <c r="E78" s="2756">
        <v>0</v>
      </c>
      <c r="F78" s="2756">
        <v>0</v>
      </c>
      <c r="G78" s="2756">
        <v>0</v>
      </c>
      <c r="H78" s="2756">
        <v>0</v>
      </c>
      <c r="I78" s="2756">
        <v>0</v>
      </c>
      <c r="J78" s="2756">
        <v>0</v>
      </c>
      <c r="K78" s="2756">
        <v>0</v>
      </c>
      <c r="L78" s="2756"/>
      <c r="M78" s="2756">
        <v>1738</v>
      </c>
      <c r="N78" s="3329">
        <v>0</v>
      </c>
      <c r="O78" s="3329">
        <v>0</v>
      </c>
      <c r="P78" s="2756">
        <v>0</v>
      </c>
      <c r="Q78" s="2756">
        <v>0</v>
      </c>
      <c r="R78" s="2756">
        <v>0</v>
      </c>
    </row>
    <row r="79" spans="1:18" ht="25.8" hidden="1" customHeight="1">
      <c r="A79" s="2756"/>
      <c r="B79" s="2755" t="s">
        <v>474</v>
      </c>
      <c r="C79" s="2757">
        <f t="shared" si="1"/>
        <v>2662</v>
      </c>
      <c r="D79" s="2756">
        <v>0</v>
      </c>
      <c r="E79" s="2756">
        <v>0</v>
      </c>
      <c r="F79" s="2756">
        <v>0</v>
      </c>
      <c r="G79" s="2756">
        <v>0</v>
      </c>
      <c r="H79" s="2756">
        <v>0</v>
      </c>
      <c r="I79" s="2756">
        <v>0</v>
      </c>
      <c r="J79" s="2756">
        <v>0</v>
      </c>
      <c r="K79" s="2756">
        <v>0</v>
      </c>
      <c r="L79" s="2756"/>
      <c r="M79" s="2756">
        <v>2662</v>
      </c>
      <c r="N79" s="3329">
        <v>0</v>
      </c>
      <c r="O79" s="3329">
        <v>0</v>
      </c>
      <c r="P79" s="2756">
        <v>0</v>
      </c>
      <c r="Q79" s="2756">
        <v>0</v>
      </c>
      <c r="R79" s="2756">
        <v>0</v>
      </c>
    </row>
    <row r="80" spans="1:18" ht="25.8" hidden="1" customHeight="1">
      <c r="A80" s="2756"/>
      <c r="B80" s="2755" t="s">
        <v>999</v>
      </c>
      <c r="C80" s="2757">
        <f t="shared" si="1"/>
        <v>0</v>
      </c>
      <c r="D80" s="2756"/>
      <c r="E80" s="2756"/>
      <c r="F80" s="2756"/>
      <c r="G80" s="2756"/>
      <c r="H80" s="2756"/>
      <c r="I80" s="2756"/>
      <c r="J80" s="2756"/>
      <c r="K80" s="2756"/>
      <c r="L80" s="2756"/>
      <c r="M80" s="2756"/>
      <c r="N80" s="3329"/>
      <c r="O80" s="3329"/>
      <c r="P80" s="2756"/>
      <c r="Q80" s="2756"/>
      <c r="R80" s="2756">
        <v>0</v>
      </c>
    </row>
    <row r="81" spans="1:18" ht="25.8" hidden="1" customHeight="1">
      <c r="A81" s="2756"/>
      <c r="B81" s="2755" t="s">
        <v>483</v>
      </c>
      <c r="C81" s="2757">
        <f t="shared" ref="C81:C144" si="2">SUM(D81,E81,F81,G81,H81,I81,J81,K81,L81,M81,P81,Q81,R81)</f>
        <v>0</v>
      </c>
      <c r="D81" s="2756">
        <v>0</v>
      </c>
      <c r="E81" s="2756">
        <v>0</v>
      </c>
      <c r="F81" s="2756">
        <v>0</v>
      </c>
      <c r="G81" s="2756">
        <v>0</v>
      </c>
      <c r="H81" s="2756">
        <v>0</v>
      </c>
      <c r="I81" s="2756">
        <v>0</v>
      </c>
      <c r="J81" s="2756">
        <v>0</v>
      </c>
      <c r="K81" s="2756">
        <v>0</v>
      </c>
      <c r="L81" s="2756"/>
      <c r="M81" s="2756">
        <v>0</v>
      </c>
      <c r="N81" s="3329">
        <v>0</v>
      </c>
      <c r="O81" s="3329">
        <v>0</v>
      </c>
      <c r="P81" s="2756">
        <v>0</v>
      </c>
      <c r="Q81" s="2756">
        <v>0</v>
      </c>
      <c r="R81" s="2756">
        <v>0</v>
      </c>
    </row>
    <row r="82" spans="1:18" ht="25.8" customHeight="1">
      <c r="A82" s="2756">
        <v>12</v>
      </c>
      <c r="B82" s="2755" t="s">
        <v>466</v>
      </c>
      <c r="C82" s="2757">
        <f t="shared" si="2"/>
        <v>2634</v>
      </c>
      <c r="D82" s="2756">
        <v>0</v>
      </c>
      <c r="E82" s="2756">
        <v>0</v>
      </c>
      <c r="F82" s="2756">
        <v>0</v>
      </c>
      <c r="G82" s="2756">
        <v>0</v>
      </c>
      <c r="H82" s="2756">
        <v>0</v>
      </c>
      <c r="I82" s="2756">
        <v>0</v>
      </c>
      <c r="J82" s="2756">
        <v>0</v>
      </c>
      <c r="K82" s="2756">
        <v>0</v>
      </c>
      <c r="L82" s="2756">
        <v>0</v>
      </c>
      <c r="M82" s="2756">
        <v>2634</v>
      </c>
      <c r="N82" s="3329">
        <v>2634</v>
      </c>
      <c r="O82" s="3329">
        <v>0</v>
      </c>
      <c r="P82" s="2756">
        <v>0</v>
      </c>
      <c r="Q82" s="2756">
        <v>0</v>
      </c>
      <c r="R82" s="2756">
        <v>0</v>
      </c>
    </row>
    <row r="83" spans="1:18" ht="25.8" customHeight="1">
      <c r="A83" s="2756">
        <v>13</v>
      </c>
      <c r="B83" s="2755" t="s">
        <v>443</v>
      </c>
      <c r="C83" s="2757">
        <f t="shared" si="2"/>
        <v>82737</v>
      </c>
      <c r="D83" s="2756">
        <v>1086</v>
      </c>
      <c r="E83" s="2756">
        <v>0</v>
      </c>
      <c r="F83" s="2756">
        <v>0</v>
      </c>
      <c r="G83" s="2756">
        <v>0</v>
      </c>
      <c r="H83" s="2756">
        <v>0</v>
      </c>
      <c r="I83" s="2756">
        <v>0</v>
      </c>
      <c r="J83" s="2756">
        <v>0</v>
      </c>
      <c r="K83" s="2756">
        <v>0</v>
      </c>
      <c r="L83" s="2756">
        <v>0</v>
      </c>
      <c r="M83" s="2756">
        <v>72240</v>
      </c>
      <c r="N83" s="3329">
        <v>0</v>
      </c>
      <c r="O83" s="3329">
        <v>72240</v>
      </c>
      <c r="P83" s="2756">
        <v>9031</v>
      </c>
      <c r="Q83" s="2756">
        <v>0</v>
      </c>
      <c r="R83" s="2756">
        <v>380</v>
      </c>
    </row>
    <row r="84" spans="1:18" ht="25.8" hidden="1" customHeight="1">
      <c r="A84" s="2756"/>
      <c r="B84" s="2755" t="s">
        <v>444</v>
      </c>
      <c r="C84" s="2757">
        <f t="shared" si="2"/>
        <v>8915</v>
      </c>
      <c r="D84" s="2756">
        <v>180</v>
      </c>
      <c r="E84" s="2756">
        <v>0</v>
      </c>
      <c r="F84" s="2756">
        <v>0</v>
      </c>
      <c r="G84" s="2756">
        <v>0</v>
      </c>
      <c r="H84" s="2756">
        <v>0</v>
      </c>
      <c r="I84" s="2756">
        <v>0</v>
      </c>
      <c r="J84" s="2756">
        <v>0</v>
      </c>
      <c r="K84" s="2756">
        <v>0</v>
      </c>
      <c r="L84" s="2756">
        <v>0</v>
      </c>
      <c r="M84" s="2756">
        <v>8735</v>
      </c>
      <c r="N84" s="3329">
        <v>0</v>
      </c>
      <c r="O84" s="3329">
        <v>8735</v>
      </c>
      <c r="P84" s="2756">
        <v>0</v>
      </c>
      <c r="Q84" s="2756">
        <v>0</v>
      </c>
      <c r="R84" s="2756">
        <v>0</v>
      </c>
    </row>
    <row r="85" spans="1:18" ht="25.8" hidden="1" customHeight="1">
      <c r="A85" s="2756"/>
      <c r="B85" s="2755" t="s">
        <v>445</v>
      </c>
      <c r="C85" s="2757">
        <f t="shared" si="2"/>
        <v>5824</v>
      </c>
      <c r="D85" s="2756">
        <v>381</v>
      </c>
      <c r="E85" s="2756">
        <v>0</v>
      </c>
      <c r="F85" s="2756">
        <v>0</v>
      </c>
      <c r="G85" s="2756">
        <v>0</v>
      </c>
      <c r="H85" s="2756">
        <v>0</v>
      </c>
      <c r="I85" s="2756">
        <v>0</v>
      </c>
      <c r="J85" s="2756">
        <v>0</v>
      </c>
      <c r="K85" s="2756">
        <v>0</v>
      </c>
      <c r="L85" s="2756">
        <v>0</v>
      </c>
      <c r="M85" s="2756">
        <v>5443</v>
      </c>
      <c r="N85" s="3329">
        <v>0</v>
      </c>
      <c r="O85" s="3329">
        <v>5443</v>
      </c>
      <c r="P85" s="2756">
        <v>0</v>
      </c>
      <c r="Q85" s="2756">
        <v>0</v>
      </c>
      <c r="R85" s="2756">
        <v>0</v>
      </c>
    </row>
    <row r="86" spans="1:18" ht="25.8" hidden="1" customHeight="1">
      <c r="A86" s="2756"/>
      <c r="B86" s="2755" t="s">
        <v>446</v>
      </c>
      <c r="C86" s="2757">
        <f t="shared" si="2"/>
        <v>17259</v>
      </c>
      <c r="D86" s="2756">
        <v>40</v>
      </c>
      <c r="E86" s="2756">
        <v>0</v>
      </c>
      <c r="F86" s="2756">
        <v>0</v>
      </c>
      <c r="G86" s="2756">
        <v>0</v>
      </c>
      <c r="H86" s="2756">
        <v>0</v>
      </c>
      <c r="I86" s="2756">
        <v>0</v>
      </c>
      <c r="J86" s="2756">
        <v>0</v>
      </c>
      <c r="K86" s="2756">
        <v>0</v>
      </c>
      <c r="L86" s="2756">
        <v>0</v>
      </c>
      <c r="M86" s="2756">
        <v>17219</v>
      </c>
      <c r="N86" s="3329">
        <v>0</v>
      </c>
      <c r="O86" s="3329">
        <v>17219</v>
      </c>
      <c r="P86" s="2756">
        <v>0</v>
      </c>
      <c r="Q86" s="2756">
        <v>0</v>
      </c>
      <c r="R86" s="2756">
        <v>0</v>
      </c>
    </row>
    <row r="87" spans="1:18" ht="25.8" hidden="1" customHeight="1">
      <c r="A87" s="2756"/>
      <c r="B87" s="2755" t="s">
        <v>447</v>
      </c>
      <c r="C87" s="2757">
        <f t="shared" si="2"/>
        <v>5896</v>
      </c>
      <c r="D87" s="2756">
        <v>0</v>
      </c>
      <c r="E87" s="2756">
        <v>0</v>
      </c>
      <c r="F87" s="2756">
        <v>0</v>
      </c>
      <c r="G87" s="2756">
        <v>0</v>
      </c>
      <c r="H87" s="2756">
        <v>0</v>
      </c>
      <c r="I87" s="2756">
        <v>0</v>
      </c>
      <c r="J87" s="2756">
        <v>0</v>
      </c>
      <c r="K87" s="2756">
        <v>0</v>
      </c>
      <c r="L87" s="2756">
        <v>0</v>
      </c>
      <c r="M87" s="2756">
        <v>5896</v>
      </c>
      <c r="N87" s="3329">
        <v>0</v>
      </c>
      <c r="O87" s="3329">
        <v>5896</v>
      </c>
      <c r="P87" s="2756">
        <v>0</v>
      </c>
      <c r="Q87" s="2756">
        <v>0</v>
      </c>
      <c r="R87" s="2756">
        <v>0</v>
      </c>
    </row>
    <row r="88" spans="1:18" ht="25.8" hidden="1" customHeight="1">
      <c r="A88" s="2756"/>
      <c r="B88" s="2755" t="s">
        <v>448</v>
      </c>
      <c r="C88" s="2757">
        <f t="shared" si="2"/>
        <v>0</v>
      </c>
      <c r="D88" s="2756">
        <v>0</v>
      </c>
      <c r="E88" s="2756">
        <v>0</v>
      </c>
      <c r="F88" s="2756">
        <v>0</v>
      </c>
      <c r="G88" s="2756">
        <v>0</v>
      </c>
      <c r="H88" s="2756">
        <v>0</v>
      </c>
      <c r="I88" s="2756">
        <v>0</v>
      </c>
      <c r="J88" s="2756">
        <v>0</v>
      </c>
      <c r="K88" s="2756">
        <v>0</v>
      </c>
      <c r="L88" s="2756">
        <v>0</v>
      </c>
      <c r="M88" s="2756">
        <v>0</v>
      </c>
      <c r="N88" s="3329">
        <v>0</v>
      </c>
      <c r="O88" s="3329">
        <v>0</v>
      </c>
      <c r="P88" s="2756">
        <v>0</v>
      </c>
      <c r="Q88" s="2756">
        <v>0</v>
      </c>
      <c r="R88" s="2756">
        <v>0</v>
      </c>
    </row>
    <row r="89" spans="1:18" ht="25.8" hidden="1" customHeight="1">
      <c r="A89" s="2756"/>
      <c r="B89" s="2755" t="s">
        <v>449</v>
      </c>
      <c r="C89" s="2757">
        <f t="shared" si="2"/>
        <v>3031</v>
      </c>
      <c r="D89" s="2756">
        <v>282</v>
      </c>
      <c r="E89" s="2756">
        <v>0</v>
      </c>
      <c r="F89" s="2756">
        <v>0</v>
      </c>
      <c r="G89" s="2756">
        <v>0</v>
      </c>
      <c r="H89" s="2756">
        <v>0</v>
      </c>
      <c r="I89" s="2756">
        <v>0</v>
      </c>
      <c r="J89" s="2756">
        <v>0</v>
      </c>
      <c r="K89" s="2756">
        <v>0</v>
      </c>
      <c r="L89" s="2756">
        <v>0</v>
      </c>
      <c r="M89" s="2756">
        <v>2749</v>
      </c>
      <c r="N89" s="3329">
        <v>0</v>
      </c>
      <c r="O89" s="3329">
        <v>2749</v>
      </c>
      <c r="P89" s="2756">
        <v>0</v>
      </c>
      <c r="Q89" s="2756">
        <v>0</v>
      </c>
      <c r="R89" s="2756">
        <v>0</v>
      </c>
    </row>
    <row r="90" spans="1:18" ht="25.8" hidden="1" customHeight="1">
      <c r="A90" s="2756"/>
      <c r="B90" s="2755" t="s">
        <v>450</v>
      </c>
      <c r="C90" s="2757">
        <f t="shared" si="2"/>
        <v>5024</v>
      </c>
      <c r="D90" s="2756">
        <v>0</v>
      </c>
      <c r="E90" s="2756">
        <v>0</v>
      </c>
      <c r="F90" s="2756">
        <v>0</v>
      </c>
      <c r="G90" s="2756">
        <v>0</v>
      </c>
      <c r="H90" s="2756">
        <v>0</v>
      </c>
      <c r="I90" s="2756">
        <v>0</v>
      </c>
      <c r="J90" s="2756">
        <v>0</v>
      </c>
      <c r="K90" s="2756">
        <v>0</v>
      </c>
      <c r="L90" s="2756">
        <v>0</v>
      </c>
      <c r="M90" s="2756">
        <v>5024</v>
      </c>
      <c r="N90" s="3329">
        <v>0</v>
      </c>
      <c r="O90" s="3329">
        <v>5024</v>
      </c>
      <c r="P90" s="2756">
        <v>0</v>
      </c>
      <c r="Q90" s="2756">
        <v>0</v>
      </c>
      <c r="R90" s="2756">
        <v>0</v>
      </c>
    </row>
    <row r="91" spans="1:18" ht="25.8" hidden="1" customHeight="1">
      <c r="A91" s="2756"/>
      <c r="B91" s="2755" t="s">
        <v>451</v>
      </c>
      <c r="C91" s="2757">
        <f t="shared" si="2"/>
        <v>2892</v>
      </c>
      <c r="D91" s="2756">
        <v>0</v>
      </c>
      <c r="E91" s="2756">
        <v>0</v>
      </c>
      <c r="F91" s="2756">
        <v>0</v>
      </c>
      <c r="G91" s="2756">
        <v>0</v>
      </c>
      <c r="H91" s="2756">
        <v>0</v>
      </c>
      <c r="I91" s="2756">
        <v>0</v>
      </c>
      <c r="J91" s="2756">
        <v>0</v>
      </c>
      <c r="K91" s="2756">
        <v>0</v>
      </c>
      <c r="L91" s="2756">
        <v>0</v>
      </c>
      <c r="M91" s="2756">
        <v>2892</v>
      </c>
      <c r="N91" s="3329">
        <v>0</v>
      </c>
      <c r="O91" s="3329">
        <v>2892</v>
      </c>
      <c r="P91" s="2756">
        <v>0</v>
      </c>
      <c r="Q91" s="2756">
        <v>0</v>
      </c>
      <c r="R91" s="2756">
        <v>0</v>
      </c>
    </row>
    <row r="92" spans="1:18" ht="25.8" hidden="1" customHeight="1">
      <c r="A92" s="2756"/>
      <c r="B92" s="2755" t="s">
        <v>452</v>
      </c>
      <c r="C92" s="2757">
        <f t="shared" si="2"/>
        <v>0</v>
      </c>
      <c r="D92" s="2756">
        <v>0</v>
      </c>
      <c r="E92" s="2756">
        <v>0</v>
      </c>
      <c r="F92" s="2756">
        <v>0</v>
      </c>
      <c r="G92" s="2756">
        <v>0</v>
      </c>
      <c r="H92" s="2756">
        <v>0</v>
      </c>
      <c r="I92" s="2756">
        <v>0</v>
      </c>
      <c r="J92" s="2756">
        <v>0</v>
      </c>
      <c r="K92" s="2756">
        <v>0</v>
      </c>
      <c r="L92" s="2756">
        <v>0</v>
      </c>
      <c r="M92" s="2756">
        <v>0</v>
      </c>
      <c r="N92" s="3329">
        <v>0</v>
      </c>
      <c r="O92" s="3329">
        <v>0</v>
      </c>
      <c r="P92" s="2756">
        <v>0</v>
      </c>
      <c r="Q92" s="2756">
        <v>0</v>
      </c>
      <c r="R92" s="2756">
        <v>0</v>
      </c>
    </row>
    <row r="93" spans="1:18" ht="25.8" hidden="1" customHeight="1">
      <c r="A93" s="2756"/>
      <c r="B93" s="2755" t="s">
        <v>453</v>
      </c>
      <c r="C93" s="2757">
        <f t="shared" si="2"/>
        <v>0</v>
      </c>
      <c r="D93" s="2756">
        <v>0</v>
      </c>
      <c r="E93" s="2756">
        <v>0</v>
      </c>
      <c r="F93" s="2756">
        <v>0</v>
      </c>
      <c r="G93" s="2756">
        <v>0</v>
      </c>
      <c r="H93" s="2756">
        <v>0</v>
      </c>
      <c r="I93" s="2756">
        <v>0</v>
      </c>
      <c r="J93" s="2756">
        <v>0</v>
      </c>
      <c r="K93" s="2756">
        <v>0</v>
      </c>
      <c r="L93" s="2756">
        <v>0</v>
      </c>
      <c r="M93" s="2756">
        <v>0</v>
      </c>
      <c r="N93" s="3329">
        <v>0</v>
      </c>
      <c r="O93" s="3329">
        <v>0</v>
      </c>
      <c r="P93" s="2756">
        <v>0</v>
      </c>
      <c r="Q93" s="2756">
        <v>0</v>
      </c>
      <c r="R93" s="2756">
        <v>0</v>
      </c>
    </row>
    <row r="94" spans="1:18" ht="25.8" hidden="1" customHeight="1">
      <c r="A94" s="2756"/>
      <c r="B94" s="2755" t="s">
        <v>454</v>
      </c>
      <c r="C94" s="2757">
        <f t="shared" si="2"/>
        <v>5280</v>
      </c>
      <c r="D94" s="2756">
        <v>10</v>
      </c>
      <c r="E94" s="2756">
        <v>0</v>
      </c>
      <c r="F94" s="2756">
        <v>0</v>
      </c>
      <c r="G94" s="2756">
        <v>0</v>
      </c>
      <c r="H94" s="2756">
        <v>0</v>
      </c>
      <c r="I94" s="2756">
        <v>0</v>
      </c>
      <c r="J94" s="2756">
        <v>0</v>
      </c>
      <c r="K94" s="2756">
        <v>0</v>
      </c>
      <c r="L94" s="2756">
        <v>0</v>
      </c>
      <c r="M94" s="2756">
        <v>5270</v>
      </c>
      <c r="N94" s="3329">
        <v>0</v>
      </c>
      <c r="O94" s="3329">
        <v>5270</v>
      </c>
      <c r="P94" s="2756">
        <v>0</v>
      </c>
      <c r="Q94" s="2756">
        <v>0</v>
      </c>
      <c r="R94" s="2756">
        <v>0</v>
      </c>
    </row>
    <row r="95" spans="1:18" ht="25.8" hidden="1" customHeight="1">
      <c r="A95" s="2756"/>
      <c r="B95" s="2755" t="s">
        <v>455</v>
      </c>
      <c r="C95" s="2757">
        <f t="shared" si="2"/>
        <v>540</v>
      </c>
      <c r="D95" s="2756">
        <v>0</v>
      </c>
      <c r="E95" s="2756">
        <v>0</v>
      </c>
      <c r="F95" s="2756">
        <v>0</v>
      </c>
      <c r="G95" s="2756">
        <v>0</v>
      </c>
      <c r="H95" s="2756">
        <v>0</v>
      </c>
      <c r="I95" s="2756">
        <v>0</v>
      </c>
      <c r="J95" s="2756">
        <v>0</v>
      </c>
      <c r="K95" s="2756">
        <v>0</v>
      </c>
      <c r="L95" s="2756">
        <v>0</v>
      </c>
      <c r="M95" s="2756">
        <v>540</v>
      </c>
      <c r="N95" s="3329">
        <v>0</v>
      </c>
      <c r="O95" s="3329">
        <v>540</v>
      </c>
      <c r="P95" s="2756">
        <v>0</v>
      </c>
      <c r="Q95" s="2756">
        <v>0</v>
      </c>
      <c r="R95" s="2756">
        <v>0</v>
      </c>
    </row>
    <row r="96" spans="1:18" ht="25.8" hidden="1" customHeight="1">
      <c r="A96" s="2756"/>
      <c r="B96" s="2755" t="s">
        <v>456</v>
      </c>
      <c r="C96" s="2757">
        <f t="shared" si="2"/>
        <v>0</v>
      </c>
      <c r="D96" s="2756">
        <v>0</v>
      </c>
      <c r="E96" s="2756">
        <v>0</v>
      </c>
      <c r="F96" s="2756">
        <v>0</v>
      </c>
      <c r="G96" s="2756">
        <v>0</v>
      </c>
      <c r="H96" s="2756">
        <v>0</v>
      </c>
      <c r="I96" s="2756">
        <v>0</v>
      </c>
      <c r="J96" s="2756">
        <v>0</v>
      </c>
      <c r="K96" s="2756">
        <v>0</v>
      </c>
      <c r="L96" s="2756">
        <v>0</v>
      </c>
      <c r="M96" s="2756">
        <v>0</v>
      </c>
      <c r="N96" s="3329">
        <v>0</v>
      </c>
      <c r="O96" s="3329">
        <v>0</v>
      </c>
      <c r="P96" s="2756">
        <v>0</v>
      </c>
      <c r="Q96" s="2756">
        <v>0</v>
      </c>
      <c r="R96" s="2756">
        <v>0</v>
      </c>
    </row>
    <row r="97" spans="1:18" ht="25.8" hidden="1" customHeight="1">
      <c r="A97" s="2756"/>
      <c r="B97" s="2755" t="s">
        <v>457</v>
      </c>
      <c r="C97" s="2757">
        <f t="shared" si="2"/>
        <v>0</v>
      </c>
      <c r="D97" s="2756">
        <v>0</v>
      </c>
      <c r="E97" s="2756">
        <v>0</v>
      </c>
      <c r="F97" s="2756">
        <v>0</v>
      </c>
      <c r="G97" s="2756">
        <v>0</v>
      </c>
      <c r="H97" s="2756">
        <v>0</v>
      </c>
      <c r="I97" s="2756">
        <v>0</v>
      </c>
      <c r="J97" s="2756">
        <v>0</v>
      </c>
      <c r="K97" s="2756">
        <v>0</v>
      </c>
      <c r="L97" s="2756">
        <v>0</v>
      </c>
      <c r="M97" s="2756">
        <v>0</v>
      </c>
      <c r="N97" s="3329">
        <v>0</v>
      </c>
      <c r="O97" s="3329">
        <v>0</v>
      </c>
      <c r="P97" s="2756">
        <v>0</v>
      </c>
      <c r="Q97" s="2756">
        <v>0</v>
      </c>
      <c r="R97" s="2756">
        <v>0</v>
      </c>
    </row>
    <row r="98" spans="1:18" ht="25.8" hidden="1" customHeight="1">
      <c r="A98" s="2756"/>
      <c r="B98" s="2755" t="s">
        <v>458</v>
      </c>
      <c r="C98" s="2757">
        <f t="shared" si="2"/>
        <v>7188</v>
      </c>
      <c r="D98" s="2756">
        <v>33</v>
      </c>
      <c r="E98" s="2756">
        <v>0</v>
      </c>
      <c r="F98" s="2756">
        <v>0</v>
      </c>
      <c r="G98" s="2756">
        <v>0</v>
      </c>
      <c r="H98" s="2756">
        <v>0</v>
      </c>
      <c r="I98" s="2756">
        <v>0</v>
      </c>
      <c r="J98" s="2756">
        <v>0</v>
      </c>
      <c r="K98" s="2756">
        <v>0</v>
      </c>
      <c r="L98" s="2756">
        <v>0</v>
      </c>
      <c r="M98" s="2756">
        <v>7155</v>
      </c>
      <c r="N98" s="3329">
        <v>0</v>
      </c>
      <c r="O98" s="3329">
        <v>7155</v>
      </c>
      <c r="P98" s="2756">
        <v>0</v>
      </c>
      <c r="Q98" s="2756">
        <v>0</v>
      </c>
      <c r="R98" s="2756">
        <v>0</v>
      </c>
    </row>
    <row r="99" spans="1:18" ht="25.8" hidden="1" customHeight="1">
      <c r="A99" s="2756"/>
      <c r="B99" s="2755" t="s">
        <v>459</v>
      </c>
      <c r="C99" s="2757">
        <f t="shared" si="2"/>
        <v>8537</v>
      </c>
      <c r="D99" s="2756">
        <v>100</v>
      </c>
      <c r="E99" s="2756">
        <v>0</v>
      </c>
      <c r="F99" s="2756">
        <v>0</v>
      </c>
      <c r="G99" s="2756">
        <v>0</v>
      </c>
      <c r="H99" s="2756">
        <v>0</v>
      </c>
      <c r="I99" s="2756">
        <v>0</v>
      </c>
      <c r="J99" s="2756">
        <v>0</v>
      </c>
      <c r="K99" s="2756">
        <v>0</v>
      </c>
      <c r="L99" s="2756">
        <v>0</v>
      </c>
      <c r="M99" s="2756">
        <v>0</v>
      </c>
      <c r="N99" s="3329">
        <v>0</v>
      </c>
      <c r="O99" s="3329">
        <v>0</v>
      </c>
      <c r="P99" s="2756">
        <v>8057</v>
      </c>
      <c r="Q99" s="2756"/>
      <c r="R99" s="2756">
        <v>380</v>
      </c>
    </row>
    <row r="100" spans="1:18" ht="25.8" hidden="1" customHeight="1">
      <c r="A100" s="2756"/>
      <c r="B100" s="2755" t="s">
        <v>764</v>
      </c>
      <c r="C100" s="2757">
        <f t="shared" si="2"/>
        <v>11317</v>
      </c>
      <c r="D100" s="2756">
        <v>0</v>
      </c>
      <c r="E100" s="2756">
        <v>0</v>
      </c>
      <c r="F100" s="2756">
        <v>0</v>
      </c>
      <c r="G100" s="2756">
        <v>0</v>
      </c>
      <c r="H100" s="2756">
        <v>0</v>
      </c>
      <c r="I100" s="2756">
        <v>0</v>
      </c>
      <c r="J100" s="2756">
        <v>0</v>
      </c>
      <c r="K100" s="2756">
        <v>0</v>
      </c>
      <c r="L100" s="2756">
        <v>0</v>
      </c>
      <c r="M100" s="2756">
        <v>11317</v>
      </c>
      <c r="N100" s="3329">
        <v>0</v>
      </c>
      <c r="O100" s="3329">
        <v>11317</v>
      </c>
      <c r="P100" s="2756">
        <v>0</v>
      </c>
      <c r="Q100" s="2756">
        <v>0</v>
      </c>
      <c r="R100" s="2756">
        <v>0</v>
      </c>
    </row>
    <row r="101" spans="1:18" ht="25.8" hidden="1" customHeight="1">
      <c r="A101" s="2756"/>
      <c r="B101" s="2755" t="s">
        <v>765</v>
      </c>
      <c r="C101" s="2757">
        <f t="shared" si="2"/>
        <v>450</v>
      </c>
      <c r="D101" s="2756">
        <v>60</v>
      </c>
      <c r="E101" s="2756">
        <v>0</v>
      </c>
      <c r="F101" s="2756">
        <v>0</v>
      </c>
      <c r="G101" s="2756">
        <v>0</v>
      </c>
      <c r="H101" s="2756">
        <v>0</v>
      </c>
      <c r="I101" s="2756">
        <v>0</v>
      </c>
      <c r="J101" s="2756">
        <v>0</v>
      </c>
      <c r="K101" s="2756">
        <v>0</v>
      </c>
      <c r="L101" s="2756">
        <v>0</v>
      </c>
      <c r="M101" s="2756">
        <v>0</v>
      </c>
      <c r="N101" s="3329">
        <v>0</v>
      </c>
      <c r="O101" s="3329">
        <v>0</v>
      </c>
      <c r="P101" s="2756">
        <v>390</v>
      </c>
      <c r="Q101" s="2756">
        <v>0</v>
      </c>
      <c r="R101" s="2756"/>
    </row>
    <row r="102" spans="1:18" ht="25.8" hidden="1" customHeight="1">
      <c r="A102" s="2756"/>
      <c r="B102" s="2755" t="s">
        <v>766</v>
      </c>
      <c r="C102" s="2757">
        <f t="shared" si="2"/>
        <v>584</v>
      </c>
      <c r="D102" s="2756">
        <v>0</v>
      </c>
      <c r="E102" s="2756">
        <v>0</v>
      </c>
      <c r="F102" s="2756">
        <v>0</v>
      </c>
      <c r="G102" s="2756">
        <v>0</v>
      </c>
      <c r="H102" s="2756">
        <v>0</v>
      </c>
      <c r="I102" s="2756">
        <v>0</v>
      </c>
      <c r="J102" s="2756">
        <v>0</v>
      </c>
      <c r="K102" s="2756">
        <v>0</v>
      </c>
      <c r="L102" s="2756">
        <v>0</v>
      </c>
      <c r="M102" s="2756">
        <v>0</v>
      </c>
      <c r="N102" s="3329">
        <v>0</v>
      </c>
      <c r="O102" s="3329">
        <v>0</v>
      </c>
      <c r="P102" s="2756">
        <v>584</v>
      </c>
      <c r="Q102" s="2756">
        <v>0</v>
      </c>
      <c r="R102" s="2756"/>
    </row>
    <row r="103" spans="1:18" ht="30" hidden="1" customHeight="1">
      <c r="A103" s="2756">
        <v>16</v>
      </c>
      <c r="B103" s="2755" t="s">
        <v>461</v>
      </c>
      <c r="C103" s="2757">
        <f t="shared" si="2"/>
        <v>0</v>
      </c>
      <c r="D103" s="2756">
        <v>0</v>
      </c>
      <c r="E103" s="2756">
        <v>0</v>
      </c>
      <c r="F103" s="2756">
        <v>0</v>
      </c>
      <c r="G103" s="2756">
        <v>0</v>
      </c>
      <c r="H103" s="2756">
        <v>0</v>
      </c>
      <c r="I103" s="2756">
        <v>0</v>
      </c>
      <c r="J103" s="2756">
        <v>0</v>
      </c>
      <c r="K103" s="2756">
        <v>0</v>
      </c>
      <c r="L103" s="2756">
        <v>0</v>
      </c>
      <c r="M103" s="2756">
        <v>0</v>
      </c>
      <c r="N103" s="3329">
        <v>0</v>
      </c>
      <c r="O103" s="3329"/>
      <c r="P103" s="2756">
        <v>0</v>
      </c>
      <c r="Q103" s="2756">
        <v>0</v>
      </c>
      <c r="R103" s="2756"/>
    </row>
    <row r="104" spans="1:18" ht="25.8" customHeight="1">
      <c r="A104" s="2756">
        <v>14</v>
      </c>
      <c r="B104" s="2755" t="s">
        <v>593</v>
      </c>
      <c r="C104" s="2757">
        <f t="shared" si="2"/>
        <v>20546</v>
      </c>
      <c r="D104" s="2756">
        <v>50</v>
      </c>
      <c r="E104" s="2756">
        <v>0</v>
      </c>
      <c r="F104" s="2756">
        <v>0</v>
      </c>
      <c r="G104" s="2756">
        <v>0</v>
      </c>
      <c r="H104" s="2756">
        <v>0</v>
      </c>
      <c r="I104" s="2756">
        <v>0</v>
      </c>
      <c r="J104" s="2756">
        <v>0</v>
      </c>
      <c r="K104" s="2756">
        <v>0</v>
      </c>
      <c r="L104" s="2756">
        <v>0</v>
      </c>
      <c r="M104" s="2756">
        <v>2046</v>
      </c>
      <c r="N104" s="3329">
        <v>0</v>
      </c>
      <c r="O104" s="3329">
        <v>0</v>
      </c>
      <c r="P104" s="2756">
        <v>18450</v>
      </c>
      <c r="Q104" s="2756">
        <v>0</v>
      </c>
      <c r="R104" s="2756">
        <v>0</v>
      </c>
    </row>
    <row r="105" spans="1:18" ht="25.8" hidden="1" customHeight="1">
      <c r="A105" s="2756"/>
      <c r="B105" s="2755" t="s">
        <v>594</v>
      </c>
      <c r="C105" s="2757">
        <f t="shared" si="2"/>
        <v>17247</v>
      </c>
      <c r="D105" s="2756">
        <v>50</v>
      </c>
      <c r="E105" s="2756">
        <v>0</v>
      </c>
      <c r="F105" s="2756">
        <v>0</v>
      </c>
      <c r="G105" s="2756">
        <v>0</v>
      </c>
      <c r="H105" s="2756">
        <v>0</v>
      </c>
      <c r="I105" s="2756">
        <v>0</v>
      </c>
      <c r="J105" s="2756">
        <v>0</v>
      </c>
      <c r="K105" s="2756">
        <v>0</v>
      </c>
      <c r="L105" s="2756">
        <v>0</v>
      </c>
      <c r="M105" s="2756">
        <v>0</v>
      </c>
      <c r="N105" s="3329">
        <v>0</v>
      </c>
      <c r="O105" s="3329">
        <v>0</v>
      </c>
      <c r="P105" s="2756">
        <v>17197</v>
      </c>
      <c r="Q105" s="2756">
        <v>0</v>
      </c>
      <c r="R105" s="2756">
        <v>0</v>
      </c>
    </row>
    <row r="106" spans="1:18" ht="25.8" hidden="1" customHeight="1">
      <c r="A106" s="2756"/>
      <c r="B106" s="2755" t="s">
        <v>595</v>
      </c>
      <c r="C106" s="2757">
        <f t="shared" si="2"/>
        <v>1253</v>
      </c>
      <c r="D106" s="2756">
        <v>0</v>
      </c>
      <c r="E106" s="2756">
        <v>0</v>
      </c>
      <c r="F106" s="2756">
        <v>0</v>
      </c>
      <c r="G106" s="2756">
        <v>0</v>
      </c>
      <c r="H106" s="2756">
        <v>0</v>
      </c>
      <c r="I106" s="2756">
        <v>0</v>
      </c>
      <c r="J106" s="2756">
        <v>0</v>
      </c>
      <c r="K106" s="2756">
        <v>0</v>
      </c>
      <c r="L106" s="2756">
        <v>0</v>
      </c>
      <c r="M106" s="2756">
        <v>0</v>
      </c>
      <c r="N106" s="3329">
        <v>0</v>
      </c>
      <c r="O106" s="3329">
        <v>0</v>
      </c>
      <c r="P106" s="2756">
        <v>1253</v>
      </c>
      <c r="Q106" s="2756">
        <v>0</v>
      </c>
      <c r="R106" s="2756">
        <v>0</v>
      </c>
    </row>
    <row r="107" spans="1:18" ht="25.8" hidden="1" customHeight="1">
      <c r="A107" s="2756"/>
      <c r="B107" s="2755" t="s">
        <v>767</v>
      </c>
      <c r="C107" s="2757">
        <f t="shared" si="2"/>
        <v>2046</v>
      </c>
      <c r="D107" s="2756">
        <v>0</v>
      </c>
      <c r="E107" s="2756">
        <v>0</v>
      </c>
      <c r="F107" s="2756">
        <v>0</v>
      </c>
      <c r="G107" s="2756">
        <v>0</v>
      </c>
      <c r="H107" s="2756">
        <v>0</v>
      </c>
      <c r="I107" s="2756">
        <v>0</v>
      </c>
      <c r="J107" s="2756">
        <v>0</v>
      </c>
      <c r="K107" s="2756">
        <v>0</v>
      </c>
      <c r="L107" s="2756">
        <v>0</v>
      </c>
      <c r="M107" s="2756">
        <v>2046</v>
      </c>
      <c r="N107" s="3329">
        <v>0</v>
      </c>
      <c r="O107" s="3329">
        <v>0</v>
      </c>
      <c r="P107" s="2756">
        <v>0</v>
      </c>
      <c r="Q107" s="2756">
        <v>0</v>
      </c>
      <c r="R107" s="2756"/>
    </row>
    <row r="108" spans="1:18" ht="25.8" customHeight="1">
      <c r="A108" s="2756">
        <v>15</v>
      </c>
      <c r="B108" s="2755" t="s">
        <v>596</v>
      </c>
      <c r="C108" s="2757">
        <f t="shared" si="2"/>
        <v>11289</v>
      </c>
      <c r="D108" s="2756">
        <v>90</v>
      </c>
      <c r="E108" s="2756">
        <v>0</v>
      </c>
      <c r="F108" s="2756">
        <v>0</v>
      </c>
      <c r="G108" s="2756">
        <v>0</v>
      </c>
      <c r="H108" s="2756">
        <v>0</v>
      </c>
      <c r="I108" s="2756">
        <v>0</v>
      </c>
      <c r="J108" s="2756">
        <v>0</v>
      </c>
      <c r="K108" s="2756">
        <v>0</v>
      </c>
      <c r="L108" s="2756">
        <v>0</v>
      </c>
      <c r="M108" s="2756">
        <v>0</v>
      </c>
      <c r="N108" s="3329">
        <v>0</v>
      </c>
      <c r="O108" s="3329">
        <v>0</v>
      </c>
      <c r="P108" s="2756">
        <v>11199</v>
      </c>
      <c r="Q108" s="2756">
        <v>0</v>
      </c>
      <c r="R108" s="2756">
        <v>0</v>
      </c>
    </row>
    <row r="109" spans="1:18" ht="25.8" customHeight="1">
      <c r="A109" s="2756">
        <v>16</v>
      </c>
      <c r="B109" s="2755" t="s">
        <v>597</v>
      </c>
      <c r="C109" s="2757">
        <f t="shared" si="2"/>
        <v>10423</v>
      </c>
      <c r="D109" s="2756">
        <v>435</v>
      </c>
      <c r="E109" s="2756">
        <v>0</v>
      </c>
      <c r="F109" s="2756">
        <v>0</v>
      </c>
      <c r="G109" s="2756">
        <v>0</v>
      </c>
      <c r="H109" s="2756">
        <v>0</v>
      </c>
      <c r="I109" s="2756">
        <v>0</v>
      </c>
      <c r="J109" s="2756">
        <v>0</v>
      </c>
      <c r="K109" s="2756">
        <v>0</v>
      </c>
      <c r="L109" s="2756">
        <v>0</v>
      </c>
      <c r="M109" s="2756">
        <v>0</v>
      </c>
      <c r="N109" s="3329">
        <v>0</v>
      </c>
      <c r="O109" s="3329">
        <v>0</v>
      </c>
      <c r="P109" s="2756">
        <v>8177</v>
      </c>
      <c r="Q109" s="2756">
        <v>0</v>
      </c>
      <c r="R109" s="2756">
        <v>1811</v>
      </c>
    </row>
    <row r="110" spans="1:18" ht="25.8" hidden="1" customHeight="1">
      <c r="A110" s="2756"/>
      <c r="B110" s="2755" t="s">
        <v>768</v>
      </c>
      <c r="C110" s="2757">
        <f t="shared" si="2"/>
        <v>8423</v>
      </c>
      <c r="D110" s="2756">
        <v>246</v>
      </c>
      <c r="E110" s="2756"/>
      <c r="F110" s="2756"/>
      <c r="G110" s="2756"/>
      <c r="H110" s="2756"/>
      <c r="I110" s="2756"/>
      <c r="J110" s="2756"/>
      <c r="K110" s="2756"/>
      <c r="L110" s="2756"/>
      <c r="M110" s="2756"/>
      <c r="N110" s="3329"/>
      <c r="O110" s="3329"/>
      <c r="P110" s="2756">
        <v>8177</v>
      </c>
      <c r="Q110" s="2756"/>
      <c r="R110" s="2756"/>
    </row>
    <row r="111" spans="1:18" ht="25.8" hidden="1" customHeight="1">
      <c r="A111" s="2756"/>
      <c r="B111" s="2755" t="s">
        <v>769</v>
      </c>
      <c r="C111" s="2757">
        <f t="shared" si="2"/>
        <v>2000</v>
      </c>
      <c r="D111" s="2756">
        <v>189</v>
      </c>
      <c r="E111" s="2756"/>
      <c r="F111" s="2756"/>
      <c r="G111" s="2756"/>
      <c r="H111" s="2756"/>
      <c r="I111" s="2756"/>
      <c r="J111" s="2756"/>
      <c r="K111" s="2756"/>
      <c r="L111" s="2756"/>
      <c r="M111" s="2756"/>
      <c r="N111" s="3329"/>
      <c r="O111" s="3329"/>
      <c r="P111" s="2756"/>
      <c r="Q111" s="2756"/>
      <c r="R111" s="2756">
        <v>1811</v>
      </c>
    </row>
    <row r="112" spans="1:18" ht="25.8" customHeight="1">
      <c r="A112" s="2756">
        <v>17</v>
      </c>
      <c r="B112" s="2755" t="s">
        <v>598</v>
      </c>
      <c r="C112" s="2757">
        <f t="shared" si="2"/>
        <v>29991</v>
      </c>
      <c r="D112" s="2756">
        <v>5589</v>
      </c>
      <c r="E112" s="2756">
        <v>0</v>
      </c>
      <c r="F112" s="2756">
        <v>0</v>
      </c>
      <c r="G112" s="2756">
        <v>0</v>
      </c>
      <c r="H112" s="2756">
        <v>0</v>
      </c>
      <c r="I112" s="2756">
        <v>0</v>
      </c>
      <c r="J112" s="2756">
        <v>0</v>
      </c>
      <c r="K112" s="2756">
        <v>0</v>
      </c>
      <c r="L112" s="2756">
        <v>0</v>
      </c>
      <c r="M112" s="2756">
        <v>0</v>
      </c>
      <c r="N112" s="3329">
        <v>0</v>
      </c>
      <c r="O112" s="3329">
        <v>0</v>
      </c>
      <c r="P112" s="2756">
        <v>24402</v>
      </c>
      <c r="Q112" s="2756">
        <v>0</v>
      </c>
      <c r="R112" s="2756">
        <v>0</v>
      </c>
    </row>
    <row r="113" spans="1:18" ht="25.8" hidden="1" customHeight="1">
      <c r="A113" s="2756"/>
      <c r="B113" s="2755" t="s">
        <v>599</v>
      </c>
      <c r="C113" s="2757">
        <f t="shared" si="2"/>
        <v>10553</v>
      </c>
      <c r="D113" s="2756">
        <v>5000</v>
      </c>
      <c r="E113" s="2756">
        <v>0</v>
      </c>
      <c r="F113" s="2756">
        <v>0</v>
      </c>
      <c r="G113" s="2756">
        <v>0</v>
      </c>
      <c r="H113" s="2756">
        <v>0</v>
      </c>
      <c r="I113" s="2756">
        <v>0</v>
      </c>
      <c r="J113" s="2756">
        <v>0</v>
      </c>
      <c r="K113" s="2756">
        <v>0</v>
      </c>
      <c r="L113" s="2756">
        <v>0</v>
      </c>
      <c r="M113" s="2756">
        <v>0</v>
      </c>
      <c r="N113" s="3329">
        <v>0</v>
      </c>
      <c r="O113" s="3329">
        <v>0</v>
      </c>
      <c r="P113" s="2756">
        <v>5553</v>
      </c>
      <c r="Q113" s="2756">
        <v>0</v>
      </c>
      <c r="R113" s="2756">
        <v>0</v>
      </c>
    </row>
    <row r="114" spans="1:18" ht="25.8" hidden="1" customHeight="1">
      <c r="A114" s="2756"/>
      <c r="B114" s="2755" t="s">
        <v>600</v>
      </c>
      <c r="C114" s="2757">
        <f t="shared" si="2"/>
        <v>10995</v>
      </c>
      <c r="D114" s="2756">
        <v>20</v>
      </c>
      <c r="E114" s="2756">
        <v>0</v>
      </c>
      <c r="F114" s="2756">
        <v>0</v>
      </c>
      <c r="G114" s="2756">
        <v>0</v>
      </c>
      <c r="H114" s="2756">
        <v>0</v>
      </c>
      <c r="I114" s="2756">
        <v>0</v>
      </c>
      <c r="J114" s="2756">
        <v>0</v>
      </c>
      <c r="K114" s="2756">
        <v>0</v>
      </c>
      <c r="L114" s="2756">
        <v>0</v>
      </c>
      <c r="M114" s="2756">
        <v>0</v>
      </c>
      <c r="N114" s="3329">
        <v>0</v>
      </c>
      <c r="O114" s="3329">
        <v>0</v>
      </c>
      <c r="P114" s="2756">
        <v>10975</v>
      </c>
      <c r="Q114" s="2756">
        <v>0</v>
      </c>
      <c r="R114" s="2756">
        <v>0</v>
      </c>
    </row>
    <row r="115" spans="1:18" ht="25.8" hidden="1" customHeight="1">
      <c r="A115" s="2756"/>
      <c r="B115" s="2755" t="s">
        <v>601</v>
      </c>
      <c r="C115" s="2757">
        <f t="shared" si="2"/>
        <v>4558</v>
      </c>
      <c r="D115" s="2756">
        <v>569</v>
      </c>
      <c r="E115" s="2756">
        <v>0</v>
      </c>
      <c r="F115" s="2756">
        <v>0</v>
      </c>
      <c r="G115" s="2756">
        <v>0</v>
      </c>
      <c r="H115" s="2756">
        <v>0</v>
      </c>
      <c r="I115" s="2756">
        <v>0</v>
      </c>
      <c r="J115" s="2756">
        <v>0</v>
      </c>
      <c r="K115" s="2756">
        <v>0</v>
      </c>
      <c r="L115" s="2756">
        <v>0</v>
      </c>
      <c r="M115" s="2756">
        <v>0</v>
      </c>
      <c r="N115" s="3329">
        <v>0</v>
      </c>
      <c r="O115" s="3329">
        <v>0</v>
      </c>
      <c r="P115" s="2756">
        <v>3989</v>
      </c>
      <c r="Q115" s="2756">
        <v>0</v>
      </c>
      <c r="R115" s="2756">
        <v>0</v>
      </c>
    </row>
    <row r="116" spans="1:18" ht="25.8" hidden="1" customHeight="1">
      <c r="A116" s="2756"/>
      <c r="B116" s="2755" t="s">
        <v>602</v>
      </c>
      <c r="C116" s="2757">
        <f t="shared" si="2"/>
        <v>1715</v>
      </c>
      <c r="D116" s="2756"/>
      <c r="E116" s="2756"/>
      <c r="F116" s="2756"/>
      <c r="G116" s="2756"/>
      <c r="H116" s="2756"/>
      <c r="I116" s="2756"/>
      <c r="J116" s="2756"/>
      <c r="K116" s="2756"/>
      <c r="L116" s="2756"/>
      <c r="M116" s="2756"/>
      <c r="N116" s="3329"/>
      <c r="O116" s="3329"/>
      <c r="P116" s="2756">
        <v>1715</v>
      </c>
      <c r="Q116" s="2756"/>
      <c r="R116" s="2756"/>
    </row>
    <row r="117" spans="1:18" ht="25.8" hidden="1" customHeight="1">
      <c r="A117" s="2756"/>
      <c r="B117" s="2755" t="s">
        <v>603</v>
      </c>
      <c r="C117" s="2757">
        <f t="shared" si="2"/>
        <v>1188</v>
      </c>
      <c r="D117" s="2756">
        <v>0</v>
      </c>
      <c r="E117" s="2756">
        <v>0</v>
      </c>
      <c r="F117" s="2756">
        <v>0</v>
      </c>
      <c r="G117" s="2756">
        <v>0</v>
      </c>
      <c r="H117" s="2756">
        <v>0</v>
      </c>
      <c r="I117" s="2756">
        <v>0</v>
      </c>
      <c r="J117" s="2756">
        <v>0</v>
      </c>
      <c r="K117" s="2756">
        <v>0</v>
      </c>
      <c r="L117" s="2756">
        <v>0</v>
      </c>
      <c r="M117" s="2756">
        <v>0</v>
      </c>
      <c r="N117" s="3329">
        <v>0</v>
      </c>
      <c r="O117" s="3329">
        <v>0</v>
      </c>
      <c r="P117" s="2756">
        <v>1188</v>
      </c>
      <c r="Q117" s="2756">
        <v>0</v>
      </c>
      <c r="R117" s="2756">
        <v>0</v>
      </c>
    </row>
    <row r="118" spans="1:18" ht="25.8" hidden="1" customHeight="1">
      <c r="A118" s="2756"/>
      <c r="B118" s="2755" t="s">
        <v>604</v>
      </c>
      <c r="C118" s="2757">
        <f t="shared" si="2"/>
        <v>982</v>
      </c>
      <c r="D118" s="2756">
        <v>0</v>
      </c>
      <c r="E118" s="2756">
        <v>0</v>
      </c>
      <c r="F118" s="2756">
        <v>0</v>
      </c>
      <c r="G118" s="2756">
        <v>0</v>
      </c>
      <c r="H118" s="2756">
        <v>0</v>
      </c>
      <c r="I118" s="2756">
        <v>0</v>
      </c>
      <c r="J118" s="2756">
        <v>0</v>
      </c>
      <c r="K118" s="2756">
        <v>0</v>
      </c>
      <c r="L118" s="2756">
        <v>0</v>
      </c>
      <c r="M118" s="2756">
        <v>0</v>
      </c>
      <c r="N118" s="3329">
        <v>0</v>
      </c>
      <c r="O118" s="3329">
        <v>0</v>
      </c>
      <c r="P118" s="2756">
        <v>982</v>
      </c>
      <c r="Q118" s="2756">
        <v>0</v>
      </c>
      <c r="R118" s="2756">
        <v>0</v>
      </c>
    </row>
    <row r="119" spans="1:18" ht="25.8" customHeight="1">
      <c r="A119" s="2756">
        <v>18</v>
      </c>
      <c r="B119" s="2755" t="s">
        <v>605</v>
      </c>
      <c r="C119" s="2757">
        <f t="shared" si="2"/>
        <v>9815</v>
      </c>
      <c r="D119" s="2756">
        <v>279</v>
      </c>
      <c r="E119" s="2756">
        <v>0</v>
      </c>
      <c r="F119" s="2756">
        <v>0</v>
      </c>
      <c r="G119" s="2756">
        <v>0</v>
      </c>
      <c r="H119" s="2756">
        <v>0</v>
      </c>
      <c r="I119" s="2756">
        <v>0</v>
      </c>
      <c r="J119" s="2756">
        <v>0</v>
      </c>
      <c r="K119" s="2756">
        <v>0</v>
      </c>
      <c r="L119" s="2756">
        <v>0</v>
      </c>
      <c r="M119" s="2756">
        <v>3445</v>
      </c>
      <c r="N119" s="3329">
        <v>0</v>
      </c>
      <c r="O119" s="3329">
        <v>0</v>
      </c>
      <c r="P119" s="2756">
        <v>6091</v>
      </c>
      <c r="Q119" s="2756">
        <v>0</v>
      </c>
      <c r="R119" s="2756">
        <v>0</v>
      </c>
    </row>
    <row r="120" spans="1:18" ht="25.8" hidden="1" customHeight="1">
      <c r="A120" s="2756"/>
      <c r="B120" s="2755" t="s">
        <v>770</v>
      </c>
      <c r="C120" s="2757">
        <f t="shared" si="2"/>
        <v>6370</v>
      </c>
      <c r="D120" s="2756">
        <v>279</v>
      </c>
      <c r="E120" s="2756">
        <v>0</v>
      </c>
      <c r="F120" s="2756">
        <v>0</v>
      </c>
      <c r="G120" s="2756">
        <v>0</v>
      </c>
      <c r="H120" s="2756">
        <v>0</v>
      </c>
      <c r="I120" s="2756">
        <v>0</v>
      </c>
      <c r="J120" s="2756">
        <v>0</v>
      </c>
      <c r="K120" s="2756">
        <v>0</v>
      </c>
      <c r="L120" s="2756">
        <v>0</v>
      </c>
      <c r="M120" s="2756">
        <v>0</v>
      </c>
      <c r="N120" s="3329">
        <v>0</v>
      </c>
      <c r="O120" s="3329">
        <v>0</v>
      </c>
      <c r="P120" s="2756">
        <v>6091</v>
      </c>
      <c r="Q120" s="2756">
        <v>0</v>
      </c>
      <c r="R120" s="2756">
        <v>0</v>
      </c>
    </row>
    <row r="121" spans="1:18" ht="25.8" hidden="1" customHeight="1">
      <c r="A121" s="2756"/>
      <c r="B121" s="2755" t="s">
        <v>771</v>
      </c>
      <c r="C121" s="2757">
        <f t="shared" si="2"/>
        <v>3445</v>
      </c>
      <c r="D121" s="2756">
        <v>0</v>
      </c>
      <c r="E121" s="2756">
        <v>0</v>
      </c>
      <c r="F121" s="2756">
        <v>0</v>
      </c>
      <c r="G121" s="2756">
        <v>0</v>
      </c>
      <c r="H121" s="2756">
        <v>0</v>
      </c>
      <c r="I121" s="2756">
        <v>0</v>
      </c>
      <c r="J121" s="2756">
        <v>0</v>
      </c>
      <c r="K121" s="2756">
        <v>0</v>
      </c>
      <c r="L121" s="2756">
        <v>0</v>
      </c>
      <c r="M121" s="2756">
        <v>3445</v>
      </c>
      <c r="N121" s="3329">
        <v>0</v>
      </c>
      <c r="O121" s="3329">
        <v>0</v>
      </c>
      <c r="P121" s="2756">
        <v>0</v>
      </c>
      <c r="Q121" s="2756">
        <v>0</v>
      </c>
      <c r="R121" s="2756">
        <v>0</v>
      </c>
    </row>
    <row r="122" spans="1:18" ht="25.8" hidden="1" customHeight="1">
      <c r="A122" s="2756"/>
      <c r="B122" s="2755" t="s">
        <v>772</v>
      </c>
      <c r="C122" s="2757">
        <f t="shared" si="2"/>
        <v>0</v>
      </c>
      <c r="D122" s="2756">
        <v>0</v>
      </c>
      <c r="E122" s="2756">
        <v>0</v>
      </c>
      <c r="F122" s="2756">
        <v>0</v>
      </c>
      <c r="G122" s="2756">
        <v>0</v>
      </c>
      <c r="H122" s="2756">
        <v>0</v>
      </c>
      <c r="I122" s="2756">
        <v>0</v>
      </c>
      <c r="J122" s="2756">
        <v>0</v>
      </c>
      <c r="K122" s="2756">
        <v>0</v>
      </c>
      <c r="L122" s="2756">
        <v>0</v>
      </c>
      <c r="M122" s="2756">
        <v>0</v>
      </c>
      <c r="N122" s="3329">
        <v>0</v>
      </c>
      <c r="O122" s="3329">
        <v>0</v>
      </c>
      <c r="P122" s="2756">
        <v>0</v>
      </c>
      <c r="Q122" s="2756">
        <v>0</v>
      </c>
      <c r="R122" s="2756">
        <v>0</v>
      </c>
    </row>
    <row r="123" spans="1:18" ht="25.8" customHeight="1">
      <c r="A123" s="2756">
        <v>19</v>
      </c>
      <c r="B123" s="2755" t="s">
        <v>606</v>
      </c>
      <c r="C123" s="2757">
        <f t="shared" si="2"/>
        <v>417980</v>
      </c>
      <c r="D123" s="2756">
        <v>800</v>
      </c>
      <c r="E123" s="2756">
        <v>0</v>
      </c>
      <c r="F123" s="2756">
        <v>0</v>
      </c>
      <c r="G123" s="2756">
        <v>0</v>
      </c>
      <c r="H123" s="2756">
        <v>408315</v>
      </c>
      <c r="I123" s="2756">
        <v>0</v>
      </c>
      <c r="J123" s="2756">
        <v>0</v>
      </c>
      <c r="K123" s="2756">
        <v>0</v>
      </c>
      <c r="L123" s="2756">
        <v>0</v>
      </c>
      <c r="M123" s="2756">
        <v>0</v>
      </c>
      <c r="N123" s="3329">
        <v>0</v>
      </c>
      <c r="O123" s="3329">
        <v>0</v>
      </c>
      <c r="P123" s="2756">
        <v>8465</v>
      </c>
      <c r="Q123" s="2756">
        <v>0</v>
      </c>
      <c r="R123" s="2756">
        <v>400</v>
      </c>
    </row>
    <row r="124" spans="1:18" ht="25.8" hidden="1" customHeight="1">
      <c r="A124" s="2756"/>
      <c r="B124" s="2755" t="s">
        <v>773</v>
      </c>
      <c r="C124" s="2757">
        <f t="shared" si="2"/>
        <v>417580</v>
      </c>
      <c r="D124" s="2756">
        <v>800</v>
      </c>
      <c r="E124" s="2756">
        <v>0</v>
      </c>
      <c r="F124" s="2756">
        <v>0</v>
      </c>
      <c r="G124" s="2756">
        <v>0</v>
      </c>
      <c r="H124" s="2756">
        <v>408315</v>
      </c>
      <c r="I124" s="2756">
        <v>0</v>
      </c>
      <c r="J124" s="2756">
        <v>0</v>
      </c>
      <c r="K124" s="2756">
        <v>0</v>
      </c>
      <c r="L124" s="2756">
        <v>0</v>
      </c>
      <c r="M124" s="2756">
        <v>0</v>
      </c>
      <c r="N124" s="3329">
        <v>0</v>
      </c>
      <c r="O124" s="3329">
        <v>0</v>
      </c>
      <c r="P124" s="2756">
        <v>8465</v>
      </c>
      <c r="Q124" s="2756">
        <v>0</v>
      </c>
      <c r="R124" s="2756">
        <v>0</v>
      </c>
    </row>
    <row r="125" spans="1:18" ht="25.8" hidden="1" customHeight="1">
      <c r="A125" s="2756"/>
      <c r="B125" s="2755" t="s">
        <v>769</v>
      </c>
      <c r="C125" s="2757">
        <f t="shared" si="2"/>
        <v>400</v>
      </c>
      <c r="D125" s="2756">
        <v>0</v>
      </c>
      <c r="E125" s="2756">
        <v>0</v>
      </c>
      <c r="F125" s="2756">
        <v>0</v>
      </c>
      <c r="G125" s="2756">
        <v>0</v>
      </c>
      <c r="H125" s="2756">
        <v>0</v>
      </c>
      <c r="I125" s="2756">
        <v>0</v>
      </c>
      <c r="J125" s="2756">
        <v>0</v>
      </c>
      <c r="K125" s="2756">
        <v>0</v>
      </c>
      <c r="L125" s="2756">
        <v>0</v>
      </c>
      <c r="M125" s="2756">
        <v>0</v>
      </c>
      <c r="N125" s="3329">
        <v>0</v>
      </c>
      <c r="O125" s="3329">
        <v>0</v>
      </c>
      <c r="P125" s="2756">
        <v>0</v>
      </c>
      <c r="Q125" s="2756">
        <v>0</v>
      </c>
      <c r="R125" s="2756">
        <v>400</v>
      </c>
    </row>
    <row r="126" spans="1:18" ht="25.8" customHeight="1">
      <c r="A126" s="2756">
        <v>20</v>
      </c>
      <c r="B126" s="2755" t="s">
        <v>607</v>
      </c>
      <c r="C126" s="2757">
        <f t="shared" si="2"/>
        <v>9149</v>
      </c>
      <c r="D126" s="2756">
        <v>100</v>
      </c>
      <c r="E126" s="2756">
        <v>0</v>
      </c>
      <c r="F126" s="2756">
        <v>0</v>
      </c>
      <c r="G126" s="2756">
        <v>0</v>
      </c>
      <c r="H126" s="2756">
        <v>0</v>
      </c>
      <c r="I126" s="2756">
        <v>0</v>
      </c>
      <c r="J126" s="2756">
        <v>0</v>
      </c>
      <c r="K126" s="2756">
        <v>0</v>
      </c>
      <c r="L126" s="2756">
        <v>0</v>
      </c>
      <c r="M126" s="2756">
        <v>2839</v>
      </c>
      <c r="N126" s="3329">
        <v>0</v>
      </c>
      <c r="O126" s="3329">
        <v>0</v>
      </c>
      <c r="P126" s="2756">
        <v>6187</v>
      </c>
      <c r="Q126" s="2756">
        <v>0</v>
      </c>
      <c r="R126" s="2756">
        <v>23</v>
      </c>
    </row>
    <row r="127" spans="1:18" ht="25.8" hidden="1" customHeight="1">
      <c r="A127" s="2756"/>
      <c r="B127" s="2755" t="s">
        <v>774</v>
      </c>
      <c r="C127" s="2757">
        <f t="shared" si="2"/>
        <v>5397</v>
      </c>
      <c r="D127" s="2756">
        <v>60</v>
      </c>
      <c r="E127" s="2756">
        <v>0</v>
      </c>
      <c r="F127" s="2756">
        <v>0</v>
      </c>
      <c r="G127" s="2756">
        <v>0</v>
      </c>
      <c r="H127" s="2756">
        <v>0</v>
      </c>
      <c r="I127" s="2756">
        <v>0</v>
      </c>
      <c r="J127" s="2756">
        <v>0</v>
      </c>
      <c r="K127" s="2756">
        <v>0</v>
      </c>
      <c r="L127" s="2756">
        <v>0</v>
      </c>
      <c r="M127" s="2756">
        <v>0</v>
      </c>
      <c r="N127" s="3329">
        <v>0</v>
      </c>
      <c r="O127" s="3329">
        <v>0</v>
      </c>
      <c r="P127" s="2756">
        <v>5314</v>
      </c>
      <c r="Q127" s="2756">
        <v>0</v>
      </c>
      <c r="R127" s="2756">
        <v>23</v>
      </c>
    </row>
    <row r="128" spans="1:18" ht="25.8" hidden="1" customHeight="1">
      <c r="A128" s="2756"/>
      <c r="B128" s="2755" t="s">
        <v>775</v>
      </c>
      <c r="C128" s="2757">
        <f t="shared" si="2"/>
        <v>2879</v>
      </c>
      <c r="D128" s="2756">
        <v>40</v>
      </c>
      <c r="E128" s="2756">
        <v>0</v>
      </c>
      <c r="F128" s="2756">
        <v>0</v>
      </c>
      <c r="G128" s="2756">
        <v>0</v>
      </c>
      <c r="H128" s="2756">
        <v>0</v>
      </c>
      <c r="I128" s="2756">
        <v>0</v>
      </c>
      <c r="J128" s="2756">
        <v>0</v>
      </c>
      <c r="K128" s="2756">
        <v>0</v>
      </c>
      <c r="L128" s="2756">
        <v>0</v>
      </c>
      <c r="M128" s="2756">
        <v>2839</v>
      </c>
      <c r="N128" s="3329">
        <v>0</v>
      </c>
      <c r="O128" s="3329">
        <v>0</v>
      </c>
      <c r="P128" s="2756">
        <v>0</v>
      </c>
      <c r="Q128" s="2756">
        <v>0</v>
      </c>
      <c r="R128" s="2756">
        <v>0</v>
      </c>
    </row>
    <row r="129" spans="1:18" ht="25.8" hidden="1" customHeight="1">
      <c r="A129" s="2756"/>
      <c r="B129" s="2755" t="s">
        <v>776</v>
      </c>
      <c r="C129" s="2757">
        <f t="shared" si="2"/>
        <v>873</v>
      </c>
      <c r="D129" s="2756">
        <v>0</v>
      </c>
      <c r="E129" s="2756">
        <v>0</v>
      </c>
      <c r="F129" s="2756">
        <v>0</v>
      </c>
      <c r="G129" s="2756">
        <v>0</v>
      </c>
      <c r="H129" s="2756">
        <v>0</v>
      </c>
      <c r="I129" s="2756">
        <v>0</v>
      </c>
      <c r="J129" s="2756">
        <v>0</v>
      </c>
      <c r="K129" s="2756">
        <v>0</v>
      </c>
      <c r="L129" s="2756">
        <v>0</v>
      </c>
      <c r="M129" s="2756">
        <v>0</v>
      </c>
      <c r="N129" s="3329">
        <v>0</v>
      </c>
      <c r="O129" s="3329">
        <v>0</v>
      </c>
      <c r="P129" s="2756">
        <v>873</v>
      </c>
      <c r="Q129" s="2756">
        <v>0</v>
      </c>
      <c r="R129" s="2756"/>
    </row>
    <row r="130" spans="1:18" ht="25.8" customHeight="1">
      <c r="A130" s="2756">
        <v>21</v>
      </c>
      <c r="B130" s="2755" t="s">
        <v>608</v>
      </c>
      <c r="C130" s="2757">
        <f t="shared" si="2"/>
        <v>61801</v>
      </c>
      <c r="D130" s="2756">
        <v>100</v>
      </c>
      <c r="E130" s="2756">
        <v>0</v>
      </c>
      <c r="F130" s="2756">
        <v>0</v>
      </c>
      <c r="G130" s="2756">
        <v>0</v>
      </c>
      <c r="H130" s="2756">
        <v>0</v>
      </c>
      <c r="I130" s="2756">
        <v>0</v>
      </c>
      <c r="J130" s="2756">
        <v>0</v>
      </c>
      <c r="K130" s="2756">
        <v>0</v>
      </c>
      <c r="L130" s="2756">
        <v>0</v>
      </c>
      <c r="M130" s="2756">
        <v>51134</v>
      </c>
      <c r="N130" s="3329">
        <v>51134</v>
      </c>
      <c r="O130" s="3329">
        <v>0</v>
      </c>
      <c r="P130" s="2756">
        <v>10567</v>
      </c>
      <c r="Q130" s="2756">
        <v>0</v>
      </c>
      <c r="R130" s="2756">
        <v>0</v>
      </c>
    </row>
    <row r="131" spans="1:18" ht="25.8" hidden="1" customHeight="1">
      <c r="A131" s="2756"/>
      <c r="B131" s="2755" t="s">
        <v>609</v>
      </c>
      <c r="C131" s="2757">
        <f t="shared" si="2"/>
        <v>5620</v>
      </c>
      <c r="D131" s="2756">
        <v>80</v>
      </c>
      <c r="E131" s="2756">
        <v>0</v>
      </c>
      <c r="F131" s="2756">
        <v>0</v>
      </c>
      <c r="G131" s="2756">
        <v>0</v>
      </c>
      <c r="H131" s="2756">
        <v>0</v>
      </c>
      <c r="I131" s="2756">
        <v>0</v>
      </c>
      <c r="J131" s="2756">
        <v>0</v>
      </c>
      <c r="K131" s="2756">
        <v>0</v>
      </c>
      <c r="L131" s="2756">
        <v>0</v>
      </c>
      <c r="M131" s="2756">
        <v>0</v>
      </c>
      <c r="N131" s="3329">
        <v>0</v>
      </c>
      <c r="O131" s="3329">
        <v>0</v>
      </c>
      <c r="P131" s="2756">
        <v>5540</v>
      </c>
      <c r="Q131" s="2756">
        <v>0</v>
      </c>
      <c r="R131" s="2756">
        <v>0</v>
      </c>
    </row>
    <row r="132" spans="1:18" ht="25.8" hidden="1" customHeight="1">
      <c r="A132" s="2756"/>
      <c r="B132" s="2755" t="s">
        <v>610</v>
      </c>
      <c r="C132" s="2757">
        <f t="shared" si="2"/>
        <v>5027</v>
      </c>
      <c r="D132" s="2756">
        <v>0</v>
      </c>
      <c r="E132" s="2756">
        <v>0</v>
      </c>
      <c r="F132" s="2756">
        <v>0</v>
      </c>
      <c r="G132" s="2756">
        <v>0</v>
      </c>
      <c r="H132" s="2756">
        <v>0</v>
      </c>
      <c r="I132" s="2756">
        <v>0</v>
      </c>
      <c r="J132" s="2756">
        <v>0</v>
      </c>
      <c r="K132" s="2756">
        <v>0</v>
      </c>
      <c r="L132" s="2756">
        <v>0</v>
      </c>
      <c r="M132" s="2756">
        <v>0</v>
      </c>
      <c r="N132" s="3329">
        <v>0</v>
      </c>
      <c r="O132" s="3329">
        <v>0</v>
      </c>
      <c r="P132" s="2756">
        <v>5027</v>
      </c>
      <c r="Q132" s="2756">
        <v>0</v>
      </c>
      <c r="R132" s="2756">
        <v>0</v>
      </c>
    </row>
    <row r="133" spans="1:18" ht="25.8" hidden="1" customHeight="1">
      <c r="A133" s="2756"/>
      <c r="B133" s="2755" t="s">
        <v>777</v>
      </c>
      <c r="C133" s="2757">
        <f t="shared" si="2"/>
        <v>51154</v>
      </c>
      <c r="D133" s="2756">
        <v>20</v>
      </c>
      <c r="E133" s="2756">
        <v>0</v>
      </c>
      <c r="F133" s="2756">
        <v>0</v>
      </c>
      <c r="G133" s="2756">
        <v>0</v>
      </c>
      <c r="H133" s="2756">
        <v>0</v>
      </c>
      <c r="I133" s="2756">
        <v>0</v>
      </c>
      <c r="J133" s="2756">
        <v>0</v>
      </c>
      <c r="K133" s="2756">
        <v>0</v>
      </c>
      <c r="L133" s="2756">
        <v>0</v>
      </c>
      <c r="M133" s="2756">
        <v>51134</v>
      </c>
      <c r="N133" s="3329">
        <v>51134</v>
      </c>
      <c r="O133" s="3329">
        <v>0</v>
      </c>
      <c r="P133" s="2756"/>
      <c r="Q133" s="2756"/>
      <c r="R133" s="2756"/>
    </row>
    <row r="134" spans="1:18" ht="25.8" customHeight="1">
      <c r="A134" s="2756">
        <v>22</v>
      </c>
      <c r="B134" s="2755" t="s">
        <v>611</v>
      </c>
      <c r="C134" s="2757">
        <f t="shared" si="2"/>
        <v>7380</v>
      </c>
      <c r="D134" s="2756">
        <v>50</v>
      </c>
      <c r="E134" s="2756">
        <v>0</v>
      </c>
      <c r="F134" s="2756">
        <v>0</v>
      </c>
      <c r="G134" s="2756">
        <v>0</v>
      </c>
      <c r="H134" s="2756">
        <v>0</v>
      </c>
      <c r="I134" s="2756">
        <v>0</v>
      </c>
      <c r="J134" s="2756">
        <v>0</v>
      </c>
      <c r="K134" s="2756">
        <v>0</v>
      </c>
      <c r="L134" s="2756">
        <v>0</v>
      </c>
      <c r="M134" s="2756">
        <v>0</v>
      </c>
      <c r="N134" s="3329">
        <v>0</v>
      </c>
      <c r="O134" s="3329">
        <v>0</v>
      </c>
      <c r="P134" s="2756">
        <v>7330</v>
      </c>
      <c r="Q134" s="2756">
        <v>0</v>
      </c>
      <c r="R134" s="2756">
        <v>0</v>
      </c>
    </row>
    <row r="135" spans="1:18" ht="25.8" customHeight="1">
      <c r="A135" s="2756">
        <v>23</v>
      </c>
      <c r="B135" s="2755" t="s">
        <v>612</v>
      </c>
      <c r="C135" s="2757">
        <f t="shared" si="2"/>
        <v>10943</v>
      </c>
      <c r="D135" s="2756">
        <v>321</v>
      </c>
      <c r="E135" s="2756">
        <v>0</v>
      </c>
      <c r="F135" s="2756">
        <v>0</v>
      </c>
      <c r="G135" s="2756">
        <v>0</v>
      </c>
      <c r="H135" s="2756">
        <v>0</v>
      </c>
      <c r="I135" s="2756">
        <v>0</v>
      </c>
      <c r="J135" s="2756">
        <v>0</v>
      </c>
      <c r="K135" s="2756">
        <v>0</v>
      </c>
      <c r="L135" s="2756">
        <v>0</v>
      </c>
      <c r="M135" s="2756">
        <v>4466</v>
      </c>
      <c r="N135" s="3329">
        <v>0</v>
      </c>
      <c r="O135" s="3329">
        <v>0</v>
      </c>
      <c r="P135" s="2756">
        <v>6156</v>
      </c>
      <c r="Q135" s="2756">
        <v>0</v>
      </c>
      <c r="R135" s="2756">
        <v>0</v>
      </c>
    </row>
    <row r="136" spans="1:18" ht="25.8" hidden="1" customHeight="1">
      <c r="A136" s="2756"/>
      <c r="B136" s="2755" t="s">
        <v>613</v>
      </c>
      <c r="C136" s="2757">
        <f t="shared" si="2"/>
        <v>6457</v>
      </c>
      <c r="D136" s="2756">
        <v>301</v>
      </c>
      <c r="E136" s="2756"/>
      <c r="F136" s="2756"/>
      <c r="G136" s="2756"/>
      <c r="H136" s="2756"/>
      <c r="I136" s="2756"/>
      <c r="J136" s="2756"/>
      <c r="K136" s="2756"/>
      <c r="L136" s="2756"/>
      <c r="M136" s="2756"/>
      <c r="N136" s="3329"/>
      <c r="O136" s="3329"/>
      <c r="P136" s="2756">
        <v>6156</v>
      </c>
      <c r="Q136" s="2756"/>
      <c r="R136" s="2756">
        <v>0</v>
      </c>
    </row>
    <row r="137" spans="1:18" ht="25.8" hidden="1" customHeight="1">
      <c r="A137" s="2756"/>
      <c r="B137" s="2755" t="s">
        <v>614</v>
      </c>
      <c r="C137" s="2757">
        <f t="shared" si="2"/>
        <v>0</v>
      </c>
      <c r="D137" s="2756">
        <v>0</v>
      </c>
      <c r="E137" s="2756">
        <v>0</v>
      </c>
      <c r="F137" s="2756">
        <v>0</v>
      </c>
      <c r="G137" s="2756">
        <v>0</v>
      </c>
      <c r="H137" s="2756">
        <v>0</v>
      </c>
      <c r="I137" s="2756">
        <v>0</v>
      </c>
      <c r="J137" s="2756">
        <v>0</v>
      </c>
      <c r="K137" s="2756">
        <v>0</v>
      </c>
      <c r="L137" s="2756">
        <v>0</v>
      </c>
      <c r="M137" s="2756">
        <v>0</v>
      </c>
      <c r="N137" s="3329">
        <v>0</v>
      </c>
      <c r="O137" s="3329">
        <v>0</v>
      </c>
      <c r="P137" s="2756">
        <v>0</v>
      </c>
      <c r="Q137" s="2756"/>
      <c r="R137" s="2756">
        <v>0</v>
      </c>
    </row>
    <row r="138" spans="1:18" ht="25.8" hidden="1" customHeight="1">
      <c r="A138" s="2756"/>
      <c r="B138" s="2755" t="s">
        <v>778</v>
      </c>
      <c r="C138" s="2757">
        <f t="shared" si="2"/>
        <v>4486</v>
      </c>
      <c r="D138" s="2756">
        <v>20</v>
      </c>
      <c r="E138" s="2756">
        <v>0</v>
      </c>
      <c r="F138" s="2756">
        <v>0</v>
      </c>
      <c r="G138" s="2756">
        <v>0</v>
      </c>
      <c r="H138" s="2756">
        <v>0</v>
      </c>
      <c r="I138" s="2756">
        <v>0</v>
      </c>
      <c r="J138" s="2756">
        <v>0</v>
      </c>
      <c r="K138" s="2756">
        <v>0</v>
      </c>
      <c r="L138" s="2756">
        <v>0</v>
      </c>
      <c r="M138" s="2756">
        <v>4466</v>
      </c>
      <c r="N138" s="3329">
        <v>0</v>
      </c>
      <c r="O138" s="3329">
        <v>0</v>
      </c>
      <c r="P138" s="2756">
        <v>0</v>
      </c>
      <c r="Q138" s="2756">
        <v>0</v>
      </c>
      <c r="R138" s="2756">
        <v>0</v>
      </c>
    </row>
    <row r="139" spans="1:18" ht="25.8" hidden="1" customHeight="1">
      <c r="A139" s="2756"/>
      <c r="B139" s="2755" t="s">
        <v>779</v>
      </c>
      <c r="C139" s="2757">
        <f t="shared" si="2"/>
        <v>0</v>
      </c>
      <c r="D139" s="2756">
        <v>0</v>
      </c>
      <c r="E139" s="2756">
        <v>0</v>
      </c>
      <c r="F139" s="2756">
        <v>0</v>
      </c>
      <c r="G139" s="2756">
        <v>0</v>
      </c>
      <c r="H139" s="2756">
        <v>0</v>
      </c>
      <c r="I139" s="2756">
        <v>0</v>
      </c>
      <c r="J139" s="2756">
        <v>0</v>
      </c>
      <c r="K139" s="2756">
        <v>0</v>
      </c>
      <c r="L139" s="2756">
        <v>0</v>
      </c>
      <c r="M139" s="2756">
        <v>0</v>
      </c>
      <c r="N139" s="3329">
        <v>0</v>
      </c>
      <c r="O139" s="3329">
        <v>0</v>
      </c>
      <c r="P139" s="2756">
        <v>0</v>
      </c>
      <c r="Q139" s="2756">
        <v>0</v>
      </c>
      <c r="R139" s="2756">
        <v>0</v>
      </c>
    </row>
    <row r="140" spans="1:18" ht="25.8" customHeight="1">
      <c r="A140" s="2756">
        <v>24</v>
      </c>
      <c r="B140" s="2755" t="s">
        <v>615</v>
      </c>
      <c r="C140" s="2757">
        <f t="shared" si="2"/>
        <v>11317</v>
      </c>
      <c r="D140" s="2756">
        <v>137</v>
      </c>
      <c r="E140" s="2756">
        <v>0</v>
      </c>
      <c r="F140" s="2756">
        <v>0</v>
      </c>
      <c r="G140" s="2756">
        <v>0</v>
      </c>
      <c r="H140" s="2756">
        <v>0</v>
      </c>
      <c r="I140" s="2756">
        <v>0</v>
      </c>
      <c r="J140" s="2756">
        <v>0</v>
      </c>
      <c r="K140" s="2756">
        <v>0</v>
      </c>
      <c r="L140" s="2756">
        <v>0</v>
      </c>
      <c r="M140" s="2756">
        <v>0</v>
      </c>
      <c r="N140" s="3329">
        <v>0</v>
      </c>
      <c r="O140" s="3329">
        <v>0</v>
      </c>
      <c r="P140" s="2756">
        <v>11180</v>
      </c>
      <c r="Q140" s="2756">
        <v>0</v>
      </c>
      <c r="R140" s="2756">
        <v>0</v>
      </c>
    </row>
    <row r="141" spans="1:18" ht="25.8" hidden="1" customHeight="1">
      <c r="A141" s="2756"/>
      <c r="B141" s="2755" t="s">
        <v>616</v>
      </c>
      <c r="C141" s="2757">
        <f t="shared" si="2"/>
        <v>8304</v>
      </c>
      <c r="D141" s="2756">
        <v>117</v>
      </c>
      <c r="E141" s="2756">
        <v>0</v>
      </c>
      <c r="F141" s="2756">
        <v>0</v>
      </c>
      <c r="G141" s="2756">
        <v>0</v>
      </c>
      <c r="H141" s="2756">
        <v>0</v>
      </c>
      <c r="I141" s="2756">
        <v>0</v>
      </c>
      <c r="J141" s="2756">
        <v>0</v>
      </c>
      <c r="K141" s="2756">
        <v>0</v>
      </c>
      <c r="L141" s="2756">
        <v>0</v>
      </c>
      <c r="M141" s="2756">
        <v>0</v>
      </c>
      <c r="N141" s="3329">
        <v>0</v>
      </c>
      <c r="O141" s="3329">
        <v>0</v>
      </c>
      <c r="P141" s="2756">
        <v>8187</v>
      </c>
      <c r="Q141" s="2756">
        <v>0</v>
      </c>
      <c r="R141" s="2756">
        <v>0</v>
      </c>
    </row>
    <row r="142" spans="1:18" ht="25.8" hidden="1" customHeight="1">
      <c r="A142" s="2756"/>
      <c r="B142" s="2755" t="s">
        <v>617</v>
      </c>
      <c r="C142" s="2757">
        <f t="shared" si="2"/>
        <v>3013</v>
      </c>
      <c r="D142" s="2756">
        <v>20</v>
      </c>
      <c r="E142" s="2756">
        <v>0</v>
      </c>
      <c r="F142" s="2756">
        <v>0</v>
      </c>
      <c r="G142" s="2756">
        <v>0</v>
      </c>
      <c r="H142" s="2756">
        <v>0</v>
      </c>
      <c r="I142" s="2756">
        <v>0</v>
      </c>
      <c r="J142" s="2756">
        <v>0</v>
      </c>
      <c r="K142" s="2756">
        <v>0</v>
      </c>
      <c r="L142" s="2756">
        <v>0</v>
      </c>
      <c r="M142" s="2756">
        <v>0</v>
      </c>
      <c r="N142" s="3329">
        <v>0</v>
      </c>
      <c r="O142" s="3329">
        <v>0</v>
      </c>
      <c r="P142" s="2756">
        <v>2993</v>
      </c>
      <c r="Q142" s="2756">
        <v>0</v>
      </c>
      <c r="R142" s="2756">
        <v>0</v>
      </c>
    </row>
    <row r="143" spans="1:18" ht="25.8" hidden="1" customHeight="1">
      <c r="A143" s="2756"/>
      <c r="B143" s="2755" t="s">
        <v>780</v>
      </c>
      <c r="C143" s="2757">
        <f t="shared" si="2"/>
        <v>0</v>
      </c>
      <c r="D143" s="2756">
        <v>0</v>
      </c>
      <c r="E143" s="2756">
        <v>0</v>
      </c>
      <c r="F143" s="2756">
        <v>0</v>
      </c>
      <c r="G143" s="2756">
        <v>0</v>
      </c>
      <c r="H143" s="2756">
        <v>0</v>
      </c>
      <c r="I143" s="2756">
        <v>0</v>
      </c>
      <c r="J143" s="2756">
        <v>0</v>
      </c>
      <c r="K143" s="2756">
        <v>0</v>
      </c>
      <c r="L143" s="2756">
        <v>0</v>
      </c>
      <c r="M143" s="2756">
        <v>0</v>
      </c>
      <c r="N143" s="3329">
        <v>0</v>
      </c>
      <c r="O143" s="3329">
        <v>0</v>
      </c>
      <c r="P143" s="2756">
        <v>0</v>
      </c>
      <c r="Q143" s="2756">
        <v>0</v>
      </c>
      <c r="R143" s="2756">
        <v>0</v>
      </c>
    </row>
    <row r="144" spans="1:18" ht="25.8" customHeight="1">
      <c r="A144" s="2756">
        <v>25</v>
      </c>
      <c r="B144" s="2755" t="s">
        <v>618</v>
      </c>
      <c r="C144" s="2757">
        <f t="shared" si="2"/>
        <v>8468</v>
      </c>
      <c r="D144" s="2756">
        <v>550</v>
      </c>
      <c r="E144" s="2756">
        <v>0</v>
      </c>
      <c r="F144" s="2756">
        <v>0</v>
      </c>
      <c r="G144" s="2756">
        <v>0</v>
      </c>
      <c r="H144" s="2756">
        <v>0</v>
      </c>
      <c r="I144" s="2756">
        <v>0</v>
      </c>
      <c r="J144" s="2756">
        <v>0</v>
      </c>
      <c r="K144" s="2756">
        <v>0</v>
      </c>
      <c r="L144" s="2756">
        <v>0</v>
      </c>
      <c r="M144" s="2756">
        <v>0</v>
      </c>
      <c r="N144" s="3329">
        <v>0</v>
      </c>
      <c r="O144" s="3329">
        <v>0</v>
      </c>
      <c r="P144" s="2756">
        <v>7918</v>
      </c>
      <c r="Q144" s="2756">
        <v>0</v>
      </c>
      <c r="R144" s="2756">
        <v>0</v>
      </c>
    </row>
    <row r="145" spans="1:18" ht="25.8" customHeight="1">
      <c r="A145" s="2756">
        <v>26</v>
      </c>
      <c r="B145" s="2755" t="s">
        <v>619</v>
      </c>
      <c r="C145" s="2757">
        <f t="shared" ref="C145:C193" si="3">SUM(D145,E145,F145,G145,H145,I145,J145,K145,L145,M145,P145,Q145,R145)</f>
        <v>11043</v>
      </c>
      <c r="D145" s="2756">
        <v>66</v>
      </c>
      <c r="E145" s="2756">
        <v>0</v>
      </c>
      <c r="F145" s="2756">
        <v>0</v>
      </c>
      <c r="G145" s="2756">
        <v>0</v>
      </c>
      <c r="H145" s="2756">
        <v>0</v>
      </c>
      <c r="I145" s="2756">
        <v>0</v>
      </c>
      <c r="J145" s="2756">
        <v>0</v>
      </c>
      <c r="K145" s="2756">
        <v>0</v>
      </c>
      <c r="L145" s="2756">
        <v>1488</v>
      </c>
      <c r="M145" s="2756">
        <v>2188</v>
      </c>
      <c r="N145" s="3329">
        <v>0</v>
      </c>
      <c r="O145" s="3329">
        <v>0</v>
      </c>
      <c r="P145" s="2756">
        <v>7301</v>
      </c>
      <c r="Q145" s="2756">
        <v>0</v>
      </c>
      <c r="R145" s="2756">
        <v>0</v>
      </c>
    </row>
    <row r="146" spans="1:18" ht="25.8" hidden="1" customHeight="1">
      <c r="A146" s="2756"/>
      <c r="B146" s="2755" t="s">
        <v>781</v>
      </c>
      <c r="C146" s="2757">
        <f t="shared" si="3"/>
        <v>7367</v>
      </c>
      <c r="D146" s="2756">
        <v>66</v>
      </c>
      <c r="E146" s="2756">
        <v>0</v>
      </c>
      <c r="F146" s="2756">
        <v>0</v>
      </c>
      <c r="G146" s="2756">
        <v>0</v>
      </c>
      <c r="H146" s="2756">
        <v>0</v>
      </c>
      <c r="I146" s="2756">
        <v>0</v>
      </c>
      <c r="J146" s="2756">
        <v>0</v>
      </c>
      <c r="K146" s="2756">
        <v>0</v>
      </c>
      <c r="L146" s="2756">
        <v>0</v>
      </c>
      <c r="M146" s="2756">
        <v>0</v>
      </c>
      <c r="N146" s="3329">
        <v>0</v>
      </c>
      <c r="O146" s="3329">
        <v>0</v>
      </c>
      <c r="P146" s="2756">
        <v>7301</v>
      </c>
      <c r="Q146" s="2756">
        <v>0</v>
      </c>
      <c r="R146" s="2756">
        <v>0</v>
      </c>
    </row>
    <row r="147" spans="1:18" ht="25.8" hidden="1" customHeight="1">
      <c r="A147" s="2756"/>
      <c r="B147" s="2755" t="s">
        <v>782</v>
      </c>
      <c r="C147" s="2757">
        <f t="shared" si="3"/>
        <v>3676</v>
      </c>
      <c r="D147" s="2756">
        <v>0</v>
      </c>
      <c r="E147" s="2756">
        <v>0</v>
      </c>
      <c r="F147" s="2756">
        <v>0</v>
      </c>
      <c r="G147" s="2756">
        <v>0</v>
      </c>
      <c r="H147" s="2756">
        <v>0</v>
      </c>
      <c r="I147" s="2756">
        <v>0</v>
      </c>
      <c r="J147" s="2756">
        <v>0</v>
      </c>
      <c r="K147" s="2756">
        <v>0</v>
      </c>
      <c r="L147" s="2756">
        <v>1488</v>
      </c>
      <c r="M147" s="2756">
        <v>2188</v>
      </c>
      <c r="N147" s="3329">
        <v>0</v>
      </c>
      <c r="O147" s="3329">
        <v>0</v>
      </c>
      <c r="P147" s="2756">
        <v>0</v>
      </c>
      <c r="Q147" s="2756">
        <v>0</v>
      </c>
      <c r="R147" s="2756">
        <v>0</v>
      </c>
    </row>
    <row r="148" spans="1:18" ht="25.8" customHeight="1">
      <c r="A148" s="2756">
        <v>27</v>
      </c>
      <c r="B148" s="2755" t="s">
        <v>629</v>
      </c>
      <c r="C148" s="2757">
        <f t="shared" si="3"/>
        <v>8244</v>
      </c>
      <c r="D148" s="2756">
        <v>723</v>
      </c>
      <c r="E148" s="2756">
        <v>0</v>
      </c>
      <c r="F148" s="2756">
        <v>0</v>
      </c>
      <c r="G148" s="2756">
        <v>0</v>
      </c>
      <c r="H148" s="2756">
        <v>0</v>
      </c>
      <c r="I148" s="2756">
        <v>0</v>
      </c>
      <c r="J148" s="2756">
        <v>0</v>
      </c>
      <c r="K148" s="2756">
        <v>0</v>
      </c>
      <c r="L148" s="2756">
        <v>150</v>
      </c>
      <c r="M148" s="2756">
        <v>0</v>
      </c>
      <c r="N148" s="3329">
        <v>0</v>
      </c>
      <c r="O148" s="3329">
        <v>0</v>
      </c>
      <c r="P148" s="2756">
        <v>7371</v>
      </c>
      <c r="Q148" s="2756">
        <v>0</v>
      </c>
      <c r="R148" s="2756">
        <v>0</v>
      </c>
    </row>
    <row r="149" spans="1:18" ht="25.8" hidden="1" customHeight="1">
      <c r="A149" s="2756"/>
      <c r="B149" s="2755" t="s">
        <v>630</v>
      </c>
      <c r="C149" s="2757">
        <f t="shared" si="3"/>
        <v>6302</v>
      </c>
      <c r="D149" s="2756">
        <v>599</v>
      </c>
      <c r="E149" s="2756">
        <v>0</v>
      </c>
      <c r="F149" s="2756">
        <v>0</v>
      </c>
      <c r="G149" s="2756">
        <v>0</v>
      </c>
      <c r="H149" s="2756">
        <v>0</v>
      </c>
      <c r="I149" s="2756">
        <v>0</v>
      </c>
      <c r="J149" s="2756">
        <v>0</v>
      </c>
      <c r="K149" s="2756">
        <v>0</v>
      </c>
      <c r="L149" s="2756">
        <v>150</v>
      </c>
      <c r="M149" s="2756">
        <v>0</v>
      </c>
      <c r="N149" s="3329">
        <v>0</v>
      </c>
      <c r="O149" s="3329">
        <v>0</v>
      </c>
      <c r="P149" s="2756">
        <v>5553</v>
      </c>
      <c r="Q149" s="2756">
        <v>0</v>
      </c>
      <c r="R149" s="2756">
        <v>0</v>
      </c>
    </row>
    <row r="150" spans="1:18" ht="25.8" hidden="1" customHeight="1">
      <c r="A150" s="2756"/>
      <c r="B150" s="2755" t="s">
        <v>631</v>
      </c>
      <c r="C150" s="2757">
        <f t="shared" si="3"/>
        <v>1942</v>
      </c>
      <c r="D150" s="2756">
        <v>124</v>
      </c>
      <c r="E150" s="2756">
        <v>0</v>
      </c>
      <c r="F150" s="2756">
        <v>0</v>
      </c>
      <c r="G150" s="2756">
        <v>0</v>
      </c>
      <c r="H150" s="2756">
        <v>0</v>
      </c>
      <c r="I150" s="2756">
        <v>0</v>
      </c>
      <c r="J150" s="2756">
        <v>0</v>
      </c>
      <c r="K150" s="2756">
        <v>0</v>
      </c>
      <c r="L150" s="2756">
        <v>0</v>
      </c>
      <c r="M150" s="2756">
        <v>0</v>
      </c>
      <c r="N150" s="3329">
        <v>0</v>
      </c>
      <c r="O150" s="3329">
        <v>0</v>
      </c>
      <c r="P150" s="2756">
        <v>1818</v>
      </c>
      <c r="Q150" s="2756">
        <v>0</v>
      </c>
      <c r="R150" s="2756">
        <v>0</v>
      </c>
    </row>
    <row r="151" spans="1:18" ht="25.8" customHeight="1">
      <c r="A151" s="2756">
        <v>28</v>
      </c>
      <c r="B151" s="2755" t="s">
        <v>632</v>
      </c>
      <c r="C151" s="2757">
        <f t="shared" si="3"/>
        <v>9478</v>
      </c>
      <c r="D151" s="2756">
        <v>1515</v>
      </c>
      <c r="E151" s="2756">
        <v>0</v>
      </c>
      <c r="F151" s="2756">
        <v>0</v>
      </c>
      <c r="G151" s="2756">
        <v>0</v>
      </c>
      <c r="H151" s="2756">
        <v>0</v>
      </c>
      <c r="I151" s="2756">
        <v>0</v>
      </c>
      <c r="J151" s="2756">
        <v>0</v>
      </c>
      <c r="K151" s="2756">
        <v>0</v>
      </c>
      <c r="L151" s="2756">
        <v>121</v>
      </c>
      <c r="M151" s="2756">
        <v>0</v>
      </c>
      <c r="N151" s="3329">
        <v>0</v>
      </c>
      <c r="O151" s="3329">
        <v>0</v>
      </c>
      <c r="P151" s="2756">
        <v>7842</v>
      </c>
      <c r="Q151" s="2756">
        <v>0</v>
      </c>
      <c r="R151" s="2756">
        <v>0</v>
      </c>
    </row>
    <row r="152" spans="1:18" ht="25.8" hidden="1" customHeight="1">
      <c r="A152" s="2756"/>
      <c r="B152" s="2755" t="s">
        <v>783</v>
      </c>
      <c r="C152" s="2757">
        <f t="shared" si="3"/>
        <v>8119</v>
      </c>
      <c r="D152" s="2756">
        <v>1035</v>
      </c>
      <c r="E152" s="2756"/>
      <c r="F152" s="2756"/>
      <c r="G152" s="2756"/>
      <c r="H152" s="2756"/>
      <c r="I152" s="2756"/>
      <c r="J152" s="2756"/>
      <c r="K152" s="2756"/>
      <c r="L152" s="2756">
        <v>121</v>
      </c>
      <c r="M152" s="2756"/>
      <c r="N152" s="3329"/>
      <c r="O152" s="3329"/>
      <c r="P152" s="2756">
        <v>6963</v>
      </c>
      <c r="Q152" s="2756"/>
      <c r="R152" s="2756"/>
    </row>
    <row r="153" spans="1:18" ht="25.8" hidden="1" customHeight="1">
      <c r="A153" s="2756"/>
      <c r="B153" s="2755" t="s">
        <v>784</v>
      </c>
      <c r="C153" s="2757">
        <f t="shared" si="3"/>
        <v>1359</v>
      </c>
      <c r="D153" s="2756">
        <v>480</v>
      </c>
      <c r="E153" s="2756"/>
      <c r="F153" s="2756"/>
      <c r="G153" s="2756"/>
      <c r="H153" s="2756"/>
      <c r="I153" s="2756"/>
      <c r="J153" s="2756"/>
      <c r="K153" s="2756"/>
      <c r="L153" s="2756"/>
      <c r="M153" s="2756"/>
      <c r="N153" s="3329"/>
      <c r="O153" s="3329"/>
      <c r="P153" s="2756">
        <v>879</v>
      </c>
      <c r="Q153" s="2756"/>
      <c r="R153" s="2756"/>
    </row>
    <row r="154" spans="1:18" ht="25.8" customHeight="1">
      <c r="A154" s="2756">
        <v>29</v>
      </c>
      <c r="B154" s="2755" t="s">
        <v>633</v>
      </c>
      <c r="C154" s="2757">
        <f t="shared" si="3"/>
        <v>4748</v>
      </c>
      <c r="D154" s="2756">
        <v>397</v>
      </c>
      <c r="E154" s="2756">
        <v>0</v>
      </c>
      <c r="F154" s="2756">
        <v>0</v>
      </c>
      <c r="G154" s="2756">
        <v>0</v>
      </c>
      <c r="H154" s="2756">
        <v>0</v>
      </c>
      <c r="I154" s="2756">
        <v>0</v>
      </c>
      <c r="J154" s="2756">
        <v>0</v>
      </c>
      <c r="K154" s="2756">
        <v>0</v>
      </c>
      <c r="L154" s="2756">
        <v>137</v>
      </c>
      <c r="M154" s="2756">
        <v>0</v>
      </c>
      <c r="N154" s="3329">
        <v>0</v>
      </c>
      <c r="O154" s="3329">
        <v>0</v>
      </c>
      <c r="P154" s="2756">
        <v>4214</v>
      </c>
      <c r="Q154" s="2756">
        <v>0</v>
      </c>
      <c r="R154" s="2756">
        <v>0</v>
      </c>
    </row>
    <row r="155" spans="1:18" ht="25.8" hidden="1" customHeight="1">
      <c r="A155" s="2756"/>
      <c r="B155" s="2755" t="s">
        <v>785</v>
      </c>
      <c r="C155" s="2757">
        <f t="shared" si="3"/>
        <v>4748</v>
      </c>
      <c r="D155" s="2756">
        <v>397</v>
      </c>
      <c r="E155" s="2756">
        <v>0</v>
      </c>
      <c r="F155" s="2756">
        <v>0</v>
      </c>
      <c r="G155" s="2756">
        <v>0</v>
      </c>
      <c r="H155" s="2756">
        <v>0</v>
      </c>
      <c r="I155" s="2756">
        <v>0</v>
      </c>
      <c r="J155" s="2756">
        <v>0</v>
      </c>
      <c r="K155" s="2756">
        <v>0</v>
      </c>
      <c r="L155" s="2756">
        <v>137</v>
      </c>
      <c r="M155" s="2756">
        <v>0</v>
      </c>
      <c r="N155" s="3329">
        <v>0</v>
      </c>
      <c r="O155" s="3329">
        <v>0</v>
      </c>
      <c r="P155" s="2756">
        <v>4214</v>
      </c>
      <c r="Q155" s="2756"/>
      <c r="R155" s="2756"/>
    </row>
    <row r="156" spans="1:18" ht="25.8" hidden="1" customHeight="1">
      <c r="A156" s="2756"/>
      <c r="B156" s="2755" t="s">
        <v>786</v>
      </c>
      <c r="C156" s="2757">
        <f t="shared" si="3"/>
        <v>0</v>
      </c>
      <c r="D156" s="2756">
        <v>0</v>
      </c>
      <c r="E156" s="2756">
        <v>0</v>
      </c>
      <c r="F156" s="2756">
        <v>0</v>
      </c>
      <c r="G156" s="2756">
        <v>0</v>
      </c>
      <c r="H156" s="2756">
        <v>0</v>
      </c>
      <c r="I156" s="2756">
        <v>0</v>
      </c>
      <c r="J156" s="2756">
        <v>0</v>
      </c>
      <c r="K156" s="2756">
        <v>0</v>
      </c>
      <c r="L156" s="2756">
        <v>0</v>
      </c>
      <c r="M156" s="2756">
        <v>0</v>
      </c>
      <c r="N156" s="3329">
        <v>0</v>
      </c>
      <c r="O156" s="3329">
        <v>0</v>
      </c>
      <c r="P156" s="2756">
        <v>0</v>
      </c>
      <c r="Q156" s="2756">
        <v>0</v>
      </c>
      <c r="R156" s="2756">
        <v>0</v>
      </c>
    </row>
    <row r="157" spans="1:18" ht="25.8" hidden="1" customHeight="1">
      <c r="A157" s="2756"/>
      <c r="B157" s="2755" t="s">
        <v>787</v>
      </c>
      <c r="C157" s="2757">
        <f t="shared" si="3"/>
        <v>1000</v>
      </c>
      <c r="D157" s="2756">
        <v>0</v>
      </c>
      <c r="E157" s="2756">
        <v>0</v>
      </c>
      <c r="F157" s="2756">
        <v>0</v>
      </c>
      <c r="G157" s="2756">
        <v>0</v>
      </c>
      <c r="H157" s="2756">
        <v>0</v>
      </c>
      <c r="I157" s="2756">
        <v>0</v>
      </c>
      <c r="J157" s="2756">
        <v>0</v>
      </c>
      <c r="K157" s="2756">
        <v>0</v>
      </c>
      <c r="L157" s="2756">
        <v>0</v>
      </c>
      <c r="M157" s="2756">
        <v>0</v>
      </c>
      <c r="N157" s="3329">
        <v>0</v>
      </c>
      <c r="O157" s="3329">
        <v>0</v>
      </c>
      <c r="P157" s="2756">
        <v>1000</v>
      </c>
      <c r="Q157" s="2756">
        <v>0</v>
      </c>
      <c r="R157" s="2756">
        <v>0</v>
      </c>
    </row>
    <row r="158" spans="1:18" ht="25.8" customHeight="1">
      <c r="A158" s="2756">
        <v>30</v>
      </c>
      <c r="B158" s="2755" t="s">
        <v>637</v>
      </c>
      <c r="C158" s="2757">
        <f t="shared" si="3"/>
        <v>5064</v>
      </c>
      <c r="D158" s="2756">
        <v>438</v>
      </c>
      <c r="E158" s="2756">
        <v>0</v>
      </c>
      <c r="F158" s="2756">
        <v>0</v>
      </c>
      <c r="G158" s="2756">
        <v>0</v>
      </c>
      <c r="H158" s="2756">
        <v>0</v>
      </c>
      <c r="I158" s="2756">
        <v>0</v>
      </c>
      <c r="J158" s="2756">
        <v>0</v>
      </c>
      <c r="K158" s="2756">
        <v>0</v>
      </c>
      <c r="L158" s="2756">
        <v>247</v>
      </c>
      <c r="M158" s="2756">
        <v>0</v>
      </c>
      <c r="N158" s="3329">
        <v>0</v>
      </c>
      <c r="O158" s="3329">
        <v>0</v>
      </c>
      <c r="P158" s="2756">
        <v>4336</v>
      </c>
      <c r="Q158" s="2756">
        <v>0</v>
      </c>
      <c r="R158" s="2756">
        <v>43</v>
      </c>
    </row>
    <row r="159" spans="1:18" ht="25.8" hidden="1" customHeight="1">
      <c r="A159" s="2756"/>
      <c r="B159" s="2755" t="s">
        <v>788</v>
      </c>
      <c r="C159" s="2757">
        <f t="shared" si="3"/>
        <v>5064</v>
      </c>
      <c r="D159" s="2756">
        <v>438</v>
      </c>
      <c r="E159" s="2756">
        <v>0</v>
      </c>
      <c r="F159" s="2756">
        <v>0</v>
      </c>
      <c r="G159" s="2756">
        <v>0</v>
      </c>
      <c r="H159" s="2756">
        <v>0</v>
      </c>
      <c r="I159" s="2756">
        <v>0</v>
      </c>
      <c r="J159" s="2756">
        <v>0</v>
      </c>
      <c r="K159" s="2756">
        <v>0</v>
      </c>
      <c r="L159" s="2756">
        <v>247</v>
      </c>
      <c r="M159" s="2756">
        <v>0</v>
      </c>
      <c r="N159" s="3329">
        <v>0</v>
      </c>
      <c r="O159" s="3329">
        <v>0</v>
      </c>
      <c r="P159" s="2756">
        <v>4336</v>
      </c>
      <c r="Q159" s="2756">
        <v>0</v>
      </c>
      <c r="R159" s="2756">
        <v>43</v>
      </c>
    </row>
    <row r="160" spans="1:18" ht="25.8" hidden="1" customHeight="1">
      <c r="A160" s="2756"/>
      <c r="B160" s="2755" t="s">
        <v>786</v>
      </c>
      <c r="C160" s="2757">
        <f t="shared" si="3"/>
        <v>0</v>
      </c>
      <c r="D160" s="2756">
        <v>0</v>
      </c>
      <c r="E160" s="2756">
        <v>0</v>
      </c>
      <c r="F160" s="2756">
        <v>0</v>
      </c>
      <c r="G160" s="2756">
        <v>0</v>
      </c>
      <c r="H160" s="2756">
        <v>0</v>
      </c>
      <c r="I160" s="2756">
        <v>0</v>
      </c>
      <c r="J160" s="2756">
        <v>0</v>
      </c>
      <c r="K160" s="2756">
        <v>0</v>
      </c>
      <c r="L160" s="2756">
        <v>0</v>
      </c>
      <c r="M160" s="2756">
        <v>0</v>
      </c>
      <c r="N160" s="3329">
        <v>0</v>
      </c>
      <c r="O160" s="3329">
        <v>0</v>
      </c>
      <c r="P160" s="2756">
        <v>0</v>
      </c>
      <c r="Q160" s="2756">
        <v>0</v>
      </c>
      <c r="R160" s="2756">
        <v>0</v>
      </c>
    </row>
    <row r="161" spans="1:18" ht="25.8" customHeight="1">
      <c r="A161" s="2756">
        <v>31</v>
      </c>
      <c r="B161" s="2755" t="s">
        <v>638</v>
      </c>
      <c r="C161" s="2757">
        <f t="shared" si="3"/>
        <v>3129</v>
      </c>
      <c r="D161" s="2756">
        <v>92</v>
      </c>
      <c r="E161" s="2756">
        <v>0</v>
      </c>
      <c r="F161" s="2756">
        <v>0</v>
      </c>
      <c r="G161" s="2756">
        <v>0</v>
      </c>
      <c r="H161" s="2756">
        <v>0</v>
      </c>
      <c r="I161" s="2756">
        <v>0</v>
      </c>
      <c r="J161" s="2756">
        <v>0</v>
      </c>
      <c r="K161" s="2756">
        <v>0</v>
      </c>
      <c r="L161" s="2756">
        <v>0</v>
      </c>
      <c r="M161" s="2756">
        <v>0</v>
      </c>
      <c r="N161" s="3329">
        <v>0</v>
      </c>
      <c r="O161" s="3329">
        <v>0</v>
      </c>
      <c r="P161" s="2756">
        <v>3037</v>
      </c>
      <c r="Q161" s="2756">
        <v>0</v>
      </c>
      <c r="R161" s="2756">
        <v>0</v>
      </c>
    </row>
    <row r="162" spans="1:18" ht="25.8" customHeight="1">
      <c r="A162" s="2756">
        <v>32</v>
      </c>
      <c r="B162" s="2755" t="s">
        <v>645</v>
      </c>
      <c r="C162" s="2757">
        <f t="shared" si="3"/>
        <v>2565</v>
      </c>
      <c r="D162" s="2756">
        <v>517</v>
      </c>
      <c r="E162" s="2756">
        <v>0</v>
      </c>
      <c r="F162" s="2756">
        <v>0</v>
      </c>
      <c r="G162" s="2756">
        <v>0</v>
      </c>
      <c r="H162" s="2756">
        <v>0</v>
      </c>
      <c r="I162" s="2756">
        <v>0</v>
      </c>
      <c r="J162" s="2756">
        <v>0</v>
      </c>
      <c r="K162" s="2756">
        <v>0</v>
      </c>
      <c r="L162" s="2756">
        <v>0</v>
      </c>
      <c r="M162" s="2756">
        <v>0</v>
      </c>
      <c r="N162" s="3329">
        <v>0</v>
      </c>
      <c r="O162" s="3329">
        <v>0</v>
      </c>
      <c r="P162" s="2756">
        <v>2048</v>
      </c>
      <c r="Q162" s="2756">
        <v>0</v>
      </c>
      <c r="R162" s="2756"/>
    </row>
    <row r="163" spans="1:18" ht="25.8" hidden="1" customHeight="1">
      <c r="A163" s="2756"/>
      <c r="B163" s="2755" t="s">
        <v>646</v>
      </c>
      <c r="C163" s="2757">
        <f t="shared" si="3"/>
        <v>0</v>
      </c>
      <c r="D163" s="2756">
        <v>0</v>
      </c>
      <c r="E163" s="2756">
        <v>0</v>
      </c>
      <c r="F163" s="2756">
        <v>0</v>
      </c>
      <c r="G163" s="2756">
        <v>0</v>
      </c>
      <c r="H163" s="2756">
        <v>0</v>
      </c>
      <c r="I163" s="2756">
        <v>0</v>
      </c>
      <c r="J163" s="2756">
        <v>0</v>
      </c>
      <c r="K163" s="2756">
        <v>0</v>
      </c>
      <c r="L163" s="2756">
        <v>0</v>
      </c>
      <c r="M163" s="2756">
        <v>0</v>
      </c>
      <c r="N163" s="3329">
        <v>0</v>
      </c>
      <c r="O163" s="3329">
        <v>0</v>
      </c>
      <c r="P163" s="2756">
        <v>0</v>
      </c>
      <c r="Q163" s="2756">
        <v>0</v>
      </c>
      <c r="R163" s="2756">
        <v>0</v>
      </c>
    </row>
    <row r="164" spans="1:18" ht="25.8" customHeight="1">
      <c r="A164" s="2756">
        <v>33</v>
      </c>
      <c r="B164" s="2755" t="s">
        <v>647</v>
      </c>
      <c r="C164" s="2757">
        <f t="shared" si="3"/>
        <v>538</v>
      </c>
      <c r="D164" s="2756">
        <v>0</v>
      </c>
      <c r="E164" s="2756">
        <v>0</v>
      </c>
      <c r="F164" s="2756">
        <v>0</v>
      </c>
      <c r="G164" s="2756">
        <v>0</v>
      </c>
      <c r="H164" s="2756">
        <v>0</v>
      </c>
      <c r="I164" s="2756">
        <v>0</v>
      </c>
      <c r="J164" s="2756">
        <v>0</v>
      </c>
      <c r="K164" s="2756">
        <v>0</v>
      </c>
      <c r="L164" s="2756">
        <v>0</v>
      </c>
      <c r="M164" s="2756">
        <v>0</v>
      </c>
      <c r="N164" s="3329">
        <v>0</v>
      </c>
      <c r="O164" s="3329">
        <v>0</v>
      </c>
      <c r="P164" s="2756">
        <v>538</v>
      </c>
      <c r="Q164" s="2756">
        <v>0</v>
      </c>
      <c r="R164" s="2756"/>
    </row>
    <row r="165" spans="1:18" ht="25.8" customHeight="1">
      <c r="A165" s="2756">
        <v>34</v>
      </c>
      <c r="B165" s="2755" t="s">
        <v>657</v>
      </c>
      <c r="C165" s="2757">
        <f t="shared" si="3"/>
        <v>1580</v>
      </c>
      <c r="D165" s="2756">
        <v>0</v>
      </c>
      <c r="E165" s="2756">
        <v>0</v>
      </c>
      <c r="F165" s="2756">
        <v>0</v>
      </c>
      <c r="G165" s="2756">
        <v>0</v>
      </c>
      <c r="H165" s="2756">
        <v>0</v>
      </c>
      <c r="I165" s="2756">
        <v>0</v>
      </c>
      <c r="J165" s="2756">
        <v>0</v>
      </c>
      <c r="K165" s="2756">
        <v>0</v>
      </c>
      <c r="L165" s="2756">
        <v>0</v>
      </c>
      <c r="M165" s="2756">
        <v>0</v>
      </c>
      <c r="N165" s="3329">
        <v>0</v>
      </c>
      <c r="O165" s="3329">
        <v>0</v>
      </c>
      <c r="P165" s="2756">
        <v>1580</v>
      </c>
      <c r="Q165" s="2756">
        <v>0</v>
      </c>
      <c r="R165" s="2756"/>
    </row>
    <row r="166" spans="1:18" ht="25.8" customHeight="1">
      <c r="A166" s="2756">
        <v>35</v>
      </c>
      <c r="B166" s="2755" t="s">
        <v>658</v>
      </c>
      <c r="C166" s="2757">
        <f t="shared" si="3"/>
        <v>1626</v>
      </c>
      <c r="D166" s="2756">
        <v>50</v>
      </c>
      <c r="E166" s="2756">
        <v>0</v>
      </c>
      <c r="F166" s="2756">
        <v>0</v>
      </c>
      <c r="G166" s="2756">
        <v>0</v>
      </c>
      <c r="H166" s="2756">
        <v>0</v>
      </c>
      <c r="I166" s="2756">
        <v>0</v>
      </c>
      <c r="J166" s="2756">
        <v>0</v>
      </c>
      <c r="K166" s="2756">
        <v>0</v>
      </c>
      <c r="L166" s="2756">
        <v>0</v>
      </c>
      <c r="M166" s="2756">
        <v>0</v>
      </c>
      <c r="N166" s="3329">
        <v>0</v>
      </c>
      <c r="O166" s="3329">
        <v>0</v>
      </c>
      <c r="P166" s="2756">
        <v>1576</v>
      </c>
      <c r="Q166" s="2756">
        <v>0</v>
      </c>
      <c r="R166" s="2756">
        <v>0</v>
      </c>
    </row>
    <row r="167" spans="1:18" ht="25.8" customHeight="1">
      <c r="A167" s="2756">
        <v>36</v>
      </c>
      <c r="B167" s="2755" t="s">
        <v>659</v>
      </c>
      <c r="C167" s="2757">
        <f t="shared" si="3"/>
        <v>447</v>
      </c>
      <c r="D167" s="2756">
        <v>0</v>
      </c>
      <c r="E167" s="2756">
        <v>0</v>
      </c>
      <c r="F167" s="2756">
        <v>0</v>
      </c>
      <c r="G167" s="2756">
        <v>0</v>
      </c>
      <c r="H167" s="2756">
        <v>0</v>
      </c>
      <c r="I167" s="2756">
        <v>0</v>
      </c>
      <c r="J167" s="2756">
        <v>0</v>
      </c>
      <c r="K167" s="2756">
        <v>0</v>
      </c>
      <c r="L167" s="2756">
        <v>0</v>
      </c>
      <c r="M167" s="2756">
        <v>0</v>
      </c>
      <c r="N167" s="3329">
        <v>0</v>
      </c>
      <c r="O167" s="3329">
        <v>0</v>
      </c>
      <c r="P167" s="2756">
        <v>447</v>
      </c>
      <c r="Q167" s="2756">
        <v>0</v>
      </c>
      <c r="R167" s="2756">
        <v>0</v>
      </c>
    </row>
    <row r="168" spans="1:18" ht="25.8" customHeight="1">
      <c r="A168" s="2756">
        <v>37</v>
      </c>
      <c r="B168" s="2755" t="s">
        <v>660</v>
      </c>
      <c r="C168" s="2757">
        <f t="shared" si="3"/>
        <v>444</v>
      </c>
      <c r="D168" s="2756">
        <v>0</v>
      </c>
      <c r="E168" s="2756">
        <v>0</v>
      </c>
      <c r="F168" s="2756">
        <v>0</v>
      </c>
      <c r="G168" s="2756">
        <v>0</v>
      </c>
      <c r="H168" s="2756">
        <v>0</v>
      </c>
      <c r="I168" s="2756">
        <v>0</v>
      </c>
      <c r="J168" s="2756">
        <v>0</v>
      </c>
      <c r="K168" s="2756">
        <v>0</v>
      </c>
      <c r="L168" s="2756">
        <v>0</v>
      </c>
      <c r="M168" s="2756">
        <v>0</v>
      </c>
      <c r="N168" s="3329">
        <v>0</v>
      </c>
      <c r="O168" s="3329">
        <v>0</v>
      </c>
      <c r="P168" s="2756">
        <v>444</v>
      </c>
      <c r="Q168" s="2756">
        <v>0</v>
      </c>
      <c r="R168" s="2756">
        <v>0</v>
      </c>
    </row>
    <row r="169" spans="1:18" ht="25.8" customHeight="1">
      <c r="A169" s="2756">
        <v>38</v>
      </c>
      <c r="B169" s="2755" t="s">
        <v>661</v>
      </c>
      <c r="C169" s="2757">
        <f t="shared" si="3"/>
        <v>1917</v>
      </c>
      <c r="D169" s="2756">
        <v>221</v>
      </c>
      <c r="E169" s="2756">
        <v>0</v>
      </c>
      <c r="F169" s="2756">
        <v>0</v>
      </c>
      <c r="G169" s="2756">
        <v>0</v>
      </c>
      <c r="H169" s="2756">
        <v>0</v>
      </c>
      <c r="I169" s="2756">
        <v>0</v>
      </c>
      <c r="J169" s="2756">
        <v>0</v>
      </c>
      <c r="K169" s="2756">
        <v>0</v>
      </c>
      <c r="L169" s="2756">
        <v>0</v>
      </c>
      <c r="M169" s="2756">
        <v>0</v>
      </c>
      <c r="N169" s="3329">
        <v>0</v>
      </c>
      <c r="O169" s="3329">
        <v>0</v>
      </c>
      <c r="P169" s="2756">
        <v>1696</v>
      </c>
      <c r="Q169" s="2756">
        <v>0</v>
      </c>
      <c r="R169" s="2756">
        <v>0</v>
      </c>
    </row>
    <row r="170" spans="1:18" ht="25.8" customHeight="1">
      <c r="A170" s="2756">
        <v>39</v>
      </c>
      <c r="B170" s="2755" t="s">
        <v>641</v>
      </c>
      <c r="C170" s="2757">
        <f t="shared" si="3"/>
        <v>75859</v>
      </c>
      <c r="D170" s="2756">
        <v>3314</v>
      </c>
      <c r="E170" s="2756">
        <v>0</v>
      </c>
      <c r="F170" s="2756">
        <v>0</v>
      </c>
      <c r="G170" s="2756">
        <v>0</v>
      </c>
      <c r="H170" s="2756">
        <v>0</v>
      </c>
      <c r="I170" s="2756">
        <v>0</v>
      </c>
      <c r="J170" s="2756"/>
      <c r="K170" s="2756">
        <v>0</v>
      </c>
      <c r="L170" s="2756">
        <v>0</v>
      </c>
      <c r="M170" s="2756">
        <v>0</v>
      </c>
      <c r="N170" s="3329">
        <v>0</v>
      </c>
      <c r="O170" s="3329">
        <v>0</v>
      </c>
      <c r="P170" s="2756">
        <v>72545</v>
      </c>
      <c r="Q170" s="2756">
        <v>0</v>
      </c>
      <c r="R170" s="2756">
        <v>0</v>
      </c>
    </row>
    <row r="171" spans="1:18" ht="25.8" customHeight="1">
      <c r="A171" s="2756">
        <v>40</v>
      </c>
      <c r="B171" s="2755" t="s">
        <v>642</v>
      </c>
      <c r="C171" s="2757">
        <f t="shared" si="3"/>
        <v>0</v>
      </c>
      <c r="D171" s="2756">
        <v>0</v>
      </c>
      <c r="E171" s="2756">
        <v>0</v>
      </c>
      <c r="F171" s="2756">
        <v>0</v>
      </c>
      <c r="G171" s="2756">
        <v>0</v>
      </c>
      <c r="H171" s="2756">
        <v>0</v>
      </c>
      <c r="I171" s="2756">
        <v>0</v>
      </c>
      <c r="J171" s="2756">
        <v>0</v>
      </c>
      <c r="K171" s="2756">
        <v>0</v>
      </c>
      <c r="L171" s="2756">
        <v>0</v>
      </c>
      <c r="M171" s="2756">
        <v>0</v>
      </c>
      <c r="N171" s="3329">
        <v>0</v>
      </c>
      <c r="O171" s="3329">
        <v>0</v>
      </c>
      <c r="P171" s="2756">
        <v>0</v>
      </c>
      <c r="Q171" s="2756">
        <v>0</v>
      </c>
      <c r="R171" s="2756">
        <v>0</v>
      </c>
    </row>
    <row r="172" spans="1:18" ht="25.8" customHeight="1">
      <c r="A172" s="2756">
        <v>41</v>
      </c>
      <c r="B172" s="2755" t="s">
        <v>625</v>
      </c>
      <c r="C172" s="2757">
        <f t="shared" si="3"/>
        <v>49249</v>
      </c>
      <c r="D172" s="2756">
        <v>6188</v>
      </c>
      <c r="E172" s="2756">
        <v>0</v>
      </c>
      <c r="F172" s="2756">
        <v>0</v>
      </c>
      <c r="G172" s="2756">
        <v>0</v>
      </c>
      <c r="H172" s="2756">
        <v>0</v>
      </c>
      <c r="I172" s="2756">
        <v>0</v>
      </c>
      <c r="J172" s="2756">
        <v>0</v>
      </c>
      <c r="K172" s="2756">
        <v>0</v>
      </c>
      <c r="L172" s="2756">
        <v>0</v>
      </c>
      <c r="M172" s="2756">
        <v>0</v>
      </c>
      <c r="N172" s="3329">
        <v>0</v>
      </c>
      <c r="O172" s="3329">
        <v>0</v>
      </c>
      <c r="P172" s="2756">
        <v>8144</v>
      </c>
      <c r="Q172" s="2756">
        <v>34917</v>
      </c>
      <c r="R172" s="2756">
        <v>0</v>
      </c>
    </row>
    <row r="173" spans="1:18" ht="25.8" hidden="1" customHeight="1">
      <c r="A173" s="2756"/>
      <c r="B173" s="2755" t="s">
        <v>573</v>
      </c>
      <c r="C173" s="2757">
        <f t="shared" si="3"/>
        <v>20215</v>
      </c>
      <c r="D173" s="2756">
        <v>450</v>
      </c>
      <c r="E173" s="2756">
        <v>0</v>
      </c>
      <c r="F173" s="2756">
        <v>0</v>
      </c>
      <c r="G173" s="2756">
        <v>0</v>
      </c>
      <c r="H173" s="2756">
        <v>0</v>
      </c>
      <c r="I173" s="2756">
        <v>0</v>
      </c>
      <c r="J173" s="2756">
        <v>0</v>
      </c>
      <c r="K173" s="2756">
        <v>0</v>
      </c>
      <c r="L173" s="2756">
        <v>0</v>
      </c>
      <c r="M173" s="2756">
        <v>0</v>
      </c>
      <c r="N173" s="3329">
        <v>0</v>
      </c>
      <c r="O173" s="3329">
        <v>0</v>
      </c>
      <c r="P173" s="2756">
        <v>7019</v>
      </c>
      <c r="Q173" s="2756">
        <v>12746</v>
      </c>
      <c r="R173" s="2756">
        <v>0</v>
      </c>
    </row>
    <row r="174" spans="1:18" ht="25.8" hidden="1" customHeight="1">
      <c r="A174" s="2756"/>
      <c r="B174" s="2755" t="s">
        <v>574</v>
      </c>
      <c r="C174" s="2757">
        <f t="shared" si="3"/>
        <v>452</v>
      </c>
      <c r="D174" s="2756">
        <v>0</v>
      </c>
      <c r="E174" s="2756">
        <v>0</v>
      </c>
      <c r="F174" s="2756">
        <v>0</v>
      </c>
      <c r="G174" s="2756">
        <v>0</v>
      </c>
      <c r="H174" s="2756">
        <v>0</v>
      </c>
      <c r="I174" s="2756">
        <v>0</v>
      </c>
      <c r="J174" s="2756">
        <v>0</v>
      </c>
      <c r="K174" s="2756">
        <v>0</v>
      </c>
      <c r="L174" s="2756">
        <v>0</v>
      </c>
      <c r="M174" s="2756">
        <v>0</v>
      </c>
      <c r="N174" s="3329">
        <v>0</v>
      </c>
      <c r="O174" s="3329">
        <v>0</v>
      </c>
      <c r="P174" s="2756">
        <v>0</v>
      </c>
      <c r="Q174" s="2756">
        <v>452</v>
      </c>
      <c r="R174" s="2756">
        <v>0</v>
      </c>
    </row>
    <row r="175" spans="1:18" ht="25.8" hidden="1" customHeight="1">
      <c r="A175" s="2756"/>
      <c r="B175" s="2755" t="s">
        <v>575</v>
      </c>
      <c r="C175" s="2757">
        <f t="shared" si="3"/>
        <v>6479</v>
      </c>
      <c r="D175" s="2756">
        <v>0</v>
      </c>
      <c r="E175" s="2756">
        <v>0</v>
      </c>
      <c r="F175" s="2756">
        <v>0</v>
      </c>
      <c r="G175" s="2756">
        <v>0</v>
      </c>
      <c r="H175" s="2756">
        <v>0</v>
      </c>
      <c r="I175" s="2756">
        <v>0</v>
      </c>
      <c r="J175" s="2756">
        <v>0</v>
      </c>
      <c r="K175" s="2756">
        <v>0</v>
      </c>
      <c r="L175" s="2756">
        <v>0</v>
      </c>
      <c r="M175" s="2756">
        <v>0</v>
      </c>
      <c r="N175" s="3329">
        <v>0</v>
      </c>
      <c r="O175" s="3329">
        <v>0</v>
      </c>
      <c r="P175" s="2756">
        <v>0</v>
      </c>
      <c r="Q175" s="2756">
        <v>6479</v>
      </c>
      <c r="R175" s="2756">
        <v>0</v>
      </c>
    </row>
    <row r="176" spans="1:18" ht="25.8" hidden="1" customHeight="1">
      <c r="A176" s="2756"/>
      <c r="B176" s="2755" t="s">
        <v>576</v>
      </c>
      <c r="C176" s="2757">
        <f t="shared" si="3"/>
        <v>12452</v>
      </c>
      <c r="D176" s="2756">
        <v>0</v>
      </c>
      <c r="E176" s="2756">
        <v>0</v>
      </c>
      <c r="F176" s="2756">
        <v>0</v>
      </c>
      <c r="G176" s="2756">
        <v>0</v>
      </c>
      <c r="H176" s="2756">
        <v>0</v>
      </c>
      <c r="I176" s="2756">
        <v>0</v>
      </c>
      <c r="J176" s="2756">
        <v>0</v>
      </c>
      <c r="K176" s="2756">
        <v>0</v>
      </c>
      <c r="L176" s="2756">
        <v>0</v>
      </c>
      <c r="M176" s="2756">
        <v>0</v>
      </c>
      <c r="N176" s="3329">
        <v>0</v>
      </c>
      <c r="O176" s="3329">
        <v>0</v>
      </c>
      <c r="P176" s="2756">
        <v>0</v>
      </c>
      <c r="Q176" s="2756">
        <v>12452</v>
      </c>
      <c r="R176" s="2756">
        <v>0</v>
      </c>
    </row>
    <row r="177" spans="1:18" ht="25.8" hidden="1" customHeight="1">
      <c r="A177" s="2756"/>
      <c r="B177" s="2755" t="s">
        <v>577</v>
      </c>
      <c r="C177" s="2757">
        <f t="shared" si="3"/>
        <v>1649</v>
      </c>
      <c r="D177" s="2756">
        <v>0</v>
      </c>
      <c r="E177" s="2756">
        <v>0</v>
      </c>
      <c r="F177" s="2756">
        <v>0</v>
      </c>
      <c r="G177" s="2756">
        <v>0</v>
      </c>
      <c r="H177" s="2756">
        <v>0</v>
      </c>
      <c r="I177" s="2756">
        <v>0</v>
      </c>
      <c r="J177" s="2756">
        <v>0</v>
      </c>
      <c r="K177" s="2756">
        <v>0</v>
      </c>
      <c r="L177" s="2756">
        <v>0</v>
      </c>
      <c r="M177" s="2756">
        <v>0</v>
      </c>
      <c r="N177" s="3329">
        <v>0</v>
      </c>
      <c r="O177" s="3329">
        <v>0</v>
      </c>
      <c r="P177" s="2756">
        <v>0</v>
      </c>
      <c r="Q177" s="2756">
        <v>1649</v>
      </c>
      <c r="R177" s="2756">
        <v>0</v>
      </c>
    </row>
    <row r="178" spans="1:18" ht="25.8" hidden="1" customHeight="1">
      <c r="A178" s="2756"/>
      <c r="B178" s="2755" t="s">
        <v>578</v>
      </c>
      <c r="C178" s="2757">
        <f t="shared" si="3"/>
        <v>1139</v>
      </c>
      <c r="D178" s="2756">
        <v>0</v>
      </c>
      <c r="E178" s="2756">
        <v>0</v>
      </c>
      <c r="F178" s="2756">
        <v>0</v>
      </c>
      <c r="G178" s="2756">
        <v>0</v>
      </c>
      <c r="H178" s="2756">
        <v>0</v>
      </c>
      <c r="I178" s="2756">
        <v>0</v>
      </c>
      <c r="J178" s="2756">
        <v>0</v>
      </c>
      <c r="K178" s="2756">
        <v>0</v>
      </c>
      <c r="L178" s="2756">
        <v>0</v>
      </c>
      <c r="M178" s="2756">
        <v>0</v>
      </c>
      <c r="N178" s="3329">
        <v>0</v>
      </c>
      <c r="O178" s="3329">
        <v>0</v>
      </c>
      <c r="P178" s="2756">
        <v>0</v>
      </c>
      <c r="Q178" s="2756">
        <v>1139</v>
      </c>
      <c r="R178" s="2756">
        <v>0</v>
      </c>
    </row>
    <row r="179" spans="1:18" ht="25.8" hidden="1" customHeight="1">
      <c r="A179" s="2756"/>
      <c r="B179" s="2755" t="s">
        <v>789</v>
      </c>
      <c r="C179" s="2757">
        <f t="shared" si="3"/>
        <v>5738</v>
      </c>
      <c r="D179" s="2756">
        <v>5738</v>
      </c>
      <c r="E179" s="2756">
        <v>0</v>
      </c>
      <c r="F179" s="2756">
        <v>0</v>
      </c>
      <c r="G179" s="2756">
        <v>0</v>
      </c>
      <c r="H179" s="2756">
        <v>0</v>
      </c>
      <c r="I179" s="2756">
        <v>0</v>
      </c>
      <c r="J179" s="2756">
        <v>0</v>
      </c>
      <c r="K179" s="2756">
        <v>0</v>
      </c>
      <c r="L179" s="2756">
        <v>0</v>
      </c>
      <c r="M179" s="2756">
        <v>0</v>
      </c>
      <c r="N179" s="3329">
        <v>0</v>
      </c>
      <c r="O179" s="3329">
        <v>0</v>
      </c>
      <c r="P179" s="2756">
        <v>0</v>
      </c>
      <c r="Q179" s="2756">
        <v>0</v>
      </c>
      <c r="R179" s="2756"/>
    </row>
    <row r="180" spans="1:18" ht="25.8" hidden="1" customHeight="1">
      <c r="A180" s="2756"/>
      <c r="B180" s="2755" t="s">
        <v>790</v>
      </c>
      <c r="C180" s="2757">
        <f t="shared" si="3"/>
        <v>0</v>
      </c>
      <c r="D180" s="2756">
        <v>0</v>
      </c>
      <c r="E180" s="2756">
        <v>0</v>
      </c>
      <c r="F180" s="2756">
        <v>0</v>
      </c>
      <c r="G180" s="2756">
        <v>0</v>
      </c>
      <c r="H180" s="2756">
        <v>0</v>
      </c>
      <c r="I180" s="2756">
        <v>0</v>
      </c>
      <c r="J180" s="2756">
        <v>0</v>
      </c>
      <c r="K180" s="2756">
        <v>0</v>
      </c>
      <c r="L180" s="2756">
        <v>0</v>
      </c>
      <c r="M180" s="2756">
        <v>0</v>
      </c>
      <c r="N180" s="3329">
        <v>0</v>
      </c>
      <c r="O180" s="3329">
        <v>0</v>
      </c>
      <c r="P180" s="2756">
        <v>0</v>
      </c>
      <c r="Q180" s="2756"/>
      <c r="R180" s="2756"/>
    </row>
    <row r="181" spans="1:18" ht="25.8" hidden="1" customHeight="1">
      <c r="A181" s="2756"/>
      <c r="B181" s="2755" t="s">
        <v>791</v>
      </c>
      <c r="C181" s="2757">
        <f t="shared" si="3"/>
        <v>0</v>
      </c>
      <c r="D181" s="2756">
        <v>0</v>
      </c>
      <c r="E181" s="2756">
        <v>0</v>
      </c>
      <c r="F181" s="2756">
        <v>0</v>
      </c>
      <c r="G181" s="2756">
        <v>0</v>
      </c>
      <c r="H181" s="2756">
        <v>0</v>
      </c>
      <c r="I181" s="2756">
        <v>0</v>
      </c>
      <c r="J181" s="2756">
        <v>0</v>
      </c>
      <c r="K181" s="2756">
        <v>0</v>
      </c>
      <c r="L181" s="2756">
        <v>0</v>
      </c>
      <c r="M181" s="2756">
        <v>0</v>
      </c>
      <c r="N181" s="3329">
        <v>0</v>
      </c>
      <c r="O181" s="3329">
        <v>0</v>
      </c>
      <c r="P181" s="2756">
        <v>0</v>
      </c>
      <c r="Q181" s="2756"/>
      <c r="R181" s="2756"/>
    </row>
    <row r="182" spans="1:18" ht="25.8" hidden="1" customHeight="1">
      <c r="A182" s="2756"/>
      <c r="B182" s="2755" t="s">
        <v>792</v>
      </c>
      <c r="C182" s="2757">
        <f t="shared" si="3"/>
        <v>1125</v>
      </c>
      <c r="D182" s="2756">
        <v>0</v>
      </c>
      <c r="E182" s="2756">
        <v>0</v>
      </c>
      <c r="F182" s="2756">
        <v>0</v>
      </c>
      <c r="G182" s="2756">
        <v>0</v>
      </c>
      <c r="H182" s="2756">
        <v>0</v>
      </c>
      <c r="I182" s="2756">
        <v>0</v>
      </c>
      <c r="J182" s="2756">
        <v>0</v>
      </c>
      <c r="K182" s="2756">
        <v>0</v>
      </c>
      <c r="L182" s="2756">
        <v>0</v>
      </c>
      <c r="M182" s="2756">
        <v>0</v>
      </c>
      <c r="N182" s="3329">
        <v>0</v>
      </c>
      <c r="O182" s="3329">
        <v>0</v>
      </c>
      <c r="P182" s="2756">
        <v>1125</v>
      </c>
      <c r="Q182" s="2756"/>
      <c r="R182" s="2756"/>
    </row>
    <row r="183" spans="1:18" ht="25.8" customHeight="1">
      <c r="A183" s="2756">
        <v>42</v>
      </c>
      <c r="B183" s="2755" t="s">
        <v>793</v>
      </c>
      <c r="C183" s="2757">
        <f t="shared" si="3"/>
        <v>7913</v>
      </c>
      <c r="D183" s="2756">
        <v>0</v>
      </c>
      <c r="E183" s="2756">
        <v>0</v>
      </c>
      <c r="F183" s="2756">
        <v>0</v>
      </c>
      <c r="G183" s="2756">
        <v>0</v>
      </c>
      <c r="H183" s="2756">
        <v>0</v>
      </c>
      <c r="I183" s="2756">
        <v>0</v>
      </c>
      <c r="J183" s="2756">
        <v>0</v>
      </c>
      <c r="K183" s="2756">
        <v>0</v>
      </c>
      <c r="L183" s="2756">
        <v>0</v>
      </c>
      <c r="M183" s="2756">
        <v>0</v>
      </c>
      <c r="N183" s="3329">
        <v>0</v>
      </c>
      <c r="O183" s="3329">
        <v>0</v>
      </c>
      <c r="P183" s="2756">
        <v>0</v>
      </c>
      <c r="Q183" s="2756">
        <v>0</v>
      </c>
      <c r="R183" s="2756">
        <v>7913</v>
      </c>
    </row>
    <row r="184" spans="1:18" ht="25.8" hidden="1" customHeight="1">
      <c r="A184" s="2756"/>
      <c r="B184" s="2755" t="s">
        <v>665</v>
      </c>
      <c r="C184" s="2757">
        <f t="shared" si="3"/>
        <v>577</v>
      </c>
      <c r="D184" s="2756">
        <v>0</v>
      </c>
      <c r="E184" s="2756">
        <v>0</v>
      </c>
      <c r="F184" s="2756">
        <v>0</v>
      </c>
      <c r="G184" s="2756">
        <v>0</v>
      </c>
      <c r="H184" s="2756">
        <v>0</v>
      </c>
      <c r="I184" s="2756">
        <v>0</v>
      </c>
      <c r="J184" s="2756">
        <v>0</v>
      </c>
      <c r="K184" s="2756">
        <v>0</v>
      </c>
      <c r="L184" s="2756">
        <v>0</v>
      </c>
      <c r="M184" s="2756">
        <v>0</v>
      </c>
      <c r="N184" s="3329">
        <v>0</v>
      </c>
      <c r="O184" s="3329">
        <v>0</v>
      </c>
      <c r="P184" s="2756">
        <v>0</v>
      </c>
      <c r="Q184" s="2756">
        <v>0</v>
      </c>
      <c r="R184" s="2756">
        <v>577</v>
      </c>
    </row>
    <row r="185" spans="1:18" ht="25.8" hidden="1" customHeight="1">
      <c r="A185" s="2756"/>
      <c r="B185" s="2755" t="s">
        <v>666</v>
      </c>
      <c r="C185" s="2757">
        <f t="shared" si="3"/>
        <v>5202</v>
      </c>
      <c r="D185" s="2756">
        <v>0</v>
      </c>
      <c r="E185" s="2756">
        <v>0</v>
      </c>
      <c r="F185" s="2756">
        <v>0</v>
      </c>
      <c r="G185" s="2756">
        <v>0</v>
      </c>
      <c r="H185" s="2756">
        <v>0</v>
      </c>
      <c r="I185" s="2756">
        <v>0</v>
      </c>
      <c r="J185" s="2756">
        <v>0</v>
      </c>
      <c r="K185" s="2756">
        <v>0</v>
      </c>
      <c r="L185" s="2756">
        <v>0</v>
      </c>
      <c r="M185" s="2756">
        <v>0</v>
      </c>
      <c r="N185" s="3329">
        <v>0</v>
      </c>
      <c r="O185" s="3329">
        <v>0</v>
      </c>
      <c r="P185" s="2756">
        <v>0</v>
      </c>
      <c r="Q185" s="2756">
        <v>0</v>
      </c>
      <c r="R185" s="2756">
        <v>5202</v>
      </c>
    </row>
    <row r="186" spans="1:18" ht="25.8" hidden="1" customHeight="1">
      <c r="A186" s="2756"/>
      <c r="B186" s="2755" t="s">
        <v>667</v>
      </c>
      <c r="C186" s="2757">
        <f t="shared" si="3"/>
        <v>600</v>
      </c>
      <c r="D186" s="2756">
        <v>0</v>
      </c>
      <c r="E186" s="2756">
        <v>0</v>
      </c>
      <c r="F186" s="2756">
        <v>0</v>
      </c>
      <c r="G186" s="2756">
        <v>0</v>
      </c>
      <c r="H186" s="2756">
        <v>0</v>
      </c>
      <c r="I186" s="2756">
        <v>0</v>
      </c>
      <c r="J186" s="2756">
        <v>0</v>
      </c>
      <c r="K186" s="2756">
        <v>0</v>
      </c>
      <c r="L186" s="2756">
        <v>0</v>
      </c>
      <c r="M186" s="2756">
        <v>0</v>
      </c>
      <c r="N186" s="3329">
        <v>0</v>
      </c>
      <c r="O186" s="3329">
        <v>0</v>
      </c>
      <c r="P186" s="2756">
        <v>0</v>
      </c>
      <c r="Q186" s="2756">
        <v>0</v>
      </c>
      <c r="R186" s="2756">
        <v>600</v>
      </c>
    </row>
    <row r="187" spans="1:18" ht="25.8" customHeight="1">
      <c r="A187" s="2756">
        <v>43</v>
      </c>
      <c r="B187" s="2755" t="s">
        <v>1489</v>
      </c>
      <c r="C187" s="2757">
        <f t="shared" si="3"/>
        <v>66687</v>
      </c>
      <c r="D187" s="2756"/>
      <c r="E187" s="2756"/>
      <c r="F187" s="2756"/>
      <c r="G187" s="2756"/>
      <c r="H187" s="2756"/>
      <c r="I187" s="2756"/>
      <c r="J187" s="2756"/>
      <c r="K187" s="2756"/>
      <c r="L187" s="2756"/>
      <c r="M187" s="2756">
        <v>66687</v>
      </c>
      <c r="N187" s="3329"/>
      <c r="O187" s="3329"/>
      <c r="P187" s="2756"/>
      <c r="Q187" s="2756"/>
      <c r="R187" s="2756"/>
    </row>
    <row r="188" spans="1:18" ht="25.8" customHeight="1">
      <c r="A188" s="2756">
        <v>44</v>
      </c>
      <c r="B188" s="2755" t="s">
        <v>1490</v>
      </c>
      <c r="C188" s="2757">
        <f t="shared" si="3"/>
        <v>59373</v>
      </c>
      <c r="D188" s="2756">
        <v>33603</v>
      </c>
      <c r="E188" s="2756"/>
      <c r="F188" s="2756">
        <v>25770</v>
      </c>
      <c r="G188" s="2756"/>
      <c r="H188" s="2756"/>
      <c r="I188" s="2756"/>
      <c r="J188" s="2756"/>
      <c r="K188" s="2756"/>
      <c r="L188" s="2756"/>
      <c r="M188" s="2756"/>
      <c r="N188" s="3329"/>
      <c r="O188" s="3329"/>
      <c r="P188" s="2756"/>
      <c r="Q188" s="2756"/>
      <c r="R188" s="2756"/>
    </row>
    <row r="189" spans="1:18" ht="25.8" customHeight="1">
      <c r="A189" s="2756">
        <v>45</v>
      </c>
      <c r="B189" s="2755" t="s">
        <v>1462</v>
      </c>
      <c r="C189" s="2757">
        <f t="shared" si="3"/>
        <v>21795</v>
      </c>
      <c r="D189" s="2756">
        <v>652</v>
      </c>
      <c r="E189" s="2756"/>
      <c r="F189" s="2756"/>
      <c r="G189" s="2756">
        <v>21143</v>
      </c>
      <c r="H189" s="2756"/>
      <c r="I189" s="2756"/>
      <c r="J189" s="2756"/>
      <c r="K189" s="2756"/>
      <c r="L189" s="2756"/>
      <c r="M189" s="2756"/>
      <c r="N189" s="3329"/>
      <c r="O189" s="3329"/>
      <c r="P189" s="2756"/>
      <c r="Q189" s="2756"/>
      <c r="R189" s="2756"/>
    </row>
    <row r="190" spans="1:18" ht="31.8" customHeight="1">
      <c r="A190" s="2756">
        <v>46</v>
      </c>
      <c r="B190" s="2755" t="s">
        <v>682</v>
      </c>
      <c r="C190" s="2757">
        <f t="shared" si="3"/>
        <v>7258</v>
      </c>
      <c r="D190" s="2756"/>
      <c r="E190" s="2756"/>
      <c r="F190" s="2756">
        <v>7258</v>
      </c>
      <c r="G190" s="2756"/>
      <c r="H190" s="2756"/>
      <c r="I190" s="2756"/>
      <c r="J190" s="2756"/>
      <c r="K190" s="2756"/>
      <c r="L190" s="2756"/>
      <c r="M190" s="2756"/>
      <c r="N190" s="3329"/>
      <c r="O190" s="3329"/>
      <c r="P190" s="2756"/>
      <c r="Q190" s="2756"/>
      <c r="R190" s="2756"/>
    </row>
    <row r="191" spans="1:18" ht="25.8" customHeight="1">
      <c r="A191" s="2756">
        <v>47</v>
      </c>
      <c r="B191" s="2755" t="s">
        <v>11</v>
      </c>
      <c r="C191" s="2757">
        <f t="shared" si="3"/>
        <v>30630</v>
      </c>
      <c r="D191" s="2756"/>
      <c r="E191" s="2756"/>
      <c r="F191" s="2756"/>
      <c r="G191" s="2756"/>
      <c r="H191" s="2756"/>
      <c r="I191" s="2756"/>
      <c r="J191" s="2756"/>
      <c r="K191" s="2756"/>
      <c r="L191" s="2756"/>
      <c r="M191" s="2756"/>
      <c r="N191" s="3329"/>
      <c r="O191" s="3329"/>
      <c r="P191" s="2756"/>
      <c r="Q191" s="2756"/>
      <c r="R191" s="2756">
        <v>30630</v>
      </c>
    </row>
    <row r="192" spans="1:18" ht="25.8" customHeight="1">
      <c r="A192" s="2756">
        <v>48</v>
      </c>
      <c r="B192" s="2755" t="s">
        <v>1980</v>
      </c>
      <c r="C192" s="2757">
        <f t="shared" si="3"/>
        <v>70148</v>
      </c>
      <c r="D192" s="2756"/>
      <c r="E192" s="2756"/>
      <c r="F192" s="2756"/>
      <c r="G192" s="2756"/>
      <c r="H192" s="2756"/>
      <c r="I192" s="2756"/>
      <c r="J192" s="2756"/>
      <c r="K192" s="2756"/>
      <c r="L192" s="2756"/>
      <c r="M192" s="2756"/>
      <c r="N192" s="3329"/>
      <c r="O192" s="3329"/>
      <c r="P192" s="2756"/>
      <c r="Q192" s="2756"/>
      <c r="R192" s="2756">
        <v>70148</v>
      </c>
    </row>
    <row r="193" spans="1:18" ht="25.8" customHeight="1">
      <c r="A193" s="3326">
        <v>49</v>
      </c>
      <c r="B193" s="3327" t="s">
        <v>720</v>
      </c>
      <c r="C193" s="2757">
        <f t="shared" si="3"/>
        <v>110980</v>
      </c>
      <c r="D193" s="3211"/>
      <c r="E193" s="3211"/>
      <c r="F193" s="3211"/>
      <c r="G193" s="3211"/>
      <c r="H193" s="3211"/>
      <c r="I193" s="3211"/>
      <c r="J193" s="3211"/>
      <c r="K193" s="3211"/>
      <c r="L193" s="3211"/>
      <c r="M193" s="3211"/>
      <c r="N193" s="3330"/>
      <c r="O193" s="3330"/>
      <c r="P193" s="3211"/>
      <c r="Q193" s="3211"/>
      <c r="R193" s="2756">
        <v>110980</v>
      </c>
    </row>
  </sheetData>
  <mergeCells count="17">
    <mergeCell ref="M6:M7"/>
    <mergeCell ref="P6:P7"/>
    <mergeCell ref="Q6:Q7"/>
    <mergeCell ref="R6:R7"/>
    <mergeCell ref="N6:O6"/>
    <mergeCell ref="A6:A7"/>
    <mergeCell ref="B6:B7"/>
    <mergeCell ref="C6:C7"/>
    <mergeCell ref="D6:D7"/>
    <mergeCell ref="E6:E7"/>
    <mergeCell ref="F6:F7"/>
    <mergeCell ref="G6:G7"/>
    <mergeCell ref="H6:H7"/>
    <mergeCell ref="I6:I7"/>
    <mergeCell ref="J6:J7"/>
    <mergeCell ref="K6:K7"/>
    <mergeCell ref="L6:L7"/>
  </mergeCells>
  <pageMargins left="0.28000000000000003" right="0.22" top="0.33" bottom="0.36" header="0.3" footer="0.3"/>
  <pageSetup scale="64" orientation="landscape" blackAndWhite="1" r:id="rId1"/>
  <headerFooter>
    <oddFooter>&amp;R&amp;P</oddFooter>
  </headerFooter>
  <colBreaks count="1" manualBreakCount="1">
    <brk id="1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workbookViewId="0">
      <selection activeCell="B6" sqref="B6:B7"/>
    </sheetView>
  </sheetViews>
  <sheetFormatPr defaultRowHeight="13.2"/>
  <cols>
    <col min="1" max="1" width="5.33203125" style="1841" customWidth="1"/>
    <col min="2" max="2" width="33.77734375" style="1841" customWidth="1"/>
    <col min="3" max="3" width="11.33203125" style="1841" hidden="1" customWidth="1"/>
    <col min="4" max="4" width="10.77734375" style="1841" customWidth="1"/>
    <col min="5" max="5" width="11" style="1841" hidden="1" customWidth="1"/>
    <col min="6" max="6" width="10.33203125" style="1841" customWidth="1"/>
    <col min="7" max="7" width="10.5546875" style="1841" hidden="1" customWidth="1"/>
    <col min="8" max="8" width="10.88671875" style="1841" customWidth="1"/>
    <col min="9" max="9" width="10.88671875" style="1841" hidden="1" customWidth="1"/>
    <col min="10" max="10" width="10.77734375" style="1841" customWidth="1"/>
    <col min="11" max="11" width="11" style="1841" hidden="1" customWidth="1"/>
    <col min="12" max="12" width="11.5546875" style="1841" customWidth="1"/>
    <col min="13" max="13" width="10.33203125" style="1841" hidden="1" customWidth="1"/>
    <col min="14" max="261" width="8.88671875" style="1841"/>
    <col min="262" max="262" width="5.33203125" style="1841" customWidth="1"/>
    <col min="263" max="263" width="40" style="1841" customWidth="1"/>
    <col min="264" max="264" width="11.33203125" style="1841" customWidth="1"/>
    <col min="265" max="265" width="11" style="1841" customWidth="1"/>
    <col min="266" max="266" width="10.5546875" style="1841" customWidth="1"/>
    <col min="267" max="267" width="13.88671875" style="1841" customWidth="1"/>
    <col min="268" max="517" width="8.88671875" style="1841"/>
    <col min="518" max="518" width="5.33203125" style="1841" customWidth="1"/>
    <col min="519" max="519" width="40" style="1841" customWidth="1"/>
    <col min="520" max="520" width="11.33203125" style="1841" customWidth="1"/>
    <col min="521" max="521" width="11" style="1841" customWidth="1"/>
    <col min="522" max="522" width="10.5546875" style="1841" customWidth="1"/>
    <col min="523" max="523" width="13.88671875" style="1841" customWidth="1"/>
    <col min="524" max="773" width="8.88671875" style="1841"/>
    <col min="774" max="774" width="5.33203125" style="1841" customWidth="1"/>
    <col min="775" max="775" width="40" style="1841" customWidth="1"/>
    <col min="776" max="776" width="11.33203125" style="1841" customWidth="1"/>
    <col min="777" max="777" width="11" style="1841" customWidth="1"/>
    <col min="778" max="778" width="10.5546875" style="1841" customWidth="1"/>
    <col min="779" max="779" width="13.88671875" style="1841" customWidth="1"/>
    <col min="780" max="1029" width="8.88671875" style="1841"/>
    <col min="1030" max="1030" width="5.33203125" style="1841" customWidth="1"/>
    <col min="1031" max="1031" width="40" style="1841" customWidth="1"/>
    <col min="1032" max="1032" width="11.33203125" style="1841" customWidth="1"/>
    <col min="1033" max="1033" width="11" style="1841" customWidth="1"/>
    <col min="1034" max="1034" width="10.5546875" style="1841" customWidth="1"/>
    <col min="1035" max="1035" width="13.88671875" style="1841" customWidth="1"/>
    <col min="1036" max="1285" width="8.88671875" style="1841"/>
    <col min="1286" max="1286" width="5.33203125" style="1841" customWidth="1"/>
    <col min="1287" max="1287" width="40" style="1841" customWidth="1"/>
    <col min="1288" max="1288" width="11.33203125" style="1841" customWidth="1"/>
    <col min="1289" max="1289" width="11" style="1841" customWidth="1"/>
    <col min="1290" max="1290" width="10.5546875" style="1841" customWidth="1"/>
    <col min="1291" max="1291" width="13.88671875" style="1841" customWidth="1"/>
    <col min="1292" max="1541" width="8.88671875" style="1841"/>
    <col min="1542" max="1542" width="5.33203125" style="1841" customWidth="1"/>
    <col min="1543" max="1543" width="40" style="1841" customWidth="1"/>
    <col min="1544" max="1544" width="11.33203125" style="1841" customWidth="1"/>
    <col min="1545" max="1545" width="11" style="1841" customWidth="1"/>
    <col min="1546" max="1546" width="10.5546875" style="1841" customWidth="1"/>
    <col min="1547" max="1547" width="13.88671875" style="1841" customWidth="1"/>
    <col min="1548" max="1797" width="8.88671875" style="1841"/>
    <col min="1798" max="1798" width="5.33203125" style="1841" customWidth="1"/>
    <col min="1799" max="1799" width="40" style="1841" customWidth="1"/>
    <col min="1800" max="1800" width="11.33203125" style="1841" customWidth="1"/>
    <col min="1801" max="1801" width="11" style="1841" customWidth="1"/>
    <col min="1802" max="1802" width="10.5546875" style="1841" customWidth="1"/>
    <col min="1803" max="1803" width="13.88671875" style="1841" customWidth="1"/>
    <col min="1804" max="2053" width="8.88671875" style="1841"/>
    <col min="2054" max="2054" width="5.33203125" style="1841" customWidth="1"/>
    <col min="2055" max="2055" width="40" style="1841" customWidth="1"/>
    <col min="2056" max="2056" width="11.33203125" style="1841" customWidth="1"/>
    <col min="2057" max="2057" width="11" style="1841" customWidth="1"/>
    <col min="2058" max="2058" width="10.5546875" style="1841" customWidth="1"/>
    <col min="2059" max="2059" width="13.88671875" style="1841" customWidth="1"/>
    <col min="2060" max="2309" width="8.88671875" style="1841"/>
    <col min="2310" max="2310" width="5.33203125" style="1841" customWidth="1"/>
    <col min="2311" max="2311" width="40" style="1841" customWidth="1"/>
    <col min="2312" max="2312" width="11.33203125" style="1841" customWidth="1"/>
    <col min="2313" max="2313" width="11" style="1841" customWidth="1"/>
    <col min="2314" max="2314" width="10.5546875" style="1841" customWidth="1"/>
    <col min="2315" max="2315" width="13.88671875" style="1841" customWidth="1"/>
    <col min="2316" max="2565" width="8.88671875" style="1841"/>
    <col min="2566" max="2566" width="5.33203125" style="1841" customWidth="1"/>
    <col min="2567" max="2567" width="40" style="1841" customWidth="1"/>
    <col min="2568" max="2568" width="11.33203125" style="1841" customWidth="1"/>
    <col min="2569" max="2569" width="11" style="1841" customWidth="1"/>
    <col min="2570" max="2570" width="10.5546875" style="1841" customWidth="1"/>
    <col min="2571" max="2571" width="13.88671875" style="1841" customWidth="1"/>
    <col min="2572" max="2821" width="8.88671875" style="1841"/>
    <col min="2822" max="2822" width="5.33203125" style="1841" customWidth="1"/>
    <col min="2823" max="2823" width="40" style="1841" customWidth="1"/>
    <col min="2824" max="2824" width="11.33203125" style="1841" customWidth="1"/>
    <col min="2825" max="2825" width="11" style="1841" customWidth="1"/>
    <col min="2826" max="2826" width="10.5546875" style="1841" customWidth="1"/>
    <col min="2827" max="2827" width="13.88671875" style="1841" customWidth="1"/>
    <col min="2828" max="3077" width="8.88671875" style="1841"/>
    <col min="3078" max="3078" width="5.33203125" style="1841" customWidth="1"/>
    <col min="3079" max="3079" width="40" style="1841" customWidth="1"/>
    <col min="3080" max="3080" width="11.33203125" style="1841" customWidth="1"/>
    <col min="3081" max="3081" width="11" style="1841" customWidth="1"/>
    <col min="3082" max="3082" width="10.5546875" style="1841" customWidth="1"/>
    <col min="3083" max="3083" width="13.88671875" style="1841" customWidth="1"/>
    <col min="3084" max="3333" width="8.88671875" style="1841"/>
    <col min="3334" max="3334" width="5.33203125" style="1841" customWidth="1"/>
    <col min="3335" max="3335" width="40" style="1841" customWidth="1"/>
    <col min="3336" max="3336" width="11.33203125" style="1841" customWidth="1"/>
    <col min="3337" max="3337" width="11" style="1841" customWidth="1"/>
    <col min="3338" max="3338" width="10.5546875" style="1841" customWidth="1"/>
    <col min="3339" max="3339" width="13.88671875" style="1841" customWidth="1"/>
    <col min="3340" max="3589" width="8.88671875" style="1841"/>
    <col min="3590" max="3590" width="5.33203125" style="1841" customWidth="1"/>
    <col min="3591" max="3591" width="40" style="1841" customWidth="1"/>
    <col min="3592" max="3592" width="11.33203125" style="1841" customWidth="1"/>
    <col min="3593" max="3593" width="11" style="1841" customWidth="1"/>
    <col min="3594" max="3594" width="10.5546875" style="1841" customWidth="1"/>
    <col min="3595" max="3595" width="13.88671875" style="1841" customWidth="1"/>
    <col min="3596" max="3845" width="8.88671875" style="1841"/>
    <col min="3846" max="3846" width="5.33203125" style="1841" customWidth="1"/>
    <col min="3847" max="3847" width="40" style="1841" customWidth="1"/>
    <col min="3848" max="3848" width="11.33203125" style="1841" customWidth="1"/>
    <col min="3849" max="3849" width="11" style="1841" customWidth="1"/>
    <col min="3850" max="3850" width="10.5546875" style="1841" customWidth="1"/>
    <col min="3851" max="3851" width="13.88671875" style="1841" customWidth="1"/>
    <col min="3852" max="4101" width="8.88671875" style="1841"/>
    <col min="4102" max="4102" width="5.33203125" style="1841" customWidth="1"/>
    <col min="4103" max="4103" width="40" style="1841" customWidth="1"/>
    <col min="4104" max="4104" width="11.33203125" style="1841" customWidth="1"/>
    <col min="4105" max="4105" width="11" style="1841" customWidth="1"/>
    <col min="4106" max="4106" width="10.5546875" style="1841" customWidth="1"/>
    <col min="4107" max="4107" width="13.88671875" style="1841" customWidth="1"/>
    <col min="4108" max="4357" width="8.88671875" style="1841"/>
    <col min="4358" max="4358" width="5.33203125" style="1841" customWidth="1"/>
    <col min="4359" max="4359" width="40" style="1841" customWidth="1"/>
    <col min="4360" max="4360" width="11.33203125" style="1841" customWidth="1"/>
    <col min="4361" max="4361" width="11" style="1841" customWidth="1"/>
    <col min="4362" max="4362" width="10.5546875" style="1841" customWidth="1"/>
    <col min="4363" max="4363" width="13.88671875" style="1841" customWidth="1"/>
    <col min="4364" max="4613" width="8.88671875" style="1841"/>
    <col min="4614" max="4614" width="5.33203125" style="1841" customWidth="1"/>
    <col min="4615" max="4615" width="40" style="1841" customWidth="1"/>
    <col min="4616" max="4616" width="11.33203125" style="1841" customWidth="1"/>
    <col min="4617" max="4617" width="11" style="1841" customWidth="1"/>
    <col min="4618" max="4618" width="10.5546875" style="1841" customWidth="1"/>
    <col min="4619" max="4619" width="13.88671875" style="1841" customWidth="1"/>
    <col min="4620" max="4869" width="8.88671875" style="1841"/>
    <col min="4870" max="4870" width="5.33203125" style="1841" customWidth="1"/>
    <col min="4871" max="4871" width="40" style="1841" customWidth="1"/>
    <col min="4872" max="4872" width="11.33203125" style="1841" customWidth="1"/>
    <col min="4873" max="4873" width="11" style="1841" customWidth="1"/>
    <col min="4874" max="4874" width="10.5546875" style="1841" customWidth="1"/>
    <col min="4875" max="4875" width="13.88671875" style="1841" customWidth="1"/>
    <col min="4876" max="5125" width="8.88671875" style="1841"/>
    <col min="5126" max="5126" width="5.33203125" style="1841" customWidth="1"/>
    <col min="5127" max="5127" width="40" style="1841" customWidth="1"/>
    <col min="5128" max="5128" width="11.33203125" style="1841" customWidth="1"/>
    <col min="5129" max="5129" width="11" style="1841" customWidth="1"/>
    <col min="5130" max="5130" width="10.5546875" style="1841" customWidth="1"/>
    <col min="5131" max="5131" width="13.88671875" style="1841" customWidth="1"/>
    <col min="5132" max="5381" width="8.88671875" style="1841"/>
    <col min="5382" max="5382" width="5.33203125" style="1841" customWidth="1"/>
    <col min="5383" max="5383" width="40" style="1841" customWidth="1"/>
    <col min="5384" max="5384" width="11.33203125" style="1841" customWidth="1"/>
    <col min="5385" max="5385" width="11" style="1841" customWidth="1"/>
    <col min="5386" max="5386" width="10.5546875" style="1841" customWidth="1"/>
    <col min="5387" max="5387" width="13.88671875" style="1841" customWidth="1"/>
    <col min="5388" max="5637" width="8.88671875" style="1841"/>
    <col min="5638" max="5638" width="5.33203125" style="1841" customWidth="1"/>
    <col min="5639" max="5639" width="40" style="1841" customWidth="1"/>
    <col min="5640" max="5640" width="11.33203125" style="1841" customWidth="1"/>
    <col min="5641" max="5641" width="11" style="1841" customWidth="1"/>
    <col min="5642" max="5642" width="10.5546875" style="1841" customWidth="1"/>
    <col min="5643" max="5643" width="13.88671875" style="1841" customWidth="1"/>
    <col min="5644" max="5893" width="8.88671875" style="1841"/>
    <col min="5894" max="5894" width="5.33203125" style="1841" customWidth="1"/>
    <col min="5895" max="5895" width="40" style="1841" customWidth="1"/>
    <col min="5896" max="5896" width="11.33203125" style="1841" customWidth="1"/>
    <col min="5897" max="5897" width="11" style="1841" customWidth="1"/>
    <col min="5898" max="5898" width="10.5546875" style="1841" customWidth="1"/>
    <col min="5899" max="5899" width="13.88671875" style="1841" customWidth="1"/>
    <col min="5900" max="6149" width="8.88671875" style="1841"/>
    <col min="6150" max="6150" width="5.33203125" style="1841" customWidth="1"/>
    <col min="6151" max="6151" width="40" style="1841" customWidth="1"/>
    <col min="6152" max="6152" width="11.33203125" style="1841" customWidth="1"/>
    <col min="6153" max="6153" width="11" style="1841" customWidth="1"/>
    <col min="6154" max="6154" width="10.5546875" style="1841" customWidth="1"/>
    <col min="6155" max="6155" width="13.88671875" style="1841" customWidth="1"/>
    <col min="6156" max="6405" width="8.88671875" style="1841"/>
    <col min="6406" max="6406" width="5.33203125" style="1841" customWidth="1"/>
    <col min="6407" max="6407" width="40" style="1841" customWidth="1"/>
    <col min="6408" max="6408" width="11.33203125" style="1841" customWidth="1"/>
    <col min="6409" max="6409" width="11" style="1841" customWidth="1"/>
    <col min="6410" max="6410" width="10.5546875" style="1841" customWidth="1"/>
    <col min="6411" max="6411" width="13.88671875" style="1841" customWidth="1"/>
    <col min="6412" max="6661" width="8.88671875" style="1841"/>
    <col min="6662" max="6662" width="5.33203125" style="1841" customWidth="1"/>
    <col min="6663" max="6663" width="40" style="1841" customWidth="1"/>
    <col min="6664" max="6664" width="11.33203125" style="1841" customWidth="1"/>
    <col min="6665" max="6665" width="11" style="1841" customWidth="1"/>
    <col min="6666" max="6666" width="10.5546875" style="1841" customWidth="1"/>
    <col min="6667" max="6667" width="13.88671875" style="1841" customWidth="1"/>
    <col min="6668" max="6917" width="8.88671875" style="1841"/>
    <col min="6918" max="6918" width="5.33203125" style="1841" customWidth="1"/>
    <col min="6919" max="6919" width="40" style="1841" customWidth="1"/>
    <col min="6920" max="6920" width="11.33203125" style="1841" customWidth="1"/>
    <col min="6921" max="6921" width="11" style="1841" customWidth="1"/>
    <col min="6922" max="6922" width="10.5546875" style="1841" customWidth="1"/>
    <col min="6923" max="6923" width="13.88671875" style="1841" customWidth="1"/>
    <col min="6924" max="7173" width="8.88671875" style="1841"/>
    <col min="7174" max="7174" width="5.33203125" style="1841" customWidth="1"/>
    <col min="7175" max="7175" width="40" style="1841" customWidth="1"/>
    <col min="7176" max="7176" width="11.33203125" style="1841" customWidth="1"/>
    <col min="7177" max="7177" width="11" style="1841" customWidth="1"/>
    <col min="7178" max="7178" width="10.5546875" style="1841" customWidth="1"/>
    <col min="7179" max="7179" width="13.88671875" style="1841" customWidth="1"/>
    <col min="7180" max="7429" width="8.88671875" style="1841"/>
    <col min="7430" max="7430" width="5.33203125" style="1841" customWidth="1"/>
    <col min="7431" max="7431" width="40" style="1841" customWidth="1"/>
    <col min="7432" max="7432" width="11.33203125" style="1841" customWidth="1"/>
    <col min="7433" max="7433" width="11" style="1841" customWidth="1"/>
    <col min="7434" max="7434" width="10.5546875" style="1841" customWidth="1"/>
    <col min="7435" max="7435" width="13.88671875" style="1841" customWidth="1"/>
    <col min="7436" max="7685" width="8.88671875" style="1841"/>
    <col min="7686" max="7686" width="5.33203125" style="1841" customWidth="1"/>
    <col min="7687" max="7687" width="40" style="1841" customWidth="1"/>
    <col min="7688" max="7688" width="11.33203125" style="1841" customWidth="1"/>
    <col min="7689" max="7689" width="11" style="1841" customWidth="1"/>
    <col min="7690" max="7690" width="10.5546875" style="1841" customWidth="1"/>
    <col min="7691" max="7691" width="13.88671875" style="1841" customWidth="1"/>
    <col min="7692" max="7941" width="8.88671875" style="1841"/>
    <col min="7942" max="7942" width="5.33203125" style="1841" customWidth="1"/>
    <col min="7943" max="7943" width="40" style="1841" customWidth="1"/>
    <col min="7944" max="7944" width="11.33203125" style="1841" customWidth="1"/>
    <col min="7945" max="7945" width="11" style="1841" customWidth="1"/>
    <col min="7946" max="7946" width="10.5546875" style="1841" customWidth="1"/>
    <col min="7947" max="7947" width="13.88671875" style="1841" customWidth="1"/>
    <col min="7948" max="8197" width="8.88671875" style="1841"/>
    <col min="8198" max="8198" width="5.33203125" style="1841" customWidth="1"/>
    <col min="8199" max="8199" width="40" style="1841" customWidth="1"/>
    <col min="8200" max="8200" width="11.33203125" style="1841" customWidth="1"/>
    <col min="8201" max="8201" width="11" style="1841" customWidth="1"/>
    <col min="8202" max="8202" width="10.5546875" style="1841" customWidth="1"/>
    <col min="8203" max="8203" width="13.88671875" style="1841" customWidth="1"/>
    <col min="8204" max="8453" width="8.88671875" style="1841"/>
    <col min="8454" max="8454" width="5.33203125" style="1841" customWidth="1"/>
    <col min="8455" max="8455" width="40" style="1841" customWidth="1"/>
    <col min="8456" max="8456" width="11.33203125" style="1841" customWidth="1"/>
    <col min="8457" max="8457" width="11" style="1841" customWidth="1"/>
    <col min="8458" max="8458" width="10.5546875" style="1841" customWidth="1"/>
    <col min="8459" max="8459" width="13.88671875" style="1841" customWidth="1"/>
    <col min="8460" max="8709" width="8.88671875" style="1841"/>
    <col min="8710" max="8710" width="5.33203125" style="1841" customWidth="1"/>
    <col min="8711" max="8711" width="40" style="1841" customWidth="1"/>
    <col min="8712" max="8712" width="11.33203125" style="1841" customWidth="1"/>
    <col min="8713" max="8713" width="11" style="1841" customWidth="1"/>
    <col min="8714" max="8714" width="10.5546875" style="1841" customWidth="1"/>
    <col min="8715" max="8715" width="13.88671875" style="1841" customWidth="1"/>
    <col min="8716" max="8965" width="8.88671875" style="1841"/>
    <col min="8966" max="8966" width="5.33203125" style="1841" customWidth="1"/>
    <col min="8967" max="8967" width="40" style="1841" customWidth="1"/>
    <col min="8968" max="8968" width="11.33203125" style="1841" customWidth="1"/>
    <col min="8969" max="8969" width="11" style="1841" customWidth="1"/>
    <col min="8970" max="8970" width="10.5546875" style="1841" customWidth="1"/>
    <col min="8971" max="8971" width="13.88671875" style="1841" customWidth="1"/>
    <col min="8972" max="9221" width="8.88671875" style="1841"/>
    <col min="9222" max="9222" width="5.33203125" style="1841" customWidth="1"/>
    <col min="9223" max="9223" width="40" style="1841" customWidth="1"/>
    <col min="9224" max="9224" width="11.33203125" style="1841" customWidth="1"/>
    <col min="9225" max="9225" width="11" style="1841" customWidth="1"/>
    <col min="9226" max="9226" width="10.5546875" style="1841" customWidth="1"/>
    <col min="9227" max="9227" width="13.88671875" style="1841" customWidth="1"/>
    <col min="9228" max="9477" width="8.88671875" style="1841"/>
    <col min="9478" max="9478" width="5.33203125" style="1841" customWidth="1"/>
    <col min="9479" max="9479" width="40" style="1841" customWidth="1"/>
    <col min="9480" max="9480" width="11.33203125" style="1841" customWidth="1"/>
    <col min="9481" max="9481" width="11" style="1841" customWidth="1"/>
    <col min="9482" max="9482" width="10.5546875" style="1841" customWidth="1"/>
    <col min="9483" max="9483" width="13.88671875" style="1841" customWidth="1"/>
    <col min="9484" max="9733" width="8.88671875" style="1841"/>
    <col min="9734" max="9734" width="5.33203125" style="1841" customWidth="1"/>
    <col min="9735" max="9735" width="40" style="1841" customWidth="1"/>
    <col min="9736" max="9736" width="11.33203125" style="1841" customWidth="1"/>
    <col min="9737" max="9737" width="11" style="1841" customWidth="1"/>
    <col min="9738" max="9738" width="10.5546875" style="1841" customWidth="1"/>
    <col min="9739" max="9739" width="13.88671875" style="1841" customWidth="1"/>
    <col min="9740" max="9989" width="8.88671875" style="1841"/>
    <col min="9990" max="9990" width="5.33203125" style="1841" customWidth="1"/>
    <col min="9991" max="9991" width="40" style="1841" customWidth="1"/>
    <col min="9992" max="9992" width="11.33203125" style="1841" customWidth="1"/>
    <col min="9993" max="9993" width="11" style="1841" customWidth="1"/>
    <col min="9994" max="9994" width="10.5546875" style="1841" customWidth="1"/>
    <col min="9995" max="9995" width="13.88671875" style="1841" customWidth="1"/>
    <col min="9996" max="10245" width="8.88671875" style="1841"/>
    <col min="10246" max="10246" width="5.33203125" style="1841" customWidth="1"/>
    <col min="10247" max="10247" width="40" style="1841" customWidth="1"/>
    <col min="10248" max="10248" width="11.33203125" style="1841" customWidth="1"/>
    <col min="10249" max="10249" width="11" style="1841" customWidth="1"/>
    <col min="10250" max="10250" width="10.5546875" style="1841" customWidth="1"/>
    <col min="10251" max="10251" width="13.88671875" style="1841" customWidth="1"/>
    <col min="10252" max="10501" width="8.88671875" style="1841"/>
    <col min="10502" max="10502" width="5.33203125" style="1841" customWidth="1"/>
    <col min="10503" max="10503" width="40" style="1841" customWidth="1"/>
    <col min="10504" max="10504" width="11.33203125" style="1841" customWidth="1"/>
    <col min="10505" max="10505" width="11" style="1841" customWidth="1"/>
    <col min="10506" max="10506" width="10.5546875" style="1841" customWidth="1"/>
    <col min="10507" max="10507" width="13.88671875" style="1841" customWidth="1"/>
    <col min="10508" max="10757" width="8.88671875" style="1841"/>
    <col min="10758" max="10758" width="5.33203125" style="1841" customWidth="1"/>
    <col min="10759" max="10759" width="40" style="1841" customWidth="1"/>
    <col min="10760" max="10760" width="11.33203125" style="1841" customWidth="1"/>
    <col min="10761" max="10761" width="11" style="1841" customWidth="1"/>
    <col min="10762" max="10762" width="10.5546875" style="1841" customWidth="1"/>
    <col min="10763" max="10763" width="13.88671875" style="1841" customWidth="1"/>
    <col min="10764" max="11013" width="8.88671875" style="1841"/>
    <col min="11014" max="11014" width="5.33203125" style="1841" customWidth="1"/>
    <col min="11015" max="11015" width="40" style="1841" customWidth="1"/>
    <col min="11016" max="11016" width="11.33203125" style="1841" customWidth="1"/>
    <col min="11017" max="11017" width="11" style="1841" customWidth="1"/>
    <col min="11018" max="11018" width="10.5546875" style="1841" customWidth="1"/>
    <col min="11019" max="11019" width="13.88671875" style="1841" customWidth="1"/>
    <col min="11020" max="11269" width="8.88671875" style="1841"/>
    <col min="11270" max="11270" width="5.33203125" style="1841" customWidth="1"/>
    <col min="11271" max="11271" width="40" style="1841" customWidth="1"/>
    <col min="11272" max="11272" width="11.33203125" style="1841" customWidth="1"/>
    <col min="11273" max="11273" width="11" style="1841" customWidth="1"/>
    <col min="11274" max="11274" width="10.5546875" style="1841" customWidth="1"/>
    <col min="11275" max="11275" width="13.88671875" style="1841" customWidth="1"/>
    <col min="11276" max="11525" width="8.88671875" style="1841"/>
    <col min="11526" max="11526" width="5.33203125" style="1841" customWidth="1"/>
    <col min="11527" max="11527" width="40" style="1841" customWidth="1"/>
    <col min="11528" max="11528" width="11.33203125" style="1841" customWidth="1"/>
    <col min="11529" max="11529" width="11" style="1841" customWidth="1"/>
    <col min="11530" max="11530" width="10.5546875" style="1841" customWidth="1"/>
    <col min="11531" max="11531" width="13.88671875" style="1841" customWidth="1"/>
    <col min="11532" max="11781" width="8.88671875" style="1841"/>
    <col min="11782" max="11782" width="5.33203125" style="1841" customWidth="1"/>
    <col min="11783" max="11783" width="40" style="1841" customWidth="1"/>
    <col min="11784" max="11784" width="11.33203125" style="1841" customWidth="1"/>
    <col min="11785" max="11785" width="11" style="1841" customWidth="1"/>
    <col min="11786" max="11786" width="10.5546875" style="1841" customWidth="1"/>
    <col min="11787" max="11787" width="13.88671875" style="1841" customWidth="1"/>
    <col min="11788" max="12037" width="8.88671875" style="1841"/>
    <col min="12038" max="12038" width="5.33203125" style="1841" customWidth="1"/>
    <col min="12039" max="12039" width="40" style="1841" customWidth="1"/>
    <col min="12040" max="12040" width="11.33203125" style="1841" customWidth="1"/>
    <col min="12041" max="12041" width="11" style="1841" customWidth="1"/>
    <col min="12042" max="12042" width="10.5546875" style="1841" customWidth="1"/>
    <col min="12043" max="12043" width="13.88671875" style="1841" customWidth="1"/>
    <col min="12044" max="12293" width="8.88671875" style="1841"/>
    <col min="12294" max="12294" width="5.33203125" style="1841" customWidth="1"/>
    <col min="12295" max="12295" width="40" style="1841" customWidth="1"/>
    <col min="12296" max="12296" width="11.33203125" style="1841" customWidth="1"/>
    <col min="12297" max="12297" width="11" style="1841" customWidth="1"/>
    <col min="12298" max="12298" width="10.5546875" style="1841" customWidth="1"/>
    <col min="12299" max="12299" width="13.88671875" style="1841" customWidth="1"/>
    <col min="12300" max="12549" width="8.88671875" style="1841"/>
    <col min="12550" max="12550" width="5.33203125" style="1841" customWidth="1"/>
    <col min="12551" max="12551" width="40" style="1841" customWidth="1"/>
    <col min="12552" max="12552" width="11.33203125" style="1841" customWidth="1"/>
    <col min="12553" max="12553" width="11" style="1841" customWidth="1"/>
    <col min="12554" max="12554" width="10.5546875" style="1841" customWidth="1"/>
    <col min="12555" max="12555" width="13.88671875" style="1841" customWidth="1"/>
    <col min="12556" max="12805" width="8.88671875" style="1841"/>
    <col min="12806" max="12806" width="5.33203125" style="1841" customWidth="1"/>
    <col min="12807" max="12807" width="40" style="1841" customWidth="1"/>
    <col min="12808" max="12808" width="11.33203125" style="1841" customWidth="1"/>
    <col min="12809" max="12809" width="11" style="1841" customWidth="1"/>
    <col min="12810" max="12810" width="10.5546875" style="1841" customWidth="1"/>
    <col min="12811" max="12811" width="13.88671875" style="1841" customWidth="1"/>
    <col min="12812" max="13061" width="8.88671875" style="1841"/>
    <col min="13062" max="13062" width="5.33203125" style="1841" customWidth="1"/>
    <col min="13063" max="13063" width="40" style="1841" customWidth="1"/>
    <col min="13064" max="13064" width="11.33203125" style="1841" customWidth="1"/>
    <col min="13065" max="13065" width="11" style="1841" customWidth="1"/>
    <col min="13066" max="13066" width="10.5546875" style="1841" customWidth="1"/>
    <col min="13067" max="13067" width="13.88671875" style="1841" customWidth="1"/>
    <col min="13068" max="13317" width="8.88671875" style="1841"/>
    <col min="13318" max="13318" width="5.33203125" style="1841" customWidth="1"/>
    <col min="13319" max="13319" width="40" style="1841" customWidth="1"/>
    <col min="13320" max="13320" width="11.33203125" style="1841" customWidth="1"/>
    <col min="13321" max="13321" width="11" style="1841" customWidth="1"/>
    <col min="13322" max="13322" width="10.5546875" style="1841" customWidth="1"/>
    <col min="13323" max="13323" width="13.88671875" style="1841" customWidth="1"/>
    <col min="13324" max="13573" width="8.88671875" style="1841"/>
    <col min="13574" max="13574" width="5.33203125" style="1841" customWidth="1"/>
    <col min="13575" max="13575" width="40" style="1841" customWidth="1"/>
    <col min="13576" max="13576" width="11.33203125" style="1841" customWidth="1"/>
    <col min="13577" max="13577" width="11" style="1841" customWidth="1"/>
    <col min="13578" max="13578" width="10.5546875" style="1841" customWidth="1"/>
    <col min="13579" max="13579" width="13.88671875" style="1841" customWidth="1"/>
    <col min="13580" max="13829" width="8.88671875" style="1841"/>
    <col min="13830" max="13830" width="5.33203125" style="1841" customWidth="1"/>
    <col min="13831" max="13831" width="40" style="1841" customWidth="1"/>
    <col min="13832" max="13832" width="11.33203125" style="1841" customWidth="1"/>
    <col min="13833" max="13833" width="11" style="1841" customWidth="1"/>
    <col min="13834" max="13834" width="10.5546875" style="1841" customWidth="1"/>
    <col min="13835" max="13835" width="13.88671875" style="1841" customWidth="1"/>
    <col min="13836" max="14085" width="8.88671875" style="1841"/>
    <col min="14086" max="14086" width="5.33203125" style="1841" customWidth="1"/>
    <col min="14087" max="14087" width="40" style="1841" customWidth="1"/>
    <col min="14088" max="14088" width="11.33203125" style="1841" customWidth="1"/>
    <col min="14089" max="14089" width="11" style="1841" customWidth="1"/>
    <col min="14090" max="14090" width="10.5546875" style="1841" customWidth="1"/>
    <col min="14091" max="14091" width="13.88671875" style="1841" customWidth="1"/>
    <col min="14092" max="14341" width="8.88671875" style="1841"/>
    <col min="14342" max="14342" width="5.33203125" style="1841" customWidth="1"/>
    <col min="14343" max="14343" width="40" style="1841" customWidth="1"/>
    <col min="14344" max="14344" width="11.33203125" style="1841" customWidth="1"/>
    <col min="14345" max="14345" width="11" style="1841" customWidth="1"/>
    <col min="14346" max="14346" width="10.5546875" style="1841" customWidth="1"/>
    <col min="14347" max="14347" width="13.88671875" style="1841" customWidth="1"/>
    <col min="14348" max="14597" width="8.88671875" style="1841"/>
    <col min="14598" max="14598" width="5.33203125" style="1841" customWidth="1"/>
    <col min="14599" max="14599" width="40" style="1841" customWidth="1"/>
    <col min="14600" max="14600" width="11.33203125" style="1841" customWidth="1"/>
    <col min="14601" max="14601" width="11" style="1841" customWidth="1"/>
    <col min="14602" max="14602" width="10.5546875" style="1841" customWidth="1"/>
    <col min="14603" max="14603" width="13.88671875" style="1841" customWidth="1"/>
    <col min="14604" max="14853" width="8.88671875" style="1841"/>
    <col min="14854" max="14854" width="5.33203125" style="1841" customWidth="1"/>
    <col min="14855" max="14855" width="40" style="1841" customWidth="1"/>
    <col min="14856" max="14856" width="11.33203125" style="1841" customWidth="1"/>
    <col min="14857" max="14857" width="11" style="1841" customWidth="1"/>
    <col min="14858" max="14858" width="10.5546875" style="1841" customWidth="1"/>
    <col min="14859" max="14859" width="13.88671875" style="1841" customWidth="1"/>
    <col min="14860" max="15109" width="8.88671875" style="1841"/>
    <col min="15110" max="15110" width="5.33203125" style="1841" customWidth="1"/>
    <col min="15111" max="15111" width="40" style="1841" customWidth="1"/>
    <col min="15112" max="15112" width="11.33203125" style="1841" customWidth="1"/>
    <col min="15113" max="15113" width="11" style="1841" customWidth="1"/>
    <col min="15114" max="15114" width="10.5546875" style="1841" customWidth="1"/>
    <col min="15115" max="15115" width="13.88671875" style="1841" customWidth="1"/>
    <col min="15116" max="15365" width="8.88671875" style="1841"/>
    <col min="15366" max="15366" width="5.33203125" style="1841" customWidth="1"/>
    <col min="15367" max="15367" width="40" style="1841" customWidth="1"/>
    <col min="15368" max="15368" width="11.33203125" style="1841" customWidth="1"/>
    <col min="15369" max="15369" width="11" style="1841" customWidth="1"/>
    <col min="15370" max="15370" width="10.5546875" style="1841" customWidth="1"/>
    <col min="15371" max="15371" width="13.88671875" style="1841" customWidth="1"/>
    <col min="15372" max="15621" width="8.88671875" style="1841"/>
    <col min="15622" max="15622" width="5.33203125" style="1841" customWidth="1"/>
    <col min="15623" max="15623" width="40" style="1841" customWidth="1"/>
    <col min="15624" max="15624" width="11.33203125" style="1841" customWidth="1"/>
    <col min="15625" max="15625" width="11" style="1841" customWidth="1"/>
    <col min="15626" max="15626" width="10.5546875" style="1841" customWidth="1"/>
    <col min="15627" max="15627" width="13.88671875" style="1841" customWidth="1"/>
    <col min="15628" max="15877" width="8.88671875" style="1841"/>
    <col min="15878" max="15878" width="5.33203125" style="1841" customWidth="1"/>
    <col min="15879" max="15879" width="40" style="1841" customWidth="1"/>
    <col min="15880" max="15880" width="11.33203125" style="1841" customWidth="1"/>
    <col min="15881" max="15881" width="11" style="1841" customWidth="1"/>
    <col min="15882" max="15882" width="10.5546875" style="1841" customWidth="1"/>
    <col min="15883" max="15883" width="13.88671875" style="1841" customWidth="1"/>
    <col min="15884" max="16133" width="8.88671875" style="1841"/>
    <col min="16134" max="16134" width="5.33203125" style="1841" customWidth="1"/>
    <col min="16135" max="16135" width="40" style="1841" customWidth="1"/>
    <col min="16136" max="16136" width="11.33203125" style="1841" customWidth="1"/>
    <col min="16137" max="16137" width="11" style="1841" customWidth="1"/>
    <col min="16138" max="16138" width="10.5546875" style="1841" customWidth="1"/>
    <col min="16139" max="16139" width="13.88671875" style="1841" customWidth="1"/>
    <col min="16140" max="16384" width="8.88671875" style="1841"/>
  </cols>
  <sheetData>
    <row r="1" spans="1:13">
      <c r="A1" s="1840" t="s">
        <v>69</v>
      </c>
      <c r="G1" s="1840" t="s">
        <v>1161</v>
      </c>
      <c r="H1" s="1840"/>
    </row>
    <row r="3" spans="1:13" ht="40.5" customHeight="1">
      <c r="A3" s="2990" t="s">
        <v>1991</v>
      </c>
      <c r="B3" s="2990"/>
      <c r="C3" s="2990"/>
      <c r="D3" s="2990"/>
      <c r="E3" s="2990"/>
      <c r="F3" s="2990"/>
      <c r="G3" s="2990"/>
      <c r="H3" s="2990"/>
      <c r="I3" s="2990"/>
      <c r="J3" s="2990"/>
      <c r="K3" s="2990"/>
      <c r="L3" s="2990"/>
    </row>
    <row r="4" spans="1:13">
      <c r="A4" s="2986" t="s">
        <v>1055</v>
      </c>
      <c r="B4" s="2986"/>
      <c r="C4" s="2986"/>
      <c r="D4" s="2986"/>
      <c r="E4" s="2986"/>
      <c r="F4" s="2986"/>
      <c r="G4" s="2986"/>
      <c r="H4" s="2986"/>
      <c r="I4" s="2986"/>
      <c r="J4" s="2986"/>
      <c r="K4" s="2986"/>
      <c r="L4" s="2986"/>
    </row>
    <row r="5" spans="1:13" ht="24" customHeight="1">
      <c r="I5" s="1842" t="s">
        <v>1162</v>
      </c>
      <c r="J5" s="3227" t="s">
        <v>1994</v>
      </c>
      <c r="K5" s="3227"/>
      <c r="L5" s="3227"/>
    </row>
    <row r="6" spans="1:13" ht="22.5" customHeight="1">
      <c r="A6" s="3003" t="s">
        <v>49</v>
      </c>
      <c r="B6" s="3003" t="s">
        <v>1995</v>
      </c>
      <c r="C6" s="3224" t="s">
        <v>1164</v>
      </c>
      <c r="D6" s="3225"/>
      <c r="E6" s="3225"/>
      <c r="F6" s="3225"/>
      <c r="G6" s="3225"/>
      <c r="H6" s="3225"/>
      <c r="I6" s="3225"/>
      <c r="J6" s="3225"/>
      <c r="K6" s="3225"/>
      <c r="L6" s="3226"/>
    </row>
    <row r="7" spans="1:13" ht="67.5" customHeight="1">
      <c r="A7" s="3003"/>
      <c r="B7" s="3003"/>
      <c r="C7" s="2732" t="s">
        <v>1165</v>
      </c>
      <c r="D7" s="2810" t="s">
        <v>1165</v>
      </c>
      <c r="E7" s="2732" t="s">
        <v>1166</v>
      </c>
      <c r="F7" s="2810" t="s">
        <v>1166</v>
      </c>
      <c r="G7" s="2732" t="s">
        <v>216</v>
      </c>
      <c r="H7" s="2810" t="s">
        <v>216</v>
      </c>
      <c r="I7" s="2732" t="s">
        <v>1493</v>
      </c>
      <c r="J7" s="2810" t="s">
        <v>1493</v>
      </c>
      <c r="K7" s="3216" t="s">
        <v>1494</v>
      </c>
      <c r="L7" s="3216" t="s">
        <v>1494</v>
      </c>
      <c r="M7" s="2779" t="s">
        <v>1993</v>
      </c>
    </row>
    <row r="8" spans="1:13">
      <c r="A8" s="2736" t="s">
        <v>80</v>
      </c>
      <c r="B8" s="2736" t="s">
        <v>81</v>
      </c>
      <c r="C8" s="2736">
        <v>1</v>
      </c>
      <c r="D8" s="2811">
        <v>1</v>
      </c>
      <c r="E8" s="2736">
        <v>2</v>
      </c>
      <c r="F8" s="2811">
        <v>2</v>
      </c>
      <c r="G8" s="2736">
        <v>3</v>
      </c>
      <c r="H8" s="2811">
        <v>3</v>
      </c>
      <c r="I8" s="2736">
        <v>4</v>
      </c>
      <c r="J8" s="2811">
        <v>4</v>
      </c>
      <c r="K8" s="2754"/>
      <c r="L8" s="2812">
        <v>5</v>
      </c>
      <c r="M8" s="1864"/>
    </row>
    <row r="9" spans="1:13">
      <c r="A9" s="2811">
        <v>1</v>
      </c>
      <c r="B9" s="3246" t="s">
        <v>1992</v>
      </c>
      <c r="C9" s="3217">
        <f>SUM('Bieu so 02'!D19,'Bieu so 02'!D26,'Bieu so 02'!D33,'Bieu so 02'!D40)</f>
        <v>931502</v>
      </c>
      <c r="D9" s="3222">
        <f>C9/$C$19%</f>
        <v>81.468440339691625</v>
      </c>
      <c r="E9" s="3217">
        <f>SUM('Bieu so 02'!D21,'Bieu so 02'!D28,'Bieu so 02'!D35,'Bieu so 02'!D42)</f>
        <v>396725</v>
      </c>
      <c r="F9" s="3222">
        <f>E9/$E$19%</f>
        <v>95.001197318007669</v>
      </c>
      <c r="G9" s="3217">
        <f>'Bieu so 02'!D58</f>
        <v>232200</v>
      </c>
      <c r="H9" s="3222">
        <f>G9/$G$19%</f>
        <v>69.31343283582089</v>
      </c>
      <c r="I9" s="3217">
        <f>SUM('Bieu so 02'!D20,'Bieu so 02'!D27,'Bieu so 02'!D34,'Bieu so 02'!D41)</f>
        <v>990</v>
      </c>
      <c r="J9" s="3222">
        <f>I9/$I$19%</f>
        <v>24.087591240875913</v>
      </c>
      <c r="K9" s="3220">
        <f>SUM('Bieu so 02'!D22,'Bieu so 02'!D29,'Bieu so 02'!D36,'Bieu so 02'!D43)</f>
        <v>9293</v>
      </c>
      <c r="L9" s="3223">
        <f>K9/$K$19%</f>
        <v>86.850467289719631</v>
      </c>
      <c r="M9" s="3221">
        <f>SUM(C9:K9)</f>
        <v>1570979.8706617344</v>
      </c>
    </row>
    <row r="10" spans="1:13" ht="13.8">
      <c r="A10" s="3247">
        <v>2</v>
      </c>
      <c r="B10" s="3248" t="s">
        <v>28</v>
      </c>
      <c r="C10" s="3218">
        <f>SUM('Bieu so 02'!F40)</f>
        <v>68400</v>
      </c>
      <c r="D10" s="3222">
        <f t="shared" ref="D10:D18" si="0">C10/$C$19%</f>
        <v>5.9822107942171963</v>
      </c>
      <c r="E10" s="3218">
        <f>'Bieu so 02'!F42</f>
        <v>8650</v>
      </c>
      <c r="F10" s="3222">
        <f t="shared" ref="F10:F18" si="1">E10/$E$19%</f>
        <v>2.071360153256705</v>
      </c>
      <c r="G10" s="3218">
        <f>'Bieu so 02'!F58</f>
        <v>35000</v>
      </c>
      <c r="H10" s="3222">
        <f t="shared" ref="H10:H18" si="2">G10/$G$19%</f>
        <v>10.447761194029852</v>
      </c>
      <c r="I10" s="3218">
        <f>SUM('Bieu so 02'!F41)</f>
        <v>750</v>
      </c>
      <c r="J10" s="3222">
        <f t="shared" ref="J10:J18" si="3">I10/$I$19%</f>
        <v>18.248175182481752</v>
      </c>
      <c r="K10" s="3220">
        <f>'Bieu so 02'!F43</f>
        <v>700</v>
      </c>
      <c r="L10" s="3223">
        <f t="shared" ref="L10:L18" si="4">K10/$K$19%</f>
        <v>6.5420560747663554</v>
      </c>
      <c r="M10" s="3221">
        <f t="shared" ref="M10:M19" si="5">SUM(C10:K10)</f>
        <v>113536.74950732398</v>
      </c>
    </row>
    <row r="11" spans="1:13" ht="13.8">
      <c r="A11" s="2811">
        <v>3</v>
      </c>
      <c r="B11" s="3248" t="s">
        <v>82</v>
      </c>
      <c r="C11" s="3218">
        <f>'Bieu so 02'!H40</f>
        <v>19470</v>
      </c>
      <c r="D11" s="3222">
        <f t="shared" si="0"/>
        <v>1.7028310550205967</v>
      </c>
      <c r="E11" s="3218">
        <f>'Bieu so 02'!H42</f>
        <v>1490</v>
      </c>
      <c r="F11" s="3222">
        <f t="shared" si="1"/>
        <v>0.35680076628352492</v>
      </c>
      <c r="G11" s="3218">
        <f>'Bieu so 02'!H58</f>
        <v>9700</v>
      </c>
      <c r="H11" s="3222">
        <f t="shared" si="2"/>
        <v>2.8955223880597014</v>
      </c>
      <c r="I11" s="3218">
        <f>'Bieu so 02'!H41</f>
        <v>30</v>
      </c>
      <c r="J11" s="3222">
        <f t="shared" si="3"/>
        <v>0.72992700729927007</v>
      </c>
      <c r="K11" s="3220">
        <f>'Bieu so 02'!H43</f>
        <v>10</v>
      </c>
      <c r="L11" s="3223">
        <f t="shared" si="4"/>
        <v>9.3457943925233641E-2</v>
      </c>
      <c r="M11" s="3221">
        <f t="shared" si="5"/>
        <v>30705.685081216659</v>
      </c>
    </row>
    <row r="12" spans="1:13" ht="13.8">
      <c r="A12" s="3247">
        <v>4</v>
      </c>
      <c r="B12" s="3248" t="s">
        <v>83</v>
      </c>
      <c r="C12" s="3218">
        <f>'Bieu so 02'!I40</f>
        <v>13785</v>
      </c>
      <c r="D12" s="3222">
        <f t="shared" si="0"/>
        <v>1.2056253771678955</v>
      </c>
      <c r="E12" s="3218">
        <f>'Bieu so 02'!I42</f>
        <v>1600</v>
      </c>
      <c r="F12" s="3222">
        <f t="shared" si="1"/>
        <v>0.38314176245210729</v>
      </c>
      <c r="G12" s="3218">
        <f>'Bieu so 02'!I58</f>
        <v>8400</v>
      </c>
      <c r="H12" s="3222">
        <f t="shared" si="2"/>
        <v>2.5074626865671643</v>
      </c>
      <c r="I12" s="3218">
        <f>'Bieu so 02'!I41</f>
        <v>60</v>
      </c>
      <c r="J12" s="3222">
        <f t="shared" si="3"/>
        <v>1.4598540145985401</v>
      </c>
      <c r="K12" s="3220">
        <f>'Bieu so 02'!I43</f>
        <v>55</v>
      </c>
      <c r="L12" s="3223">
        <f t="shared" si="4"/>
        <v>0.51401869158878499</v>
      </c>
      <c r="M12" s="3221">
        <f t="shared" si="5"/>
        <v>23905.556083840787</v>
      </c>
    </row>
    <row r="13" spans="1:13" ht="13.8">
      <c r="A13" s="2811">
        <v>5</v>
      </c>
      <c r="B13" s="3248" t="s">
        <v>84</v>
      </c>
      <c r="C13" s="3218">
        <f>'Bieu so 02'!J40</f>
        <v>21100</v>
      </c>
      <c r="D13" s="3222">
        <f t="shared" si="0"/>
        <v>1.8453895871050123</v>
      </c>
      <c r="E13" s="3218">
        <f>'Bieu so 02'!J42</f>
        <v>2200</v>
      </c>
      <c r="F13" s="3222">
        <f t="shared" si="1"/>
        <v>0.52681992337164751</v>
      </c>
      <c r="G13" s="3218">
        <f>'Bieu so 02'!J58</f>
        <v>13100</v>
      </c>
      <c r="H13" s="3222">
        <f t="shared" si="2"/>
        <v>3.91044776119403</v>
      </c>
      <c r="I13" s="3218">
        <f>'Bieu so 02'!J41</f>
        <v>1700</v>
      </c>
      <c r="J13" s="3222">
        <f t="shared" si="3"/>
        <v>41.362530413625301</v>
      </c>
      <c r="K13" s="3220">
        <f>'Bieu so 02'!J43</f>
        <v>0</v>
      </c>
      <c r="L13" s="3223">
        <f t="shared" si="4"/>
        <v>0</v>
      </c>
      <c r="M13" s="3221">
        <f t="shared" si="5"/>
        <v>38147.645187685288</v>
      </c>
    </row>
    <row r="14" spans="1:13" ht="13.8">
      <c r="A14" s="3247">
        <v>6</v>
      </c>
      <c r="B14" s="3248" t="s">
        <v>85</v>
      </c>
      <c r="C14" s="3218">
        <f>'Bieu so 02'!K40</f>
        <v>11028</v>
      </c>
      <c r="D14" s="3222">
        <f t="shared" si="0"/>
        <v>0.96450030173431645</v>
      </c>
      <c r="E14" s="3218">
        <f>'Bieu so 02'!K42</f>
        <v>445</v>
      </c>
      <c r="F14" s="3222">
        <f t="shared" si="1"/>
        <v>0.10656130268199233</v>
      </c>
      <c r="G14" s="3218">
        <f>'Bieu so 02'!K58</f>
        <v>5000</v>
      </c>
      <c r="H14" s="3222">
        <f t="shared" si="2"/>
        <v>1.4925373134328359</v>
      </c>
      <c r="I14" s="3218">
        <f>'Bieu so 02'!K41</f>
        <v>0</v>
      </c>
      <c r="J14" s="3222">
        <f t="shared" si="3"/>
        <v>0</v>
      </c>
      <c r="K14" s="3220">
        <f>'Bieu so 02'!K43</f>
        <v>17</v>
      </c>
      <c r="L14" s="3223">
        <f t="shared" si="4"/>
        <v>0.15887850467289719</v>
      </c>
      <c r="M14" s="3221">
        <f t="shared" si="5"/>
        <v>16492.563598917848</v>
      </c>
    </row>
    <row r="15" spans="1:13" ht="13.8">
      <c r="A15" s="2811">
        <v>7</v>
      </c>
      <c r="B15" s="3248" t="s">
        <v>86</v>
      </c>
      <c r="C15" s="3218">
        <f>'Bieu so 02'!L40</f>
        <v>13770</v>
      </c>
      <c r="D15" s="3222">
        <f t="shared" si="0"/>
        <v>1.2043134888358302</v>
      </c>
      <c r="E15" s="3218">
        <f>'Bieu so 02'!L42</f>
        <v>1600</v>
      </c>
      <c r="F15" s="3222">
        <f t="shared" si="1"/>
        <v>0.38314176245210729</v>
      </c>
      <c r="G15" s="3218">
        <f>'Bieu so 02'!L58</f>
        <v>8400</v>
      </c>
      <c r="H15" s="3222">
        <f t="shared" si="2"/>
        <v>2.5074626865671643</v>
      </c>
      <c r="I15" s="3218">
        <f>'Bieu so 02'!L41</f>
        <v>90</v>
      </c>
      <c r="J15" s="3222">
        <f t="shared" si="3"/>
        <v>2.1897810218978102</v>
      </c>
      <c r="K15" s="3220">
        <f>'Bieu so 02'!L43</f>
        <v>40</v>
      </c>
      <c r="L15" s="3223">
        <f t="shared" si="4"/>
        <v>0.37383177570093457</v>
      </c>
      <c r="M15" s="3221">
        <f t="shared" si="5"/>
        <v>23906.284698959753</v>
      </c>
    </row>
    <row r="16" spans="1:13" ht="13.8">
      <c r="A16" s="3247">
        <v>8</v>
      </c>
      <c r="B16" s="3248" t="s">
        <v>87</v>
      </c>
      <c r="C16" s="3218">
        <f>'Bieu so 02'!M40</f>
        <v>7600</v>
      </c>
      <c r="D16" s="3222">
        <f t="shared" si="0"/>
        <v>0.66469008824635512</v>
      </c>
      <c r="E16" s="3218">
        <f>'Bieu so 02'!M42</f>
        <v>1190</v>
      </c>
      <c r="F16" s="3222">
        <f t="shared" si="1"/>
        <v>0.28496168582375481</v>
      </c>
      <c r="G16" s="3218">
        <f>'Bieu so 02'!M58</f>
        <v>6500</v>
      </c>
      <c r="H16" s="3222">
        <f t="shared" si="2"/>
        <v>1.9402985074626866</v>
      </c>
      <c r="I16" s="3218">
        <f>'Bieu so 02'!M41</f>
        <v>80</v>
      </c>
      <c r="J16" s="3222">
        <f t="shared" si="3"/>
        <v>1.94647201946472</v>
      </c>
      <c r="K16" s="3220">
        <f>'Bieu so 02'!M43</f>
        <v>30</v>
      </c>
      <c r="L16" s="3223">
        <f t="shared" si="4"/>
        <v>0.28037383177570091</v>
      </c>
      <c r="M16" s="3221">
        <f t="shared" si="5"/>
        <v>15404.836422300998</v>
      </c>
    </row>
    <row r="17" spans="1:13" ht="13.8">
      <c r="A17" s="2811">
        <v>9</v>
      </c>
      <c r="B17" s="3248" t="s">
        <v>88</v>
      </c>
      <c r="C17" s="3218">
        <f>'Bieu so 02'!N40</f>
        <v>17100</v>
      </c>
      <c r="D17" s="3222">
        <f t="shared" si="0"/>
        <v>1.4955526985542991</v>
      </c>
      <c r="E17" s="3218">
        <f>'Bieu so 02'!N42</f>
        <v>2500</v>
      </c>
      <c r="F17" s="3222">
        <f t="shared" si="1"/>
        <v>0.59865900383141768</v>
      </c>
      <c r="G17" s="3218">
        <f>'Bieu so 02'!N58</f>
        <v>9200</v>
      </c>
      <c r="H17" s="3222">
        <f t="shared" si="2"/>
        <v>2.7462686567164178</v>
      </c>
      <c r="I17" s="3218">
        <f>'Bieu so 02'!N41</f>
        <v>70</v>
      </c>
      <c r="J17" s="3222">
        <f t="shared" si="3"/>
        <v>1.7031630170316301</v>
      </c>
      <c r="K17" s="3220">
        <f>'Bieu so 02'!N43</f>
        <v>30</v>
      </c>
      <c r="L17" s="3223">
        <f t="shared" si="4"/>
        <v>0.28037383177570091</v>
      </c>
      <c r="M17" s="3221">
        <f t="shared" si="5"/>
        <v>28906.543643376132</v>
      </c>
    </row>
    <row r="18" spans="1:13" ht="13.8">
      <c r="A18" s="3247">
        <v>10</v>
      </c>
      <c r="B18" s="3248" t="s">
        <v>36</v>
      </c>
      <c r="C18" s="3218">
        <f>'Bieu so 02'!G40</f>
        <v>39635</v>
      </c>
      <c r="D18" s="3222">
        <f t="shared" si="0"/>
        <v>3.4664462694268798</v>
      </c>
      <c r="E18" s="3218">
        <f>'Bieu so 02'!G42</f>
        <v>1200</v>
      </c>
      <c r="F18" s="3222">
        <f t="shared" si="1"/>
        <v>0.28735632183908044</v>
      </c>
      <c r="G18" s="3218">
        <f>'Bieu so 02'!G58</f>
        <v>7500</v>
      </c>
      <c r="H18" s="3222">
        <f t="shared" si="2"/>
        <v>2.2388059701492535</v>
      </c>
      <c r="I18" s="3218">
        <f>'Bieu so 02'!G41</f>
        <v>340</v>
      </c>
      <c r="J18" s="3222">
        <f t="shared" si="3"/>
        <v>8.2725060827250605</v>
      </c>
      <c r="K18" s="3220">
        <f>'Bieu so 02'!G43</f>
        <v>525</v>
      </c>
      <c r="L18" s="3223">
        <f t="shared" si="4"/>
        <v>4.9065420560747661</v>
      </c>
      <c r="M18" s="3221">
        <f t="shared" si="5"/>
        <v>49214.265114644135</v>
      </c>
    </row>
    <row r="19" spans="1:13" hidden="1">
      <c r="A19" s="2810"/>
      <c r="B19" s="1871" t="s">
        <v>252</v>
      </c>
      <c r="C19" s="3219">
        <f>SUM(C9:C18)</f>
        <v>1143390</v>
      </c>
      <c r="D19" s="3219">
        <f>SUM(D9:D18)</f>
        <v>100.00000000000003</v>
      </c>
      <c r="E19" s="3219">
        <f t="shared" ref="E19:L19" si="6">SUM(E9:E18)</f>
        <v>417600</v>
      </c>
      <c r="F19" s="3219">
        <f t="shared" si="6"/>
        <v>100.00000000000003</v>
      </c>
      <c r="G19" s="3219">
        <f t="shared" si="6"/>
        <v>335000</v>
      </c>
      <c r="H19" s="3219">
        <f t="shared" si="6"/>
        <v>100.00000000000001</v>
      </c>
      <c r="I19" s="3219">
        <f t="shared" si="6"/>
        <v>4110</v>
      </c>
      <c r="J19" s="3219">
        <f t="shared" si="6"/>
        <v>100</v>
      </c>
      <c r="K19" s="3219">
        <f t="shared" si="6"/>
        <v>10700</v>
      </c>
      <c r="L19" s="3219">
        <f t="shared" si="6"/>
        <v>100.00000000000001</v>
      </c>
      <c r="M19" s="3221">
        <f t="shared" si="5"/>
        <v>1911200</v>
      </c>
    </row>
  </sheetData>
  <mergeCells count="6">
    <mergeCell ref="A6:A7"/>
    <mergeCell ref="B6:B7"/>
    <mergeCell ref="C6:L6"/>
    <mergeCell ref="J5:L5"/>
    <mergeCell ref="A3:L3"/>
    <mergeCell ref="A4:L4"/>
  </mergeCells>
  <pageMargins left="0.7" right="0.31" top="0.43" bottom="0.36"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K10" sqref="K10"/>
    </sheetView>
  </sheetViews>
  <sheetFormatPr defaultRowHeight="13.2"/>
  <cols>
    <col min="1" max="1" width="5.109375" style="1841" customWidth="1"/>
    <col min="2" max="2" width="37.5546875" style="1841" customWidth="1"/>
    <col min="3" max="3" width="13.21875" style="1841" customWidth="1"/>
    <col min="4" max="5" width="10.44140625" style="1841" customWidth="1"/>
    <col min="6" max="6" width="11.109375" style="1841" customWidth="1"/>
    <col min="7" max="7" width="8.88671875" style="1841"/>
    <col min="8" max="8" width="8" style="1841" customWidth="1"/>
    <col min="9" max="9" width="9" style="1841" customWidth="1"/>
    <col min="10" max="10" width="0" style="1841" hidden="1" customWidth="1"/>
    <col min="11" max="11" width="10.21875" style="1841" customWidth="1"/>
    <col min="12" max="257" width="8.88671875" style="1841"/>
    <col min="258" max="258" width="5.109375" style="1841" customWidth="1"/>
    <col min="259" max="259" width="18" style="1841" customWidth="1"/>
    <col min="260" max="513" width="8.88671875" style="1841"/>
    <col min="514" max="514" width="5.109375" style="1841" customWidth="1"/>
    <col min="515" max="515" width="18" style="1841" customWidth="1"/>
    <col min="516" max="769" width="8.88671875" style="1841"/>
    <col min="770" max="770" width="5.109375" style="1841" customWidth="1"/>
    <col min="771" max="771" width="18" style="1841" customWidth="1"/>
    <col min="772" max="1025" width="8.88671875" style="1841"/>
    <col min="1026" max="1026" width="5.109375" style="1841" customWidth="1"/>
    <col min="1027" max="1027" width="18" style="1841" customWidth="1"/>
    <col min="1028" max="1281" width="8.88671875" style="1841"/>
    <col min="1282" max="1282" width="5.109375" style="1841" customWidth="1"/>
    <col min="1283" max="1283" width="18" style="1841" customWidth="1"/>
    <col min="1284" max="1537" width="8.88671875" style="1841"/>
    <col min="1538" max="1538" width="5.109375" style="1841" customWidth="1"/>
    <col min="1539" max="1539" width="18" style="1841" customWidth="1"/>
    <col min="1540" max="1793" width="8.88671875" style="1841"/>
    <col min="1794" max="1794" width="5.109375" style="1841" customWidth="1"/>
    <col min="1795" max="1795" width="18" style="1841" customWidth="1"/>
    <col min="1796" max="2049" width="8.88671875" style="1841"/>
    <col min="2050" max="2050" width="5.109375" style="1841" customWidth="1"/>
    <col min="2051" max="2051" width="18" style="1841" customWidth="1"/>
    <col min="2052" max="2305" width="8.88671875" style="1841"/>
    <col min="2306" max="2306" width="5.109375" style="1841" customWidth="1"/>
    <col min="2307" max="2307" width="18" style="1841" customWidth="1"/>
    <col min="2308" max="2561" width="8.88671875" style="1841"/>
    <col min="2562" max="2562" width="5.109375" style="1841" customWidth="1"/>
    <col min="2563" max="2563" width="18" style="1841" customWidth="1"/>
    <col min="2564" max="2817" width="8.88671875" style="1841"/>
    <col min="2818" max="2818" width="5.109375" style="1841" customWidth="1"/>
    <col min="2819" max="2819" width="18" style="1841" customWidth="1"/>
    <col min="2820" max="3073" width="8.88671875" style="1841"/>
    <col min="3074" max="3074" width="5.109375" style="1841" customWidth="1"/>
    <col min="3075" max="3075" width="18" style="1841" customWidth="1"/>
    <col min="3076" max="3329" width="8.88671875" style="1841"/>
    <col min="3330" max="3330" width="5.109375" style="1841" customWidth="1"/>
    <col min="3331" max="3331" width="18" style="1841" customWidth="1"/>
    <col min="3332" max="3585" width="8.88671875" style="1841"/>
    <col min="3586" max="3586" width="5.109375" style="1841" customWidth="1"/>
    <col min="3587" max="3587" width="18" style="1841" customWidth="1"/>
    <col min="3588" max="3841" width="8.88671875" style="1841"/>
    <col min="3842" max="3842" width="5.109375" style="1841" customWidth="1"/>
    <col min="3843" max="3843" width="18" style="1841" customWidth="1"/>
    <col min="3844" max="4097" width="8.88671875" style="1841"/>
    <col min="4098" max="4098" width="5.109375" style="1841" customWidth="1"/>
    <col min="4099" max="4099" width="18" style="1841" customWidth="1"/>
    <col min="4100" max="4353" width="8.88671875" style="1841"/>
    <col min="4354" max="4354" width="5.109375" style="1841" customWidth="1"/>
    <col min="4355" max="4355" width="18" style="1841" customWidth="1"/>
    <col min="4356" max="4609" width="8.88671875" style="1841"/>
    <col min="4610" max="4610" width="5.109375" style="1841" customWidth="1"/>
    <col min="4611" max="4611" width="18" style="1841" customWidth="1"/>
    <col min="4612" max="4865" width="8.88671875" style="1841"/>
    <col min="4866" max="4866" width="5.109375" style="1841" customWidth="1"/>
    <col min="4867" max="4867" width="18" style="1841" customWidth="1"/>
    <col min="4868" max="5121" width="8.88671875" style="1841"/>
    <col min="5122" max="5122" width="5.109375" style="1841" customWidth="1"/>
    <col min="5123" max="5123" width="18" style="1841" customWidth="1"/>
    <col min="5124" max="5377" width="8.88671875" style="1841"/>
    <col min="5378" max="5378" width="5.109375" style="1841" customWidth="1"/>
    <col min="5379" max="5379" width="18" style="1841" customWidth="1"/>
    <col min="5380" max="5633" width="8.88671875" style="1841"/>
    <col min="5634" max="5634" width="5.109375" style="1841" customWidth="1"/>
    <col min="5635" max="5635" width="18" style="1841" customWidth="1"/>
    <col min="5636" max="5889" width="8.88671875" style="1841"/>
    <col min="5890" max="5890" width="5.109375" style="1841" customWidth="1"/>
    <col min="5891" max="5891" width="18" style="1841" customWidth="1"/>
    <col min="5892" max="6145" width="8.88671875" style="1841"/>
    <col min="6146" max="6146" width="5.109375" style="1841" customWidth="1"/>
    <col min="6147" max="6147" width="18" style="1841" customWidth="1"/>
    <col min="6148" max="6401" width="8.88671875" style="1841"/>
    <col min="6402" max="6402" width="5.109375" style="1841" customWidth="1"/>
    <col min="6403" max="6403" width="18" style="1841" customWidth="1"/>
    <col min="6404" max="6657" width="8.88671875" style="1841"/>
    <col min="6658" max="6658" width="5.109375" style="1841" customWidth="1"/>
    <col min="6659" max="6659" width="18" style="1841" customWidth="1"/>
    <col min="6660" max="6913" width="8.88671875" style="1841"/>
    <col min="6914" max="6914" width="5.109375" style="1841" customWidth="1"/>
    <col min="6915" max="6915" width="18" style="1841" customWidth="1"/>
    <col min="6916" max="7169" width="8.88671875" style="1841"/>
    <col min="7170" max="7170" width="5.109375" style="1841" customWidth="1"/>
    <col min="7171" max="7171" width="18" style="1841" customWidth="1"/>
    <col min="7172" max="7425" width="8.88671875" style="1841"/>
    <col min="7426" max="7426" width="5.109375" style="1841" customWidth="1"/>
    <col min="7427" max="7427" width="18" style="1841" customWidth="1"/>
    <col min="7428" max="7681" width="8.88671875" style="1841"/>
    <col min="7682" max="7682" width="5.109375" style="1841" customWidth="1"/>
    <col min="7683" max="7683" width="18" style="1841" customWidth="1"/>
    <col min="7684" max="7937" width="8.88671875" style="1841"/>
    <col min="7938" max="7938" width="5.109375" style="1841" customWidth="1"/>
    <col min="7939" max="7939" width="18" style="1841" customWidth="1"/>
    <col min="7940" max="8193" width="8.88671875" style="1841"/>
    <col min="8194" max="8194" width="5.109375" style="1841" customWidth="1"/>
    <col min="8195" max="8195" width="18" style="1841" customWidth="1"/>
    <col min="8196" max="8449" width="8.88671875" style="1841"/>
    <col min="8450" max="8450" width="5.109375" style="1841" customWidth="1"/>
    <col min="8451" max="8451" width="18" style="1841" customWidth="1"/>
    <col min="8452" max="8705" width="8.88671875" style="1841"/>
    <col min="8706" max="8706" width="5.109375" style="1841" customWidth="1"/>
    <col min="8707" max="8707" width="18" style="1841" customWidth="1"/>
    <col min="8708" max="8961" width="8.88671875" style="1841"/>
    <col min="8962" max="8962" width="5.109375" style="1841" customWidth="1"/>
    <col min="8963" max="8963" width="18" style="1841" customWidth="1"/>
    <col min="8964" max="9217" width="8.88671875" style="1841"/>
    <col min="9218" max="9218" width="5.109375" style="1841" customWidth="1"/>
    <col min="9219" max="9219" width="18" style="1841" customWidth="1"/>
    <col min="9220" max="9473" width="8.88671875" style="1841"/>
    <col min="9474" max="9474" width="5.109375" style="1841" customWidth="1"/>
    <col min="9475" max="9475" width="18" style="1841" customWidth="1"/>
    <col min="9476" max="9729" width="8.88671875" style="1841"/>
    <col min="9730" max="9730" width="5.109375" style="1841" customWidth="1"/>
    <col min="9731" max="9731" width="18" style="1841" customWidth="1"/>
    <col min="9732" max="9985" width="8.88671875" style="1841"/>
    <col min="9986" max="9986" width="5.109375" style="1841" customWidth="1"/>
    <col min="9987" max="9987" width="18" style="1841" customWidth="1"/>
    <col min="9988" max="10241" width="8.88671875" style="1841"/>
    <col min="10242" max="10242" width="5.109375" style="1841" customWidth="1"/>
    <col min="10243" max="10243" width="18" style="1841" customWidth="1"/>
    <col min="10244" max="10497" width="8.88671875" style="1841"/>
    <col min="10498" max="10498" width="5.109375" style="1841" customWidth="1"/>
    <col min="10499" max="10499" width="18" style="1841" customWidth="1"/>
    <col min="10500" max="10753" width="8.88671875" style="1841"/>
    <col min="10754" max="10754" width="5.109375" style="1841" customWidth="1"/>
    <col min="10755" max="10755" width="18" style="1841" customWidth="1"/>
    <col min="10756" max="11009" width="8.88671875" style="1841"/>
    <col min="11010" max="11010" width="5.109375" style="1841" customWidth="1"/>
    <col min="11011" max="11011" width="18" style="1841" customWidth="1"/>
    <col min="11012" max="11265" width="8.88671875" style="1841"/>
    <col min="11266" max="11266" width="5.109375" style="1841" customWidth="1"/>
    <col min="11267" max="11267" width="18" style="1841" customWidth="1"/>
    <col min="11268" max="11521" width="8.88671875" style="1841"/>
    <col min="11522" max="11522" width="5.109375" style="1841" customWidth="1"/>
    <col min="11523" max="11523" width="18" style="1841" customWidth="1"/>
    <col min="11524" max="11777" width="8.88671875" style="1841"/>
    <col min="11778" max="11778" width="5.109375" style="1841" customWidth="1"/>
    <col min="11779" max="11779" width="18" style="1841" customWidth="1"/>
    <col min="11780" max="12033" width="8.88671875" style="1841"/>
    <col min="12034" max="12034" width="5.109375" style="1841" customWidth="1"/>
    <col min="12035" max="12035" width="18" style="1841" customWidth="1"/>
    <col min="12036" max="12289" width="8.88671875" style="1841"/>
    <col min="12290" max="12290" width="5.109375" style="1841" customWidth="1"/>
    <col min="12291" max="12291" width="18" style="1841" customWidth="1"/>
    <col min="12292" max="12545" width="8.88671875" style="1841"/>
    <col min="12546" max="12546" width="5.109375" style="1841" customWidth="1"/>
    <col min="12547" max="12547" width="18" style="1841" customWidth="1"/>
    <col min="12548" max="12801" width="8.88671875" style="1841"/>
    <col min="12802" max="12802" width="5.109375" style="1841" customWidth="1"/>
    <col min="12803" max="12803" width="18" style="1841" customWidth="1"/>
    <col min="12804" max="13057" width="8.88671875" style="1841"/>
    <col min="13058" max="13058" width="5.109375" style="1841" customWidth="1"/>
    <col min="13059" max="13059" width="18" style="1841" customWidth="1"/>
    <col min="13060" max="13313" width="8.88671875" style="1841"/>
    <col min="13314" max="13314" width="5.109375" style="1841" customWidth="1"/>
    <col min="13315" max="13315" width="18" style="1841" customWidth="1"/>
    <col min="13316" max="13569" width="8.88671875" style="1841"/>
    <col min="13570" max="13570" width="5.109375" style="1841" customWidth="1"/>
    <col min="13571" max="13571" width="18" style="1841" customWidth="1"/>
    <col min="13572" max="13825" width="8.88671875" style="1841"/>
    <col min="13826" max="13826" width="5.109375" style="1841" customWidth="1"/>
    <col min="13827" max="13827" width="18" style="1841" customWidth="1"/>
    <col min="13828" max="14081" width="8.88671875" style="1841"/>
    <col min="14082" max="14082" width="5.109375" style="1841" customWidth="1"/>
    <col min="14083" max="14083" width="18" style="1841" customWidth="1"/>
    <col min="14084" max="14337" width="8.88671875" style="1841"/>
    <col min="14338" max="14338" width="5.109375" style="1841" customWidth="1"/>
    <col min="14339" max="14339" width="18" style="1841" customWidth="1"/>
    <col min="14340" max="14593" width="8.88671875" style="1841"/>
    <col min="14594" max="14594" width="5.109375" style="1841" customWidth="1"/>
    <col min="14595" max="14595" width="18" style="1841" customWidth="1"/>
    <col min="14596" max="14849" width="8.88671875" style="1841"/>
    <col min="14850" max="14850" width="5.109375" style="1841" customWidth="1"/>
    <col min="14851" max="14851" width="18" style="1841" customWidth="1"/>
    <col min="14852" max="15105" width="8.88671875" style="1841"/>
    <col min="15106" max="15106" width="5.109375" style="1841" customWidth="1"/>
    <col min="15107" max="15107" width="18" style="1841" customWidth="1"/>
    <col min="15108" max="15361" width="8.88671875" style="1841"/>
    <col min="15362" max="15362" width="5.109375" style="1841" customWidth="1"/>
    <col min="15363" max="15363" width="18" style="1841" customWidth="1"/>
    <col min="15364" max="15617" width="8.88671875" style="1841"/>
    <col min="15618" max="15618" width="5.109375" style="1841" customWidth="1"/>
    <col min="15619" max="15619" width="18" style="1841" customWidth="1"/>
    <col min="15620" max="15873" width="8.88671875" style="1841"/>
    <col min="15874" max="15874" width="5.109375" style="1841" customWidth="1"/>
    <col min="15875" max="15875" width="18" style="1841" customWidth="1"/>
    <col min="15876" max="16129" width="8.88671875" style="1841"/>
    <col min="16130" max="16130" width="5.109375" style="1841" customWidth="1"/>
    <col min="16131" max="16131" width="18" style="1841" customWidth="1"/>
    <col min="16132" max="16384" width="8.88671875" style="1841"/>
  </cols>
  <sheetData>
    <row r="1" spans="1:12">
      <c r="A1" s="1840" t="s">
        <v>69</v>
      </c>
      <c r="G1" s="1840" t="s">
        <v>1167</v>
      </c>
      <c r="H1" s="1840"/>
      <c r="I1" s="1840"/>
    </row>
    <row r="4" spans="1:12">
      <c r="A4" s="2988" t="s">
        <v>1452</v>
      </c>
      <c r="B4" s="2988"/>
      <c r="C4" s="2988"/>
      <c r="D4" s="2988"/>
      <c r="E4" s="2988"/>
      <c r="F4" s="2988"/>
      <c r="G4" s="2988"/>
      <c r="H4" s="2988"/>
      <c r="I4" s="2988"/>
      <c r="J4" s="2988"/>
      <c r="K4" s="2988"/>
    </row>
    <row r="5" spans="1:12">
      <c r="A5" s="2986" t="s">
        <v>1055</v>
      </c>
      <c r="B5" s="2986"/>
      <c r="C5" s="2986"/>
      <c r="D5" s="2986"/>
      <c r="E5" s="2986"/>
      <c r="F5" s="2986"/>
      <c r="G5" s="2986"/>
      <c r="H5" s="2986"/>
      <c r="I5" s="2986"/>
      <c r="J5" s="2986"/>
      <c r="K5" s="2986"/>
    </row>
    <row r="6" spans="1:12">
      <c r="F6" s="2621"/>
      <c r="K6" s="1842" t="s">
        <v>1056</v>
      </c>
    </row>
    <row r="7" spans="1:12" ht="37.5" customHeight="1">
      <c r="A7" s="3003" t="s">
        <v>1163</v>
      </c>
      <c r="B7" s="3003" t="s">
        <v>399</v>
      </c>
      <c r="C7" s="3004" t="s">
        <v>1453</v>
      </c>
      <c r="D7" s="3003" t="s">
        <v>1168</v>
      </c>
      <c r="E7" s="3004" t="s">
        <v>1095</v>
      </c>
      <c r="F7" s="3003" t="s">
        <v>1169</v>
      </c>
      <c r="G7" s="3003" t="s">
        <v>1170</v>
      </c>
      <c r="H7" s="3004" t="s">
        <v>388</v>
      </c>
      <c r="I7" s="3007" t="s">
        <v>832</v>
      </c>
      <c r="J7" s="3003" t="s">
        <v>1067</v>
      </c>
      <c r="K7" s="3003" t="s">
        <v>1171</v>
      </c>
    </row>
    <row r="8" spans="1:12">
      <c r="A8" s="3003"/>
      <c r="B8" s="3003"/>
      <c r="C8" s="3005"/>
      <c r="D8" s="3003"/>
      <c r="E8" s="3005"/>
      <c r="F8" s="3003"/>
      <c r="G8" s="3003"/>
      <c r="H8" s="3005"/>
      <c r="I8" s="3008"/>
      <c r="J8" s="3003"/>
      <c r="K8" s="3003"/>
    </row>
    <row r="9" spans="1:12" ht="177.6" customHeight="1">
      <c r="A9" s="3003"/>
      <c r="B9" s="3003"/>
      <c r="C9" s="3006"/>
      <c r="D9" s="3003"/>
      <c r="E9" s="3006"/>
      <c r="F9" s="3003"/>
      <c r="G9" s="3003"/>
      <c r="H9" s="3006"/>
      <c r="I9" s="3009"/>
      <c r="J9" s="3003"/>
      <c r="K9" s="3003"/>
    </row>
    <row r="10" spans="1:12">
      <c r="A10" s="1865" t="s">
        <v>80</v>
      </c>
      <c r="B10" s="1865" t="s">
        <v>81</v>
      </c>
      <c r="C10" s="1865" t="s">
        <v>1454</v>
      </c>
      <c r="D10" s="1865">
        <v>2</v>
      </c>
      <c r="E10" s="1865">
        <v>3</v>
      </c>
      <c r="F10" s="1865">
        <v>4</v>
      </c>
      <c r="G10" s="1865">
        <v>5</v>
      </c>
      <c r="H10" s="1865">
        <v>6</v>
      </c>
      <c r="I10" s="1865">
        <v>7</v>
      </c>
      <c r="J10" s="1865">
        <v>7</v>
      </c>
      <c r="K10" s="1865">
        <v>10</v>
      </c>
    </row>
    <row r="11" spans="1:12" ht="18.600000000000001" customHeight="1">
      <c r="A11" s="1866"/>
      <c r="B11" s="1871" t="s">
        <v>737</v>
      </c>
      <c r="C11" s="2717">
        <f>SUM(C12:C20)</f>
        <v>3843498</v>
      </c>
      <c r="D11" s="2716">
        <f>SUM(D12:D20)</f>
        <v>579600</v>
      </c>
      <c r="E11" s="2716">
        <f t="shared" ref="E11:G11" si="0">SUM(E12:E20)</f>
        <v>562200</v>
      </c>
      <c r="F11" s="2716">
        <f t="shared" si="0"/>
        <v>2842508</v>
      </c>
      <c r="G11" s="2716">
        <f t="shared" si="0"/>
        <v>246545</v>
      </c>
      <c r="H11" s="2716">
        <f t="shared" ref="H11" si="1">SUM(H12:H20)</f>
        <v>93200</v>
      </c>
      <c r="I11" s="2716">
        <f t="shared" ref="I11" si="2">SUM(I12:I20)</f>
        <v>99045</v>
      </c>
      <c r="J11" s="2716">
        <f t="shared" ref="J11" si="3">SUM(J12:J20)</f>
        <v>0</v>
      </c>
      <c r="K11" s="2720">
        <f t="shared" ref="K11" si="4">SUM(K12:K20)</f>
        <v>3843498</v>
      </c>
      <c r="L11" s="2621"/>
    </row>
    <row r="12" spans="1:12" ht="13.8">
      <c r="A12" s="117">
        <v>1</v>
      </c>
      <c r="B12" s="2712" t="s">
        <v>28</v>
      </c>
      <c r="C12" s="2718">
        <f t="shared" ref="C12:C20" si="5">SUM(E12,F12,G12,H12,I12)</f>
        <v>403063</v>
      </c>
      <c r="D12" s="2713">
        <v>195900</v>
      </c>
      <c r="E12" s="2713">
        <v>191900</v>
      </c>
      <c r="F12" s="2714">
        <f>'Bieu so 03'!H12</f>
        <v>175582</v>
      </c>
      <c r="G12" s="2714">
        <f>'Bieu so 03'!H13+'Bieu so 03'!H14</f>
        <v>15505</v>
      </c>
      <c r="H12" s="2714">
        <f>'Bieu so 03'!H15</f>
        <v>10066</v>
      </c>
      <c r="I12" s="2714">
        <f>'Bieu so 03'!H16</f>
        <v>10010</v>
      </c>
      <c r="J12" s="2715"/>
      <c r="K12" s="2721">
        <f>'Bieu so 03'!H24</f>
        <v>403063</v>
      </c>
    </row>
    <row r="13" spans="1:12" ht="13.8">
      <c r="A13" s="117">
        <v>2</v>
      </c>
      <c r="B13" s="118" t="s">
        <v>82</v>
      </c>
      <c r="C13" s="2719">
        <f t="shared" si="5"/>
        <v>573039</v>
      </c>
      <c r="D13" s="2709">
        <v>51000</v>
      </c>
      <c r="E13" s="2709">
        <v>50200</v>
      </c>
      <c r="F13" s="2710">
        <f>'Bieu so 03'!I12</f>
        <v>448441</v>
      </c>
      <c r="G13" s="2710">
        <f>'Bieu so 03'!I13+'Bieu so 03'!I14</f>
        <v>40395</v>
      </c>
      <c r="H13" s="2710">
        <f>'Bieu so 03'!I15</f>
        <v>14098</v>
      </c>
      <c r="I13" s="2710">
        <f>'Bieu so 03'!I16</f>
        <v>19905</v>
      </c>
      <c r="J13" s="1867"/>
      <c r="K13" s="2722">
        <f>'Bieu so 03'!I24</f>
        <v>573039</v>
      </c>
    </row>
    <row r="14" spans="1:12" ht="13.8">
      <c r="A14" s="117">
        <v>3</v>
      </c>
      <c r="B14" s="118" t="s">
        <v>83</v>
      </c>
      <c r="C14" s="2719">
        <f t="shared" si="5"/>
        <v>512512</v>
      </c>
      <c r="D14" s="2709">
        <v>42200</v>
      </c>
      <c r="E14" s="2709">
        <v>41000</v>
      </c>
      <c r="F14" s="2710">
        <f>'Bieu so 03'!J12</f>
        <v>417627</v>
      </c>
      <c r="G14" s="2710">
        <f>'Bieu so 03'!J13+'Bieu so 03'!J14</f>
        <v>37173</v>
      </c>
      <c r="H14" s="2710">
        <f>'Bieu so 03'!J15</f>
        <v>12002</v>
      </c>
      <c r="I14" s="2710">
        <f>'Bieu so 03'!J16</f>
        <v>4710</v>
      </c>
      <c r="J14" s="1867"/>
      <c r="K14" s="2722">
        <f>'Bieu so 03'!J24</f>
        <v>512512</v>
      </c>
    </row>
    <row r="15" spans="1:12" ht="13.8">
      <c r="A15" s="117">
        <v>4</v>
      </c>
      <c r="B15" s="118" t="s">
        <v>84</v>
      </c>
      <c r="C15" s="2719">
        <f t="shared" si="5"/>
        <v>512435</v>
      </c>
      <c r="D15" s="2709">
        <v>62500</v>
      </c>
      <c r="E15" s="2709">
        <v>61200</v>
      </c>
      <c r="F15" s="2710">
        <f>'Bieu so 03'!K12</f>
        <v>385681</v>
      </c>
      <c r="G15" s="2710">
        <f>'Bieu so 03'!K13+'Bieu so 03'!K14</f>
        <v>35485</v>
      </c>
      <c r="H15" s="2710">
        <f>'Bieu so 03'!K15</f>
        <v>10970</v>
      </c>
      <c r="I15" s="2710">
        <f>'Bieu so 03'!K16</f>
        <v>19099</v>
      </c>
      <c r="J15" s="1867"/>
      <c r="K15" s="2722">
        <f>'Bieu so 03'!K24</f>
        <v>512435</v>
      </c>
    </row>
    <row r="16" spans="1:12" ht="13.8">
      <c r="A16" s="117">
        <v>5</v>
      </c>
      <c r="B16" s="118" t="s">
        <v>85</v>
      </c>
      <c r="C16" s="2719">
        <f t="shared" si="5"/>
        <v>306058</v>
      </c>
      <c r="D16" s="2709">
        <v>27400</v>
      </c>
      <c r="E16" s="2709">
        <v>26000</v>
      </c>
      <c r="F16" s="2710">
        <f>'Bieu so 03'!L12</f>
        <v>244481</v>
      </c>
      <c r="G16" s="2710">
        <f>'Bieu so 03'!L13+'Bieu so 03'!L14</f>
        <v>20130</v>
      </c>
      <c r="H16" s="2710">
        <f>'Bieu so 03'!L15</f>
        <v>7352</v>
      </c>
      <c r="I16" s="2710">
        <f>'Bieu so 03'!L16</f>
        <v>8095</v>
      </c>
      <c r="J16" s="1867"/>
      <c r="K16" s="2722">
        <f>'Bieu so 03'!L24</f>
        <v>306058</v>
      </c>
    </row>
    <row r="17" spans="1:11" ht="13.8">
      <c r="A17" s="117">
        <v>6</v>
      </c>
      <c r="B17" s="118" t="s">
        <v>86</v>
      </c>
      <c r="C17" s="2719">
        <f t="shared" si="5"/>
        <v>380214</v>
      </c>
      <c r="D17" s="2709">
        <v>43500</v>
      </c>
      <c r="E17" s="2709">
        <v>40900</v>
      </c>
      <c r="F17" s="2710">
        <f>'Bieu so 03'!M12</f>
        <v>308588</v>
      </c>
      <c r="G17" s="2710">
        <f>'Bieu so 03'!M13+'Bieu so 03'!M14</f>
        <v>21443</v>
      </c>
      <c r="H17" s="2710">
        <f>'Bieu so 03'!M15</f>
        <v>10147</v>
      </c>
      <c r="I17" s="2710">
        <f>'Bieu so 03'!M16</f>
        <v>-864</v>
      </c>
      <c r="J17" s="1867"/>
      <c r="K17" s="2722">
        <f>'Bieu so 03'!M24</f>
        <v>380214</v>
      </c>
    </row>
    <row r="18" spans="1:11" ht="13.8">
      <c r="A18" s="117">
        <v>7</v>
      </c>
      <c r="B18" s="118" t="s">
        <v>87</v>
      </c>
      <c r="C18" s="2719">
        <f t="shared" si="5"/>
        <v>387297</v>
      </c>
      <c r="D18" s="2709">
        <v>31900</v>
      </c>
      <c r="E18" s="2709">
        <v>30400</v>
      </c>
      <c r="F18" s="2710">
        <f>'Bieu so 03'!N12</f>
        <v>309834</v>
      </c>
      <c r="G18" s="2710">
        <f>'Bieu so 03'!N13+'Bieu so 03'!N14</f>
        <v>27188</v>
      </c>
      <c r="H18" s="2710">
        <f>'Bieu so 03'!N15</f>
        <v>9475</v>
      </c>
      <c r="I18" s="2710">
        <f>'Bieu so 03'!N16</f>
        <v>10400</v>
      </c>
      <c r="J18" s="1867"/>
      <c r="K18" s="2722">
        <f>'Bieu so 03'!N24</f>
        <v>387297</v>
      </c>
    </row>
    <row r="19" spans="1:11" ht="13.8">
      <c r="A19" s="117">
        <v>8</v>
      </c>
      <c r="B19" s="118" t="s">
        <v>88</v>
      </c>
      <c r="C19" s="2719">
        <f t="shared" si="5"/>
        <v>550581</v>
      </c>
      <c r="D19" s="2709">
        <v>57200</v>
      </c>
      <c r="E19" s="2709">
        <v>54700</v>
      </c>
      <c r="F19" s="2710">
        <f>'Bieu so 03'!O12</f>
        <v>424184</v>
      </c>
      <c r="G19" s="2710">
        <f>'Bieu so 03'!O13+'Bieu so 03'!O14</f>
        <v>37381</v>
      </c>
      <c r="H19" s="2710">
        <f>'Bieu so 03'!O15</f>
        <v>12251</v>
      </c>
      <c r="I19" s="2710">
        <f>'Bieu so 03'!O16</f>
        <v>22065</v>
      </c>
      <c r="J19" s="1867"/>
      <c r="K19" s="2722">
        <f>'Bieu so 03'!O24</f>
        <v>550581</v>
      </c>
    </row>
    <row r="20" spans="1:11" ht="13.8">
      <c r="A20" s="117">
        <v>9</v>
      </c>
      <c r="B20" s="118" t="s">
        <v>36</v>
      </c>
      <c r="C20" s="2719">
        <f t="shared" si="5"/>
        <v>218299</v>
      </c>
      <c r="D20" s="2709">
        <v>68000</v>
      </c>
      <c r="E20" s="2709">
        <v>65900</v>
      </c>
      <c r="F20" s="2710">
        <f>'Bieu so 03'!P12</f>
        <v>128090</v>
      </c>
      <c r="G20" s="2710">
        <f>'Bieu so 03'!P13+'Bieu so 03'!P14</f>
        <v>11845</v>
      </c>
      <c r="H20" s="2710">
        <f>'Bieu so 03'!P15</f>
        <v>6839</v>
      </c>
      <c r="I20" s="2710">
        <f>'Bieu so 03'!P16</f>
        <v>5625</v>
      </c>
      <c r="J20" s="1867"/>
      <c r="K20" s="2722">
        <f>'Bieu so 03'!P24</f>
        <v>218299</v>
      </c>
    </row>
    <row r="21" spans="1:11">
      <c r="A21" s="1868" t="s">
        <v>1147</v>
      </c>
      <c r="B21" s="1869" t="s">
        <v>1147</v>
      </c>
      <c r="C21" s="1869"/>
      <c r="D21" s="1869"/>
      <c r="E21" s="1869"/>
      <c r="F21" s="1869"/>
      <c r="G21" s="1869"/>
      <c r="H21" s="1869"/>
      <c r="I21" s="1869"/>
      <c r="J21" s="1869"/>
      <c r="K21" s="1869"/>
    </row>
  </sheetData>
  <mergeCells count="13">
    <mergeCell ref="A4:K4"/>
    <mergeCell ref="A5:K5"/>
    <mergeCell ref="A7:A9"/>
    <mergeCell ref="B7:B9"/>
    <mergeCell ref="D7:D9"/>
    <mergeCell ref="F7:F9"/>
    <mergeCell ref="G7:G9"/>
    <mergeCell ref="J7:J9"/>
    <mergeCell ref="K7:K9"/>
    <mergeCell ref="H7:H9"/>
    <mergeCell ref="I7:I9"/>
    <mergeCell ref="C7:C9"/>
    <mergeCell ref="E7:E9"/>
  </mergeCells>
  <pageMargins left="0.57999999999999996" right="0.27" top="0.43" bottom="0.75" header="0.3" footer="0.3"/>
  <pageSetup orientation="landscape"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O107"/>
  <sheetViews>
    <sheetView showZeros="0" topLeftCell="C6" zoomScaleNormal="100" zoomScaleSheetLayoutView="91" workbookViewId="0">
      <selection activeCell="A64" sqref="A64"/>
    </sheetView>
  </sheetViews>
  <sheetFormatPr defaultColWidth="10" defaultRowHeight="13.2"/>
  <cols>
    <col min="1" max="1" width="4" style="2093" customWidth="1"/>
    <col min="2" max="2" width="0" style="2095" hidden="1" customWidth="1"/>
    <col min="3" max="3" width="38.44140625" style="2096" customWidth="1"/>
    <col min="4" max="4" width="17.6640625" style="2095" hidden="1" customWidth="1"/>
    <col min="5" max="5" width="17.109375" style="2095" hidden="1" customWidth="1"/>
    <col min="6" max="7" width="15.44140625" style="2095" hidden="1" customWidth="1"/>
    <col min="8" max="8" width="13" style="2095" customWidth="1"/>
    <col min="9" max="9" width="13.21875" style="2095" hidden="1" customWidth="1"/>
    <col min="10" max="10" width="11.6640625" style="2095" customWidth="1"/>
    <col min="11" max="11" width="13.21875" style="2095" hidden="1" customWidth="1"/>
    <col min="12" max="12" width="11" style="2095" customWidth="1"/>
    <col min="13" max="13" width="10.88671875" style="2095" customWidth="1"/>
    <col min="14" max="14" width="11.77734375" style="2095" customWidth="1"/>
    <col min="15" max="15" width="12" style="2095" customWidth="1"/>
    <col min="16" max="16" width="13.77734375" style="2095" hidden="1" customWidth="1"/>
    <col min="17" max="17" width="14.33203125" style="2095" hidden="1" customWidth="1"/>
    <col min="18" max="18" width="26" style="2095" hidden="1" customWidth="1"/>
    <col min="19" max="19" width="14.33203125" style="2095" hidden="1" customWidth="1"/>
    <col min="20" max="25" width="0" style="2095" hidden="1" customWidth="1"/>
    <col min="26" max="26" width="20.44140625" style="2095" hidden="1" customWidth="1"/>
    <col min="27" max="27" width="0" style="2095" hidden="1" customWidth="1"/>
    <col min="28" max="28" width="19.5546875" style="2095" hidden="1" customWidth="1"/>
    <col min="29" max="29" width="16.21875" style="2095" hidden="1" customWidth="1"/>
    <col min="30" max="30" width="15.5546875" style="2095" hidden="1" customWidth="1"/>
    <col min="31" max="31" width="19.33203125" style="2095" hidden="1" customWidth="1"/>
    <col min="32" max="32" width="21.77734375" style="2095" hidden="1" customWidth="1"/>
    <col min="33" max="33" width="11.88671875" style="2095" customWidth="1"/>
    <col min="34" max="35" width="0" style="2095" hidden="1" customWidth="1"/>
    <col min="36" max="36" width="11.5546875" style="2095" hidden="1" customWidth="1"/>
    <col min="37" max="37" width="12.21875" style="2095" hidden="1" customWidth="1"/>
    <col min="38" max="38" width="8.6640625" style="2095" customWidth="1"/>
    <col min="39" max="39" width="8.109375" style="2095" customWidth="1"/>
    <col min="40" max="40" width="8" style="2095" customWidth="1"/>
    <col min="41" max="41" width="11.44140625" style="2095" bestFit="1" customWidth="1"/>
    <col min="42" max="256" width="10" style="2095"/>
    <col min="257" max="257" width="4" style="2095" customWidth="1"/>
    <col min="258" max="258" width="0" style="2095" hidden="1" customWidth="1"/>
    <col min="259" max="259" width="38.44140625" style="2095" customWidth="1"/>
    <col min="260" max="263" width="0" style="2095" hidden="1" customWidth="1"/>
    <col min="264" max="264" width="13" style="2095" customWidth="1"/>
    <col min="265" max="265" width="0" style="2095" hidden="1" customWidth="1"/>
    <col min="266" max="266" width="11.6640625" style="2095" customWidth="1"/>
    <col min="267" max="267" width="0" style="2095" hidden="1" customWidth="1"/>
    <col min="268" max="268" width="11" style="2095" customWidth="1"/>
    <col min="269" max="269" width="10.88671875" style="2095" customWidth="1"/>
    <col min="270" max="270" width="11.77734375" style="2095" customWidth="1"/>
    <col min="271" max="271" width="12" style="2095" customWidth="1"/>
    <col min="272" max="288" width="0" style="2095" hidden="1" customWidth="1"/>
    <col min="289" max="289" width="11.88671875" style="2095" customWidth="1"/>
    <col min="290" max="293" width="0" style="2095" hidden="1" customWidth="1"/>
    <col min="294" max="294" width="8.6640625" style="2095" customWidth="1"/>
    <col min="295" max="295" width="8.109375" style="2095" customWidth="1"/>
    <col min="296" max="296" width="8" style="2095" customWidth="1"/>
    <col min="297" max="297" width="11.44140625" style="2095" bestFit="1" customWidth="1"/>
    <col min="298" max="512" width="10" style="2095"/>
    <col min="513" max="513" width="4" style="2095" customWidth="1"/>
    <col min="514" max="514" width="0" style="2095" hidden="1" customWidth="1"/>
    <col min="515" max="515" width="38.44140625" style="2095" customWidth="1"/>
    <col min="516" max="519" width="0" style="2095" hidden="1" customWidth="1"/>
    <col min="520" max="520" width="13" style="2095" customWidth="1"/>
    <col min="521" max="521" width="0" style="2095" hidden="1" customWidth="1"/>
    <col min="522" max="522" width="11.6640625" style="2095" customWidth="1"/>
    <col min="523" max="523" width="0" style="2095" hidden="1" customWidth="1"/>
    <col min="524" max="524" width="11" style="2095" customWidth="1"/>
    <col min="525" max="525" width="10.88671875" style="2095" customWidth="1"/>
    <col min="526" max="526" width="11.77734375" style="2095" customWidth="1"/>
    <col min="527" max="527" width="12" style="2095" customWidth="1"/>
    <col min="528" max="544" width="0" style="2095" hidden="1" customWidth="1"/>
    <col min="545" max="545" width="11.88671875" style="2095" customWidth="1"/>
    <col min="546" max="549" width="0" style="2095" hidden="1" customWidth="1"/>
    <col min="550" max="550" width="8.6640625" style="2095" customWidth="1"/>
    <col min="551" max="551" width="8.109375" style="2095" customWidth="1"/>
    <col min="552" max="552" width="8" style="2095" customWidth="1"/>
    <col min="553" max="553" width="11.44140625" style="2095" bestFit="1" customWidth="1"/>
    <col min="554" max="768" width="10" style="2095"/>
    <col min="769" max="769" width="4" style="2095" customWidth="1"/>
    <col min="770" max="770" width="0" style="2095" hidden="1" customWidth="1"/>
    <col min="771" max="771" width="38.44140625" style="2095" customWidth="1"/>
    <col min="772" max="775" width="0" style="2095" hidden="1" customWidth="1"/>
    <col min="776" max="776" width="13" style="2095" customWidth="1"/>
    <col min="777" max="777" width="0" style="2095" hidden="1" customWidth="1"/>
    <col min="778" max="778" width="11.6640625" style="2095" customWidth="1"/>
    <col min="779" max="779" width="0" style="2095" hidden="1" customWidth="1"/>
    <col min="780" max="780" width="11" style="2095" customWidth="1"/>
    <col min="781" max="781" width="10.88671875" style="2095" customWidth="1"/>
    <col min="782" max="782" width="11.77734375" style="2095" customWidth="1"/>
    <col min="783" max="783" width="12" style="2095" customWidth="1"/>
    <col min="784" max="800" width="0" style="2095" hidden="1" customWidth="1"/>
    <col min="801" max="801" width="11.88671875" style="2095" customWidth="1"/>
    <col min="802" max="805" width="0" style="2095" hidden="1" customWidth="1"/>
    <col min="806" max="806" width="8.6640625" style="2095" customWidth="1"/>
    <col min="807" max="807" width="8.109375" style="2095" customWidth="1"/>
    <col min="808" max="808" width="8" style="2095" customWidth="1"/>
    <col min="809" max="809" width="11.44140625" style="2095" bestFit="1" customWidth="1"/>
    <col min="810" max="1024" width="10" style="2095"/>
    <col min="1025" max="1025" width="4" style="2095" customWidth="1"/>
    <col min="1026" max="1026" width="0" style="2095" hidden="1" customWidth="1"/>
    <col min="1027" max="1027" width="38.44140625" style="2095" customWidth="1"/>
    <col min="1028" max="1031" width="0" style="2095" hidden="1" customWidth="1"/>
    <col min="1032" max="1032" width="13" style="2095" customWidth="1"/>
    <col min="1033" max="1033" width="0" style="2095" hidden="1" customWidth="1"/>
    <col min="1034" max="1034" width="11.6640625" style="2095" customWidth="1"/>
    <col min="1035" max="1035" width="0" style="2095" hidden="1" customWidth="1"/>
    <col min="1036" max="1036" width="11" style="2095" customWidth="1"/>
    <col min="1037" max="1037" width="10.88671875" style="2095" customWidth="1"/>
    <col min="1038" max="1038" width="11.77734375" style="2095" customWidth="1"/>
    <col min="1039" max="1039" width="12" style="2095" customWidth="1"/>
    <col min="1040" max="1056" width="0" style="2095" hidden="1" customWidth="1"/>
    <col min="1057" max="1057" width="11.88671875" style="2095" customWidth="1"/>
    <col min="1058" max="1061" width="0" style="2095" hidden="1" customWidth="1"/>
    <col min="1062" max="1062" width="8.6640625" style="2095" customWidth="1"/>
    <col min="1063" max="1063" width="8.109375" style="2095" customWidth="1"/>
    <col min="1064" max="1064" width="8" style="2095" customWidth="1"/>
    <col min="1065" max="1065" width="11.44140625" style="2095" bestFit="1" customWidth="1"/>
    <col min="1066" max="1280" width="10" style="2095"/>
    <col min="1281" max="1281" width="4" style="2095" customWidth="1"/>
    <col min="1282" max="1282" width="0" style="2095" hidden="1" customWidth="1"/>
    <col min="1283" max="1283" width="38.44140625" style="2095" customWidth="1"/>
    <col min="1284" max="1287" width="0" style="2095" hidden="1" customWidth="1"/>
    <col min="1288" max="1288" width="13" style="2095" customWidth="1"/>
    <col min="1289" max="1289" width="0" style="2095" hidden="1" customWidth="1"/>
    <col min="1290" max="1290" width="11.6640625" style="2095" customWidth="1"/>
    <col min="1291" max="1291" width="0" style="2095" hidden="1" customWidth="1"/>
    <col min="1292" max="1292" width="11" style="2095" customWidth="1"/>
    <col min="1293" max="1293" width="10.88671875" style="2095" customWidth="1"/>
    <col min="1294" max="1294" width="11.77734375" style="2095" customWidth="1"/>
    <col min="1295" max="1295" width="12" style="2095" customWidth="1"/>
    <col min="1296" max="1312" width="0" style="2095" hidden="1" customWidth="1"/>
    <col min="1313" max="1313" width="11.88671875" style="2095" customWidth="1"/>
    <col min="1314" max="1317" width="0" style="2095" hidden="1" customWidth="1"/>
    <col min="1318" max="1318" width="8.6640625" style="2095" customWidth="1"/>
    <col min="1319" max="1319" width="8.109375" style="2095" customWidth="1"/>
    <col min="1320" max="1320" width="8" style="2095" customWidth="1"/>
    <col min="1321" max="1321" width="11.44140625" style="2095" bestFit="1" customWidth="1"/>
    <col min="1322" max="1536" width="10" style="2095"/>
    <col min="1537" max="1537" width="4" style="2095" customWidth="1"/>
    <col min="1538" max="1538" width="0" style="2095" hidden="1" customWidth="1"/>
    <col min="1539" max="1539" width="38.44140625" style="2095" customWidth="1"/>
    <col min="1540" max="1543" width="0" style="2095" hidden="1" customWidth="1"/>
    <col min="1544" max="1544" width="13" style="2095" customWidth="1"/>
    <col min="1545" max="1545" width="0" style="2095" hidden="1" customWidth="1"/>
    <col min="1546" max="1546" width="11.6640625" style="2095" customWidth="1"/>
    <col min="1547" max="1547" width="0" style="2095" hidden="1" customWidth="1"/>
    <col min="1548" max="1548" width="11" style="2095" customWidth="1"/>
    <col min="1549" max="1549" width="10.88671875" style="2095" customWidth="1"/>
    <col min="1550" max="1550" width="11.77734375" style="2095" customWidth="1"/>
    <col min="1551" max="1551" width="12" style="2095" customWidth="1"/>
    <col min="1552" max="1568" width="0" style="2095" hidden="1" customWidth="1"/>
    <col min="1569" max="1569" width="11.88671875" style="2095" customWidth="1"/>
    <col min="1570" max="1573" width="0" style="2095" hidden="1" customWidth="1"/>
    <col min="1574" max="1574" width="8.6640625" style="2095" customWidth="1"/>
    <col min="1575" max="1575" width="8.109375" style="2095" customWidth="1"/>
    <col min="1576" max="1576" width="8" style="2095" customWidth="1"/>
    <col min="1577" max="1577" width="11.44140625" style="2095" bestFit="1" customWidth="1"/>
    <col min="1578" max="1792" width="10" style="2095"/>
    <col min="1793" max="1793" width="4" style="2095" customWidth="1"/>
    <col min="1794" max="1794" width="0" style="2095" hidden="1" customWidth="1"/>
    <col min="1795" max="1795" width="38.44140625" style="2095" customWidth="1"/>
    <col min="1796" max="1799" width="0" style="2095" hidden="1" customWidth="1"/>
    <col min="1800" max="1800" width="13" style="2095" customWidth="1"/>
    <col min="1801" max="1801" width="0" style="2095" hidden="1" customWidth="1"/>
    <col min="1802" max="1802" width="11.6640625" style="2095" customWidth="1"/>
    <col min="1803" max="1803" width="0" style="2095" hidden="1" customWidth="1"/>
    <col min="1804" max="1804" width="11" style="2095" customWidth="1"/>
    <col min="1805" max="1805" width="10.88671875" style="2095" customWidth="1"/>
    <col min="1806" max="1806" width="11.77734375" style="2095" customWidth="1"/>
    <col min="1807" max="1807" width="12" style="2095" customWidth="1"/>
    <col min="1808" max="1824" width="0" style="2095" hidden="1" customWidth="1"/>
    <col min="1825" max="1825" width="11.88671875" style="2095" customWidth="1"/>
    <col min="1826" max="1829" width="0" style="2095" hidden="1" customWidth="1"/>
    <col min="1830" max="1830" width="8.6640625" style="2095" customWidth="1"/>
    <col min="1831" max="1831" width="8.109375" style="2095" customWidth="1"/>
    <col min="1832" max="1832" width="8" style="2095" customWidth="1"/>
    <col min="1833" max="1833" width="11.44140625" style="2095" bestFit="1" customWidth="1"/>
    <col min="1834" max="2048" width="10" style="2095"/>
    <col min="2049" max="2049" width="4" style="2095" customWidth="1"/>
    <col min="2050" max="2050" width="0" style="2095" hidden="1" customWidth="1"/>
    <col min="2051" max="2051" width="38.44140625" style="2095" customWidth="1"/>
    <col min="2052" max="2055" width="0" style="2095" hidden="1" customWidth="1"/>
    <col min="2056" max="2056" width="13" style="2095" customWidth="1"/>
    <col min="2057" max="2057" width="0" style="2095" hidden="1" customWidth="1"/>
    <col min="2058" max="2058" width="11.6640625" style="2095" customWidth="1"/>
    <col min="2059" max="2059" width="0" style="2095" hidden="1" customWidth="1"/>
    <col min="2060" max="2060" width="11" style="2095" customWidth="1"/>
    <col min="2061" max="2061" width="10.88671875" style="2095" customWidth="1"/>
    <col min="2062" max="2062" width="11.77734375" style="2095" customWidth="1"/>
    <col min="2063" max="2063" width="12" style="2095" customWidth="1"/>
    <col min="2064" max="2080" width="0" style="2095" hidden="1" customWidth="1"/>
    <col min="2081" max="2081" width="11.88671875" style="2095" customWidth="1"/>
    <col min="2082" max="2085" width="0" style="2095" hidden="1" customWidth="1"/>
    <col min="2086" max="2086" width="8.6640625" style="2095" customWidth="1"/>
    <col min="2087" max="2087" width="8.109375" style="2095" customWidth="1"/>
    <col min="2088" max="2088" width="8" style="2095" customWidth="1"/>
    <col min="2089" max="2089" width="11.44140625" style="2095" bestFit="1" customWidth="1"/>
    <col min="2090" max="2304" width="10" style="2095"/>
    <col min="2305" max="2305" width="4" style="2095" customWidth="1"/>
    <col min="2306" max="2306" width="0" style="2095" hidden="1" customWidth="1"/>
    <col min="2307" max="2307" width="38.44140625" style="2095" customWidth="1"/>
    <col min="2308" max="2311" width="0" style="2095" hidden="1" customWidth="1"/>
    <col min="2312" max="2312" width="13" style="2095" customWidth="1"/>
    <col min="2313" max="2313" width="0" style="2095" hidden="1" customWidth="1"/>
    <col min="2314" max="2314" width="11.6640625" style="2095" customWidth="1"/>
    <col min="2315" max="2315" width="0" style="2095" hidden="1" customWidth="1"/>
    <col min="2316" max="2316" width="11" style="2095" customWidth="1"/>
    <col min="2317" max="2317" width="10.88671875" style="2095" customWidth="1"/>
    <col min="2318" max="2318" width="11.77734375" style="2095" customWidth="1"/>
    <col min="2319" max="2319" width="12" style="2095" customWidth="1"/>
    <col min="2320" max="2336" width="0" style="2095" hidden="1" customWidth="1"/>
    <col min="2337" max="2337" width="11.88671875" style="2095" customWidth="1"/>
    <col min="2338" max="2341" width="0" style="2095" hidden="1" customWidth="1"/>
    <col min="2342" max="2342" width="8.6640625" style="2095" customWidth="1"/>
    <col min="2343" max="2343" width="8.109375" style="2095" customWidth="1"/>
    <col min="2344" max="2344" width="8" style="2095" customWidth="1"/>
    <col min="2345" max="2345" width="11.44140625" style="2095" bestFit="1" customWidth="1"/>
    <col min="2346" max="2560" width="10" style="2095"/>
    <col min="2561" max="2561" width="4" style="2095" customWidth="1"/>
    <col min="2562" max="2562" width="0" style="2095" hidden="1" customWidth="1"/>
    <col min="2563" max="2563" width="38.44140625" style="2095" customWidth="1"/>
    <col min="2564" max="2567" width="0" style="2095" hidden="1" customWidth="1"/>
    <col min="2568" max="2568" width="13" style="2095" customWidth="1"/>
    <col min="2569" max="2569" width="0" style="2095" hidden="1" customWidth="1"/>
    <col min="2570" max="2570" width="11.6640625" style="2095" customWidth="1"/>
    <col min="2571" max="2571" width="0" style="2095" hidden="1" customWidth="1"/>
    <col min="2572" max="2572" width="11" style="2095" customWidth="1"/>
    <col min="2573" max="2573" width="10.88671875" style="2095" customWidth="1"/>
    <col min="2574" max="2574" width="11.77734375" style="2095" customWidth="1"/>
    <col min="2575" max="2575" width="12" style="2095" customWidth="1"/>
    <col min="2576" max="2592" width="0" style="2095" hidden="1" customWidth="1"/>
    <col min="2593" max="2593" width="11.88671875" style="2095" customWidth="1"/>
    <col min="2594" max="2597" width="0" style="2095" hidden="1" customWidth="1"/>
    <col min="2598" max="2598" width="8.6640625" style="2095" customWidth="1"/>
    <col min="2599" max="2599" width="8.109375" style="2095" customWidth="1"/>
    <col min="2600" max="2600" width="8" style="2095" customWidth="1"/>
    <col min="2601" max="2601" width="11.44140625" style="2095" bestFit="1" customWidth="1"/>
    <col min="2602" max="2816" width="10" style="2095"/>
    <col min="2817" max="2817" width="4" style="2095" customWidth="1"/>
    <col min="2818" max="2818" width="0" style="2095" hidden="1" customWidth="1"/>
    <col min="2819" max="2819" width="38.44140625" style="2095" customWidth="1"/>
    <col min="2820" max="2823" width="0" style="2095" hidden="1" customWidth="1"/>
    <col min="2824" max="2824" width="13" style="2095" customWidth="1"/>
    <col min="2825" max="2825" width="0" style="2095" hidden="1" customWidth="1"/>
    <col min="2826" max="2826" width="11.6640625" style="2095" customWidth="1"/>
    <col min="2827" max="2827" width="0" style="2095" hidden="1" customWidth="1"/>
    <col min="2828" max="2828" width="11" style="2095" customWidth="1"/>
    <col min="2829" max="2829" width="10.88671875" style="2095" customWidth="1"/>
    <col min="2830" max="2830" width="11.77734375" style="2095" customWidth="1"/>
    <col min="2831" max="2831" width="12" style="2095" customWidth="1"/>
    <col min="2832" max="2848" width="0" style="2095" hidden="1" customWidth="1"/>
    <col min="2849" max="2849" width="11.88671875" style="2095" customWidth="1"/>
    <col min="2850" max="2853" width="0" style="2095" hidden="1" customWidth="1"/>
    <col min="2854" max="2854" width="8.6640625" style="2095" customWidth="1"/>
    <col min="2855" max="2855" width="8.109375" style="2095" customWidth="1"/>
    <col min="2856" max="2856" width="8" style="2095" customWidth="1"/>
    <col min="2857" max="2857" width="11.44140625" style="2095" bestFit="1" customWidth="1"/>
    <col min="2858" max="3072" width="10" style="2095"/>
    <col min="3073" max="3073" width="4" style="2095" customWidth="1"/>
    <col min="3074" max="3074" width="0" style="2095" hidden="1" customWidth="1"/>
    <col min="3075" max="3075" width="38.44140625" style="2095" customWidth="1"/>
    <col min="3076" max="3079" width="0" style="2095" hidden="1" customWidth="1"/>
    <col min="3080" max="3080" width="13" style="2095" customWidth="1"/>
    <col min="3081" max="3081" width="0" style="2095" hidden="1" customWidth="1"/>
    <col min="3082" max="3082" width="11.6640625" style="2095" customWidth="1"/>
    <col min="3083" max="3083" width="0" style="2095" hidden="1" customWidth="1"/>
    <col min="3084" max="3084" width="11" style="2095" customWidth="1"/>
    <col min="3085" max="3085" width="10.88671875" style="2095" customWidth="1"/>
    <col min="3086" max="3086" width="11.77734375" style="2095" customWidth="1"/>
    <col min="3087" max="3087" width="12" style="2095" customWidth="1"/>
    <col min="3088" max="3104" width="0" style="2095" hidden="1" customWidth="1"/>
    <col min="3105" max="3105" width="11.88671875" style="2095" customWidth="1"/>
    <col min="3106" max="3109" width="0" style="2095" hidden="1" customWidth="1"/>
    <col min="3110" max="3110" width="8.6640625" style="2095" customWidth="1"/>
    <col min="3111" max="3111" width="8.109375" style="2095" customWidth="1"/>
    <col min="3112" max="3112" width="8" style="2095" customWidth="1"/>
    <col min="3113" max="3113" width="11.44140625" style="2095" bestFit="1" customWidth="1"/>
    <col min="3114" max="3328" width="10" style="2095"/>
    <col min="3329" max="3329" width="4" style="2095" customWidth="1"/>
    <col min="3330" max="3330" width="0" style="2095" hidden="1" customWidth="1"/>
    <col min="3331" max="3331" width="38.44140625" style="2095" customWidth="1"/>
    <col min="3332" max="3335" width="0" style="2095" hidden="1" customWidth="1"/>
    <col min="3336" max="3336" width="13" style="2095" customWidth="1"/>
    <col min="3337" max="3337" width="0" style="2095" hidden="1" customWidth="1"/>
    <col min="3338" max="3338" width="11.6640625" style="2095" customWidth="1"/>
    <col min="3339" max="3339" width="0" style="2095" hidden="1" customWidth="1"/>
    <col min="3340" max="3340" width="11" style="2095" customWidth="1"/>
    <col min="3341" max="3341" width="10.88671875" style="2095" customWidth="1"/>
    <col min="3342" max="3342" width="11.77734375" style="2095" customWidth="1"/>
    <col min="3343" max="3343" width="12" style="2095" customWidth="1"/>
    <col min="3344" max="3360" width="0" style="2095" hidden="1" customWidth="1"/>
    <col min="3361" max="3361" width="11.88671875" style="2095" customWidth="1"/>
    <col min="3362" max="3365" width="0" style="2095" hidden="1" customWidth="1"/>
    <col min="3366" max="3366" width="8.6640625" style="2095" customWidth="1"/>
    <col min="3367" max="3367" width="8.109375" style="2095" customWidth="1"/>
    <col min="3368" max="3368" width="8" style="2095" customWidth="1"/>
    <col min="3369" max="3369" width="11.44140625" style="2095" bestFit="1" customWidth="1"/>
    <col min="3370" max="3584" width="10" style="2095"/>
    <col min="3585" max="3585" width="4" style="2095" customWidth="1"/>
    <col min="3586" max="3586" width="0" style="2095" hidden="1" customWidth="1"/>
    <col min="3587" max="3587" width="38.44140625" style="2095" customWidth="1"/>
    <col min="3588" max="3591" width="0" style="2095" hidden="1" customWidth="1"/>
    <col min="3592" max="3592" width="13" style="2095" customWidth="1"/>
    <col min="3593" max="3593" width="0" style="2095" hidden="1" customWidth="1"/>
    <col min="3594" max="3594" width="11.6640625" style="2095" customWidth="1"/>
    <col min="3595" max="3595" width="0" style="2095" hidden="1" customWidth="1"/>
    <col min="3596" max="3596" width="11" style="2095" customWidth="1"/>
    <col min="3597" max="3597" width="10.88671875" style="2095" customWidth="1"/>
    <col min="3598" max="3598" width="11.77734375" style="2095" customWidth="1"/>
    <col min="3599" max="3599" width="12" style="2095" customWidth="1"/>
    <col min="3600" max="3616" width="0" style="2095" hidden="1" customWidth="1"/>
    <col min="3617" max="3617" width="11.88671875" style="2095" customWidth="1"/>
    <col min="3618" max="3621" width="0" style="2095" hidden="1" customWidth="1"/>
    <col min="3622" max="3622" width="8.6640625" style="2095" customWidth="1"/>
    <col min="3623" max="3623" width="8.109375" style="2095" customWidth="1"/>
    <col min="3624" max="3624" width="8" style="2095" customWidth="1"/>
    <col min="3625" max="3625" width="11.44140625" style="2095" bestFit="1" customWidth="1"/>
    <col min="3626" max="3840" width="10" style="2095"/>
    <col min="3841" max="3841" width="4" style="2095" customWidth="1"/>
    <col min="3842" max="3842" width="0" style="2095" hidden="1" customWidth="1"/>
    <col min="3843" max="3843" width="38.44140625" style="2095" customWidth="1"/>
    <col min="3844" max="3847" width="0" style="2095" hidden="1" customWidth="1"/>
    <col min="3848" max="3848" width="13" style="2095" customWidth="1"/>
    <col min="3849" max="3849" width="0" style="2095" hidden="1" customWidth="1"/>
    <col min="3850" max="3850" width="11.6640625" style="2095" customWidth="1"/>
    <col min="3851" max="3851" width="0" style="2095" hidden="1" customWidth="1"/>
    <col min="3852" max="3852" width="11" style="2095" customWidth="1"/>
    <col min="3853" max="3853" width="10.88671875" style="2095" customWidth="1"/>
    <col min="3854" max="3854" width="11.77734375" style="2095" customWidth="1"/>
    <col min="3855" max="3855" width="12" style="2095" customWidth="1"/>
    <col min="3856" max="3872" width="0" style="2095" hidden="1" customWidth="1"/>
    <col min="3873" max="3873" width="11.88671875" style="2095" customWidth="1"/>
    <col min="3874" max="3877" width="0" style="2095" hidden="1" customWidth="1"/>
    <col min="3878" max="3878" width="8.6640625" style="2095" customWidth="1"/>
    <col min="3879" max="3879" width="8.109375" style="2095" customWidth="1"/>
    <col min="3880" max="3880" width="8" style="2095" customWidth="1"/>
    <col min="3881" max="3881" width="11.44140625" style="2095" bestFit="1" customWidth="1"/>
    <col min="3882" max="4096" width="10" style="2095"/>
    <col min="4097" max="4097" width="4" style="2095" customWidth="1"/>
    <col min="4098" max="4098" width="0" style="2095" hidden="1" customWidth="1"/>
    <col min="4099" max="4099" width="38.44140625" style="2095" customWidth="1"/>
    <col min="4100" max="4103" width="0" style="2095" hidden="1" customWidth="1"/>
    <col min="4104" max="4104" width="13" style="2095" customWidth="1"/>
    <col min="4105" max="4105" width="0" style="2095" hidden="1" customWidth="1"/>
    <col min="4106" max="4106" width="11.6640625" style="2095" customWidth="1"/>
    <col min="4107" max="4107" width="0" style="2095" hidden="1" customWidth="1"/>
    <col min="4108" max="4108" width="11" style="2095" customWidth="1"/>
    <col min="4109" max="4109" width="10.88671875" style="2095" customWidth="1"/>
    <col min="4110" max="4110" width="11.77734375" style="2095" customWidth="1"/>
    <col min="4111" max="4111" width="12" style="2095" customWidth="1"/>
    <col min="4112" max="4128" width="0" style="2095" hidden="1" customWidth="1"/>
    <col min="4129" max="4129" width="11.88671875" style="2095" customWidth="1"/>
    <col min="4130" max="4133" width="0" style="2095" hidden="1" customWidth="1"/>
    <col min="4134" max="4134" width="8.6640625" style="2095" customWidth="1"/>
    <col min="4135" max="4135" width="8.109375" style="2095" customWidth="1"/>
    <col min="4136" max="4136" width="8" style="2095" customWidth="1"/>
    <col min="4137" max="4137" width="11.44140625" style="2095" bestFit="1" customWidth="1"/>
    <col min="4138" max="4352" width="10" style="2095"/>
    <col min="4353" max="4353" width="4" style="2095" customWidth="1"/>
    <col min="4354" max="4354" width="0" style="2095" hidden="1" customWidth="1"/>
    <col min="4355" max="4355" width="38.44140625" style="2095" customWidth="1"/>
    <col min="4356" max="4359" width="0" style="2095" hidden="1" customWidth="1"/>
    <col min="4360" max="4360" width="13" style="2095" customWidth="1"/>
    <col min="4361" max="4361" width="0" style="2095" hidden="1" customWidth="1"/>
    <col min="4362" max="4362" width="11.6640625" style="2095" customWidth="1"/>
    <col min="4363" max="4363" width="0" style="2095" hidden="1" customWidth="1"/>
    <col min="4364" max="4364" width="11" style="2095" customWidth="1"/>
    <col min="4365" max="4365" width="10.88671875" style="2095" customWidth="1"/>
    <col min="4366" max="4366" width="11.77734375" style="2095" customWidth="1"/>
    <col min="4367" max="4367" width="12" style="2095" customWidth="1"/>
    <col min="4368" max="4384" width="0" style="2095" hidden="1" customWidth="1"/>
    <col min="4385" max="4385" width="11.88671875" style="2095" customWidth="1"/>
    <col min="4386" max="4389" width="0" style="2095" hidden="1" customWidth="1"/>
    <col min="4390" max="4390" width="8.6640625" style="2095" customWidth="1"/>
    <col min="4391" max="4391" width="8.109375" style="2095" customWidth="1"/>
    <col min="4392" max="4392" width="8" style="2095" customWidth="1"/>
    <col min="4393" max="4393" width="11.44140625" style="2095" bestFit="1" customWidth="1"/>
    <col min="4394" max="4608" width="10" style="2095"/>
    <col min="4609" max="4609" width="4" style="2095" customWidth="1"/>
    <col min="4610" max="4610" width="0" style="2095" hidden="1" customWidth="1"/>
    <col min="4611" max="4611" width="38.44140625" style="2095" customWidth="1"/>
    <col min="4612" max="4615" width="0" style="2095" hidden="1" customWidth="1"/>
    <col min="4616" max="4616" width="13" style="2095" customWidth="1"/>
    <col min="4617" max="4617" width="0" style="2095" hidden="1" customWidth="1"/>
    <col min="4618" max="4618" width="11.6640625" style="2095" customWidth="1"/>
    <col min="4619" max="4619" width="0" style="2095" hidden="1" customWidth="1"/>
    <col min="4620" max="4620" width="11" style="2095" customWidth="1"/>
    <col min="4621" max="4621" width="10.88671875" style="2095" customWidth="1"/>
    <col min="4622" max="4622" width="11.77734375" style="2095" customWidth="1"/>
    <col min="4623" max="4623" width="12" style="2095" customWidth="1"/>
    <col min="4624" max="4640" width="0" style="2095" hidden="1" customWidth="1"/>
    <col min="4641" max="4641" width="11.88671875" style="2095" customWidth="1"/>
    <col min="4642" max="4645" width="0" style="2095" hidden="1" customWidth="1"/>
    <col min="4646" max="4646" width="8.6640625" style="2095" customWidth="1"/>
    <col min="4647" max="4647" width="8.109375" style="2095" customWidth="1"/>
    <col min="4648" max="4648" width="8" style="2095" customWidth="1"/>
    <col min="4649" max="4649" width="11.44140625" style="2095" bestFit="1" customWidth="1"/>
    <col min="4650" max="4864" width="10" style="2095"/>
    <col min="4865" max="4865" width="4" style="2095" customWidth="1"/>
    <col min="4866" max="4866" width="0" style="2095" hidden="1" customWidth="1"/>
    <col min="4867" max="4867" width="38.44140625" style="2095" customWidth="1"/>
    <col min="4868" max="4871" width="0" style="2095" hidden="1" customWidth="1"/>
    <col min="4872" max="4872" width="13" style="2095" customWidth="1"/>
    <col min="4873" max="4873" width="0" style="2095" hidden="1" customWidth="1"/>
    <col min="4874" max="4874" width="11.6640625" style="2095" customWidth="1"/>
    <col min="4875" max="4875" width="0" style="2095" hidden="1" customWidth="1"/>
    <col min="4876" max="4876" width="11" style="2095" customWidth="1"/>
    <col min="4877" max="4877" width="10.88671875" style="2095" customWidth="1"/>
    <col min="4878" max="4878" width="11.77734375" style="2095" customWidth="1"/>
    <col min="4879" max="4879" width="12" style="2095" customWidth="1"/>
    <col min="4880" max="4896" width="0" style="2095" hidden="1" customWidth="1"/>
    <col min="4897" max="4897" width="11.88671875" style="2095" customWidth="1"/>
    <col min="4898" max="4901" width="0" style="2095" hidden="1" customWidth="1"/>
    <col min="4902" max="4902" width="8.6640625" style="2095" customWidth="1"/>
    <col min="4903" max="4903" width="8.109375" style="2095" customWidth="1"/>
    <col min="4904" max="4904" width="8" style="2095" customWidth="1"/>
    <col min="4905" max="4905" width="11.44140625" style="2095" bestFit="1" customWidth="1"/>
    <col min="4906" max="5120" width="10" style="2095"/>
    <col min="5121" max="5121" width="4" style="2095" customWidth="1"/>
    <col min="5122" max="5122" width="0" style="2095" hidden="1" customWidth="1"/>
    <col min="5123" max="5123" width="38.44140625" style="2095" customWidth="1"/>
    <col min="5124" max="5127" width="0" style="2095" hidden="1" customWidth="1"/>
    <col min="5128" max="5128" width="13" style="2095" customWidth="1"/>
    <col min="5129" max="5129" width="0" style="2095" hidden="1" customWidth="1"/>
    <col min="5130" max="5130" width="11.6640625" style="2095" customWidth="1"/>
    <col min="5131" max="5131" width="0" style="2095" hidden="1" customWidth="1"/>
    <col min="5132" max="5132" width="11" style="2095" customWidth="1"/>
    <col min="5133" max="5133" width="10.88671875" style="2095" customWidth="1"/>
    <col min="5134" max="5134" width="11.77734375" style="2095" customWidth="1"/>
    <col min="5135" max="5135" width="12" style="2095" customWidth="1"/>
    <col min="5136" max="5152" width="0" style="2095" hidden="1" customWidth="1"/>
    <col min="5153" max="5153" width="11.88671875" style="2095" customWidth="1"/>
    <col min="5154" max="5157" width="0" style="2095" hidden="1" customWidth="1"/>
    <col min="5158" max="5158" width="8.6640625" style="2095" customWidth="1"/>
    <col min="5159" max="5159" width="8.109375" style="2095" customWidth="1"/>
    <col min="5160" max="5160" width="8" style="2095" customWidth="1"/>
    <col min="5161" max="5161" width="11.44140625" style="2095" bestFit="1" customWidth="1"/>
    <col min="5162" max="5376" width="10" style="2095"/>
    <col min="5377" max="5377" width="4" style="2095" customWidth="1"/>
    <col min="5378" max="5378" width="0" style="2095" hidden="1" customWidth="1"/>
    <col min="5379" max="5379" width="38.44140625" style="2095" customWidth="1"/>
    <col min="5380" max="5383" width="0" style="2095" hidden="1" customWidth="1"/>
    <col min="5384" max="5384" width="13" style="2095" customWidth="1"/>
    <col min="5385" max="5385" width="0" style="2095" hidden="1" customWidth="1"/>
    <col min="5386" max="5386" width="11.6640625" style="2095" customWidth="1"/>
    <col min="5387" max="5387" width="0" style="2095" hidden="1" customWidth="1"/>
    <col min="5388" max="5388" width="11" style="2095" customWidth="1"/>
    <col min="5389" max="5389" width="10.88671875" style="2095" customWidth="1"/>
    <col min="5390" max="5390" width="11.77734375" style="2095" customWidth="1"/>
    <col min="5391" max="5391" width="12" style="2095" customWidth="1"/>
    <col min="5392" max="5408" width="0" style="2095" hidden="1" customWidth="1"/>
    <col min="5409" max="5409" width="11.88671875" style="2095" customWidth="1"/>
    <col min="5410" max="5413" width="0" style="2095" hidden="1" customWidth="1"/>
    <col min="5414" max="5414" width="8.6640625" style="2095" customWidth="1"/>
    <col min="5415" max="5415" width="8.109375" style="2095" customWidth="1"/>
    <col min="5416" max="5416" width="8" style="2095" customWidth="1"/>
    <col min="5417" max="5417" width="11.44140625" style="2095" bestFit="1" customWidth="1"/>
    <col min="5418" max="5632" width="10" style="2095"/>
    <col min="5633" max="5633" width="4" style="2095" customWidth="1"/>
    <col min="5634" max="5634" width="0" style="2095" hidden="1" customWidth="1"/>
    <col min="5635" max="5635" width="38.44140625" style="2095" customWidth="1"/>
    <col min="5636" max="5639" width="0" style="2095" hidden="1" customWidth="1"/>
    <col min="5640" max="5640" width="13" style="2095" customWidth="1"/>
    <col min="5641" max="5641" width="0" style="2095" hidden="1" customWidth="1"/>
    <col min="5642" max="5642" width="11.6640625" style="2095" customWidth="1"/>
    <col min="5643" max="5643" width="0" style="2095" hidden="1" customWidth="1"/>
    <col min="5644" max="5644" width="11" style="2095" customWidth="1"/>
    <col min="5645" max="5645" width="10.88671875" style="2095" customWidth="1"/>
    <col min="5646" max="5646" width="11.77734375" style="2095" customWidth="1"/>
    <col min="5647" max="5647" width="12" style="2095" customWidth="1"/>
    <col min="5648" max="5664" width="0" style="2095" hidden="1" customWidth="1"/>
    <col min="5665" max="5665" width="11.88671875" style="2095" customWidth="1"/>
    <col min="5666" max="5669" width="0" style="2095" hidden="1" customWidth="1"/>
    <col min="5670" max="5670" width="8.6640625" style="2095" customWidth="1"/>
    <col min="5671" max="5671" width="8.109375" style="2095" customWidth="1"/>
    <col min="5672" max="5672" width="8" style="2095" customWidth="1"/>
    <col min="5673" max="5673" width="11.44140625" style="2095" bestFit="1" customWidth="1"/>
    <col min="5674" max="5888" width="10" style="2095"/>
    <col min="5889" max="5889" width="4" style="2095" customWidth="1"/>
    <col min="5890" max="5890" width="0" style="2095" hidden="1" customWidth="1"/>
    <col min="5891" max="5891" width="38.44140625" style="2095" customWidth="1"/>
    <col min="5892" max="5895" width="0" style="2095" hidden="1" customWidth="1"/>
    <col min="5896" max="5896" width="13" style="2095" customWidth="1"/>
    <col min="5897" max="5897" width="0" style="2095" hidden="1" customWidth="1"/>
    <col min="5898" max="5898" width="11.6640625" style="2095" customWidth="1"/>
    <col min="5899" max="5899" width="0" style="2095" hidden="1" customWidth="1"/>
    <col min="5900" max="5900" width="11" style="2095" customWidth="1"/>
    <col min="5901" max="5901" width="10.88671875" style="2095" customWidth="1"/>
    <col min="5902" max="5902" width="11.77734375" style="2095" customWidth="1"/>
    <col min="5903" max="5903" width="12" style="2095" customWidth="1"/>
    <col min="5904" max="5920" width="0" style="2095" hidden="1" customWidth="1"/>
    <col min="5921" max="5921" width="11.88671875" style="2095" customWidth="1"/>
    <col min="5922" max="5925" width="0" style="2095" hidden="1" customWidth="1"/>
    <col min="5926" max="5926" width="8.6640625" style="2095" customWidth="1"/>
    <col min="5927" max="5927" width="8.109375" style="2095" customWidth="1"/>
    <col min="5928" max="5928" width="8" style="2095" customWidth="1"/>
    <col min="5929" max="5929" width="11.44140625" style="2095" bestFit="1" customWidth="1"/>
    <col min="5930" max="6144" width="10" style="2095"/>
    <col min="6145" max="6145" width="4" style="2095" customWidth="1"/>
    <col min="6146" max="6146" width="0" style="2095" hidden="1" customWidth="1"/>
    <col min="6147" max="6147" width="38.44140625" style="2095" customWidth="1"/>
    <col min="6148" max="6151" width="0" style="2095" hidden="1" customWidth="1"/>
    <col min="6152" max="6152" width="13" style="2095" customWidth="1"/>
    <col min="6153" max="6153" width="0" style="2095" hidden="1" customWidth="1"/>
    <col min="6154" max="6154" width="11.6640625" style="2095" customWidth="1"/>
    <col min="6155" max="6155" width="0" style="2095" hidden="1" customWidth="1"/>
    <col min="6156" max="6156" width="11" style="2095" customWidth="1"/>
    <col min="6157" max="6157" width="10.88671875" style="2095" customWidth="1"/>
    <col min="6158" max="6158" width="11.77734375" style="2095" customWidth="1"/>
    <col min="6159" max="6159" width="12" style="2095" customWidth="1"/>
    <col min="6160" max="6176" width="0" style="2095" hidden="1" customWidth="1"/>
    <col min="6177" max="6177" width="11.88671875" style="2095" customWidth="1"/>
    <col min="6178" max="6181" width="0" style="2095" hidden="1" customWidth="1"/>
    <col min="6182" max="6182" width="8.6640625" style="2095" customWidth="1"/>
    <col min="6183" max="6183" width="8.109375" style="2095" customWidth="1"/>
    <col min="6184" max="6184" width="8" style="2095" customWidth="1"/>
    <col min="6185" max="6185" width="11.44140625" style="2095" bestFit="1" customWidth="1"/>
    <col min="6186" max="6400" width="10" style="2095"/>
    <col min="6401" max="6401" width="4" style="2095" customWidth="1"/>
    <col min="6402" max="6402" width="0" style="2095" hidden="1" customWidth="1"/>
    <col min="6403" max="6403" width="38.44140625" style="2095" customWidth="1"/>
    <col min="6404" max="6407" width="0" style="2095" hidden="1" customWidth="1"/>
    <col min="6408" max="6408" width="13" style="2095" customWidth="1"/>
    <col min="6409" max="6409" width="0" style="2095" hidden="1" customWidth="1"/>
    <col min="6410" max="6410" width="11.6640625" style="2095" customWidth="1"/>
    <col min="6411" max="6411" width="0" style="2095" hidden="1" customWidth="1"/>
    <col min="6412" max="6412" width="11" style="2095" customWidth="1"/>
    <col min="6413" max="6413" width="10.88671875" style="2095" customWidth="1"/>
    <col min="6414" max="6414" width="11.77734375" style="2095" customWidth="1"/>
    <col min="6415" max="6415" width="12" style="2095" customWidth="1"/>
    <col min="6416" max="6432" width="0" style="2095" hidden="1" customWidth="1"/>
    <col min="6433" max="6433" width="11.88671875" style="2095" customWidth="1"/>
    <col min="6434" max="6437" width="0" style="2095" hidden="1" customWidth="1"/>
    <col min="6438" max="6438" width="8.6640625" style="2095" customWidth="1"/>
    <col min="6439" max="6439" width="8.109375" style="2095" customWidth="1"/>
    <col min="6440" max="6440" width="8" style="2095" customWidth="1"/>
    <col min="6441" max="6441" width="11.44140625" style="2095" bestFit="1" customWidth="1"/>
    <col min="6442" max="6656" width="10" style="2095"/>
    <col min="6657" max="6657" width="4" style="2095" customWidth="1"/>
    <col min="6658" max="6658" width="0" style="2095" hidden="1" customWidth="1"/>
    <col min="6659" max="6659" width="38.44140625" style="2095" customWidth="1"/>
    <col min="6660" max="6663" width="0" style="2095" hidden="1" customWidth="1"/>
    <col min="6664" max="6664" width="13" style="2095" customWidth="1"/>
    <col min="6665" max="6665" width="0" style="2095" hidden="1" customWidth="1"/>
    <col min="6666" max="6666" width="11.6640625" style="2095" customWidth="1"/>
    <col min="6667" max="6667" width="0" style="2095" hidden="1" customWidth="1"/>
    <col min="6668" max="6668" width="11" style="2095" customWidth="1"/>
    <col min="6669" max="6669" width="10.88671875" style="2095" customWidth="1"/>
    <col min="6670" max="6670" width="11.77734375" style="2095" customWidth="1"/>
    <col min="6671" max="6671" width="12" style="2095" customWidth="1"/>
    <col min="6672" max="6688" width="0" style="2095" hidden="1" customWidth="1"/>
    <col min="6689" max="6689" width="11.88671875" style="2095" customWidth="1"/>
    <col min="6690" max="6693" width="0" style="2095" hidden="1" customWidth="1"/>
    <col min="6694" max="6694" width="8.6640625" style="2095" customWidth="1"/>
    <col min="6695" max="6695" width="8.109375" style="2095" customWidth="1"/>
    <col min="6696" max="6696" width="8" style="2095" customWidth="1"/>
    <col min="6697" max="6697" width="11.44140625" style="2095" bestFit="1" customWidth="1"/>
    <col min="6698" max="6912" width="10" style="2095"/>
    <col min="6913" max="6913" width="4" style="2095" customWidth="1"/>
    <col min="6914" max="6914" width="0" style="2095" hidden="1" customWidth="1"/>
    <col min="6915" max="6915" width="38.44140625" style="2095" customWidth="1"/>
    <col min="6916" max="6919" width="0" style="2095" hidden="1" customWidth="1"/>
    <col min="6920" max="6920" width="13" style="2095" customWidth="1"/>
    <col min="6921" max="6921" width="0" style="2095" hidden="1" customWidth="1"/>
    <col min="6922" max="6922" width="11.6640625" style="2095" customWidth="1"/>
    <col min="6923" max="6923" width="0" style="2095" hidden="1" customWidth="1"/>
    <col min="6924" max="6924" width="11" style="2095" customWidth="1"/>
    <col min="6925" max="6925" width="10.88671875" style="2095" customWidth="1"/>
    <col min="6926" max="6926" width="11.77734375" style="2095" customWidth="1"/>
    <col min="6927" max="6927" width="12" style="2095" customWidth="1"/>
    <col min="6928" max="6944" width="0" style="2095" hidden="1" customWidth="1"/>
    <col min="6945" max="6945" width="11.88671875" style="2095" customWidth="1"/>
    <col min="6946" max="6949" width="0" style="2095" hidden="1" customWidth="1"/>
    <col min="6950" max="6950" width="8.6640625" style="2095" customWidth="1"/>
    <col min="6951" max="6951" width="8.109375" style="2095" customWidth="1"/>
    <col min="6952" max="6952" width="8" style="2095" customWidth="1"/>
    <col min="6953" max="6953" width="11.44140625" style="2095" bestFit="1" customWidth="1"/>
    <col min="6954" max="7168" width="10" style="2095"/>
    <col min="7169" max="7169" width="4" style="2095" customWidth="1"/>
    <col min="7170" max="7170" width="0" style="2095" hidden="1" customWidth="1"/>
    <col min="7171" max="7171" width="38.44140625" style="2095" customWidth="1"/>
    <col min="7172" max="7175" width="0" style="2095" hidden="1" customWidth="1"/>
    <col min="7176" max="7176" width="13" style="2095" customWidth="1"/>
    <col min="7177" max="7177" width="0" style="2095" hidden="1" customWidth="1"/>
    <col min="7178" max="7178" width="11.6640625" style="2095" customWidth="1"/>
    <col min="7179" max="7179" width="0" style="2095" hidden="1" customWidth="1"/>
    <col min="7180" max="7180" width="11" style="2095" customWidth="1"/>
    <col min="7181" max="7181" width="10.88671875" style="2095" customWidth="1"/>
    <col min="7182" max="7182" width="11.77734375" style="2095" customWidth="1"/>
    <col min="7183" max="7183" width="12" style="2095" customWidth="1"/>
    <col min="7184" max="7200" width="0" style="2095" hidden="1" customWidth="1"/>
    <col min="7201" max="7201" width="11.88671875" style="2095" customWidth="1"/>
    <col min="7202" max="7205" width="0" style="2095" hidden="1" customWidth="1"/>
    <col min="7206" max="7206" width="8.6640625" style="2095" customWidth="1"/>
    <col min="7207" max="7207" width="8.109375" style="2095" customWidth="1"/>
    <col min="7208" max="7208" width="8" style="2095" customWidth="1"/>
    <col min="7209" max="7209" width="11.44140625" style="2095" bestFit="1" customWidth="1"/>
    <col min="7210" max="7424" width="10" style="2095"/>
    <col min="7425" max="7425" width="4" style="2095" customWidth="1"/>
    <col min="7426" max="7426" width="0" style="2095" hidden="1" customWidth="1"/>
    <col min="7427" max="7427" width="38.44140625" style="2095" customWidth="1"/>
    <col min="7428" max="7431" width="0" style="2095" hidden="1" customWidth="1"/>
    <col min="7432" max="7432" width="13" style="2095" customWidth="1"/>
    <col min="7433" max="7433" width="0" style="2095" hidden="1" customWidth="1"/>
    <col min="7434" max="7434" width="11.6640625" style="2095" customWidth="1"/>
    <col min="7435" max="7435" width="0" style="2095" hidden="1" customWidth="1"/>
    <col min="7436" max="7436" width="11" style="2095" customWidth="1"/>
    <col min="7437" max="7437" width="10.88671875" style="2095" customWidth="1"/>
    <col min="7438" max="7438" width="11.77734375" style="2095" customWidth="1"/>
    <col min="7439" max="7439" width="12" style="2095" customWidth="1"/>
    <col min="7440" max="7456" width="0" style="2095" hidden="1" customWidth="1"/>
    <col min="7457" max="7457" width="11.88671875" style="2095" customWidth="1"/>
    <col min="7458" max="7461" width="0" style="2095" hidden="1" customWidth="1"/>
    <col min="7462" max="7462" width="8.6640625" style="2095" customWidth="1"/>
    <col min="7463" max="7463" width="8.109375" style="2095" customWidth="1"/>
    <col min="7464" max="7464" width="8" style="2095" customWidth="1"/>
    <col min="7465" max="7465" width="11.44140625" style="2095" bestFit="1" customWidth="1"/>
    <col min="7466" max="7680" width="10" style="2095"/>
    <col min="7681" max="7681" width="4" style="2095" customWidth="1"/>
    <col min="7682" max="7682" width="0" style="2095" hidden="1" customWidth="1"/>
    <col min="7683" max="7683" width="38.44140625" style="2095" customWidth="1"/>
    <col min="7684" max="7687" width="0" style="2095" hidden="1" customWidth="1"/>
    <col min="7688" max="7688" width="13" style="2095" customWidth="1"/>
    <col min="7689" max="7689" width="0" style="2095" hidden="1" customWidth="1"/>
    <col min="7690" max="7690" width="11.6640625" style="2095" customWidth="1"/>
    <col min="7691" max="7691" width="0" style="2095" hidden="1" customWidth="1"/>
    <col min="7692" max="7692" width="11" style="2095" customWidth="1"/>
    <col min="7693" max="7693" width="10.88671875" style="2095" customWidth="1"/>
    <col min="7694" max="7694" width="11.77734375" style="2095" customWidth="1"/>
    <col min="7695" max="7695" width="12" style="2095" customWidth="1"/>
    <col min="7696" max="7712" width="0" style="2095" hidden="1" customWidth="1"/>
    <col min="7713" max="7713" width="11.88671875" style="2095" customWidth="1"/>
    <col min="7714" max="7717" width="0" style="2095" hidden="1" customWidth="1"/>
    <col min="7718" max="7718" width="8.6640625" style="2095" customWidth="1"/>
    <col min="7719" max="7719" width="8.109375" style="2095" customWidth="1"/>
    <col min="7720" max="7720" width="8" style="2095" customWidth="1"/>
    <col min="7721" max="7721" width="11.44140625" style="2095" bestFit="1" customWidth="1"/>
    <col min="7722" max="7936" width="10" style="2095"/>
    <col min="7937" max="7937" width="4" style="2095" customWidth="1"/>
    <col min="7938" max="7938" width="0" style="2095" hidden="1" customWidth="1"/>
    <col min="7939" max="7939" width="38.44140625" style="2095" customWidth="1"/>
    <col min="7940" max="7943" width="0" style="2095" hidden="1" customWidth="1"/>
    <col min="7944" max="7944" width="13" style="2095" customWidth="1"/>
    <col min="7945" max="7945" width="0" style="2095" hidden="1" customWidth="1"/>
    <col min="7946" max="7946" width="11.6640625" style="2095" customWidth="1"/>
    <col min="7947" max="7947" width="0" style="2095" hidden="1" customWidth="1"/>
    <col min="7948" max="7948" width="11" style="2095" customWidth="1"/>
    <col min="7949" max="7949" width="10.88671875" style="2095" customWidth="1"/>
    <col min="7950" max="7950" width="11.77734375" style="2095" customWidth="1"/>
    <col min="7951" max="7951" width="12" style="2095" customWidth="1"/>
    <col min="7952" max="7968" width="0" style="2095" hidden="1" customWidth="1"/>
    <col min="7969" max="7969" width="11.88671875" style="2095" customWidth="1"/>
    <col min="7970" max="7973" width="0" style="2095" hidden="1" customWidth="1"/>
    <col min="7974" max="7974" width="8.6640625" style="2095" customWidth="1"/>
    <col min="7975" max="7975" width="8.109375" style="2095" customWidth="1"/>
    <col min="7976" max="7976" width="8" style="2095" customWidth="1"/>
    <col min="7977" max="7977" width="11.44140625" style="2095" bestFit="1" customWidth="1"/>
    <col min="7978" max="8192" width="10" style="2095"/>
    <col min="8193" max="8193" width="4" style="2095" customWidth="1"/>
    <col min="8194" max="8194" width="0" style="2095" hidden="1" customWidth="1"/>
    <col min="8195" max="8195" width="38.44140625" style="2095" customWidth="1"/>
    <col min="8196" max="8199" width="0" style="2095" hidden="1" customWidth="1"/>
    <col min="8200" max="8200" width="13" style="2095" customWidth="1"/>
    <col min="8201" max="8201" width="0" style="2095" hidden="1" customWidth="1"/>
    <col min="8202" max="8202" width="11.6640625" style="2095" customWidth="1"/>
    <col min="8203" max="8203" width="0" style="2095" hidden="1" customWidth="1"/>
    <col min="8204" max="8204" width="11" style="2095" customWidth="1"/>
    <col min="8205" max="8205" width="10.88671875" style="2095" customWidth="1"/>
    <col min="8206" max="8206" width="11.77734375" style="2095" customWidth="1"/>
    <col min="8207" max="8207" width="12" style="2095" customWidth="1"/>
    <col min="8208" max="8224" width="0" style="2095" hidden="1" customWidth="1"/>
    <col min="8225" max="8225" width="11.88671875" style="2095" customWidth="1"/>
    <col min="8226" max="8229" width="0" style="2095" hidden="1" customWidth="1"/>
    <col min="8230" max="8230" width="8.6640625" style="2095" customWidth="1"/>
    <col min="8231" max="8231" width="8.109375" style="2095" customWidth="1"/>
    <col min="8232" max="8232" width="8" style="2095" customWidth="1"/>
    <col min="8233" max="8233" width="11.44140625" style="2095" bestFit="1" customWidth="1"/>
    <col min="8234" max="8448" width="10" style="2095"/>
    <col min="8449" max="8449" width="4" style="2095" customWidth="1"/>
    <col min="8450" max="8450" width="0" style="2095" hidden="1" customWidth="1"/>
    <col min="8451" max="8451" width="38.44140625" style="2095" customWidth="1"/>
    <col min="8452" max="8455" width="0" style="2095" hidden="1" customWidth="1"/>
    <col min="8456" max="8456" width="13" style="2095" customWidth="1"/>
    <col min="8457" max="8457" width="0" style="2095" hidden="1" customWidth="1"/>
    <col min="8458" max="8458" width="11.6640625" style="2095" customWidth="1"/>
    <col min="8459" max="8459" width="0" style="2095" hidden="1" customWidth="1"/>
    <col min="8460" max="8460" width="11" style="2095" customWidth="1"/>
    <col min="8461" max="8461" width="10.88671875" style="2095" customWidth="1"/>
    <col min="8462" max="8462" width="11.77734375" style="2095" customWidth="1"/>
    <col min="8463" max="8463" width="12" style="2095" customWidth="1"/>
    <col min="8464" max="8480" width="0" style="2095" hidden="1" customWidth="1"/>
    <col min="8481" max="8481" width="11.88671875" style="2095" customWidth="1"/>
    <col min="8482" max="8485" width="0" style="2095" hidden="1" customWidth="1"/>
    <col min="8486" max="8486" width="8.6640625" style="2095" customWidth="1"/>
    <col min="8487" max="8487" width="8.109375" style="2095" customWidth="1"/>
    <col min="8488" max="8488" width="8" style="2095" customWidth="1"/>
    <col min="8489" max="8489" width="11.44140625" style="2095" bestFit="1" customWidth="1"/>
    <col min="8490" max="8704" width="10" style="2095"/>
    <col min="8705" max="8705" width="4" style="2095" customWidth="1"/>
    <col min="8706" max="8706" width="0" style="2095" hidden="1" customWidth="1"/>
    <col min="8707" max="8707" width="38.44140625" style="2095" customWidth="1"/>
    <col min="8708" max="8711" width="0" style="2095" hidden="1" customWidth="1"/>
    <col min="8712" max="8712" width="13" style="2095" customWidth="1"/>
    <col min="8713" max="8713" width="0" style="2095" hidden="1" customWidth="1"/>
    <col min="8714" max="8714" width="11.6640625" style="2095" customWidth="1"/>
    <col min="8715" max="8715" width="0" style="2095" hidden="1" customWidth="1"/>
    <col min="8716" max="8716" width="11" style="2095" customWidth="1"/>
    <col min="8717" max="8717" width="10.88671875" style="2095" customWidth="1"/>
    <col min="8718" max="8718" width="11.77734375" style="2095" customWidth="1"/>
    <col min="8719" max="8719" width="12" style="2095" customWidth="1"/>
    <col min="8720" max="8736" width="0" style="2095" hidden="1" customWidth="1"/>
    <col min="8737" max="8737" width="11.88671875" style="2095" customWidth="1"/>
    <col min="8738" max="8741" width="0" style="2095" hidden="1" customWidth="1"/>
    <col min="8742" max="8742" width="8.6640625" style="2095" customWidth="1"/>
    <col min="8743" max="8743" width="8.109375" style="2095" customWidth="1"/>
    <col min="8744" max="8744" width="8" style="2095" customWidth="1"/>
    <col min="8745" max="8745" width="11.44140625" style="2095" bestFit="1" customWidth="1"/>
    <col min="8746" max="8960" width="10" style="2095"/>
    <col min="8961" max="8961" width="4" style="2095" customWidth="1"/>
    <col min="8962" max="8962" width="0" style="2095" hidden="1" customWidth="1"/>
    <col min="8963" max="8963" width="38.44140625" style="2095" customWidth="1"/>
    <col min="8964" max="8967" width="0" style="2095" hidden="1" customWidth="1"/>
    <col min="8968" max="8968" width="13" style="2095" customWidth="1"/>
    <col min="8969" max="8969" width="0" style="2095" hidden="1" customWidth="1"/>
    <col min="8970" max="8970" width="11.6640625" style="2095" customWidth="1"/>
    <col min="8971" max="8971" width="0" style="2095" hidden="1" customWidth="1"/>
    <col min="8972" max="8972" width="11" style="2095" customWidth="1"/>
    <col min="8973" max="8973" width="10.88671875" style="2095" customWidth="1"/>
    <col min="8974" max="8974" width="11.77734375" style="2095" customWidth="1"/>
    <col min="8975" max="8975" width="12" style="2095" customWidth="1"/>
    <col min="8976" max="8992" width="0" style="2095" hidden="1" customWidth="1"/>
    <col min="8993" max="8993" width="11.88671875" style="2095" customWidth="1"/>
    <col min="8994" max="8997" width="0" style="2095" hidden="1" customWidth="1"/>
    <col min="8998" max="8998" width="8.6640625" style="2095" customWidth="1"/>
    <col min="8999" max="8999" width="8.109375" style="2095" customWidth="1"/>
    <col min="9000" max="9000" width="8" style="2095" customWidth="1"/>
    <col min="9001" max="9001" width="11.44140625" style="2095" bestFit="1" customWidth="1"/>
    <col min="9002" max="9216" width="10" style="2095"/>
    <col min="9217" max="9217" width="4" style="2095" customWidth="1"/>
    <col min="9218" max="9218" width="0" style="2095" hidden="1" customWidth="1"/>
    <col min="9219" max="9219" width="38.44140625" style="2095" customWidth="1"/>
    <col min="9220" max="9223" width="0" style="2095" hidden="1" customWidth="1"/>
    <col min="9224" max="9224" width="13" style="2095" customWidth="1"/>
    <col min="9225" max="9225" width="0" style="2095" hidden="1" customWidth="1"/>
    <col min="9226" max="9226" width="11.6640625" style="2095" customWidth="1"/>
    <col min="9227" max="9227" width="0" style="2095" hidden="1" customWidth="1"/>
    <col min="9228" max="9228" width="11" style="2095" customWidth="1"/>
    <col min="9229" max="9229" width="10.88671875" style="2095" customWidth="1"/>
    <col min="9230" max="9230" width="11.77734375" style="2095" customWidth="1"/>
    <col min="9231" max="9231" width="12" style="2095" customWidth="1"/>
    <col min="9232" max="9248" width="0" style="2095" hidden="1" customWidth="1"/>
    <col min="9249" max="9249" width="11.88671875" style="2095" customWidth="1"/>
    <col min="9250" max="9253" width="0" style="2095" hidden="1" customWidth="1"/>
    <col min="9254" max="9254" width="8.6640625" style="2095" customWidth="1"/>
    <col min="9255" max="9255" width="8.109375" style="2095" customWidth="1"/>
    <col min="9256" max="9256" width="8" style="2095" customWidth="1"/>
    <col min="9257" max="9257" width="11.44140625" style="2095" bestFit="1" customWidth="1"/>
    <col min="9258" max="9472" width="10" style="2095"/>
    <col min="9473" max="9473" width="4" style="2095" customWidth="1"/>
    <col min="9474" max="9474" width="0" style="2095" hidden="1" customWidth="1"/>
    <col min="9475" max="9475" width="38.44140625" style="2095" customWidth="1"/>
    <col min="9476" max="9479" width="0" style="2095" hidden="1" customWidth="1"/>
    <col min="9480" max="9480" width="13" style="2095" customWidth="1"/>
    <col min="9481" max="9481" width="0" style="2095" hidden="1" customWidth="1"/>
    <col min="9482" max="9482" width="11.6640625" style="2095" customWidth="1"/>
    <col min="9483" max="9483" width="0" style="2095" hidden="1" customWidth="1"/>
    <col min="9484" max="9484" width="11" style="2095" customWidth="1"/>
    <col min="9485" max="9485" width="10.88671875" style="2095" customWidth="1"/>
    <col min="9486" max="9486" width="11.77734375" style="2095" customWidth="1"/>
    <col min="9487" max="9487" width="12" style="2095" customWidth="1"/>
    <col min="9488" max="9504" width="0" style="2095" hidden="1" customWidth="1"/>
    <col min="9505" max="9505" width="11.88671875" style="2095" customWidth="1"/>
    <col min="9506" max="9509" width="0" style="2095" hidden="1" customWidth="1"/>
    <col min="9510" max="9510" width="8.6640625" style="2095" customWidth="1"/>
    <col min="9511" max="9511" width="8.109375" style="2095" customWidth="1"/>
    <col min="9512" max="9512" width="8" style="2095" customWidth="1"/>
    <col min="9513" max="9513" width="11.44140625" style="2095" bestFit="1" customWidth="1"/>
    <col min="9514" max="9728" width="10" style="2095"/>
    <col min="9729" max="9729" width="4" style="2095" customWidth="1"/>
    <col min="9730" max="9730" width="0" style="2095" hidden="1" customWidth="1"/>
    <col min="9731" max="9731" width="38.44140625" style="2095" customWidth="1"/>
    <col min="9732" max="9735" width="0" style="2095" hidden="1" customWidth="1"/>
    <col min="9736" max="9736" width="13" style="2095" customWidth="1"/>
    <col min="9737" max="9737" width="0" style="2095" hidden="1" customWidth="1"/>
    <col min="9738" max="9738" width="11.6640625" style="2095" customWidth="1"/>
    <col min="9739" max="9739" width="0" style="2095" hidden="1" customWidth="1"/>
    <col min="9740" max="9740" width="11" style="2095" customWidth="1"/>
    <col min="9741" max="9741" width="10.88671875" style="2095" customWidth="1"/>
    <col min="9742" max="9742" width="11.77734375" style="2095" customWidth="1"/>
    <col min="9743" max="9743" width="12" style="2095" customWidth="1"/>
    <col min="9744" max="9760" width="0" style="2095" hidden="1" customWidth="1"/>
    <col min="9761" max="9761" width="11.88671875" style="2095" customWidth="1"/>
    <col min="9762" max="9765" width="0" style="2095" hidden="1" customWidth="1"/>
    <col min="9766" max="9766" width="8.6640625" style="2095" customWidth="1"/>
    <col min="9767" max="9767" width="8.109375" style="2095" customWidth="1"/>
    <col min="9768" max="9768" width="8" style="2095" customWidth="1"/>
    <col min="9769" max="9769" width="11.44140625" style="2095" bestFit="1" customWidth="1"/>
    <col min="9770" max="9984" width="10" style="2095"/>
    <col min="9985" max="9985" width="4" style="2095" customWidth="1"/>
    <col min="9986" max="9986" width="0" style="2095" hidden="1" customWidth="1"/>
    <col min="9987" max="9987" width="38.44140625" style="2095" customWidth="1"/>
    <col min="9988" max="9991" width="0" style="2095" hidden="1" customWidth="1"/>
    <col min="9992" max="9992" width="13" style="2095" customWidth="1"/>
    <col min="9993" max="9993" width="0" style="2095" hidden="1" customWidth="1"/>
    <col min="9994" max="9994" width="11.6640625" style="2095" customWidth="1"/>
    <col min="9995" max="9995" width="0" style="2095" hidden="1" customWidth="1"/>
    <col min="9996" max="9996" width="11" style="2095" customWidth="1"/>
    <col min="9997" max="9997" width="10.88671875" style="2095" customWidth="1"/>
    <col min="9998" max="9998" width="11.77734375" style="2095" customWidth="1"/>
    <col min="9999" max="9999" width="12" style="2095" customWidth="1"/>
    <col min="10000" max="10016" width="0" style="2095" hidden="1" customWidth="1"/>
    <col min="10017" max="10017" width="11.88671875" style="2095" customWidth="1"/>
    <col min="10018" max="10021" width="0" style="2095" hidden="1" customWidth="1"/>
    <col min="10022" max="10022" width="8.6640625" style="2095" customWidth="1"/>
    <col min="10023" max="10023" width="8.109375" style="2095" customWidth="1"/>
    <col min="10024" max="10024" width="8" style="2095" customWidth="1"/>
    <col min="10025" max="10025" width="11.44140625" style="2095" bestFit="1" customWidth="1"/>
    <col min="10026" max="10240" width="10" style="2095"/>
    <col min="10241" max="10241" width="4" style="2095" customWidth="1"/>
    <col min="10242" max="10242" width="0" style="2095" hidden="1" customWidth="1"/>
    <col min="10243" max="10243" width="38.44140625" style="2095" customWidth="1"/>
    <col min="10244" max="10247" width="0" style="2095" hidden="1" customWidth="1"/>
    <col min="10248" max="10248" width="13" style="2095" customWidth="1"/>
    <col min="10249" max="10249" width="0" style="2095" hidden="1" customWidth="1"/>
    <col min="10250" max="10250" width="11.6640625" style="2095" customWidth="1"/>
    <col min="10251" max="10251" width="0" style="2095" hidden="1" customWidth="1"/>
    <col min="10252" max="10252" width="11" style="2095" customWidth="1"/>
    <col min="10253" max="10253" width="10.88671875" style="2095" customWidth="1"/>
    <col min="10254" max="10254" width="11.77734375" style="2095" customWidth="1"/>
    <col min="10255" max="10255" width="12" style="2095" customWidth="1"/>
    <col min="10256" max="10272" width="0" style="2095" hidden="1" customWidth="1"/>
    <col min="10273" max="10273" width="11.88671875" style="2095" customWidth="1"/>
    <col min="10274" max="10277" width="0" style="2095" hidden="1" customWidth="1"/>
    <col min="10278" max="10278" width="8.6640625" style="2095" customWidth="1"/>
    <col min="10279" max="10279" width="8.109375" style="2095" customWidth="1"/>
    <col min="10280" max="10280" width="8" style="2095" customWidth="1"/>
    <col min="10281" max="10281" width="11.44140625" style="2095" bestFit="1" customWidth="1"/>
    <col min="10282" max="10496" width="10" style="2095"/>
    <col min="10497" max="10497" width="4" style="2095" customWidth="1"/>
    <col min="10498" max="10498" width="0" style="2095" hidden="1" customWidth="1"/>
    <col min="10499" max="10499" width="38.44140625" style="2095" customWidth="1"/>
    <col min="10500" max="10503" width="0" style="2095" hidden="1" customWidth="1"/>
    <col min="10504" max="10504" width="13" style="2095" customWidth="1"/>
    <col min="10505" max="10505" width="0" style="2095" hidden="1" customWidth="1"/>
    <col min="10506" max="10506" width="11.6640625" style="2095" customWidth="1"/>
    <col min="10507" max="10507" width="0" style="2095" hidden="1" customWidth="1"/>
    <col min="10508" max="10508" width="11" style="2095" customWidth="1"/>
    <col min="10509" max="10509" width="10.88671875" style="2095" customWidth="1"/>
    <col min="10510" max="10510" width="11.77734375" style="2095" customWidth="1"/>
    <col min="10511" max="10511" width="12" style="2095" customWidth="1"/>
    <col min="10512" max="10528" width="0" style="2095" hidden="1" customWidth="1"/>
    <col min="10529" max="10529" width="11.88671875" style="2095" customWidth="1"/>
    <col min="10530" max="10533" width="0" style="2095" hidden="1" customWidth="1"/>
    <col min="10534" max="10534" width="8.6640625" style="2095" customWidth="1"/>
    <col min="10535" max="10535" width="8.109375" style="2095" customWidth="1"/>
    <col min="10536" max="10536" width="8" style="2095" customWidth="1"/>
    <col min="10537" max="10537" width="11.44140625" style="2095" bestFit="1" customWidth="1"/>
    <col min="10538" max="10752" width="10" style="2095"/>
    <col min="10753" max="10753" width="4" style="2095" customWidth="1"/>
    <col min="10754" max="10754" width="0" style="2095" hidden="1" customWidth="1"/>
    <col min="10755" max="10755" width="38.44140625" style="2095" customWidth="1"/>
    <col min="10756" max="10759" width="0" style="2095" hidden="1" customWidth="1"/>
    <col min="10760" max="10760" width="13" style="2095" customWidth="1"/>
    <col min="10761" max="10761" width="0" style="2095" hidden="1" customWidth="1"/>
    <col min="10762" max="10762" width="11.6640625" style="2095" customWidth="1"/>
    <col min="10763" max="10763" width="0" style="2095" hidden="1" customWidth="1"/>
    <col min="10764" max="10764" width="11" style="2095" customWidth="1"/>
    <col min="10765" max="10765" width="10.88671875" style="2095" customWidth="1"/>
    <col min="10766" max="10766" width="11.77734375" style="2095" customWidth="1"/>
    <col min="10767" max="10767" width="12" style="2095" customWidth="1"/>
    <col min="10768" max="10784" width="0" style="2095" hidden="1" customWidth="1"/>
    <col min="10785" max="10785" width="11.88671875" style="2095" customWidth="1"/>
    <col min="10786" max="10789" width="0" style="2095" hidden="1" customWidth="1"/>
    <col min="10790" max="10790" width="8.6640625" style="2095" customWidth="1"/>
    <col min="10791" max="10791" width="8.109375" style="2095" customWidth="1"/>
    <col min="10792" max="10792" width="8" style="2095" customWidth="1"/>
    <col min="10793" max="10793" width="11.44140625" style="2095" bestFit="1" customWidth="1"/>
    <col min="10794" max="11008" width="10" style="2095"/>
    <col min="11009" max="11009" width="4" style="2095" customWidth="1"/>
    <col min="11010" max="11010" width="0" style="2095" hidden="1" customWidth="1"/>
    <col min="11011" max="11011" width="38.44140625" style="2095" customWidth="1"/>
    <col min="11012" max="11015" width="0" style="2095" hidden="1" customWidth="1"/>
    <col min="11016" max="11016" width="13" style="2095" customWidth="1"/>
    <col min="11017" max="11017" width="0" style="2095" hidden="1" customWidth="1"/>
    <col min="11018" max="11018" width="11.6640625" style="2095" customWidth="1"/>
    <col min="11019" max="11019" width="0" style="2095" hidden="1" customWidth="1"/>
    <col min="11020" max="11020" width="11" style="2095" customWidth="1"/>
    <col min="11021" max="11021" width="10.88671875" style="2095" customWidth="1"/>
    <col min="11022" max="11022" width="11.77734375" style="2095" customWidth="1"/>
    <col min="11023" max="11023" width="12" style="2095" customWidth="1"/>
    <col min="11024" max="11040" width="0" style="2095" hidden="1" customWidth="1"/>
    <col min="11041" max="11041" width="11.88671875" style="2095" customWidth="1"/>
    <col min="11042" max="11045" width="0" style="2095" hidden="1" customWidth="1"/>
    <col min="11046" max="11046" width="8.6640625" style="2095" customWidth="1"/>
    <col min="11047" max="11047" width="8.109375" style="2095" customWidth="1"/>
    <col min="11048" max="11048" width="8" style="2095" customWidth="1"/>
    <col min="11049" max="11049" width="11.44140625" style="2095" bestFit="1" customWidth="1"/>
    <col min="11050" max="11264" width="10" style="2095"/>
    <col min="11265" max="11265" width="4" style="2095" customWidth="1"/>
    <col min="11266" max="11266" width="0" style="2095" hidden="1" customWidth="1"/>
    <col min="11267" max="11267" width="38.44140625" style="2095" customWidth="1"/>
    <col min="11268" max="11271" width="0" style="2095" hidden="1" customWidth="1"/>
    <col min="11272" max="11272" width="13" style="2095" customWidth="1"/>
    <col min="11273" max="11273" width="0" style="2095" hidden="1" customWidth="1"/>
    <col min="11274" max="11274" width="11.6640625" style="2095" customWidth="1"/>
    <col min="11275" max="11275" width="0" style="2095" hidden="1" customWidth="1"/>
    <col min="11276" max="11276" width="11" style="2095" customWidth="1"/>
    <col min="11277" max="11277" width="10.88671875" style="2095" customWidth="1"/>
    <col min="11278" max="11278" width="11.77734375" style="2095" customWidth="1"/>
    <col min="11279" max="11279" width="12" style="2095" customWidth="1"/>
    <col min="11280" max="11296" width="0" style="2095" hidden="1" customWidth="1"/>
    <col min="11297" max="11297" width="11.88671875" style="2095" customWidth="1"/>
    <col min="11298" max="11301" width="0" style="2095" hidden="1" customWidth="1"/>
    <col min="11302" max="11302" width="8.6640625" style="2095" customWidth="1"/>
    <col min="11303" max="11303" width="8.109375" style="2095" customWidth="1"/>
    <col min="11304" max="11304" width="8" style="2095" customWidth="1"/>
    <col min="11305" max="11305" width="11.44140625" style="2095" bestFit="1" customWidth="1"/>
    <col min="11306" max="11520" width="10" style="2095"/>
    <col min="11521" max="11521" width="4" style="2095" customWidth="1"/>
    <col min="11522" max="11522" width="0" style="2095" hidden="1" customWidth="1"/>
    <col min="11523" max="11523" width="38.44140625" style="2095" customWidth="1"/>
    <col min="11524" max="11527" width="0" style="2095" hidden="1" customWidth="1"/>
    <col min="11528" max="11528" width="13" style="2095" customWidth="1"/>
    <col min="11529" max="11529" width="0" style="2095" hidden="1" customWidth="1"/>
    <col min="11530" max="11530" width="11.6640625" style="2095" customWidth="1"/>
    <col min="11531" max="11531" width="0" style="2095" hidden="1" customWidth="1"/>
    <col min="11532" max="11532" width="11" style="2095" customWidth="1"/>
    <col min="11533" max="11533" width="10.88671875" style="2095" customWidth="1"/>
    <col min="11534" max="11534" width="11.77734375" style="2095" customWidth="1"/>
    <col min="11535" max="11535" width="12" style="2095" customWidth="1"/>
    <col min="11536" max="11552" width="0" style="2095" hidden="1" customWidth="1"/>
    <col min="11553" max="11553" width="11.88671875" style="2095" customWidth="1"/>
    <col min="11554" max="11557" width="0" style="2095" hidden="1" customWidth="1"/>
    <col min="11558" max="11558" width="8.6640625" style="2095" customWidth="1"/>
    <col min="11559" max="11559" width="8.109375" style="2095" customWidth="1"/>
    <col min="11560" max="11560" width="8" style="2095" customWidth="1"/>
    <col min="11561" max="11561" width="11.44140625" style="2095" bestFit="1" customWidth="1"/>
    <col min="11562" max="11776" width="10" style="2095"/>
    <col min="11777" max="11777" width="4" style="2095" customWidth="1"/>
    <col min="11778" max="11778" width="0" style="2095" hidden="1" customWidth="1"/>
    <col min="11779" max="11779" width="38.44140625" style="2095" customWidth="1"/>
    <col min="11780" max="11783" width="0" style="2095" hidden="1" customWidth="1"/>
    <col min="11784" max="11784" width="13" style="2095" customWidth="1"/>
    <col min="11785" max="11785" width="0" style="2095" hidden="1" customWidth="1"/>
    <col min="11786" max="11786" width="11.6640625" style="2095" customWidth="1"/>
    <col min="11787" max="11787" width="0" style="2095" hidden="1" customWidth="1"/>
    <col min="11788" max="11788" width="11" style="2095" customWidth="1"/>
    <col min="11789" max="11789" width="10.88671875" style="2095" customWidth="1"/>
    <col min="11790" max="11790" width="11.77734375" style="2095" customWidth="1"/>
    <col min="11791" max="11791" width="12" style="2095" customWidth="1"/>
    <col min="11792" max="11808" width="0" style="2095" hidden="1" customWidth="1"/>
    <col min="11809" max="11809" width="11.88671875" style="2095" customWidth="1"/>
    <col min="11810" max="11813" width="0" style="2095" hidden="1" customWidth="1"/>
    <col min="11814" max="11814" width="8.6640625" style="2095" customWidth="1"/>
    <col min="11815" max="11815" width="8.109375" style="2095" customWidth="1"/>
    <col min="11816" max="11816" width="8" style="2095" customWidth="1"/>
    <col min="11817" max="11817" width="11.44140625" style="2095" bestFit="1" customWidth="1"/>
    <col min="11818" max="12032" width="10" style="2095"/>
    <col min="12033" max="12033" width="4" style="2095" customWidth="1"/>
    <col min="12034" max="12034" width="0" style="2095" hidden="1" customWidth="1"/>
    <col min="12035" max="12035" width="38.44140625" style="2095" customWidth="1"/>
    <col min="12036" max="12039" width="0" style="2095" hidden="1" customWidth="1"/>
    <col min="12040" max="12040" width="13" style="2095" customWidth="1"/>
    <col min="12041" max="12041" width="0" style="2095" hidden="1" customWidth="1"/>
    <col min="12042" max="12042" width="11.6640625" style="2095" customWidth="1"/>
    <col min="12043" max="12043" width="0" style="2095" hidden="1" customWidth="1"/>
    <col min="12044" max="12044" width="11" style="2095" customWidth="1"/>
    <col min="12045" max="12045" width="10.88671875" style="2095" customWidth="1"/>
    <col min="12046" max="12046" width="11.77734375" style="2095" customWidth="1"/>
    <col min="12047" max="12047" width="12" style="2095" customWidth="1"/>
    <col min="12048" max="12064" width="0" style="2095" hidden="1" customWidth="1"/>
    <col min="12065" max="12065" width="11.88671875" style="2095" customWidth="1"/>
    <col min="12066" max="12069" width="0" style="2095" hidden="1" customWidth="1"/>
    <col min="12070" max="12070" width="8.6640625" style="2095" customWidth="1"/>
    <col min="12071" max="12071" width="8.109375" style="2095" customWidth="1"/>
    <col min="12072" max="12072" width="8" style="2095" customWidth="1"/>
    <col min="12073" max="12073" width="11.44140625" style="2095" bestFit="1" customWidth="1"/>
    <col min="12074" max="12288" width="10" style="2095"/>
    <col min="12289" max="12289" width="4" style="2095" customWidth="1"/>
    <col min="12290" max="12290" width="0" style="2095" hidden="1" customWidth="1"/>
    <col min="12291" max="12291" width="38.44140625" style="2095" customWidth="1"/>
    <col min="12292" max="12295" width="0" style="2095" hidden="1" customWidth="1"/>
    <col min="12296" max="12296" width="13" style="2095" customWidth="1"/>
    <col min="12297" max="12297" width="0" style="2095" hidden="1" customWidth="1"/>
    <col min="12298" max="12298" width="11.6640625" style="2095" customWidth="1"/>
    <col min="12299" max="12299" width="0" style="2095" hidden="1" customWidth="1"/>
    <col min="12300" max="12300" width="11" style="2095" customWidth="1"/>
    <col min="12301" max="12301" width="10.88671875" style="2095" customWidth="1"/>
    <col min="12302" max="12302" width="11.77734375" style="2095" customWidth="1"/>
    <col min="12303" max="12303" width="12" style="2095" customWidth="1"/>
    <col min="12304" max="12320" width="0" style="2095" hidden="1" customWidth="1"/>
    <col min="12321" max="12321" width="11.88671875" style="2095" customWidth="1"/>
    <col min="12322" max="12325" width="0" style="2095" hidden="1" customWidth="1"/>
    <col min="12326" max="12326" width="8.6640625" style="2095" customWidth="1"/>
    <col min="12327" max="12327" width="8.109375" style="2095" customWidth="1"/>
    <col min="12328" max="12328" width="8" style="2095" customWidth="1"/>
    <col min="12329" max="12329" width="11.44140625" style="2095" bestFit="1" customWidth="1"/>
    <col min="12330" max="12544" width="10" style="2095"/>
    <col min="12545" max="12545" width="4" style="2095" customWidth="1"/>
    <col min="12546" max="12546" width="0" style="2095" hidden="1" customWidth="1"/>
    <col min="12547" max="12547" width="38.44140625" style="2095" customWidth="1"/>
    <col min="12548" max="12551" width="0" style="2095" hidden="1" customWidth="1"/>
    <col min="12552" max="12552" width="13" style="2095" customWidth="1"/>
    <col min="12553" max="12553" width="0" style="2095" hidden="1" customWidth="1"/>
    <col min="12554" max="12554" width="11.6640625" style="2095" customWidth="1"/>
    <col min="12555" max="12555" width="0" style="2095" hidden="1" customWidth="1"/>
    <col min="12556" max="12556" width="11" style="2095" customWidth="1"/>
    <col min="12557" max="12557" width="10.88671875" style="2095" customWidth="1"/>
    <col min="12558" max="12558" width="11.77734375" style="2095" customWidth="1"/>
    <col min="12559" max="12559" width="12" style="2095" customWidth="1"/>
    <col min="12560" max="12576" width="0" style="2095" hidden="1" customWidth="1"/>
    <col min="12577" max="12577" width="11.88671875" style="2095" customWidth="1"/>
    <col min="12578" max="12581" width="0" style="2095" hidden="1" customWidth="1"/>
    <col min="12582" max="12582" width="8.6640625" style="2095" customWidth="1"/>
    <col min="12583" max="12583" width="8.109375" style="2095" customWidth="1"/>
    <col min="12584" max="12584" width="8" style="2095" customWidth="1"/>
    <col min="12585" max="12585" width="11.44140625" style="2095" bestFit="1" customWidth="1"/>
    <col min="12586" max="12800" width="10" style="2095"/>
    <col min="12801" max="12801" width="4" style="2095" customWidth="1"/>
    <col min="12802" max="12802" width="0" style="2095" hidden="1" customWidth="1"/>
    <col min="12803" max="12803" width="38.44140625" style="2095" customWidth="1"/>
    <col min="12804" max="12807" width="0" style="2095" hidden="1" customWidth="1"/>
    <col min="12808" max="12808" width="13" style="2095" customWidth="1"/>
    <col min="12809" max="12809" width="0" style="2095" hidden="1" customWidth="1"/>
    <col min="12810" max="12810" width="11.6640625" style="2095" customWidth="1"/>
    <col min="12811" max="12811" width="0" style="2095" hidden="1" customWidth="1"/>
    <col min="12812" max="12812" width="11" style="2095" customWidth="1"/>
    <col min="12813" max="12813" width="10.88671875" style="2095" customWidth="1"/>
    <col min="12814" max="12814" width="11.77734375" style="2095" customWidth="1"/>
    <col min="12815" max="12815" width="12" style="2095" customWidth="1"/>
    <col min="12816" max="12832" width="0" style="2095" hidden="1" customWidth="1"/>
    <col min="12833" max="12833" width="11.88671875" style="2095" customWidth="1"/>
    <col min="12834" max="12837" width="0" style="2095" hidden="1" customWidth="1"/>
    <col min="12838" max="12838" width="8.6640625" style="2095" customWidth="1"/>
    <col min="12839" max="12839" width="8.109375" style="2095" customWidth="1"/>
    <col min="12840" max="12840" width="8" style="2095" customWidth="1"/>
    <col min="12841" max="12841" width="11.44140625" style="2095" bestFit="1" customWidth="1"/>
    <col min="12842" max="13056" width="10" style="2095"/>
    <col min="13057" max="13057" width="4" style="2095" customWidth="1"/>
    <col min="13058" max="13058" width="0" style="2095" hidden="1" customWidth="1"/>
    <col min="13059" max="13059" width="38.44140625" style="2095" customWidth="1"/>
    <col min="13060" max="13063" width="0" style="2095" hidden="1" customWidth="1"/>
    <col min="13064" max="13064" width="13" style="2095" customWidth="1"/>
    <col min="13065" max="13065" width="0" style="2095" hidden="1" customWidth="1"/>
    <col min="13066" max="13066" width="11.6640625" style="2095" customWidth="1"/>
    <col min="13067" max="13067" width="0" style="2095" hidden="1" customWidth="1"/>
    <col min="13068" max="13068" width="11" style="2095" customWidth="1"/>
    <col min="13069" max="13069" width="10.88671875" style="2095" customWidth="1"/>
    <col min="13070" max="13070" width="11.77734375" style="2095" customWidth="1"/>
    <col min="13071" max="13071" width="12" style="2095" customWidth="1"/>
    <col min="13072" max="13088" width="0" style="2095" hidden="1" customWidth="1"/>
    <col min="13089" max="13089" width="11.88671875" style="2095" customWidth="1"/>
    <col min="13090" max="13093" width="0" style="2095" hidden="1" customWidth="1"/>
    <col min="13094" max="13094" width="8.6640625" style="2095" customWidth="1"/>
    <col min="13095" max="13095" width="8.109375" style="2095" customWidth="1"/>
    <col min="13096" max="13096" width="8" style="2095" customWidth="1"/>
    <col min="13097" max="13097" width="11.44140625" style="2095" bestFit="1" customWidth="1"/>
    <col min="13098" max="13312" width="10" style="2095"/>
    <col min="13313" max="13313" width="4" style="2095" customWidth="1"/>
    <col min="13314" max="13314" width="0" style="2095" hidden="1" customWidth="1"/>
    <col min="13315" max="13315" width="38.44140625" style="2095" customWidth="1"/>
    <col min="13316" max="13319" width="0" style="2095" hidden="1" customWidth="1"/>
    <col min="13320" max="13320" width="13" style="2095" customWidth="1"/>
    <col min="13321" max="13321" width="0" style="2095" hidden="1" customWidth="1"/>
    <col min="13322" max="13322" width="11.6640625" style="2095" customWidth="1"/>
    <col min="13323" max="13323" width="0" style="2095" hidden="1" customWidth="1"/>
    <col min="13324" max="13324" width="11" style="2095" customWidth="1"/>
    <col min="13325" max="13325" width="10.88671875" style="2095" customWidth="1"/>
    <col min="13326" max="13326" width="11.77734375" style="2095" customWidth="1"/>
    <col min="13327" max="13327" width="12" style="2095" customWidth="1"/>
    <col min="13328" max="13344" width="0" style="2095" hidden="1" customWidth="1"/>
    <col min="13345" max="13345" width="11.88671875" style="2095" customWidth="1"/>
    <col min="13346" max="13349" width="0" style="2095" hidden="1" customWidth="1"/>
    <col min="13350" max="13350" width="8.6640625" style="2095" customWidth="1"/>
    <col min="13351" max="13351" width="8.109375" style="2095" customWidth="1"/>
    <col min="13352" max="13352" width="8" style="2095" customWidth="1"/>
    <col min="13353" max="13353" width="11.44140625" style="2095" bestFit="1" customWidth="1"/>
    <col min="13354" max="13568" width="10" style="2095"/>
    <col min="13569" max="13569" width="4" style="2095" customWidth="1"/>
    <col min="13570" max="13570" width="0" style="2095" hidden="1" customWidth="1"/>
    <col min="13571" max="13571" width="38.44140625" style="2095" customWidth="1"/>
    <col min="13572" max="13575" width="0" style="2095" hidden="1" customWidth="1"/>
    <col min="13576" max="13576" width="13" style="2095" customWidth="1"/>
    <col min="13577" max="13577" width="0" style="2095" hidden="1" customWidth="1"/>
    <col min="13578" max="13578" width="11.6640625" style="2095" customWidth="1"/>
    <col min="13579" max="13579" width="0" style="2095" hidden="1" customWidth="1"/>
    <col min="13580" max="13580" width="11" style="2095" customWidth="1"/>
    <col min="13581" max="13581" width="10.88671875" style="2095" customWidth="1"/>
    <col min="13582" max="13582" width="11.77734375" style="2095" customWidth="1"/>
    <col min="13583" max="13583" width="12" style="2095" customWidth="1"/>
    <col min="13584" max="13600" width="0" style="2095" hidden="1" customWidth="1"/>
    <col min="13601" max="13601" width="11.88671875" style="2095" customWidth="1"/>
    <col min="13602" max="13605" width="0" style="2095" hidden="1" customWidth="1"/>
    <col min="13606" max="13606" width="8.6640625" style="2095" customWidth="1"/>
    <col min="13607" max="13607" width="8.109375" style="2095" customWidth="1"/>
    <col min="13608" max="13608" width="8" style="2095" customWidth="1"/>
    <col min="13609" max="13609" width="11.44140625" style="2095" bestFit="1" customWidth="1"/>
    <col min="13610" max="13824" width="10" style="2095"/>
    <col min="13825" max="13825" width="4" style="2095" customWidth="1"/>
    <col min="13826" max="13826" width="0" style="2095" hidden="1" customWidth="1"/>
    <col min="13827" max="13827" width="38.44140625" style="2095" customWidth="1"/>
    <col min="13828" max="13831" width="0" style="2095" hidden="1" customWidth="1"/>
    <col min="13832" max="13832" width="13" style="2095" customWidth="1"/>
    <col min="13833" max="13833" width="0" style="2095" hidden="1" customWidth="1"/>
    <col min="13834" max="13834" width="11.6640625" style="2095" customWidth="1"/>
    <col min="13835" max="13835" width="0" style="2095" hidden="1" customWidth="1"/>
    <col min="13836" max="13836" width="11" style="2095" customWidth="1"/>
    <col min="13837" max="13837" width="10.88671875" style="2095" customWidth="1"/>
    <col min="13838" max="13838" width="11.77734375" style="2095" customWidth="1"/>
    <col min="13839" max="13839" width="12" style="2095" customWidth="1"/>
    <col min="13840" max="13856" width="0" style="2095" hidden="1" customWidth="1"/>
    <col min="13857" max="13857" width="11.88671875" style="2095" customWidth="1"/>
    <col min="13858" max="13861" width="0" style="2095" hidden="1" customWidth="1"/>
    <col min="13862" max="13862" width="8.6640625" style="2095" customWidth="1"/>
    <col min="13863" max="13863" width="8.109375" style="2095" customWidth="1"/>
    <col min="13864" max="13864" width="8" style="2095" customWidth="1"/>
    <col min="13865" max="13865" width="11.44140625" style="2095" bestFit="1" customWidth="1"/>
    <col min="13866" max="14080" width="10" style="2095"/>
    <col min="14081" max="14081" width="4" style="2095" customWidth="1"/>
    <col min="14082" max="14082" width="0" style="2095" hidden="1" customWidth="1"/>
    <col min="14083" max="14083" width="38.44140625" style="2095" customWidth="1"/>
    <col min="14084" max="14087" width="0" style="2095" hidden="1" customWidth="1"/>
    <col min="14088" max="14088" width="13" style="2095" customWidth="1"/>
    <col min="14089" max="14089" width="0" style="2095" hidden="1" customWidth="1"/>
    <col min="14090" max="14090" width="11.6640625" style="2095" customWidth="1"/>
    <col min="14091" max="14091" width="0" style="2095" hidden="1" customWidth="1"/>
    <col min="14092" max="14092" width="11" style="2095" customWidth="1"/>
    <col min="14093" max="14093" width="10.88671875" style="2095" customWidth="1"/>
    <col min="14094" max="14094" width="11.77734375" style="2095" customWidth="1"/>
    <col min="14095" max="14095" width="12" style="2095" customWidth="1"/>
    <col min="14096" max="14112" width="0" style="2095" hidden="1" customWidth="1"/>
    <col min="14113" max="14113" width="11.88671875" style="2095" customWidth="1"/>
    <col min="14114" max="14117" width="0" style="2095" hidden="1" customWidth="1"/>
    <col min="14118" max="14118" width="8.6640625" style="2095" customWidth="1"/>
    <col min="14119" max="14119" width="8.109375" style="2095" customWidth="1"/>
    <col min="14120" max="14120" width="8" style="2095" customWidth="1"/>
    <col min="14121" max="14121" width="11.44140625" style="2095" bestFit="1" customWidth="1"/>
    <col min="14122" max="14336" width="10" style="2095"/>
    <col min="14337" max="14337" width="4" style="2095" customWidth="1"/>
    <col min="14338" max="14338" width="0" style="2095" hidden="1" customWidth="1"/>
    <col min="14339" max="14339" width="38.44140625" style="2095" customWidth="1"/>
    <col min="14340" max="14343" width="0" style="2095" hidden="1" customWidth="1"/>
    <col min="14344" max="14344" width="13" style="2095" customWidth="1"/>
    <col min="14345" max="14345" width="0" style="2095" hidden="1" customWidth="1"/>
    <col min="14346" max="14346" width="11.6640625" style="2095" customWidth="1"/>
    <col min="14347" max="14347" width="0" style="2095" hidden="1" customWidth="1"/>
    <col min="14348" max="14348" width="11" style="2095" customWidth="1"/>
    <col min="14349" max="14349" width="10.88671875" style="2095" customWidth="1"/>
    <col min="14350" max="14350" width="11.77734375" style="2095" customWidth="1"/>
    <col min="14351" max="14351" width="12" style="2095" customWidth="1"/>
    <col min="14352" max="14368" width="0" style="2095" hidden="1" customWidth="1"/>
    <col min="14369" max="14369" width="11.88671875" style="2095" customWidth="1"/>
    <col min="14370" max="14373" width="0" style="2095" hidden="1" customWidth="1"/>
    <col min="14374" max="14374" width="8.6640625" style="2095" customWidth="1"/>
    <col min="14375" max="14375" width="8.109375" style="2095" customWidth="1"/>
    <col min="14376" max="14376" width="8" style="2095" customWidth="1"/>
    <col min="14377" max="14377" width="11.44140625" style="2095" bestFit="1" customWidth="1"/>
    <col min="14378" max="14592" width="10" style="2095"/>
    <col min="14593" max="14593" width="4" style="2095" customWidth="1"/>
    <col min="14594" max="14594" width="0" style="2095" hidden="1" customWidth="1"/>
    <col min="14595" max="14595" width="38.44140625" style="2095" customWidth="1"/>
    <col min="14596" max="14599" width="0" style="2095" hidden="1" customWidth="1"/>
    <col min="14600" max="14600" width="13" style="2095" customWidth="1"/>
    <col min="14601" max="14601" width="0" style="2095" hidden="1" customWidth="1"/>
    <col min="14602" max="14602" width="11.6640625" style="2095" customWidth="1"/>
    <col min="14603" max="14603" width="0" style="2095" hidden="1" customWidth="1"/>
    <col min="14604" max="14604" width="11" style="2095" customWidth="1"/>
    <col min="14605" max="14605" width="10.88671875" style="2095" customWidth="1"/>
    <col min="14606" max="14606" width="11.77734375" style="2095" customWidth="1"/>
    <col min="14607" max="14607" width="12" style="2095" customWidth="1"/>
    <col min="14608" max="14624" width="0" style="2095" hidden="1" customWidth="1"/>
    <col min="14625" max="14625" width="11.88671875" style="2095" customWidth="1"/>
    <col min="14626" max="14629" width="0" style="2095" hidden="1" customWidth="1"/>
    <col min="14630" max="14630" width="8.6640625" style="2095" customWidth="1"/>
    <col min="14631" max="14631" width="8.109375" style="2095" customWidth="1"/>
    <col min="14632" max="14632" width="8" style="2095" customWidth="1"/>
    <col min="14633" max="14633" width="11.44140625" style="2095" bestFit="1" customWidth="1"/>
    <col min="14634" max="14848" width="10" style="2095"/>
    <col min="14849" max="14849" width="4" style="2095" customWidth="1"/>
    <col min="14850" max="14850" width="0" style="2095" hidden="1" customWidth="1"/>
    <col min="14851" max="14851" width="38.44140625" style="2095" customWidth="1"/>
    <col min="14852" max="14855" width="0" style="2095" hidden="1" customWidth="1"/>
    <col min="14856" max="14856" width="13" style="2095" customWidth="1"/>
    <col min="14857" max="14857" width="0" style="2095" hidden="1" customWidth="1"/>
    <col min="14858" max="14858" width="11.6640625" style="2095" customWidth="1"/>
    <col min="14859" max="14859" width="0" style="2095" hidden="1" customWidth="1"/>
    <col min="14860" max="14860" width="11" style="2095" customWidth="1"/>
    <col min="14861" max="14861" width="10.88671875" style="2095" customWidth="1"/>
    <col min="14862" max="14862" width="11.77734375" style="2095" customWidth="1"/>
    <col min="14863" max="14863" width="12" style="2095" customWidth="1"/>
    <col min="14864" max="14880" width="0" style="2095" hidden="1" customWidth="1"/>
    <col min="14881" max="14881" width="11.88671875" style="2095" customWidth="1"/>
    <col min="14882" max="14885" width="0" style="2095" hidden="1" customWidth="1"/>
    <col min="14886" max="14886" width="8.6640625" style="2095" customWidth="1"/>
    <col min="14887" max="14887" width="8.109375" style="2095" customWidth="1"/>
    <col min="14888" max="14888" width="8" style="2095" customWidth="1"/>
    <col min="14889" max="14889" width="11.44140625" style="2095" bestFit="1" customWidth="1"/>
    <col min="14890" max="15104" width="10" style="2095"/>
    <col min="15105" max="15105" width="4" style="2095" customWidth="1"/>
    <col min="15106" max="15106" width="0" style="2095" hidden="1" customWidth="1"/>
    <col min="15107" max="15107" width="38.44140625" style="2095" customWidth="1"/>
    <col min="15108" max="15111" width="0" style="2095" hidden="1" customWidth="1"/>
    <col min="15112" max="15112" width="13" style="2095" customWidth="1"/>
    <col min="15113" max="15113" width="0" style="2095" hidden="1" customWidth="1"/>
    <col min="15114" max="15114" width="11.6640625" style="2095" customWidth="1"/>
    <col min="15115" max="15115" width="0" style="2095" hidden="1" customWidth="1"/>
    <col min="15116" max="15116" width="11" style="2095" customWidth="1"/>
    <col min="15117" max="15117" width="10.88671875" style="2095" customWidth="1"/>
    <col min="15118" max="15118" width="11.77734375" style="2095" customWidth="1"/>
    <col min="15119" max="15119" width="12" style="2095" customWidth="1"/>
    <col min="15120" max="15136" width="0" style="2095" hidden="1" customWidth="1"/>
    <col min="15137" max="15137" width="11.88671875" style="2095" customWidth="1"/>
    <col min="15138" max="15141" width="0" style="2095" hidden="1" customWidth="1"/>
    <col min="15142" max="15142" width="8.6640625" style="2095" customWidth="1"/>
    <col min="15143" max="15143" width="8.109375" style="2095" customWidth="1"/>
    <col min="15144" max="15144" width="8" style="2095" customWidth="1"/>
    <col min="15145" max="15145" width="11.44140625" style="2095" bestFit="1" customWidth="1"/>
    <col min="15146" max="15360" width="10" style="2095"/>
    <col min="15361" max="15361" width="4" style="2095" customWidth="1"/>
    <col min="15362" max="15362" width="0" style="2095" hidden="1" customWidth="1"/>
    <col min="15363" max="15363" width="38.44140625" style="2095" customWidth="1"/>
    <col min="15364" max="15367" width="0" style="2095" hidden="1" customWidth="1"/>
    <col min="15368" max="15368" width="13" style="2095" customWidth="1"/>
    <col min="15369" max="15369" width="0" style="2095" hidden="1" customWidth="1"/>
    <col min="15370" max="15370" width="11.6640625" style="2095" customWidth="1"/>
    <col min="15371" max="15371" width="0" style="2095" hidden="1" customWidth="1"/>
    <col min="15372" max="15372" width="11" style="2095" customWidth="1"/>
    <col min="15373" max="15373" width="10.88671875" style="2095" customWidth="1"/>
    <col min="15374" max="15374" width="11.77734375" style="2095" customWidth="1"/>
    <col min="15375" max="15375" width="12" style="2095" customWidth="1"/>
    <col min="15376" max="15392" width="0" style="2095" hidden="1" customWidth="1"/>
    <col min="15393" max="15393" width="11.88671875" style="2095" customWidth="1"/>
    <col min="15394" max="15397" width="0" style="2095" hidden="1" customWidth="1"/>
    <col min="15398" max="15398" width="8.6640625" style="2095" customWidth="1"/>
    <col min="15399" max="15399" width="8.109375" style="2095" customWidth="1"/>
    <col min="15400" max="15400" width="8" style="2095" customWidth="1"/>
    <col min="15401" max="15401" width="11.44140625" style="2095" bestFit="1" customWidth="1"/>
    <col min="15402" max="15616" width="10" style="2095"/>
    <col min="15617" max="15617" width="4" style="2095" customWidth="1"/>
    <col min="15618" max="15618" width="0" style="2095" hidden="1" customWidth="1"/>
    <col min="15619" max="15619" width="38.44140625" style="2095" customWidth="1"/>
    <col min="15620" max="15623" width="0" style="2095" hidden="1" customWidth="1"/>
    <col min="15624" max="15624" width="13" style="2095" customWidth="1"/>
    <col min="15625" max="15625" width="0" style="2095" hidden="1" customWidth="1"/>
    <col min="15626" max="15626" width="11.6640625" style="2095" customWidth="1"/>
    <col min="15627" max="15627" width="0" style="2095" hidden="1" customWidth="1"/>
    <col min="15628" max="15628" width="11" style="2095" customWidth="1"/>
    <col min="15629" max="15629" width="10.88671875" style="2095" customWidth="1"/>
    <col min="15630" max="15630" width="11.77734375" style="2095" customWidth="1"/>
    <col min="15631" max="15631" width="12" style="2095" customWidth="1"/>
    <col min="15632" max="15648" width="0" style="2095" hidden="1" customWidth="1"/>
    <col min="15649" max="15649" width="11.88671875" style="2095" customWidth="1"/>
    <col min="15650" max="15653" width="0" style="2095" hidden="1" customWidth="1"/>
    <col min="15654" max="15654" width="8.6640625" style="2095" customWidth="1"/>
    <col min="15655" max="15655" width="8.109375" style="2095" customWidth="1"/>
    <col min="15656" max="15656" width="8" style="2095" customWidth="1"/>
    <col min="15657" max="15657" width="11.44140625" style="2095" bestFit="1" customWidth="1"/>
    <col min="15658" max="15872" width="10" style="2095"/>
    <col min="15873" max="15873" width="4" style="2095" customWidth="1"/>
    <col min="15874" max="15874" width="0" style="2095" hidden="1" customWidth="1"/>
    <col min="15875" max="15875" width="38.44140625" style="2095" customWidth="1"/>
    <col min="15876" max="15879" width="0" style="2095" hidden="1" customWidth="1"/>
    <col min="15880" max="15880" width="13" style="2095" customWidth="1"/>
    <col min="15881" max="15881" width="0" style="2095" hidden="1" customWidth="1"/>
    <col min="15882" max="15882" width="11.6640625" style="2095" customWidth="1"/>
    <col min="15883" max="15883" width="0" style="2095" hidden="1" customWidth="1"/>
    <col min="15884" max="15884" width="11" style="2095" customWidth="1"/>
    <col min="15885" max="15885" width="10.88671875" style="2095" customWidth="1"/>
    <col min="15886" max="15886" width="11.77734375" style="2095" customWidth="1"/>
    <col min="15887" max="15887" width="12" style="2095" customWidth="1"/>
    <col min="15888" max="15904" width="0" style="2095" hidden="1" customWidth="1"/>
    <col min="15905" max="15905" width="11.88671875" style="2095" customWidth="1"/>
    <col min="15906" max="15909" width="0" style="2095" hidden="1" customWidth="1"/>
    <col min="15910" max="15910" width="8.6640625" style="2095" customWidth="1"/>
    <col min="15911" max="15911" width="8.109375" style="2095" customWidth="1"/>
    <col min="15912" max="15912" width="8" style="2095" customWidth="1"/>
    <col min="15913" max="15913" width="11.44140625" style="2095" bestFit="1" customWidth="1"/>
    <col min="15914" max="16128" width="10" style="2095"/>
    <col min="16129" max="16129" width="4" style="2095" customWidth="1"/>
    <col min="16130" max="16130" width="0" style="2095" hidden="1" customWidth="1"/>
    <col min="16131" max="16131" width="38.44140625" style="2095" customWidth="1"/>
    <col min="16132" max="16135" width="0" style="2095" hidden="1" customWidth="1"/>
    <col min="16136" max="16136" width="13" style="2095" customWidth="1"/>
    <col min="16137" max="16137" width="0" style="2095" hidden="1" customWidth="1"/>
    <col min="16138" max="16138" width="11.6640625" style="2095" customWidth="1"/>
    <col min="16139" max="16139" width="0" style="2095" hidden="1" customWidth="1"/>
    <col min="16140" max="16140" width="11" style="2095" customWidth="1"/>
    <col min="16141" max="16141" width="10.88671875" style="2095" customWidth="1"/>
    <col min="16142" max="16142" width="11.77734375" style="2095" customWidth="1"/>
    <col min="16143" max="16143" width="12" style="2095" customWidth="1"/>
    <col min="16144" max="16160" width="0" style="2095" hidden="1" customWidth="1"/>
    <col min="16161" max="16161" width="11.88671875" style="2095" customWidth="1"/>
    <col min="16162" max="16165" width="0" style="2095" hidden="1" customWidth="1"/>
    <col min="16166" max="16166" width="8.6640625" style="2095" customWidth="1"/>
    <col min="16167" max="16167" width="8.109375" style="2095" customWidth="1"/>
    <col min="16168" max="16168" width="8" style="2095" customWidth="1"/>
    <col min="16169" max="16169" width="11.44140625" style="2095" bestFit="1" customWidth="1"/>
    <col min="16170" max="16384" width="10" style="2095"/>
  </cols>
  <sheetData>
    <row r="1" spans="1:41" s="2087" customFormat="1" ht="15.6">
      <c r="A1" s="2086"/>
      <c r="C1" s="2088" t="s">
        <v>69</v>
      </c>
      <c r="D1" s="2089"/>
      <c r="O1" s="2090" t="s">
        <v>1264</v>
      </c>
    </row>
    <row r="2" spans="1:41" s="2087" customFormat="1">
      <c r="A2" s="2086"/>
      <c r="C2" s="2091"/>
      <c r="D2" s="2089"/>
      <c r="O2" s="2090"/>
    </row>
    <row r="3" spans="1:41" s="2092" customFormat="1" ht="21" customHeight="1">
      <c r="A3" s="2924" t="s">
        <v>1265</v>
      </c>
      <c r="B3" s="2924"/>
      <c r="C3" s="2924"/>
      <c r="D3" s="2924"/>
      <c r="E3" s="2924"/>
      <c r="F3" s="2924"/>
      <c r="G3" s="2924"/>
      <c r="H3" s="2924"/>
      <c r="I3" s="2924"/>
      <c r="J3" s="2924"/>
      <c r="K3" s="2924"/>
      <c r="L3" s="2924"/>
      <c r="M3" s="2924"/>
      <c r="N3" s="2924"/>
      <c r="O3" s="2924"/>
      <c r="P3" s="2924"/>
      <c r="Q3" s="2924"/>
      <c r="R3" s="2924"/>
      <c r="S3" s="2924"/>
      <c r="T3" s="2924"/>
      <c r="U3" s="2924"/>
      <c r="V3" s="2924"/>
      <c r="W3" s="2924"/>
      <c r="X3" s="2924"/>
      <c r="Y3" s="2924"/>
      <c r="Z3" s="2924"/>
      <c r="AA3" s="2924"/>
      <c r="AB3" s="2924"/>
      <c r="AC3" s="2924"/>
      <c r="AD3" s="2924"/>
      <c r="AE3" s="2924"/>
      <c r="AF3" s="2924"/>
      <c r="AG3" s="2924"/>
    </row>
    <row r="4" spans="1:41" s="2087" customFormat="1" ht="11.4" customHeight="1">
      <c r="A4" s="2925" t="s">
        <v>1266</v>
      </c>
      <c r="B4" s="2925"/>
      <c r="C4" s="2925"/>
      <c r="D4" s="2925"/>
      <c r="E4" s="2925"/>
      <c r="F4" s="2925"/>
      <c r="G4" s="2925"/>
      <c r="H4" s="2925"/>
      <c r="I4" s="2925"/>
      <c r="J4" s="2925"/>
      <c r="K4" s="2925"/>
      <c r="L4" s="2925"/>
      <c r="M4" s="2925"/>
      <c r="N4" s="2925"/>
      <c r="O4" s="2925"/>
      <c r="P4" s="2925"/>
      <c r="Q4" s="2925"/>
      <c r="R4" s="2925"/>
      <c r="S4" s="2925"/>
      <c r="T4" s="2925"/>
      <c r="U4" s="2925"/>
      <c r="V4" s="2925"/>
      <c r="W4" s="2925"/>
      <c r="X4" s="2925"/>
      <c r="Y4" s="2925"/>
      <c r="Z4" s="2925"/>
      <c r="AA4" s="2925"/>
      <c r="AB4" s="2925"/>
      <c r="AC4" s="2925"/>
      <c r="AD4" s="2925"/>
      <c r="AE4" s="2925"/>
      <c r="AF4" s="2925"/>
      <c r="AG4" s="2925"/>
    </row>
    <row r="5" spans="1:41" s="2087" customFormat="1" ht="21" customHeight="1">
      <c r="A5" s="2093"/>
      <c r="B5" s="2093"/>
      <c r="C5" s="2093"/>
      <c r="D5" s="2093"/>
      <c r="E5" s="2093"/>
      <c r="F5" s="2093"/>
      <c r="G5" s="2093"/>
      <c r="H5" s="2093"/>
      <c r="I5" s="2093"/>
      <c r="J5" s="2093"/>
      <c r="K5" s="2093"/>
      <c r="L5" s="2093"/>
      <c r="M5" s="2093"/>
      <c r="N5" s="2093"/>
      <c r="O5" s="2093"/>
      <c r="AC5" s="2094"/>
      <c r="AD5" s="2094"/>
    </row>
    <row r="6" spans="1:41">
      <c r="D6" s="2097"/>
      <c r="E6" s="2098"/>
      <c r="F6" s="2099"/>
      <c r="G6" s="2099"/>
      <c r="H6" s="2100"/>
      <c r="I6" s="2100"/>
      <c r="J6" s="2100"/>
      <c r="K6" s="2100"/>
      <c r="L6" s="2100"/>
      <c r="M6" s="2100"/>
      <c r="P6" s="2101"/>
      <c r="AG6" s="2102" t="s">
        <v>1056</v>
      </c>
    </row>
    <row r="7" spans="1:41" s="2104" customFormat="1" ht="20.25" customHeight="1">
      <c r="A7" s="2926" t="s">
        <v>1267</v>
      </c>
      <c r="B7" s="2915" t="s">
        <v>1268</v>
      </c>
      <c r="C7" s="2915" t="s">
        <v>257</v>
      </c>
      <c r="D7" s="2921" t="s">
        <v>1269</v>
      </c>
      <c r="E7" s="2921" t="s">
        <v>1270</v>
      </c>
      <c r="F7" s="2103" t="s">
        <v>1271</v>
      </c>
      <c r="G7" s="2929" t="s">
        <v>1271</v>
      </c>
      <c r="H7" s="2915" t="s">
        <v>1272</v>
      </c>
      <c r="I7" s="2921" t="s">
        <v>1273</v>
      </c>
      <c r="J7" s="2921" t="s">
        <v>1273</v>
      </c>
      <c r="K7" s="2921" t="s">
        <v>1274</v>
      </c>
      <c r="L7" s="2922" t="s">
        <v>1271</v>
      </c>
      <c r="M7" s="2922"/>
      <c r="N7" s="2915" t="s">
        <v>1275</v>
      </c>
      <c r="O7" s="2915" t="s">
        <v>1276</v>
      </c>
      <c r="Z7" s="2923" t="s">
        <v>1277</v>
      </c>
      <c r="AA7" s="2923"/>
      <c r="AD7" s="2105"/>
      <c r="AG7" s="2915" t="s">
        <v>1278</v>
      </c>
      <c r="AL7" s="2918" t="s">
        <v>1271</v>
      </c>
      <c r="AM7" s="2918"/>
      <c r="AN7" s="2918"/>
      <c r="AO7" s="2918" t="s">
        <v>1279</v>
      </c>
    </row>
    <row r="8" spans="1:41" s="2104" customFormat="1" ht="20.25" customHeight="1">
      <c r="A8" s="2927"/>
      <c r="B8" s="2916"/>
      <c r="C8" s="2916"/>
      <c r="D8" s="2919"/>
      <c r="E8" s="2919"/>
      <c r="F8" s="2106" t="s">
        <v>120</v>
      </c>
      <c r="G8" s="2930"/>
      <c r="H8" s="2916"/>
      <c r="I8" s="2919"/>
      <c r="J8" s="2919"/>
      <c r="K8" s="2919"/>
      <c r="L8" s="2919" t="s">
        <v>120</v>
      </c>
      <c r="M8" s="2919" t="s">
        <v>905</v>
      </c>
      <c r="N8" s="2916"/>
      <c r="O8" s="2916"/>
      <c r="AG8" s="2916"/>
      <c r="AL8" s="2918" t="s">
        <v>1280</v>
      </c>
      <c r="AM8" s="2918" t="s">
        <v>1281</v>
      </c>
      <c r="AN8" s="2918" t="s">
        <v>1282</v>
      </c>
      <c r="AO8" s="2918"/>
    </row>
    <row r="9" spans="1:41" s="2104" customFormat="1" ht="20.25" customHeight="1">
      <c r="A9" s="2927"/>
      <c r="B9" s="2916"/>
      <c r="C9" s="2916"/>
      <c r="D9" s="2919"/>
      <c r="E9" s="2919"/>
      <c r="F9" s="2107"/>
      <c r="G9" s="2930"/>
      <c r="H9" s="2916"/>
      <c r="I9" s="2919"/>
      <c r="J9" s="2919"/>
      <c r="K9" s="2919"/>
      <c r="L9" s="2919"/>
      <c r="M9" s="2919"/>
      <c r="N9" s="2916"/>
      <c r="O9" s="2916"/>
      <c r="AG9" s="2916"/>
      <c r="AL9" s="2918"/>
      <c r="AM9" s="2918"/>
      <c r="AN9" s="2918"/>
      <c r="AO9" s="2918"/>
    </row>
    <row r="10" spans="1:41" s="2108" customFormat="1" ht="20.25" customHeight="1">
      <c r="A10" s="2928"/>
      <c r="B10" s="2917"/>
      <c r="C10" s="2917"/>
      <c r="D10" s="2919"/>
      <c r="E10" s="2919"/>
      <c r="F10" s="2107"/>
      <c r="G10" s="2930"/>
      <c r="H10" s="2917"/>
      <c r="I10" s="2919"/>
      <c r="J10" s="2920"/>
      <c r="K10" s="2919"/>
      <c r="L10" s="2920"/>
      <c r="M10" s="2920"/>
      <c r="N10" s="2917"/>
      <c r="O10" s="2917"/>
      <c r="AD10" s="2109"/>
      <c r="AG10" s="2917"/>
      <c r="AL10" s="2918"/>
      <c r="AM10" s="2918"/>
      <c r="AN10" s="2918"/>
      <c r="AO10" s="2918"/>
    </row>
    <row r="11" spans="1:41" s="2086" customFormat="1" ht="17.25" customHeight="1">
      <c r="A11" s="2110" t="s">
        <v>80</v>
      </c>
      <c r="B11" s="2110" t="s">
        <v>81</v>
      </c>
      <c r="C11" s="2111" t="s">
        <v>81</v>
      </c>
      <c r="D11" s="2112">
        <v>1</v>
      </c>
      <c r="E11" s="2112">
        <v>2</v>
      </c>
      <c r="F11" s="2110" t="s">
        <v>1283</v>
      </c>
      <c r="G11" s="2110" t="s">
        <v>1209</v>
      </c>
      <c r="H11" s="2112">
        <v>1</v>
      </c>
      <c r="I11" s="2112"/>
      <c r="J11" s="2112">
        <v>2</v>
      </c>
      <c r="K11" s="2112" t="s">
        <v>1284</v>
      </c>
      <c r="L11" s="2112" t="s">
        <v>1283</v>
      </c>
      <c r="M11" s="2112" t="s">
        <v>1285</v>
      </c>
      <c r="N11" s="2112">
        <v>5</v>
      </c>
      <c r="O11" s="2112">
        <v>6</v>
      </c>
      <c r="P11" s="2110"/>
      <c r="Q11" s="2110"/>
      <c r="R11" s="2110"/>
      <c r="S11" s="2110"/>
      <c r="T11" s="2110"/>
      <c r="U11" s="2110"/>
      <c r="V11" s="2110"/>
      <c r="W11" s="2110"/>
      <c r="X11" s="2110"/>
      <c r="Y11" s="2110"/>
      <c r="Z11" s="2110"/>
      <c r="AA11" s="2110"/>
      <c r="AB11" s="2110"/>
      <c r="AC11" s="2113">
        <f>AC12-N12</f>
        <v>-830725</v>
      </c>
      <c r="AD11" s="2113">
        <f>AD12-O12</f>
        <v>-799874.44000000134</v>
      </c>
      <c r="AE11" s="2110"/>
      <c r="AF11" s="2110"/>
      <c r="AG11" s="2112">
        <v>7</v>
      </c>
      <c r="AL11" s="2110" t="s">
        <v>1286</v>
      </c>
      <c r="AM11" s="2110" t="s">
        <v>1287</v>
      </c>
      <c r="AN11" s="2110" t="s">
        <v>1288</v>
      </c>
      <c r="AO11" s="2110" t="s">
        <v>1289</v>
      </c>
    </row>
    <row r="12" spans="1:41" s="2093" customFormat="1" ht="31.5" customHeight="1">
      <c r="A12" s="2114" t="s">
        <v>80</v>
      </c>
      <c r="B12" s="2115"/>
      <c r="C12" s="2116" t="s">
        <v>1058</v>
      </c>
      <c r="D12" s="2117">
        <f>D15+D16+D20+D21+D22</f>
        <v>7711037</v>
      </c>
      <c r="E12" s="2117">
        <f t="shared" ref="E12:O12" si="0">E15+E16+E20+E21+E22</f>
        <v>8576468</v>
      </c>
      <c r="F12" s="2117">
        <f>E12-D12</f>
        <v>865431</v>
      </c>
      <c r="G12" s="2118">
        <f>E12/D12*100</f>
        <v>111.22327645425641</v>
      </c>
      <c r="H12" s="2117">
        <f t="shared" si="0"/>
        <v>8865023</v>
      </c>
      <c r="I12" s="2117"/>
      <c r="J12" s="2117">
        <f t="shared" si="0"/>
        <v>9354353.0999999996</v>
      </c>
      <c r="K12" s="2117">
        <f>SUM(N12,O12,AG12)</f>
        <v>26451336.036800001</v>
      </c>
      <c r="L12" s="2117">
        <f>J12-H12</f>
        <v>489330.09999999963</v>
      </c>
      <c r="M12" s="2119">
        <f>J12/H12%</f>
        <v>105.51978376141832</v>
      </c>
      <c r="N12" s="2117">
        <f t="shared" si="0"/>
        <v>9166448</v>
      </c>
      <c r="O12" s="2117">
        <f t="shared" si="0"/>
        <v>9353030.6400000006</v>
      </c>
      <c r="P12" s="2120"/>
      <c r="Q12" s="2121">
        <f>H12-H23</f>
        <v>50800</v>
      </c>
      <c r="R12" s="2121">
        <f>N12-N23</f>
        <v>54500</v>
      </c>
      <c r="S12" s="2121">
        <f>O12-O23</f>
        <v>52619.105599999428</v>
      </c>
      <c r="T12" s="2121">
        <f>P12-P23</f>
        <v>-8812723</v>
      </c>
      <c r="U12" s="2121">
        <f>Q12-Q23</f>
        <v>-9512102.0800000001</v>
      </c>
      <c r="V12" s="2120"/>
      <c r="W12" s="2120"/>
      <c r="X12" s="2120"/>
      <c r="Y12" s="2120"/>
      <c r="Z12" s="2120">
        <f>N12/H12%</f>
        <v>103.40016038311464</v>
      </c>
      <c r="AA12" s="2120">
        <f>O12/N12%</f>
        <v>102.03549553763902</v>
      </c>
      <c r="AB12" s="2120"/>
      <c r="AC12" s="2122">
        <v>8335723</v>
      </c>
      <c r="AD12" s="2122">
        <v>8553156.1999999993</v>
      </c>
      <c r="AE12" s="2122">
        <v>9085221.620000001</v>
      </c>
      <c r="AF12" s="2121">
        <f>H12+N12+O12</f>
        <v>27384501.640000001</v>
      </c>
      <c r="AG12" s="2117">
        <f>AG15+AG16+AG20+AG21+AG22</f>
        <v>7931857.3968000002</v>
      </c>
      <c r="AL12" s="2123">
        <f>N12/H12%</f>
        <v>103.40016038311464</v>
      </c>
      <c r="AM12" s="2123">
        <f>O12/N12%</f>
        <v>102.03549553763902</v>
      </c>
      <c r="AN12" s="2123">
        <f>AG12/O12%</f>
        <v>84.80521129566192</v>
      </c>
      <c r="AO12" s="2113">
        <f>SUM(N12,O12,AG12)</f>
        <v>26451336.036800001</v>
      </c>
    </row>
    <row r="13" spans="1:41" s="2093" customFormat="1" ht="31.2" hidden="1" customHeight="1">
      <c r="A13" s="2124"/>
      <c r="B13" s="2125"/>
      <c r="C13" s="2126" t="s">
        <v>1290</v>
      </c>
      <c r="D13" s="2127">
        <v>7711037</v>
      </c>
      <c r="E13" s="2127"/>
      <c r="F13" s="2127"/>
      <c r="G13" s="2128"/>
      <c r="H13" s="2127">
        <v>8865023</v>
      </c>
      <c r="I13" s="2127"/>
      <c r="J13" s="2127"/>
      <c r="K13" s="2127"/>
      <c r="L13" s="2127"/>
      <c r="M13" s="2127"/>
      <c r="N13" s="2127">
        <v>9383265.1999999993</v>
      </c>
      <c r="O13" s="2127">
        <v>9953331.8200000003</v>
      </c>
      <c r="P13" s="2129"/>
      <c r="Q13" s="2130"/>
      <c r="R13" s="2130"/>
      <c r="S13" s="2130"/>
      <c r="T13" s="2130"/>
      <c r="U13" s="2130"/>
      <c r="V13" s="2129"/>
      <c r="W13" s="2129"/>
      <c r="X13" s="2129"/>
      <c r="Y13" s="2129"/>
      <c r="Z13" s="2129"/>
      <c r="AA13" s="2129"/>
      <c r="AB13" s="2129"/>
      <c r="AC13" s="2131"/>
      <c r="AD13" s="2131"/>
      <c r="AE13" s="2131"/>
      <c r="AF13" s="2129"/>
      <c r="AG13" s="2127">
        <v>9953331.8200000003</v>
      </c>
      <c r="AL13" s="2132"/>
      <c r="AM13" s="2132"/>
      <c r="AN13" s="2132"/>
      <c r="AO13" s="2133"/>
    </row>
    <row r="14" spans="1:41" s="2093" customFormat="1" ht="31.5" hidden="1" customHeight="1">
      <c r="A14" s="2134"/>
      <c r="B14" s="2135"/>
      <c r="C14" s="2136" t="s">
        <v>1291</v>
      </c>
      <c r="D14" s="2137">
        <f>D12-D13</f>
        <v>0</v>
      </c>
      <c r="E14" s="2137"/>
      <c r="F14" s="2137"/>
      <c r="G14" s="2138"/>
      <c r="H14" s="2137">
        <f>H12-H13</f>
        <v>0</v>
      </c>
      <c r="I14" s="2137"/>
      <c r="J14" s="2137"/>
      <c r="K14" s="2137"/>
      <c r="L14" s="2137"/>
      <c r="M14" s="2137"/>
      <c r="N14" s="2137">
        <f>N12-N13</f>
        <v>-216817.19999999925</v>
      </c>
      <c r="O14" s="2137">
        <f>O12-O13</f>
        <v>-600301.1799999997</v>
      </c>
      <c r="P14" s="2139"/>
      <c r="Q14" s="2140"/>
      <c r="R14" s="2140"/>
      <c r="S14" s="2140"/>
      <c r="T14" s="2140"/>
      <c r="U14" s="2140"/>
      <c r="V14" s="2139"/>
      <c r="W14" s="2139"/>
      <c r="X14" s="2139"/>
      <c r="Y14" s="2139"/>
      <c r="Z14" s="2139"/>
      <c r="AA14" s="2139"/>
      <c r="AB14" s="2139"/>
      <c r="AC14" s="2141"/>
      <c r="AD14" s="2141"/>
      <c r="AE14" s="2141"/>
      <c r="AF14" s="2139"/>
      <c r="AG14" s="2137">
        <f>AG12-AG13</f>
        <v>-2021474.4232000001</v>
      </c>
      <c r="AL14" s="2142"/>
      <c r="AM14" s="2142"/>
      <c r="AN14" s="2142"/>
      <c r="AO14" s="2143"/>
    </row>
    <row r="15" spans="1:41" s="2093" customFormat="1" ht="31.5" customHeight="1">
      <c r="A15" s="2143" t="s">
        <v>54</v>
      </c>
      <c r="B15" s="2144" t="s">
        <v>1292</v>
      </c>
      <c r="C15" s="2145" t="s">
        <v>1059</v>
      </c>
      <c r="D15" s="2146">
        <v>2676500</v>
      </c>
      <c r="E15" s="2146">
        <v>2889607</v>
      </c>
      <c r="F15" s="2147">
        <f>E15-D15</f>
        <v>213107</v>
      </c>
      <c r="G15" s="2148">
        <f>E15/D15*100</f>
        <v>107.96215206426302</v>
      </c>
      <c r="H15" s="2146">
        <f>'[3]02-08'!E16</f>
        <v>3211800</v>
      </c>
      <c r="I15" s="2146"/>
      <c r="J15" s="2146">
        <f>'[3]12'!D12</f>
        <v>3292260</v>
      </c>
      <c r="K15" s="2149">
        <f t="shared" ref="K15:K52" si="1">SUM(N15,O15,AG15)</f>
        <v>11177784.036800001</v>
      </c>
      <c r="L15" s="2150">
        <f t="shared" ref="L15:L53" si="2">J15-H15</f>
        <v>80460</v>
      </c>
      <c r="M15" s="2151">
        <f t="shared" ref="M15:M53" si="3">J15/H15%</f>
        <v>102.50513730618344</v>
      </c>
      <c r="N15" s="2146">
        <f>'[3]02-08'!H16</f>
        <v>3456722</v>
      </c>
      <c r="O15" s="2146">
        <f>'[3]02-08'!I16</f>
        <v>3697304.64</v>
      </c>
      <c r="P15" s="2140"/>
      <c r="Q15" s="2140"/>
      <c r="R15" s="2140"/>
      <c r="S15" s="2140"/>
      <c r="T15" s="2139"/>
      <c r="U15" s="2139"/>
      <c r="V15" s="2139"/>
      <c r="W15" s="2139"/>
      <c r="X15" s="2139"/>
      <c r="Y15" s="2139"/>
      <c r="Z15" s="2139"/>
      <c r="AA15" s="2139"/>
      <c r="AB15" s="2139"/>
      <c r="AC15" s="2140"/>
      <c r="AD15" s="2139"/>
      <c r="AE15" s="2139"/>
      <c r="AF15" s="2140">
        <f>H15+N15+O15</f>
        <v>10365826.640000001</v>
      </c>
      <c r="AG15" s="2146">
        <f>'[3]02-08'!J16</f>
        <v>4023757.3967999998</v>
      </c>
      <c r="AL15" s="2132">
        <f t="shared" ref="AL15:AL53" si="4">N15/H15%</f>
        <v>107.62569275795504</v>
      </c>
      <c r="AM15" s="2132">
        <f t="shared" ref="AM15:AM53" si="5">O15/N15%</f>
        <v>106.95984924445762</v>
      </c>
      <c r="AN15" s="2132">
        <f t="shared" ref="AN15:AN53" si="6">AG15/O15%</f>
        <v>108.82947954215642</v>
      </c>
      <c r="AO15" s="2152">
        <f t="shared" ref="AO15:AO53" si="7">SUM(N15,O15,AG15)</f>
        <v>11177784.036800001</v>
      </c>
    </row>
    <row r="16" spans="1:41" s="2093" customFormat="1" ht="31.5" customHeight="1">
      <c r="A16" s="2143" t="s">
        <v>60</v>
      </c>
      <c r="B16" s="2144" t="s">
        <v>1293</v>
      </c>
      <c r="C16" s="2145" t="s">
        <v>1293</v>
      </c>
      <c r="D16" s="2147">
        <f>SUM(D18:D19)</f>
        <v>4947537</v>
      </c>
      <c r="E16" s="2147">
        <f>SUM(E18:E19)</f>
        <v>5176744</v>
      </c>
      <c r="F16" s="2147">
        <f>E16-D16</f>
        <v>229207</v>
      </c>
      <c r="G16" s="2148">
        <f>E16/D16*100</f>
        <v>104.63274958833051</v>
      </c>
      <c r="H16" s="2147">
        <f>SUM(H18:H19)</f>
        <v>5577424</v>
      </c>
      <c r="I16" s="2147"/>
      <c r="J16" s="2147">
        <f>SUM(J18:J19)</f>
        <v>5577424</v>
      </c>
      <c r="K16" s="2149">
        <f t="shared" si="1"/>
        <v>14919552</v>
      </c>
      <c r="L16" s="2127">
        <f t="shared" si="2"/>
        <v>0</v>
      </c>
      <c r="M16" s="2153">
        <f t="shared" si="3"/>
        <v>100</v>
      </c>
      <c r="N16" s="2147">
        <f>SUM(N18:N19)</f>
        <v>5555726</v>
      </c>
      <c r="O16" s="2147">
        <f>SUM(O18:O19)</f>
        <v>5555726</v>
      </c>
      <c r="P16" s="2140"/>
      <c r="Q16" s="2140"/>
      <c r="R16" s="2140"/>
      <c r="S16" s="2140"/>
      <c r="T16" s="2139"/>
      <c r="U16" s="2139"/>
      <c r="V16" s="2139"/>
      <c r="W16" s="2139"/>
      <c r="X16" s="2139"/>
      <c r="Y16" s="2139"/>
      <c r="Z16" s="2139"/>
      <c r="AA16" s="2139"/>
      <c r="AB16" s="2139"/>
      <c r="AC16" s="2139"/>
      <c r="AD16" s="2139"/>
      <c r="AE16" s="2139"/>
      <c r="AF16" s="2139"/>
      <c r="AG16" s="2147">
        <f>SUM(AG18:AG19)</f>
        <v>3808100</v>
      </c>
      <c r="AL16" s="2132">
        <f t="shared" si="4"/>
        <v>99.610967356973404</v>
      </c>
      <c r="AM16" s="2132">
        <f t="shared" si="5"/>
        <v>100</v>
      </c>
      <c r="AN16" s="2132">
        <f t="shared" si="6"/>
        <v>68.543697079373601</v>
      </c>
      <c r="AO16" s="2152">
        <f t="shared" si="7"/>
        <v>14919552</v>
      </c>
    </row>
    <row r="17" spans="1:41" s="2093" customFormat="1" ht="31.5" hidden="1" customHeight="1">
      <c r="A17" s="2143"/>
      <c r="B17" s="2144"/>
      <c r="C17" s="2145"/>
      <c r="D17" s="2147"/>
      <c r="E17" s="2147"/>
      <c r="F17" s="2147"/>
      <c r="G17" s="2148"/>
      <c r="H17" s="2154">
        <f>H16/E16%</f>
        <v>107.74000027816712</v>
      </c>
      <c r="I17" s="2154"/>
      <c r="J17" s="2154"/>
      <c r="K17" s="2149" t="e">
        <f t="shared" si="1"/>
        <v>#DIV/0!</v>
      </c>
      <c r="L17" s="2149">
        <f t="shared" si="2"/>
        <v>-107.74000027816712</v>
      </c>
      <c r="M17" s="2153">
        <f t="shared" si="3"/>
        <v>0</v>
      </c>
      <c r="N17" s="2154">
        <f>N16/H16%</f>
        <v>99.610967356973404</v>
      </c>
      <c r="O17" s="2154">
        <f>O16/N16%</f>
        <v>100</v>
      </c>
      <c r="P17" s="2140"/>
      <c r="Q17" s="2140"/>
      <c r="R17" s="2140"/>
      <c r="S17" s="2140"/>
      <c r="T17" s="2139"/>
      <c r="U17" s="2139"/>
      <c r="V17" s="2139"/>
      <c r="W17" s="2139"/>
      <c r="X17" s="2139"/>
      <c r="Y17" s="2139"/>
      <c r="Z17" s="2139"/>
      <c r="AA17" s="2139"/>
      <c r="AB17" s="2139"/>
      <c r="AC17" s="2139"/>
      <c r="AD17" s="2139"/>
      <c r="AE17" s="2139"/>
      <c r="AF17" s="2139"/>
      <c r="AG17" s="2154" t="e">
        <f>AG16/AF16%</f>
        <v>#DIV/0!</v>
      </c>
      <c r="AL17" s="2132">
        <f t="shared" si="4"/>
        <v>92.454953684605641</v>
      </c>
      <c r="AM17" s="2132">
        <f t="shared" si="5"/>
        <v>100.3905520178641</v>
      </c>
      <c r="AN17" s="2132" t="e">
        <f t="shared" si="6"/>
        <v>#DIV/0!</v>
      </c>
      <c r="AO17" s="2152" t="e">
        <f t="shared" si="7"/>
        <v>#DIV/0!</v>
      </c>
    </row>
    <row r="18" spans="1:41" s="2164" customFormat="1" ht="31.5" customHeight="1">
      <c r="A18" s="2155">
        <v>1</v>
      </c>
      <c r="B18" s="2156" t="s">
        <v>1294</v>
      </c>
      <c r="C18" s="2157" t="s">
        <v>1294</v>
      </c>
      <c r="D18" s="2158">
        <v>3682602</v>
      </c>
      <c r="E18" s="2158">
        <f>'[4]09 dung (2)'!D14</f>
        <v>3682602</v>
      </c>
      <c r="F18" s="2147">
        <f t="shared" ref="F18:F23" si="8">E18-D18</f>
        <v>0</v>
      </c>
      <c r="G18" s="2159">
        <f>E18/D18*100</f>
        <v>100</v>
      </c>
      <c r="H18" s="2158">
        <f>'[3]02-08'!D94</f>
        <v>3682602</v>
      </c>
      <c r="I18" s="2158"/>
      <c r="J18" s="2158">
        <f>'[3]12'!D16</f>
        <v>3682602</v>
      </c>
      <c r="K18" s="2160">
        <f t="shared" si="1"/>
        <v>11424300</v>
      </c>
      <c r="L18" s="2149">
        <f t="shared" si="2"/>
        <v>0</v>
      </c>
      <c r="M18" s="2161">
        <f t="shared" si="3"/>
        <v>100.00000000000001</v>
      </c>
      <c r="N18" s="2158">
        <f>'[3]02-08'!H94</f>
        <v>3808100</v>
      </c>
      <c r="O18" s="2158">
        <f>'[3]02-08'!I94</f>
        <v>3808100</v>
      </c>
      <c r="P18" s="2162"/>
      <c r="Q18" s="2162"/>
      <c r="R18" s="2162"/>
      <c r="S18" s="2162"/>
      <c r="T18" s="2163"/>
      <c r="U18" s="2163"/>
      <c r="V18" s="2163"/>
      <c r="W18" s="2163"/>
      <c r="X18" s="2163"/>
      <c r="Y18" s="2163"/>
      <c r="Z18" s="2163"/>
      <c r="AA18" s="2163"/>
      <c r="AB18" s="2163"/>
      <c r="AC18" s="2163"/>
      <c r="AD18" s="2163"/>
      <c r="AE18" s="2163"/>
      <c r="AF18" s="2163"/>
      <c r="AG18" s="2158">
        <f>'[3]02-08'!J94</f>
        <v>3808100</v>
      </c>
      <c r="AL18" s="2165">
        <f t="shared" si="4"/>
        <v>103.40786215833262</v>
      </c>
      <c r="AM18" s="2165">
        <f t="shared" si="5"/>
        <v>100</v>
      </c>
      <c r="AN18" s="2165">
        <f t="shared" si="6"/>
        <v>100</v>
      </c>
      <c r="AO18" s="2166">
        <f t="shared" si="7"/>
        <v>11424300</v>
      </c>
    </row>
    <row r="19" spans="1:41" s="2164" customFormat="1" ht="31.5" customHeight="1">
      <c r="A19" s="2167">
        <f>A18+1</f>
        <v>2</v>
      </c>
      <c r="B19" s="2168" t="s">
        <v>1064</v>
      </c>
      <c r="C19" s="2169" t="s">
        <v>1064</v>
      </c>
      <c r="D19" s="2170">
        <v>1264935</v>
      </c>
      <c r="E19" s="2170">
        <f>'[4]09 dung (2)'!D15</f>
        <v>1494142</v>
      </c>
      <c r="F19" s="2171">
        <f t="shared" si="8"/>
        <v>229207</v>
      </c>
      <c r="G19" s="2172">
        <f>E19/D19*100</f>
        <v>118.12006150513663</v>
      </c>
      <c r="H19" s="2158">
        <f>'[3]02-08'!D95</f>
        <v>1894822</v>
      </c>
      <c r="I19" s="2170"/>
      <c r="J19" s="2170">
        <f>'[3]12'!D17</f>
        <v>1894822</v>
      </c>
      <c r="K19" s="2160">
        <f t="shared" si="1"/>
        <v>3495252</v>
      </c>
      <c r="L19" s="2149">
        <f t="shared" si="2"/>
        <v>0</v>
      </c>
      <c r="M19" s="2161">
        <f t="shared" si="3"/>
        <v>100</v>
      </c>
      <c r="N19" s="2158">
        <f>'[3]02-08'!H95</f>
        <v>1747626</v>
      </c>
      <c r="O19" s="2158">
        <f>'[3]02-08'!I95</f>
        <v>1747626</v>
      </c>
      <c r="P19" s="2163"/>
      <c r="Q19" s="2163"/>
      <c r="R19" s="2163"/>
      <c r="S19" s="2163"/>
      <c r="T19" s="2163"/>
      <c r="U19" s="2163"/>
      <c r="V19" s="2163"/>
      <c r="W19" s="2163"/>
      <c r="X19" s="2163"/>
      <c r="Y19" s="2163"/>
      <c r="Z19" s="2163"/>
      <c r="AA19" s="2163"/>
      <c r="AB19" s="2162">
        <v>7941422</v>
      </c>
      <c r="AC19" s="2163"/>
      <c r="AD19" s="2163"/>
      <c r="AE19" s="2163"/>
      <c r="AF19" s="2163"/>
      <c r="AG19" s="2158">
        <f>'[3]02-08'!J95</f>
        <v>0</v>
      </c>
      <c r="AL19" s="2165">
        <f t="shared" si="4"/>
        <v>92.231671365436952</v>
      </c>
      <c r="AM19" s="2165">
        <f t="shared" si="5"/>
        <v>100.00000000000001</v>
      </c>
      <c r="AN19" s="2165">
        <f t="shared" si="6"/>
        <v>0</v>
      </c>
      <c r="AO19" s="2166">
        <f t="shared" si="7"/>
        <v>3495252</v>
      </c>
    </row>
    <row r="20" spans="1:41" s="2176" customFormat="1" ht="31.5" customHeight="1">
      <c r="A20" s="2143" t="s">
        <v>315</v>
      </c>
      <c r="B20" s="2144" t="s">
        <v>1065</v>
      </c>
      <c r="C20" s="2145" t="s">
        <v>1065</v>
      </c>
      <c r="D20" s="2173"/>
      <c r="E20" s="2173"/>
      <c r="F20" s="2147">
        <f t="shared" si="8"/>
        <v>0</v>
      </c>
      <c r="G20" s="2148"/>
      <c r="H20" s="2173"/>
      <c r="I20" s="2173"/>
      <c r="J20" s="2173"/>
      <c r="K20" s="2149">
        <f t="shared" si="1"/>
        <v>0</v>
      </c>
      <c r="L20" s="2149">
        <f t="shared" si="2"/>
        <v>0</v>
      </c>
      <c r="M20" s="2153"/>
      <c r="N20" s="2173"/>
      <c r="O20" s="2173"/>
      <c r="P20" s="2174"/>
      <c r="Q20" s="2174"/>
      <c r="R20" s="2174"/>
      <c r="S20" s="2175"/>
      <c r="T20" s="2175"/>
      <c r="U20" s="2175"/>
      <c r="V20" s="2175"/>
      <c r="W20" s="2175"/>
      <c r="X20" s="2175"/>
      <c r="Y20" s="2175"/>
      <c r="Z20" s="2175"/>
      <c r="AA20" s="2175"/>
      <c r="AB20" s="2175"/>
      <c r="AC20" s="2175"/>
      <c r="AD20" s="2175"/>
      <c r="AE20" s="2175"/>
      <c r="AF20" s="2175"/>
      <c r="AG20" s="2173"/>
      <c r="AL20" s="2132"/>
      <c r="AM20" s="2132"/>
      <c r="AN20" s="2132"/>
      <c r="AO20" s="2152">
        <f t="shared" si="7"/>
        <v>0</v>
      </c>
    </row>
    <row r="21" spans="1:41" s="2181" customFormat="1" ht="31.5" customHeight="1">
      <c r="A21" s="2143" t="s">
        <v>317</v>
      </c>
      <c r="B21" s="2144" t="s">
        <v>1066</v>
      </c>
      <c r="C21" s="2145" t="s">
        <v>1066</v>
      </c>
      <c r="D21" s="2177">
        <v>87000</v>
      </c>
      <c r="E21" s="2177">
        <v>510117</v>
      </c>
      <c r="F21" s="2147">
        <f t="shared" si="8"/>
        <v>423117</v>
      </c>
      <c r="G21" s="2148">
        <f>E21/D21*100</f>
        <v>586.34137931034479</v>
      </c>
      <c r="H21" s="2177">
        <f>'[3]02-08'!E97</f>
        <v>75799</v>
      </c>
      <c r="I21" s="2177"/>
      <c r="J21" s="2177">
        <f>'[3]12'!D19</f>
        <v>484669.1</v>
      </c>
      <c r="K21" s="2149">
        <f t="shared" si="1"/>
        <v>354000</v>
      </c>
      <c r="L21" s="2149">
        <f t="shared" si="2"/>
        <v>408870.1</v>
      </c>
      <c r="M21" s="2153">
        <f t="shared" si="3"/>
        <v>639.41358065409827</v>
      </c>
      <c r="N21" s="2146">
        <v>154000</v>
      </c>
      <c r="O21" s="2146">
        <f>'[3]02-08'!I97</f>
        <v>100000</v>
      </c>
      <c r="P21" s="2178"/>
      <c r="Q21" s="2178"/>
      <c r="R21" s="2178"/>
      <c r="S21" s="2179"/>
      <c r="T21" s="2179"/>
      <c r="U21" s="2179"/>
      <c r="V21" s="2179"/>
      <c r="W21" s="2179"/>
      <c r="X21" s="2179"/>
      <c r="Y21" s="2179"/>
      <c r="Z21" s="2179"/>
      <c r="AA21" s="2179"/>
      <c r="AB21" s="2180"/>
      <c r="AC21" s="2179"/>
      <c r="AD21" s="2179"/>
      <c r="AE21" s="2179"/>
      <c r="AF21" s="2140"/>
      <c r="AG21" s="2146">
        <f>'[3]02-08'!J97</f>
        <v>100000</v>
      </c>
      <c r="AL21" s="2132">
        <f t="shared" si="4"/>
        <v>203.16890724152034</v>
      </c>
      <c r="AM21" s="2132">
        <f t="shared" si="5"/>
        <v>64.935064935064929</v>
      </c>
      <c r="AN21" s="2132">
        <f t="shared" si="6"/>
        <v>100</v>
      </c>
      <c r="AO21" s="2152">
        <f t="shared" si="7"/>
        <v>354000</v>
      </c>
    </row>
    <row r="22" spans="1:41" s="2091" customFormat="1" ht="49.5" customHeight="1">
      <c r="A22" s="2182" t="s">
        <v>319</v>
      </c>
      <c r="B22" s="2183" t="s">
        <v>1067</v>
      </c>
      <c r="C22" s="2184" t="s">
        <v>1067</v>
      </c>
      <c r="D22" s="2185"/>
      <c r="E22" s="2185"/>
      <c r="F22" s="2186">
        <f t="shared" si="8"/>
        <v>0</v>
      </c>
      <c r="G22" s="2187"/>
      <c r="H22" s="2185"/>
      <c r="I22" s="2185"/>
      <c r="J22" s="2185"/>
      <c r="K22" s="2188">
        <f t="shared" si="1"/>
        <v>0</v>
      </c>
      <c r="L22" s="2188">
        <f t="shared" si="2"/>
        <v>0</v>
      </c>
      <c r="M22" s="2189"/>
      <c r="N22" s="2185"/>
      <c r="O22" s="2185"/>
      <c r="P22" s="2190"/>
      <c r="Q22" s="2190"/>
      <c r="R22" s="2190"/>
      <c r="S22" s="2190"/>
      <c r="T22" s="2190"/>
      <c r="U22" s="2190"/>
      <c r="V22" s="2190"/>
      <c r="W22" s="2190"/>
      <c r="X22" s="2190"/>
      <c r="Y22" s="2190"/>
      <c r="Z22" s="2191"/>
      <c r="AA22" s="2190"/>
      <c r="AB22" s="2190"/>
      <c r="AC22" s="2190">
        <f>AC27/2</f>
        <v>42178.724999999627</v>
      </c>
      <c r="AD22" s="2190">
        <f>AD27/2</f>
        <v>-181985.84269999899</v>
      </c>
      <c r="AE22" s="2190"/>
      <c r="AF22" s="2190"/>
      <c r="AG22" s="2185"/>
      <c r="AL22" s="2192"/>
      <c r="AM22" s="2192"/>
      <c r="AN22" s="2192"/>
      <c r="AO22" s="2193">
        <f t="shared" si="7"/>
        <v>0</v>
      </c>
    </row>
    <row r="23" spans="1:41" s="2108" customFormat="1" ht="31.5" customHeight="1">
      <c r="A23" s="2194" t="s">
        <v>81</v>
      </c>
      <c r="B23" s="2195"/>
      <c r="C23" s="2196" t="s">
        <v>1068</v>
      </c>
      <c r="D23" s="2197">
        <f>D27+D35+D40+D41</f>
        <v>7627387</v>
      </c>
      <c r="E23" s="2197">
        <f>E27+E35+E40+E41</f>
        <v>7502970</v>
      </c>
      <c r="F23" s="2198">
        <f t="shared" si="8"/>
        <v>-124417</v>
      </c>
      <c r="G23" s="2199">
        <f>E23/D23%</f>
        <v>98.368812281322562</v>
      </c>
      <c r="H23" s="2197">
        <f>H27+H35+H40+H41</f>
        <v>8814223</v>
      </c>
      <c r="I23" s="2197"/>
      <c r="J23" s="2197">
        <f>J27+J35+J40+J41</f>
        <v>7773328.4825564716</v>
      </c>
      <c r="K23" s="2197">
        <f t="shared" si="1"/>
        <v>25965145.068800002</v>
      </c>
      <c r="L23" s="2117">
        <f t="shared" si="2"/>
        <v>-1040894.5174435284</v>
      </c>
      <c r="M23" s="2119">
        <f t="shared" si="3"/>
        <v>88.190739927461237</v>
      </c>
      <c r="N23" s="2197">
        <f>N27+N35+N40+N41</f>
        <v>9111948</v>
      </c>
      <c r="O23" s="2197">
        <f>O27+O35+O40+O41</f>
        <v>9300411.5344000012</v>
      </c>
      <c r="P23" s="2200">
        <v>8812723</v>
      </c>
      <c r="Q23" s="2200">
        <v>9562902.0800000001</v>
      </c>
      <c r="R23" s="2200">
        <v>10084081.993999999</v>
      </c>
      <c r="S23" s="2111"/>
      <c r="T23" s="2111"/>
      <c r="U23" s="2111"/>
      <c r="V23" s="2111"/>
      <c r="W23" s="2111"/>
      <c r="X23" s="2111"/>
      <c r="Y23" s="2111"/>
      <c r="Z23" s="2200"/>
      <c r="AA23" s="2111"/>
      <c r="AB23" s="2200">
        <v>8812723</v>
      </c>
      <c r="AC23" s="2200">
        <v>9027590.5500000007</v>
      </c>
      <c r="AD23" s="2200">
        <v>9664383.2197999991</v>
      </c>
      <c r="AE23" s="2111"/>
      <c r="AF23" s="2121">
        <f>H23+N23+O23</f>
        <v>27226582.534400001</v>
      </c>
      <c r="AG23" s="2197">
        <f>AG27+AG35+AG40+AG41</f>
        <v>7552785.5344000002</v>
      </c>
      <c r="AH23" s="2201">
        <f>N23+O23+AG23</f>
        <v>25965145.068800002</v>
      </c>
      <c r="AL23" s="2123">
        <f t="shared" si="4"/>
        <v>103.3777793005691</v>
      </c>
      <c r="AM23" s="2123">
        <f t="shared" si="5"/>
        <v>102.06831222478445</v>
      </c>
      <c r="AN23" s="2123">
        <f t="shared" si="6"/>
        <v>81.209154094569371</v>
      </c>
      <c r="AO23" s="2113">
        <f t="shared" si="7"/>
        <v>25965145.068800002</v>
      </c>
    </row>
    <row r="24" spans="1:41" s="2108" customFormat="1" ht="31.5" hidden="1" customHeight="1">
      <c r="A24" s="2202"/>
      <c r="B24" s="2203"/>
      <c r="C24" s="2204" t="s">
        <v>1290</v>
      </c>
      <c r="D24" s="2205">
        <v>7627387</v>
      </c>
      <c r="E24" s="2205"/>
      <c r="F24" s="2206"/>
      <c r="G24" s="2207"/>
      <c r="H24" s="2205">
        <v>8814223</v>
      </c>
      <c r="I24" s="2205"/>
      <c r="J24" s="2205"/>
      <c r="K24" s="2127">
        <f t="shared" si="1"/>
        <v>28815086.217400003</v>
      </c>
      <c r="L24" s="2127">
        <f t="shared" si="2"/>
        <v>-8814223</v>
      </c>
      <c r="M24" s="2208">
        <f t="shared" si="3"/>
        <v>0</v>
      </c>
      <c r="N24" s="2205">
        <v>9304449.1500000004</v>
      </c>
      <c r="O24" s="2205">
        <v>9755318.5337000005</v>
      </c>
      <c r="P24" s="2209"/>
      <c r="Q24" s="2209"/>
      <c r="R24" s="2209"/>
      <c r="S24" s="2210"/>
      <c r="T24" s="2210"/>
      <c r="U24" s="2210"/>
      <c r="V24" s="2210"/>
      <c r="W24" s="2210"/>
      <c r="X24" s="2210"/>
      <c r="Y24" s="2210"/>
      <c r="Z24" s="2209"/>
      <c r="AA24" s="2210"/>
      <c r="AB24" s="2209"/>
      <c r="AC24" s="2209"/>
      <c r="AD24" s="2209"/>
      <c r="AE24" s="2210"/>
      <c r="AF24" s="2210"/>
      <c r="AG24" s="2205">
        <v>9755318.5337000005</v>
      </c>
      <c r="AL24" s="2132">
        <f t="shared" si="4"/>
        <v>105.56176250589532</v>
      </c>
      <c r="AM24" s="2132">
        <f t="shared" si="5"/>
        <v>104.84573967175693</v>
      </c>
      <c r="AN24" s="2132">
        <f t="shared" si="6"/>
        <v>100</v>
      </c>
      <c r="AO24" s="2211">
        <f t="shared" si="7"/>
        <v>28815086.217400003</v>
      </c>
    </row>
    <row r="25" spans="1:41" s="2108" customFormat="1" ht="31.5" hidden="1" customHeight="1">
      <c r="A25" s="2212"/>
      <c r="B25" s="2213"/>
      <c r="C25" s="2136" t="s">
        <v>1295</v>
      </c>
      <c r="D25" s="2214">
        <f>D23-D24</f>
        <v>0</v>
      </c>
      <c r="E25" s="2214"/>
      <c r="F25" s="2137"/>
      <c r="G25" s="2215"/>
      <c r="H25" s="2214">
        <f>H23-H24</f>
        <v>0</v>
      </c>
      <c r="I25" s="2214"/>
      <c r="J25" s="2214"/>
      <c r="K25" s="2149">
        <f t="shared" si="1"/>
        <v>-2849941.1486</v>
      </c>
      <c r="L25" s="2149">
        <f t="shared" si="2"/>
        <v>0</v>
      </c>
      <c r="M25" s="2153" t="e">
        <f t="shared" si="3"/>
        <v>#DIV/0!</v>
      </c>
      <c r="N25" s="2214">
        <f>N23-N24</f>
        <v>-192501.15000000037</v>
      </c>
      <c r="O25" s="2214">
        <f>O23-O24</f>
        <v>-454906.99929999933</v>
      </c>
      <c r="P25" s="2216"/>
      <c r="Q25" s="2216"/>
      <c r="R25" s="2216"/>
      <c r="S25" s="2217"/>
      <c r="T25" s="2217"/>
      <c r="U25" s="2217"/>
      <c r="V25" s="2217"/>
      <c r="W25" s="2217"/>
      <c r="X25" s="2217"/>
      <c r="Y25" s="2217"/>
      <c r="Z25" s="2216"/>
      <c r="AA25" s="2217"/>
      <c r="AB25" s="2216"/>
      <c r="AC25" s="2216"/>
      <c r="AD25" s="2216"/>
      <c r="AE25" s="2217"/>
      <c r="AF25" s="2217"/>
      <c r="AG25" s="2214">
        <f>AG23-AG24</f>
        <v>-2202532.9993000003</v>
      </c>
      <c r="AL25" s="2132" t="e">
        <f t="shared" si="4"/>
        <v>#DIV/0!</v>
      </c>
      <c r="AM25" s="2132">
        <f t="shared" si="5"/>
        <v>236.31391256623581</v>
      </c>
      <c r="AN25" s="2132">
        <f t="shared" si="6"/>
        <v>484.17215006346538</v>
      </c>
      <c r="AO25" s="2152">
        <f t="shared" si="7"/>
        <v>-2849941.1486</v>
      </c>
    </row>
    <row r="26" spans="1:41" s="2108" customFormat="1" ht="31.5" hidden="1" customHeight="1">
      <c r="A26" s="2212"/>
      <c r="B26" s="2213"/>
      <c r="C26" s="2136" t="s">
        <v>1296</v>
      </c>
      <c r="D26" s="2214"/>
      <c r="E26" s="2214"/>
      <c r="F26" s="2137"/>
      <c r="G26" s="2215"/>
      <c r="H26" s="2215">
        <f>H23/D23%</f>
        <v>115.56019118998421</v>
      </c>
      <c r="I26" s="2215"/>
      <c r="J26" s="2215"/>
      <c r="K26" s="2149">
        <f t="shared" si="1"/>
        <v>233.18657465377143</v>
      </c>
      <c r="L26" s="2149">
        <f t="shared" si="2"/>
        <v>-115.56019118998421</v>
      </c>
      <c r="M26" s="2153">
        <f t="shared" si="3"/>
        <v>0</v>
      </c>
      <c r="N26" s="2215">
        <f>N23/H23%</f>
        <v>103.3777793005691</v>
      </c>
      <c r="O26" s="2215">
        <f>O23/N23%</f>
        <v>102.06831222478445</v>
      </c>
      <c r="P26" s="2216"/>
      <c r="Q26" s="2216"/>
      <c r="R26" s="2216"/>
      <c r="S26" s="2217"/>
      <c r="T26" s="2217"/>
      <c r="U26" s="2217"/>
      <c r="V26" s="2217"/>
      <c r="W26" s="2217"/>
      <c r="X26" s="2217"/>
      <c r="Y26" s="2217"/>
      <c r="Z26" s="2216"/>
      <c r="AA26" s="2217"/>
      <c r="AB26" s="2216"/>
      <c r="AC26" s="2216"/>
      <c r="AD26" s="2216"/>
      <c r="AE26" s="2217"/>
      <c r="AF26" s="2217"/>
      <c r="AG26" s="2215">
        <f>AG23/AF23%</f>
        <v>27.740483128417875</v>
      </c>
      <c r="AL26" s="2132">
        <f t="shared" si="4"/>
        <v>89.4579510781642</v>
      </c>
      <c r="AM26" s="2132">
        <f t="shared" si="5"/>
        <v>98.733318625487783</v>
      </c>
      <c r="AN26" s="2132">
        <f t="shared" si="6"/>
        <v>27.178349993017587</v>
      </c>
      <c r="AO26" s="2152">
        <f t="shared" si="7"/>
        <v>233.18657465377143</v>
      </c>
    </row>
    <row r="27" spans="1:41" s="2104" customFormat="1" ht="31.5" customHeight="1">
      <c r="A27" s="2143" t="s">
        <v>54</v>
      </c>
      <c r="B27" s="2144" t="s">
        <v>1297</v>
      </c>
      <c r="C27" s="2145" t="s">
        <v>1297</v>
      </c>
      <c r="D27" s="2177">
        <f t="shared" ref="D27:O27" si="9">SUM(D29:D34)</f>
        <v>6275452</v>
      </c>
      <c r="E27" s="2177">
        <f t="shared" si="9"/>
        <v>6213703</v>
      </c>
      <c r="F27" s="2147">
        <f>E27-D27</f>
        <v>-61749</v>
      </c>
      <c r="G27" s="2218">
        <f>E27/D27%</f>
        <v>99.016023068935922</v>
      </c>
      <c r="H27" s="2177">
        <f t="shared" si="9"/>
        <v>6843602</v>
      </c>
      <c r="I27" s="2177"/>
      <c r="J27" s="2177">
        <f t="shared" si="9"/>
        <v>6325875.6499999994</v>
      </c>
      <c r="K27" s="2149">
        <f t="shared" si="1"/>
        <v>22115893.068800002</v>
      </c>
      <c r="L27" s="2149">
        <f t="shared" si="2"/>
        <v>-517726.35000000056</v>
      </c>
      <c r="M27" s="2153">
        <f t="shared" si="3"/>
        <v>92.434885167197024</v>
      </c>
      <c r="N27" s="2177">
        <f t="shared" si="9"/>
        <v>7210322</v>
      </c>
      <c r="O27" s="2177">
        <f t="shared" si="9"/>
        <v>7452785.5344000002</v>
      </c>
      <c r="P27" s="2219">
        <f>H23-P23</f>
        <v>1500</v>
      </c>
      <c r="Q27" s="2219">
        <f>N23-Q23</f>
        <v>-450954.08000000007</v>
      </c>
      <c r="R27" s="2219">
        <f>O23-R23</f>
        <v>-783670.45959999785</v>
      </c>
      <c r="S27" s="2220"/>
      <c r="T27" s="2220"/>
      <c r="U27" s="2220"/>
      <c r="V27" s="2220"/>
      <c r="W27" s="2220"/>
      <c r="X27" s="2220"/>
      <c r="Y27" s="2220"/>
      <c r="Z27" s="2221"/>
      <c r="AA27" s="2220"/>
      <c r="AB27" s="2221"/>
      <c r="AC27" s="2221">
        <f>N23-AC23</f>
        <v>84357.449999999255</v>
      </c>
      <c r="AD27" s="2221">
        <f>O23-AD23</f>
        <v>-363971.68539999798</v>
      </c>
      <c r="AE27" s="2220"/>
      <c r="AF27" s="2140">
        <f>H27+N27+O27</f>
        <v>21506709.534400001</v>
      </c>
      <c r="AG27" s="2177">
        <f>SUM(AG29:AG34)</f>
        <v>7452785.5344000002</v>
      </c>
      <c r="AH27" s="2201">
        <f t="shared" ref="AH27:AH40" si="10">N27+O27+AG27</f>
        <v>22115893.068800002</v>
      </c>
      <c r="AL27" s="2132">
        <f t="shared" si="4"/>
        <v>105.35858163581108</v>
      </c>
      <c r="AM27" s="2132">
        <f t="shared" si="5"/>
        <v>103.3627282443142</v>
      </c>
      <c r="AN27" s="2132">
        <f t="shared" si="6"/>
        <v>100.00000000000001</v>
      </c>
      <c r="AO27" s="2152">
        <f t="shared" si="7"/>
        <v>22115893.068800002</v>
      </c>
    </row>
    <row r="28" spans="1:41" s="2104" customFormat="1" ht="31.5" hidden="1" customHeight="1">
      <c r="A28" s="2143"/>
      <c r="B28" s="2144"/>
      <c r="C28" s="2145" t="s">
        <v>1296</v>
      </c>
      <c r="D28" s="2177"/>
      <c r="E28" s="2177"/>
      <c r="F28" s="2147"/>
      <c r="G28" s="2218"/>
      <c r="H28" s="2218">
        <f>H27/D27%</f>
        <v>109.05353112413258</v>
      </c>
      <c r="I28" s="2218"/>
      <c r="J28" s="2218"/>
      <c r="K28" s="2149">
        <f t="shared" si="1"/>
        <v>243.37461434066705</v>
      </c>
      <c r="L28" s="2149">
        <f t="shared" si="2"/>
        <v>-109.05353112413258</v>
      </c>
      <c r="M28" s="2153">
        <f t="shared" si="3"/>
        <v>0</v>
      </c>
      <c r="N28" s="2218">
        <f>N27/H27%</f>
        <v>105.35858163581108</v>
      </c>
      <c r="O28" s="2218">
        <f>O27/N27%</f>
        <v>103.3627282443142</v>
      </c>
      <c r="P28" s="2219"/>
      <c r="Q28" s="2219"/>
      <c r="R28" s="2219"/>
      <c r="S28" s="2220"/>
      <c r="T28" s="2220"/>
      <c r="U28" s="2220"/>
      <c r="V28" s="2220"/>
      <c r="W28" s="2220"/>
      <c r="X28" s="2220"/>
      <c r="Y28" s="2220"/>
      <c r="Z28" s="2221"/>
      <c r="AA28" s="2220"/>
      <c r="AB28" s="2221"/>
      <c r="AC28" s="2221"/>
      <c r="AD28" s="2221"/>
      <c r="AE28" s="2220"/>
      <c r="AF28" s="2140"/>
      <c r="AG28" s="2218">
        <f>AG27/AF27%</f>
        <v>34.653304460541783</v>
      </c>
      <c r="AH28" s="2201">
        <f t="shared" si="10"/>
        <v>243.37461434066705</v>
      </c>
      <c r="AL28" s="2132">
        <f t="shared" si="4"/>
        <v>96.611802066165424</v>
      </c>
      <c r="AM28" s="2132">
        <f t="shared" si="5"/>
        <v>98.105656548798393</v>
      </c>
      <c r="AN28" s="2132">
        <f t="shared" si="6"/>
        <v>33.52591891598798</v>
      </c>
      <c r="AO28" s="2152">
        <f t="shared" si="7"/>
        <v>243.37461434066705</v>
      </c>
    </row>
    <row r="29" spans="1:41" s="2091" customFormat="1" ht="31.5" customHeight="1">
      <c r="A29" s="2155">
        <v>1</v>
      </c>
      <c r="B29" s="2156" t="s">
        <v>1298</v>
      </c>
      <c r="C29" s="2157" t="s">
        <v>265</v>
      </c>
      <c r="D29" s="2222">
        <v>1364350</v>
      </c>
      <c r="E29" s="2223">
        <v>1060832</v>
      </c>
      <c r="F29" s="2224">
        <f t="shared" ref="F29:F35" si="11">E29-D29</f>
        <v>-303518</v>
      </c>
      <c r="G29" s="2159">
        <f>E29/D29*100</f>
        <v>77.753655586909517</v>
      </c>
      <c r="H29" s="2222">
        <f>'[3]04-12'!D17</f>
        <v>1578230</v>
      </c>
      <c r="I29" s="2222"/>
      <c r="J29" s="2222">
        <f>'[3]12'!D23</f>
        <v>1136196</v>
      </c>
      <c r="K29" s="2160">
        <f t="shared" si="1"/>
        <v>5101241</v>
      </c>
      <c r="L29" s="2160">
        <f t="shared" si="2"/>
        <v>-442034</v>
      </c>
      <c r="M29" s="2161">
        <f t="shared" si="3"/>
        <v>71.991788269136947</v>
      </c>
      <c r="N29" s="2223">
        <f>'[3]04-12'!I22</f>
        <v>1713785.0000000002</v>
      </c>
      <c r="O29" s="2223">
        <f>'[3]04-12'!J22</f>
        <v>1693727.9999999998</v>
      </c>
      <c r="P29" s="2225">
        <f>H29/D29%</f>
        <v>115.67632938762048</v>
      </c>
      <c r="Q29" s="2225">
        <f>N29/E29%</f>
        <v>161.55102787246238</v>
      </c>
      <c r="R29" s="2225">
        <f>O29/N29%</f>
        <v>98.829666498423052</v>
      </c>
      <c r="S29" s="2226"/>
      <c r="T29" s="2226"/>
      <c r="U29" s="2226"/>
      <c r="V29" s="2226"/>
      <c r="W29" s="2226"/>
      <c r="X29" s="2226"/>
      <c r="Y29" s="2226"/>
      <c r="Z29" s="2227"/>
      <c r="AA29" s="2227"/>
      <c r="AB29" s="2226">
        <f>N29/H29%</f>
        <v>108.58905229275837</v>
      </c>
      <c r="AC29" s="2226">
        <f>O29/N29%</f>
        <v>98.829666498423052</v>
      </c>
      <c r="AD29" s="2226"/>
      <c r="AE29" s="2226"/>
      <c r="AF29" s="2226"/>
      <c r="AG29" s="2223">
        <f>'[3]04-12'!K22</f>
        <v>1693727.9999999998</v>
      </c>
      <c r="AH29" s="2201">
        <f t="shared" si="10"/>
        <v>5101241</v>
      </c>
      <c r="AL29" s="2165">
        <f t="shared" si="4"/>
        <v>108.58905229275837</v>
      </c>
      <c r="AM29" s="2165">
        <f t="shared" si="5"/>
        <v>98.829666498423052</v>
      </c>
      <c r="AN29" s="2165">
        <f t="shared" si="6"/>
        <v>100</v>
      </c>
      <c r="AO29" s="2166">
        <f t="shared" si="7"/>
        <v>5101241</v>
      </c>
    </row>
    <row r="30" spans="1:41" s="2091" customFormat="1" ht="31.5" customHeight="1">
      <c r="A30" s="2228">
        <f>A29+1</f>
        <v>2</v>
      </c>
      <c r="B30" s="2229" t="s">
        <v>286</v>
      </c>
      <c r="C30" s="2230" t="s">
        <v>286</v>
      </c>
      <c r="D30" s="2231">
        <v>4780721</v>
      </c>
      <c r="E30" s="2232">
        <v>5151871</v>
      </c>
      <c r="F30" s="2233">
        <f t="shared" si="11"/>
        <v>371150</v>
      </c>
      <c r="G30" s="2234">
        <f>E30/D30*100</f>
        <v>107.76347333383396</v>
      </c>
      <c r="H30" s="2235">
        <f>'[3]04-12'!D36</f>
        <v>5033370</v>
      </c>
      <c r="I30" s="2235"/>
      <c r="J30" s="2235">
        <f>'[3]12'!D24</f>
        <v>4962897.6499999994</v>
      </c>
      <c r="K30" s="2232">
        <f t="shared" si="1"/>
        <v>16569924.068800002</v>
      </c>
      <c r="L30" s="2160">
        <f t="shared" si="2"/>
        <v>-70472.350000000559</v>
      </c>
      <c r="M30" s="2161">
        <f t="shared" si="3"/>
        <v>98.599897285516462</v>
      </c>
      <c r="N30" s="2232">
        <f>'[3]04-12'!I36</f>
        <v>5350237</v>
      </c>
      <c r="O30" s="2232">
        <f>'[3]04-12'!J36</f>
        <v>5609843.5344000002</v>
      </c>
      <c r="P30" s="2225">
        <f>H30/D30%</f>
        <v>105.28474679865234</v>
      </c>
      <c r="Q30" s="2225">
        <f>N30/E30%</f>
        <v>103.85036814780494</v>
      </c>
      <c r="R30" s="2225">
        <f>O30/N30%</f>
        <v>104.85224363705757</v>
      </c>
      <c r="S30" s="2226"/>
      <c r="T30" s="2226"/>
      <c r="U30" s="2226"/>
      <c r="V30" s="2226"/>
      <c r="W30" s="2226"/>
      <c r="X30" s="2226"/>
      <c r="Y30" s="2226"/>
      <c r="Z30" s="2226"/>
      <c r="AA30" s="2226"/>
      <c r="AB30" s="2226"/>
      <c r="AC30" s="2226"/>
      <c r="AD30" s="2226"/>
      <c r="AE30" s="2226"/>
      <c r="AF30" s="2226"/>
      <c r="AG30" s="2232">
        <f>O30</f>
        <v>5609843.5344000002</v>
      </c>
      <c r="AH30" s="2201">
        <f t="shared" si="10"/>
        <v>16569924.068800002</v>
      </c>
      <c r="AL30" s="2165">
        <f t="shared" si="4"/>
        <v>106.29532500094371</v>
      </c>
      <c r="AM30" s="2165">
        <f t="shared" si="5"/>
        <v>104.85224363705757</v>
      </c>
      <c r="AN30" s="2165">
        <f t="shared" si="6"/>
        <v>100</v>
      </c>
      <c r="AO30" s="2166">
        <f t="shared" si="7"/>
        <v>16569924.068800002</v>
      </c>
    </row>
    <row r="31" spans="1:41" s="2091" customFormat="1" ht="41.25" customHeight="1">
      <c r="A31" s="2155">
        <f>A30+1</f>
        <v>3</v>
      </c>
      <c r="B31" s="2156" t="s">
        <v>1071</v>
      </c>
      <c r="C31" s="2157" t="s">
        <v>1071</v>
      </c>
      <c r="D31" s="2236"/>
      <c r="E31" s="2223"/>
      <c r="F31" s="2147">
        <f t="shared" si="11"/>
        <v>0</v>
      </c>
      <c r="G31" s="2159"/>
      <c r="H31" s="2237">
        <f>'[3]04-12'!D50</f>
        <v>100</v>
      </c>
      <c r="I31" s="2237"/>
      <c r="J31" s="2237">
        <f>'[3]12'!D25</f>
        <v>100</v>
      </c>
      <c r="K31" s="2160">
        <f t="shared" si="1"/>
        <v>320</v>
      </c>
      <c r="L31" s="2160">
        <f t="shared" si="2"/>
        <v>0</v>
      </c>
      <c r="M31" s="2161">
        <f t="shared" si="3"/>
        <v>100</v>
      </c>
      <c r="N31" s="2223">
        <f>'[3]04-12'!I50</f>
        <v>100</v>
      </c>
      <c r="O31" s="2223">
        <f>'[3]04-12'!J50</f>
        <v>110</v>
      </c>
      <c r="P31" s="2226"/>
      <c r="Q31" s="2226"/>
      <c r="R31" s="2226"/>
      <c r="S31" s="2226"/>
      <c r="T31" s="2226"/>
      <c r="U31" s="2226"/>
      <c r="V31" s="2226"/>
      <c r="W31" s="2226"/>
      <c r="X31" s="2226"/>
      <c r="Y31" s="2226"/>
      <c r="Z31" s="2238"/>
      <c r="AA31" s="2226"/>
      <c r="AB31" s="2227">
        <f>E35-'[4]09 dung (2)'!D15</f>
        <v>-291875</v>
      </c>
      <c r="AC31" s="2238">
        <f>N12-AC23</f>
        <v>138857.44999999925</v>
      </c>
      <c r="AD31" s="2226"/>
      <c r="AE31" s="2226"/>
      <c r="AF31" s="2226"/>
      <c r="AG31" s="2223">
        <f>'[3]04-12'!K50</f>
        <v>110</v>
      </c>
      <c r="AH31" s="2201">
        <f t="shared" si="10"/>
        <v>320</v>
      </c>
      <c r="AL31" s="2165">
        <f t="shared" si="4"/>
        <v>100</v>
      </c>
      <c r="AM31" s="2165">
        <f t="shared" si="5"/>
        <v>110</v>
      </c>
      <c r="AN31" s="2165">
        <f t="shared" si="6"/>
        <v>99.999999999999986</v>
      </c>
      <c r="AO31" s="2166">
        <f t="shared" si="7"/>
        <v>320</v>
      </c>
    </row>
    <row r="32" spans="1:41" s="2091" customFormat="1" ht="31.5" customHeight="1">
      <c r="A32" s="2155">
        <f>A31+1</f>
        <v>4</v>
      </c>
      <c r="B32" s="2156" t="s">
        <v>1072</v>
      </c>
      <c r="C32" s="2157" t="s">
        <v>1072</v>
      </c>
      <c r="D32" s="2222">
        <v>1000</v>
      </c>
      <c r="E32" s="2223">
        <v>1000</v>
      </c>
      <c r="F32" s="2147">
        <f t="shared" si="11"/>
        <v>0</v>
      </c>
      <c r="G32" s="2159">
        <f>E32/D33*100</f>
        <v>0.77291101475487123</v>
      </c>
      <c r="H32" s="2223">
        <f>'[3]04-12'!D51</f>
        <v>1000</v>
      </c>
      <c r="I32" s="2223"/>
      <c r="J32" s="2223">
        <f>'[3]12'!D26</f>
        <v>1000</v>
      </c>
      <c r="K32" s="2160">
        <f t="shared" si="1"/>
        <v>3000</v>
      </c>
      <c r="L32" s="2160">
        <f t="shared" si="2"/>
        <v>0</v>
      </c>
      <c r="M32" s="2161">
        <f t="shared" si="3"/>
        <v>100</v>
      </c>
      <c r="N32" s="2223">
        <v>1000</v>
      </c>
      <c r="O32" s="2223">
        <v>1000</v>
      </c>
      <c r="P32" s="2226"/>
      <c r="Q32" s="2226"/>
      <c r="R32" s="2226"/>
      <c r="S32" s="2226"/>
      <c r="T32" s="2226"/>
      <c r="U32" s="2226"/>
      <c r="V32" s="2226"/>
      <c r="W32" s="2226"/>
      <c r="X32" s="2226"/>
      <c r="Y32" s="2226"/>
      <c r="Z32" s="2226"/>
      <c r="AA32" s="2226"/>
      <c r="AB32" s="2226">
        <v>1531264</v>
      </c>
      <c r="AC32" s="2227">
        <f>AB32-E35</f>
        <v>328997</v>
      </c>
      <c r="AD32" s="2226"/>
      <c r="AE32" s="2226"/>
      <c r="AF32" s="2226"/>
      <c r="AG32" s="2223">
        <v>1000</v>
      </c>
      <c r="AH32" s="2201">
        <f t="shared" si="10"/>
        <v>3000</v>
      </c>
      <c r="AL32" s="2165">
        <f t="shared" si="4"/>
        <v>100</v>
      </c>
      <c r="AM32" s="2165">
        <f t="shared" si="5"/>
        <v>100</v>
      </c>
      <c r="AN32" s="2165">
        <f t="shared" si="6"/>
        <v>100</v>
      </c>
      <c r="AO32" s="2166">
        <f t="shared" si="7"/>
        <v>3000</v>
      </c>
    </row>
    <row r="33" spans="1:41" s="2091" customFormat="1" ht="31.5" customHeight="1">
      <c r="A33" s="2155">
        <f>A32+1</f>
        <v>5</v>
      </c>
      <c r="B33" s="2156" t="s">
        <v>320</v>
      </c>
      <c r="C33" s="2157" t="s">
        <v>320</v>
      </c>
      <c r="D33" s="2222">
        <v>129381</v>
      </c>
      <c r="E33" s="2222"/>
      <c r="F33" s="2224">
        <f t="shared" si="11"/>
        <v>-129381</v>
      </c>
      <c r="G33" s="2159" t="e">
        <f>E33/D34*100</f>
        <v>#DIV/0!</v>
      </c>
      <c r="H33" s="2223">
        <f>'[3]04-12'!D52</f>
        <v>137890</v>
      </c>
      <c r="I33" s="2223"/>
      <c r="J33" s="2223">
        <f>'[3]12'!D27</f>
        <v>132670</v>
      </c>
      <c r="K33" s="2160">
        <f t="shared" si="1"/>
        <v>441408</v>
      </c>
      <c r="L33" s="2160">
        <f t="shared" si="2"/>
        <v>-5220</v>
      </c>
      <c r="M33" s="2161">
        <f t="shared" si="3"/>
        <v>96.214373776198414</v>
      </c>
      <c r="N33" s="2223">
        <f>'[3]04-12'!I52</f>
        <v>145200</v>
      </c>
      <c r="O33" s="2223">
        <f>'[3]04-12'!J52</f>
        <v>148104</v>
      </c>
      <c r="P33" s="2227"/>
      <c r="Q33" s="2226"/>
      <c r="R33" s="2226"/>
      <c r="S33" s="2226"/>
      <c r="T33" s="2226"/>
      <c r="U33" s="2226"/>
      <c r="V33" s="2226"/>
      <c r="W33" s="2226"/>
      <c r="X33" s="2226"/>
      <c r="Y33" s="2226"/>
      <c r="Z33" s="2226"/>
      <c r="AA33" s="2226"/>
      <c r="AB33" s="2226">
        <f>O27*2%</f>
        <v>149055.71068800002</v>
      </c>
      <c r="AC33" s="2226">
        <f>N27*2%</f>
        <v>144206.44</v>
      </c>
      <c r="AD33" s="2226">
        <f>O27*2%</f>
        <v>149055.71068800002</v>
      </c>
      <c r="AE33" s="2226"/>
      <c r="AF33" s="2226"/>
      <c r="AG33" s="2223">
        <f>'[3]04-12'!K52</f>
        <v>148104</v>
      </c>
      <c r="AH33" s="2201">
        <f t="shared" si="10"/>
        <v>441408</v>
      </c>
      <c r="AL33" s="2165">
        <f t="shared" si="4"/>
        <v>105.30132714482558</v>
      </c>
      <c r="AM33" s="2165">
        <f t="shared" si="5"/>
        <v>102</v>
      </c>
      <c r="AN33" s="2165">
        <f t="shared" si="6"/>
        <v>100</v>
      </c>
      <c r="AO33" s="2166">
        <f t="shared" si="7"/>
        <v>441408</v>
      </c>
    </row>
    <row r="34" spans="1:41" s="2091" customFormat="1" ht="31.5" customHeight="1">
      <c r="A34" s="2155">
        <f>A33+1</f>
        <v>6</v>
      </c>
      <c r="B34" s="2156" t="s">
        <v>322</v>
      </c>
      <c r="C34" s="2157" t="s">
        <v>322</v>
      </c>
      <c r="D34" s="2222"/>
      <c r="E34" s="2222"/>
      <c r="F34" s="2224">
        <f t="shared" si="11"/>
        <v>0</v>
      </c>
      <c r="G34" s="2159">
        <f>E34/D35*100</f>
        <v>0</v>
      </c>
      <c r="H34" s="2223">
        <f>'[3]04-12'!D53</f>
        <v>93012</v>
      </c>
      <c r="I34" s="2223"/>
      <c r="J34" s="2223">
        <f>'[3]12'!D28</f>
        <v>93012</v>
      </c>
      <c r="K34" s="2160">
        <f t="shared" si="1"/>
        <v>0</v>
      </c>
      <c r="L34" s="2160">
        <f t="shared" si="2"/>
        <v>0</v>
      </c>
      <c r="M34" s="2161">
        <f t="shared" si="3"/>
        <v>100</v>
      </c>
      <c r="N34" s="2223">
        <f>'[3]04-12'!I53</f>
        <v>0</v>
      </c>
      <c r="O34" s="2223">
        <f>'[3]04-12'!J53</f>
        <v>0</v>
      </c>
      <c r="P34" s="2226"/>
      <c r="Q34" s="2226"/>
      <c r="R34" s="2226"/>
      <c r="S34" s="2226"/>
      <c r="T34" s="2226"/>
      <c r="U34" s="2226"/>
      <c r="V34" s="2226"/>
      <c r="W34" s="2226"/>
      <c r="X34" s="2226"/>
      <c r="Y34" s="2226"/>
      <c r="Z34" s="2226"/>
      <c r="AA34" s="2226"/>
      <c r="AB34" s="2226"/>
      <c r="AC34" s="2227">
        <f>N35-AC35</f>
        <v>-335028.19999999995</v>
      </c>
      <c r="AD34" s="2227">
        <f>O35-AD35</f>
        <v>-543293.62000000011</v>
      </c>
      <c r="AE34" s="2226"/>
      <c r="AF34" s="2226"/>
      <c r="AG34" s="2223">
        <f>'[3]04-12'!K53</f>
        <v>0</v>
      </c>
      <c r="AH34" s="2201">
        <f t="shared" si="10"/>
        <v>0</v>
      </c>
      <c r="AL34" s="2165">
        <f t="shared" si="4"/>
        <v>0</v>
      </c>
      <c r="AM34" s="2165"/>
      <c r="AN34" s="2165"/>
      <c r="AO34" s="2166">
        <f t="shared" si="7"/>
        <v>0</v>
      </c>
    </row>
    <row r="35" spans="1:41" s="2104" customFormat="1" ht="31.5" customHeight="1">
      <c r="A35" s="2239" t="s">
        <v>60</v>
      </c>
      <c r="B35" s="2240" t="s">
        <v>1299</v>
      </c>
      <c r="C35" s="2241" t="s">
        <v>1073</v>
      </c>
      <c r="D35" s="2242">
        <f>SUM(D37:D38)</f>
        <v>1264935</v>
      </c>
      <c r="E35" s="2242">
        <f>SUM(E37:E38)</f>
        <v>1202267</v>
      </c>
      <c r="F35" s="2243">
        <f t="shared" si="11"/>
        <v>-62668</v>
      </c>
      <c r="G35" s="2244">
        <f>E35/D35*100</f>
        <v>95.04575333910438</v>
      </c>
      <c r="H35" s="2242">
        <f>SUM(H37:H39)</f>
        <v>1894822</v>
      </c>
      <c r="I35" s="2242"/>
      <c r="J35" s="2242">
        <f>SUM(J37:J39)</f>
        <v>1371653.8325564719</v>
      </c>
      <c r="K35" s="2149">
        <f t="shared" si="1"/>
        <v>3495252</v>
      </c>
      <c r="L35" s="2149">
        <f t="shared" si="2"/>
        <v>-523168.16744352807</v>
      </c>
      <c r="M35" s="2153">
        <f t="shared" si="3"/>
        <v>72.389587652902065</v>
      </c>
      <c r="N35" s="2242">
        <f>SUM(N37:N39)</f>
        <v>1747626</v>
      </c>
      <c r="O35" s="2242">
        <f>SUM(O37:O39)</f>
        <v>1747626</v>
      </c>
      <c r="P35" s="2245">
        <f>H35/D35%</f>
        <v>149.79599742279248</v>
      </c>
      <c r="Q35" s="2245">
        <f>N35/E35%</f>
        <v>145.36088905376261</v>
      </c>
      <c r="R35" s="2245">
        <f>O35/N35%</f>
        <v>100.00000000000001</v>
      </c>
      <c r="S35" s="2220"/>
      <c r="T35" s="2220"/>
      <c r="U35" s="2220"/>
      <c r="V35" s="2220"/>
      <c r="W35" s="2220"/>
      <c r="X35" s="2220"/>
      <c r="Y35" s="2220"/>
      <c r="Z35" s="2220"/>
      <c r="AA35" s="2220"/>
      <c r="AB35" s="2246">
        <v>1893322</v>
      </c>
      <c r="AC35" s="2246">
        <v>2082654.2</v>
      </c>
      <c r="AD35" s="2246">
        <v>2290919.62</v>
      </c>
      <c r="AE35" s="2220"/>
      <c r="AF35" s="2140">
        <f>H35+N35+O35</f>
        <v>5390074</v>
      </c>
      <c r="AG35" s="2242"/>
      <c r="AH35" s="2201">
        <f t="shared" si="10"/>
        <v>3495252</v>
      </c>
      <c r="AL35" s="2132">
        <f t="shared" si="4"/>
        <v>92.231671365436952</v>
      </c>
      <c r="AM35" s="2132">
        <f t="shared" si="5"/>
        <v>100.00000000000001</v>
      </c>
      <c r="AN35" s="2132">
        <f t="shared" si="6"/>
        <v>0</v>
      </c>
      <c r="AO35" s="2152">
        <f t="shared" si="7"/>
        <v>3495252</v>
      </c>
    </row>
    <row r="36" spans="1:41" s="2104" customFormat="1" ht="31.5" hidden="1" customHeight="1">
      <c r="A36" s="2239"/>
      <c r="B36" s="2240"/>
      <c r="C36" s="2241"/>
      <c r="D36" s="2242"/>
      <c r="E36" s="2242"/>
      <c r="F36" s="2243"/>
      <c r="G36" s="2244"/>
      <c r="H36" s="2247">
        <f>H35/D35%</f>
        <v>149.79599742279248</v>
      </c>
      <c r="I36" s="2247"/>
      <c r="J36" s="2247"/>
      <c r="K36" s="2149">
        <f t="shared" si="1"/>
        <v>192.23167136543697</v>
      </c>
      <c r="L36" s="2149">
        <f t="shared" si="2"/>
        <v>-149.79599742279248</v>
      </c>
      <c r="M36" s="2153">
        <f t="shared" si="3"/>
        <v>0</v>
      </c>
      <c r="N36" s="2247">
        <f>N35/H35%</f>
        <v>92.231671365436952</v>
      </c>
      <c r="O36" s="2247">
        <f>O35/N35%</f>
        <v>100.00000000000001</v>
      </c>
      <c r="P36" s="2245"/>
      <c r="Q36" s="2245"/>
      <c r="R36" s="2245"/>
      <c r="S36" s="2220"/>
      <c r="T36" s="2220"/>
      <c r="U36" s="2220"/>
      <c r="V36" s="2220"/>
      <c r="W36" s="2220"/>
      <c r="X36" s="2220"/>
      <c r="Y36" s="2220"/>
      <c r="Z36" s="2220"/>
      <c r="AA36" s="2220"/>
      <c r="AB36" s="2246"/>
      <c r="AC36" s="2246"/>
      <c r="AD36" s="2246"/>
      <c r="AE36" s="2220"/>
      <c r="AF36" s="2140"/>
      <c r="AG36" s="2247">
        <f>AG35/AF35%</f>
        <v>0</v>
      </c>
      <c r="AH36" s="2201">
        <f t="shared" si="10"/>
        <v>192.23167136543697</v>
      </c>
      <c r="AL36" s="2165">
        <f t="shared" si="4"/>
        <v>61.571519234333877</v>
      </c>
      <c r="AM36" s="2165">
        <f t="shared" si="5"/>
        <v>108.42262589364088</v>
      </c>
      <c r="AN36" s="2165">
        <f t="shared" si="6"/>
        <v>0</v>
      </c>
      <c r="AO36" s="2166">
        <f t="shared" si="7"/>
        <v>192.23167136543697</v>
      </c>
    </row>
    <row r="37" spans="1:41" s="2091" customFormat="1" ht="31.5" customHeight="1">
      <c r="A37" s="2155">
        <v>1</v>
      </c>
      <c r="B37" s="2156" t="s">
        <v>1300</v>
      </c>
      <c r="C37" s="2157" t="s">
        <v>324</v>
      </c>
      <c r="D37" s="2223">
        <v>190115</v>
      </c>
      <c r="E37" s="2223">
        <v>136235</v>
      </c>
      <c r="F37" s="2224">
        <f t="shared" ref="F37:F45" si="12">E37-D37</f>
        <v>-53880</v>
      </c>
      <c r="G37" s="2159">
        <f>E37/D37*100</f>
        <v>71.659258869631543</v>
      </c>
      <c r="H37" s="2223">
        <f>'[3]04-12'!D55</f>
        <v>178753</v>
      </c>
      <c r="I37" s="2223"/>
      <c r="J37" s="2223">
        <f>'[3]12'!D30</f>
        <v>174874.83255647187</v>
      </c>
      <c r="K37" s="2160">
        <f t="shared" si="1"/>
        <v>644400</v>
      </c>
      <c r="L37" s="2160">
        <f t="shared" si="2"/>
        <v>-3878.1674435281311</v>
      </c>
      <c r="M37" s="2161">
        <f t="shared" si="3"/>
        <v>97.830432248114363</v>
      </c>
      <c r="N37" s="2223">
        <f>'[3]04-12'!I55</f>
        <v>322200</v>
      </c>
      <c r="O37" s="2223">
        <f>'[3]04-12'!J55</f>
        <v>322200</v>
      </c>
      <c r="P37" s="2225"/>
      <c r="Q37" s="2225"/>
      <c r="R37" s="2225"/>
      <c r="S37" s="2226"/>
      <c r="T37" s="2226"/>
      <c r="U37" s="2226"/>
      <c r="V37" s="2226"/>
      <c r="W37" s="2226"/>
      <c r="X37" s="2226"/>
      <c r="Y37" s="2226"/>
      <c r="Z37" s="2227" t="e">
        <f>#REF!+N38</f>
        <v>#REF!</v>
      </c>
      <c r="AA37" s="2226"/>
      <c r="AB37" s="2248">
        <v>1893322</v>
      </c>
      <c r="AC37" s="2248">
        <v>2082654.2</v>
      </c>
      <c r="AD37" s="2248">
        <v>2290919.62</v>
      </c>
      <c r="AE37" s="2226"/>
      <c r="AF37" s="2226"/>
      <c r="AG37" s="2223"/>
      <c r="AH37" s="2201">
        <f t="shared" si="10"/>
        <v>644400</v>
      </c>
      <c r="AL37" s="2165">
        <f t="shared" si="4"/>
        <v>180.24872309835359</v>
      </c>
      <c r="AM37" s="2165">
        <f t="shared" si="5"/>
        <v>100</v>
      </c>
      <c r="AN37" s="2165">
        <f t="shared" si="6"/>
        <v>0</v>
      </c>
      <c r="AO37" s="2166">
        <f t="shared" si="7"/>
        <v>644400</v>
      </c>
    </row>
    <row r="38" spans="1:41" s="2251" customFormat="1" ht="31.5" customHeight="1">
      <c r="A38" s="2155">
        <v>2</v>
      </c>
      <c r="B38" s="2156" t="s">
        <v>1299</v>
      </c>
      <c r="C38" s="2157" t="s">
        <v>1074</v>
      </c>
      <c r="D38" s="2223">
        <v>1074820</v>
      </c>
      <c r="E38" s="2223">
        <v>1066032</v>
      </c>
      <c r="F38" s="2224">
        <f t="shared" si="12"/>
        <v>-8788</v>
      </c>
      <c r="G38" s="2159">
        <f>E38/D38*100</f>
        <v>99.182374723209463</v>
      </c>
      <c r="H38" s="2223">
        <f>'[3]04-12'!D62</f>
        <v>1356818</v>
      </c>
      <c r="I38" s="2223"/>
      <c r="J38" s="2223">
        <f>'[3]12'!D31</f>
        <v>837528</v>
      </c>
      <c r="K38" s="2160">
        <f t="shared" si="1"/>
        <v>2850852</v>
      </c>
      <c r="L38" s="2160">
        <f t="shared" si="2"/>
        <v>-519290</v>
      </c>
      <c r="M38" s="2161">
        <f t="shared" si="3"/>
        <v>61.727365055593303</v>
      </c>
      <c r="N38" s="2223">
        <f>'[3]04-12'!I62+'[3]04-12'!I63</f>
        <v>1425426</v>
      </c>
      <c r="O38" s="2223">
        <f>'[3]04-12'!J62+'[3]04-12'!J63</f>
        <v>1425426</v>
      </c>
      <c r="P38" s="2249"/>
      <c r="Q38" s="2249"/>
      <c r="R38" s="2249"/>
      <c r="S38" s="2249"/>
      <c r="T38" s="2249"/>
      <c r="U38" s="2249"/>
      <c r="V38" s="2249"/>
      <c r="W38" s="2249"/>
      <c r="X38" s="2249"/>
      <c r="Y38" s="2249"/>
      <c r="Z38" s="2249"/>
      <c r="AA38" s="2249"/>
      <c r="AB38" s="2250" t="e">
        <f>AB37-#REF!</f>
        <v>#REF!</v>
      </c>
      <c r="AC38" s="2250" t="e">
        <f>AC37-#REF!</f>
        <v>#REF!</v>
      </c>
      <c r="AD38" s="2250" t="e">
        <f>AD37-#REF!</f>
        <v>#REF!</v>
      </c>
      <c r="AE38" s="2249"/>
      <c r="AF38" s="2249"/>
      <c r="AG38" s="2223"/>
      <c r="AH38" s="2201">
        <f t="shared" si="10"/>
        <v>2850852</v>
      </c>
      <c r="AL38" s="2165">
        <f t="shared" si="4"/>
        <v>105.05653669099318</v>
      </c>
      <c r="AM38" s="2165">
        <f t="shared" si="5"/>
        <v>100</v>
      </c>
      <c r="AN38" s="2165">
        <f t="shared" si="6"/>
        <v>0</v>
      </c>
      <c r="AO38" s="2166">
        <f t="shared" si="7"/>
        <v>2850852</v>
      </c>
    </row>
    <row r="39" spans="1:41" s="2251" customFormat="1" ht="31.5" customHeight="1">
      <c r="A39" s="2155">
        <v>3</v>
      </c>
      <c r="B39" s="2156"/>
      <c r="C39" s="2252" t="s">
        <v>1301</v>
      </c>
      <c r="D39" s="2223"/>
      <c r="E39" s="2223"/>
      <c r="F39" s="2224"/>
      <c r="G39" s="2159"/>
      <c r="H39" s="2223">
        <f>'[3]04-12'!D63</f>
        <v>359251</v>
      </c>
      <c r="I39" s="2223"/>
      <c r="J39" s="2223">
        <f>'[3]12'!D32</f>
        <v>359251</v>
      </c>
      <c r="K39" s="2160"/>
      <c r="L39" s="2160">
        <f t="shared" si="2"/>
        <v>0</v>
      </c>
      <c r="M39" s="2161">
        <f t="shared" si="3"/>
        <v>100</v>
      </c>
      <c r="N39" s="2223"/>
      <c r="O39" s="2223"/>
      <c r="P39" s="2249"/>
      <c r="Q39" s="2249"/>
      <c r="R39" s="2249"/>
      <c r="S39" s="2249"/>
      <c r="T39" s="2249"/>
      <c r="U39" s="2249"/>
      <c r="V39" s="2249"/>
      <c r="W39" s="2249"/>
      <c r="X39" s="2249"/>
      <c r="Y39" s="2249"/>
      <c r="Z39" s="2249"/>
      <c r="AA39" s="2249"/>
      <c r="AB39" s="2250"/>
      <c r="AC39" s="2250"/>
      <c r="AD39" s="2250"/>
      <c r="AE39" s="2249"/>
      <c r="AF39" s="2249"/>
      <c r="AG39" s="2223"/>
      <c r="AH39" s="2201"/>
      <c r="AL39" s="2165">
        <f t="shared" si="4"/>
        <v>0</v>
      </c>
      <c r="AM39" s="2165"/>
      <c r="AN39" s="2165"/>
      <c r="AO39" s="2166">
        <f t="shared" si="7"/>
        <v>0</v>
      </c>
    </row>
    <row r="40" spans="1:41" s="2104" customFormat="1" ht="31.5" customHeight="1">
      <c r="A40" s="2143" t="s">
        <v>315</v>
      </c>
      <c r="B40" s="2144" t="s">
        <v>1075</v>
      </c>
      <c r="C40" s="2145" t="s">
        <v>1075</v>
      </c>
      <c r="D40" s="2177"/>
      <c r="E40" s="2177"/>
      <c r="F40" s="2224">
        <f t="shared" si="12"/>
        <v>0</v>
      </c>
      <c r="G40" s="2159"/>
      <c r="H40" s="2177"/>
      <c r="I40" s="2177"/>
      <c r="J40" s="2177"/>
      <c r="K40" s="2149">
        <f t="shared" si="1"/>
        <v>0</v>
      </c>
      <c r="L40" s="2149">
        <f t="shared" si="2"/>
        <v>0</v>
      </c>
      <c r="M40" s="2153"/>
      <c r="N40" s="2177"/>
      <c r="O40" s="2177"/>
      <c r="P40" s="2220"/>
      <c r="Q40" s="2220"/>
      <c r="R40" s="2220"/>
      <c r="S40" s="2220"/>
      <c r="T40" s="2220"/>
      <c r="U40" s="2220"/>
      <c r="V40" s="2220"/>
      <c r="W40" s="2220"/>
      <c r="X40" s="2220"/>
      <c r="Y40" s="2220"/>
      <c r="Z40" s="2220"/>
      <c r="AA40" s="2220"/>
      <c r="AB40" s="2220"/>
      <c r="AC40" s="2220"/>
      <c r="AD40" s="2220"/>
      <c r="AE40" s="2220"/>
      <c r="AF40" s="2220"/>
      <c r="AG40" s="2177"/>
      <c r="AH40" s="2201">
        <f t="shared" si="10"/>
        <v>0</v>
      </c>
      <c r="AL40" s="2165"/>
      <c r="AM40" s="2165"/>
      <c r="AN40" s="2165"/>
      <c r="AO40" s="2166">
        <f t="shared" si="7"/>
        <v>0</v>
      </c>
    </row>
    <row r="41" spans="1:41" s="2104" customFormat="1" ht="31.5" customHeight="1">
      <c r="A41" s="2182" t="s">
        <v>317</v>
      </c>
      <c r="B41" s="2183"/>
      <c r="C41" s="2184" t="s">
        <v>1302</v>
      </c>
      <c r="D41" s="2253">
        <v>87000</v>
      </c>
      <c r="E41" s="2253">
        <v>87000</v>
      </c>
      <c r="F41" s="2254">
        <f t="shared" si="12"/>
        <v>0</v>
      </c>
      <c r="G41" s="2187">
        <f>E41/D41*100</f>
        <v>100</v>
      </c>
      <c r="H41" s="2253">
        <v>75799</v>
      </c>
      <c r="I41" s="2253"/>
      <c r="J41" s="2253">
        <f>'[3]12'!D34</f>
        <v>75799</v>
      </c>
      <c r="K41" s="2188">
        <f t="shared" si="1"/>
        <v>354000</v>
      </c>
      <c r="L41" s="2188">
        <f t="shared" si="2"/>
        <v>0</v>
      </c>
      <c r="M41" s="2189">
        <f t="shared" si="3"/>
        <v>100</v>
      </c>
      <c r="N41" s="2253">
        <f>'[3]04-12'!I64</f>
        <v>154000</v>
      </c>
      <c r="O41" s="2253">
        <f>'[3]04-12'!J64</f>
        <v>100000</v>
      </c>
      <c r="P41" s="2255"/>
      <c r="Q41" s="2255"/>
      <c r="R41" s="2255"/>
      <c r="S41" s="2255"/>
      <c r="T41" s="2255"/>
      <c r="U41" s="2255"/>
      <c r="V41" s="2255"/>
      <c r="W41" s="2255"/>
      <c r="X41" s="2255"/>
      <c r="Y41" s="2255"/>
      <c r="Z41" s="2255">
        <f>N41/H41%</f>
        <v>203.16890724152034</v>
      </c>
      <c r="AA41" s="2255">
        <f>O41/N41%</f>
        <v>64.935064935064929</v>
      </c>
      <c r="AB41" s="2256">
        <v>72422</v>
      </c>
      <c r="AC41" s="2257">
        <f>N42-AC42</f>
        <v>746367.55000000075</v>
      </c>
      <c r="AD41" s="2257">
        <f>O42-AD42</f>
        <v>1163846.1253999993</v>
      </c>
      <c r="AE41" s="2255"/>
      <c r="AF41" s="2258">
        <f>H41+N41+O41</f>
        <v>329799</v>
      </c>
      <c r="AG41" s="2253">
        <f>'[3]04-12'!K64</f>
        <v>100000</v>
      </c>
      <c r="AH41" s="2201"/>
      <c r="AL41" s="2192">
        <f t="shared" si="4"/>
        <v>203.16890724152034</v>
      </c>
      <c r="AM41" s="2192">
        <f t="shared" si="5"/>
        <v>64.935064935064929</v>
      </c>
      <c r="AN41" s="2192">
        <f t="shared" si="6"/>
        <v>100</v>
      </c>
      <c r="AO41" s="2193">
        <f t="shared" si="7"/>
        <v>354000</v>
      </c>
    </row>
    <row r="42" spans="1:41" s="2104" customFormat="1" ht="31.5" customHeight="1">
      <c r="A42" s="2259" t="s">
        <v>362</v>
      </c>
      <c r="B42" s="2260"/>
      <c r="C42" s="2261" t="s">
        <v>1303</v>
      </c>
      <c r="D42" s="2262">
        <f>D12-D23</f>
        <v>83650</v>
      </c>
      <c r="E42" s="2262">
        <f>E12-E23</f>
        <v>1073498</v>
      </c>
      <c r="F42" s="2263">
        <f t="shared" si="12"/>
        <v>989848</v>
      </c>
      <c r="G42" s="2262"/>
      <c r="H42" s="2262">
        <f>H12-H23</f>
        <v>50800</v>
      </c>
      <c r="I42" s="2262"/>
      <c r="J42" s="2262">
        <f>J12-J23</f>
        <v>1581024.617443528</v>
      </c>
      <c r="K42" s="2117">
        <f t="shared" si="1"/>
        <v>107119.10559999943</v>
      </c>
      <c r="L42" s="2117">
        <f t="shared" si="2"/>
        <v>1530224.617443528</v>
      </c>
      <c r="M42" s="2119">
        <f t="shared" si="3"/>
        <v>3112.253183943953</v>
      </c>
      <c r="N42" s="2262">
        <f>N12-N23</f>
        <v>54500</v>
      </c>
      <c r="O42" s="2262">
        <f>O12-O23</f>
        <v>52619.105599999428</v>
      </c>
      <c r="P42" s="2262">
        <f t="shared" ref="P42:AF42" si="13">P12-P23</f>
        <v>-8812723</v>
      </c>
      <c r="Q42" s="2262">
        <f t="shared" si="13"/>
        <v>-9512102.0800000001</v>
      </c>
      <c r="R42" s="2262">
        <f t="shared" si="13"/>
        <v>-10029581.993999999</v>
      </c>
      <c r="S42" s="2262">
        <f t="shared" si="13"/>
        <v>52619.105599999428</v>
      </c>
      <c r="T42" s="2262">
        <f t="shared" si="13"/>
        <v>-8812723</v>
      </c>
      <c r="U42" s="2262">
        <f t="shared" si="13"/>
        <v>-9512102.0800000001</v>
      </c>
      <c r="V42" s="2262">
        <f t="shared" si="13"/>
        <v>0</v>
      </c>
      <c r="W42" s="2262">
        <f t="shared" si="13"/>
        <v>0</v>
      </c>
      <c r="X42" s="2262">
        <f t="shared" si="13"/>
        <v>0</v>
      </c>
      <c r="Y42" s="2262">
        <f t="shared" si="13"/>
        <v>0</v>
      </c>
      <c r="Z42" s="2262">
        <f t="shared" si="13"/>
        <v>103.40016038311464</v>
      </c>
      <c r="AA42" s="2262">
        <f t="shared" si="13"/>
        <v>102.03549553763902</v>
      </c>
      <c r="AB42" s="2262">
        <f t="shared" si="13"/>
        <v>-8812723</v>
      </c>
      <c r="AC42" s="2262">
        <f t="shared" si="13"/>
        <v>-691867.55000000075</v>
      </c>
      <c r="AD42" s="2262">
        <f t="shared" si="13"/>
        <v>-1111227.0197999999</v>
      </c>
      <c r="AE42" s="2262">
        <f t="shared" si="13"/>
        <v>9085221.620000001</v>
      </c>
      <c r="AF42" s="2262">
        <f t="shared" si="13"/>
        <v>157919.10559999943</v>
      </c>
      <c r="AG42" s="2262"/>
      <c r="AH42" s="2105"/>
      <c r="AL42" s="2264">
        <f t="shared" si="4"/>
        <v>107.28346456692914</v>
      </c>
      <c r="AM42" s="2264">
        <f t="shared" si="5"/>
        <v>96.548817614677844</v>
      </c>
      <c r="AN42" s="2264">
        <f t="shared" si="6"/>
        <v>0</v>
      </c>
      <c r="AO42" s="2265">
        <f t="shared" si="7"/>
        <v>107119.10559999943</v>
      </c>
    </row>
    <row r="43" spans="1:41" s="2275" customFormat="1" ht="31.5" customHeight="1">
      <c r="A43" s="2133" t="s">
        <v>371</v>
      </c>
      <c r="B43" s="2266" t="s">
        <v>1081</v>
      </c>
      <c r="C43" s="2267" t="s">
        <v>1304</v>
      </c>
      <c r="D43" s="2268"/>
      <c r="E43" s="2268"/>
      <c r="F43" s="2269">
        <f t="shared" si="12"/>
        <v>0</v>
      </c>
      <c r="G43" s="2270"/>
      <c r="H43" s="2270"/>
      <c r="I43" s="2270"/>
      <c r="J43" s="2270"/>
      <c r="K43" s="2127"/>
      <c r="L43" s="2127">
        <f t="shared" si="2"/>
        <v>0</v>
      </c>
      <c r="M43" s="2208"/>
      <c r="N43" s="2271"/>
      <c r="O43" s="2271"/>
      <c r="P43" s="2272"/>
      <c r="Q43" s="2272"/>
      <c r="R43" s="2272"/>
      <c r="S43" s="2272"/>
      <c r="T43" s="2272"/>
      <c r="U43" s="2272"/>
      <c r="V43" s="2272"/>
      <c r="W43" s="2272"/>
      <c r="X43" s="2272"/>
      <c r="Y43" s="2272"/>
      <c r="Z43" s="2272"/>
      <c r="AA43" s="2272"/>
      <c r="AB43" s="2272"/>
      <c r="AC43" s="2273"/>
      <c r="AD43" s="2272"/>
      <c r="AE43" s="2272"/>
      <c r="AF43" s="2274"/>
      <c r="AG43" s="2271"/>
      <c r="AL43" s="2132"/>
      <c r="AM43" s="2132"/>
      <c r="AN43" s="2132"/>
      <c r="AO43" s="2211">
        <f t="shared" si="7"/>
        <v>0</v>
      </c>
    </row>
    <row r="44" spans="1:41" s="2275" customFormat="1" ht="31.5" customHeight="1">
      <c r="A44" s="2143" t="s">
        <v>54</v>
      </c>
      <c r="B44" s="2144" t="s">
        <v>1305</v>
      </c>
      <c r="C44" s="2145" t="s">
        <v>1305</v>
      </c>
      <c r="D44" s="2177">
        <v>535300</v>
      </c>
      <c r="E44" s="2177">
        <v>535300</v>
      </c>
      <c r="F44" s="2147">
        <f t="shared" si="12"/>
        <v>0</v>
      </c>
      <c r="G44" s="2148">
        <f>E44/D44*100</f>
        <v>100</v>
      </c>
      <c r="H44" s="2146">
        <f>H15*20%</f>
        <v>642360</v>
      </c>
      <c r="I44" s="2146"/>
      <c r="J44" s="2146">
        <f>J15*20%</f>
        <v>658452</v>
      </c>
      <c r="K44" s="2149">
        <f t="shared" si="1"/>
        <v>2235556.80736</v>
      </c>
      <c r="L44" s="2149">
        <f t="shared" si="2"/>
        <v>16092</v>
      </c>
      <c r="M44" s="2153">
        <f t="shared" si="3"/>
        <v>102.50513730618344</v>
      </c>
      <c r="N44" s="2177">
        <f>N15*20%</f>
        <v>691344.4</v>
      </c>
      <c r="O44" s="2177">
        <f>O15*20%</f>
        <v>739460.92800000007</v>
      </c>
      <c r="P44" s="2276"/>
      <c r="Q44" s="2276"/>
      <c r="R44" s="2276"/>
      <c r="S44" s="2276"/>
      <c r="T44" s="2276"/>
      <c r="U44" s="2276"/>
      <c r="V44" s="2276"/>
      <c r="W44" s="2276"/>
      <c r="X44" s="2276"/>
      <c r="Y44" s="2276"/>
      <c r="Z44" s="2276"/>
      <c r="AA44" s="2276"/>
      <c r="AB44" s="2276"/>
      <c r="AC44" s="2276"/>
      <c r="AD44" s="2276"/>
      <c r="AE44" s="2276"/>
      <c r="AF44" s="2276"/>
      <c r="AG44" s="2177">
        <f>AG15*20%</f>
        <v>804751.47936</v>
      </c>
      <c r="AI44" s="2277">
        <f>N44/H44%</f>
        <v>107.62569275795504</v>
      </c>
      <c r="AJ44" s="2278">
        <f>O44/N44%</f>
        <v>106.95984924445762</v>
      </c>
      <c r="AK44" s="2278">
        <f>AG44/O44%</f>
        <v>108.82947954215641</v>
      </c>
      <c r="AL44" s="2132">
        <f t="shared" si="4"/>
        <v>107.62569275795504</v>
      </c>
      <c r="AM44" s="2132">
        <f t="shared" si="5"/>
        <v>106.95984924445762</v>
      </c>
      <c r="AN44" s="2132">
        <f t="shared" si="6"/>
        <v>108.82947954215641</v>
      </c>
      <c r="AO44" s="2152">
        <f t="shared" si="7"/>
        <v>2235556.80736</v>
      </c>
    </row>
    <row r="45" spans="1:41" s="2275" customFormat="1" ht="31.5" customHeight="1">
      <c r="A45" s="2143" t="s">
        <v>60</v>
      </c>
      <c r="B45" s="2144" t="s">
        <v>1306</v>
      </c>
      <c r="C45" s="2145" t="s">
        <v>1306</v>
      </c>
      <c r="D45" s="2177">
        <v>320600</v>
      </c>
      <c r="E45" s="2177">
        <v>320600</v>
      </c>
      <c r="F45" s="2147">
        <f t="shared" si="12"/>
        <v>0</v>
      </c>
      <c r="G45" s="2148">
        <f>E45/D45*100</f>
        <v>100</v>
      </c>
      <c r="H45" s="2177">
        <v>229600</v>
      </c>
      <c r="I45" s="2177"/>
      <c r="J45" s="2177">
        <f>'[3]18'!C13</f>
        <v>229600</v>
      </c>
      <c r="K45" s="2149">
        <f>N45</f>
        <v>178800</v>
      </c>
      <c r="L45" s="2149">
        <f t="shared" si="2"/>
        <v>0</v>
      </c>
      <c r="M45" s="2153">
        <f t="shared" si="3"/>
        <v>100</v>
      </c>
      <c r="N45" s="2177">
        <f>'[3]18'!D13</f>
        <v>178800</v>
      </c>
      <c r="O45" s="2177">
        <f>N53</f>
        <v>636844.4</v>
      </c>
      <c r="P45" s="2276"/>
      <c r="Q45" s="2279"/>
      <c r="R45" s="2276"/>
      <c r="S45" s="2276"/>
      <c r="T45" s="2276"/>
      <c r="U45" s="2276"/>
      <c r="V45" s="2276"/>
      <c r="W45" s="2276"/>
      <c r="X45" s="2276"/>
      <c r="Y45" s="2276"/>
      <c r="Z45" s="2276"/>
      <c r="AA45" s="2276"/>
      <c r="AB45" s="2276"/>
      <c r="AC45" s="2276"/>
      <c r="AD45" s="2276"/>
      <c r="AE45" s="2276"/>
      <c r="AF45" s="2276"/>
      <c r="AG45" s="2177">
        <f>O53</f>
        <v>686841.82240000064</v>
      </c>
      <c r="AI45" s="2277">
        <f t="shared" ref="AI45:AI53" si="14">N45/H45%</f>
        <v>77.874564459930312</v>
      </c>
      <c r="AJ45" s="2278">
        <f t="shared" ref="AJ45:AJ53" si="15">O45/N45%</f>
        <v>356.17695749440719</v>
      </c>
      <c r="AK45" s="2278">
        <f t="shared" ref="AK45:AK53" si="16">AG45/O45%</f>
        <v>107.85080663345718</v>
      </c>
      <c r="AL45" s="2132">
        <f t="shared" si="4"/>
        <v>77.874564459930312</v>
      </c>
      <c r="AM45" s="2132">
        <f t="shared" si="5"/>
        <v>356.17695749440719</v>
      </c>
      <c r="AN45" s="2132">
        <f t="shared" si="6"/>
        <v>107.85080663345718</v>
      </c>
      <c r="AO45" s="2152">
        <f t="shared" si="7"/>
        <v>1502486.2224000008</v>
      </c>
    </row>
    <row r="46" spans="1:41" s="2275" customFormat="1" ht="31.5" customHeight="1">
      <c r="A46" s="2143" t="s">
        <v>315</v>
      </c>
      <c r="B46" s="2144"/>
      <c r="C46" s="2145" t="s">
        <v>1307</v>
      </c>
      <c r="D46" s="2177">
        <f>D47+D48</f>
        <v>91000</v>
      </c>
      <c r="E46" s="2177">
        <f t="shared" ref="E46:O46" si="17">E47+E48</f>
        <v>91000</v>
      </c>
      <c r="F46" s="2177">
        <f t="shared" si="17"/>
        <v>0</v>
      </c>
      <c r="G46" s="2148">
        <f>E46/D46*100</f>
        <v>100</v>
      </c>
      <c r="H46" s="2177">
        <f t="shared" si="17"/>
        <v>91000</v>
      </c>
      <c r="I46" s="2177"/>
      <c r="J46" s="2177">
        <f t="shared" si="17"/>
        <v>91000</v>
      </c>
      <c r="K46" s="2149">
        <f t="shared" si="1"/>
        <v>107119.10559999943</v>
      </c>
      <c r="L46" s="2149">
        <f t="shared" si="2"/>
        <v>0</v>
      </c>
      <c r="M46" s="2153">
        <f t="shared" si="3"/>
        <v>100</v>
      </c>
      <c r="N46" s="2177">
        <f t="shared" si="17"/>
        <v>54500</v>
      </c>
      <c r="O46" s="2177">
        <f t="shared" si="17"/>
        <v>52619.105599999428</v>
      </c>
      <c r="P46" s="2276"/>
      <c r="Q46" s="2276"/>
      <c r="R46" s="2276"/>
      <c r="S46" s="2276"/>
      <c r="T46" s="2276"/>
      <c r="U46" s="2276"/>
      <c r="V46" s="2276"/>
      <c r="W46" s="2276"/>
      <c r="X46" s="2276"/>
      <c r="Y46" s="2276"/>
      <c r="Z46" s="2276"/>
      <c r="AA46" s="2276"/>
      <c r="AB46" s="2276"/>
      <c r="AC46" s="2276"/>
      <c r="AD46" s="2276"/>
      <c r="AE46" s="2276"/>
      <c r="AF46" s="2276"/>
      <c r="AG46" s="2177">
        <f>AG47+AG48</f>
        <v>0</v>
      </c>
      <c r="AI46" s="2277">
        <f t="shared" si="14"/>
        <v>59.890109890109891</v>
      </c>
      <c r="AJ46" s="2278">
        <f t="shared" si="15"/>
        <v>96.548817614677844</v>
      </c>
      <c r="AK46" s="2278">
        <f t="shared" si="16"/>
        <v>0</v>
      </c>
      <c r="AL46" s="2132">
        <f t="shared" si="4"/>
        <v>59.890109890109891</v>
      </c>
      <c r="AM46" s="2132">
        <f t="shared" si="5"/>
        <v>96.548817614677844</v>
      </c>
      <c r="AN46" s="2132">
        <f t="shared" si="6"/>
        <v>0</v>
      </c>
      <c r="AO46" s="2152">
        <f t="shared" si="7"/>
        <v>107119.10559999943</v>
      </c>
    </row>
    <row r="47" spans="1:41" s="2282" customFormat="1" ht="31.5" customHeight="1">
      <c r="A47" s="2155">
        <v>1</v>
      </c>
      <c r="B47" s="2156"/>
      <c r="C47" s="2157" t="s">
        <v>1308</v>
      </c>
      <c r="D47" s="2223"/>
      <c r="E47" s="2223"/>
      <c r="F47" s="2224">
        <f>E47-D47</f>
        <v>0</v>
      </c>
      <c r="G47" s="2159"/>
      <c r="H47" s="2223">
        <v>40200</v>
      </c>
      <c r="I47" s="2223"/>
      <c r="J47" s="2223"/>
      <c r="K47" s="2160">
        <f t="shared" si="1"/>
        <v>0</v>
      </c>
      <c r="L47" s="2160">
        <f t="shared" si="2"/>
        <v>-40200</v>
      </c>
      <c r="M47" s="2153">
        <f t="shared" si="3"/>
        <v>0</v>
      </c>
      <c r="N47" s="2223"/>
      <c r="O47" s="2223"/>
      <c r="P47" s="2280"/>
      <c r="Q47" s="2280"/>
      <c r="R47" s="2280"/>
      <c r="S47" s="2280"/>
      <c r="T47" s="2280"/>
      <c r="U47" s="2280"/>
      <c r="V47" s="2280"/>
      <c r="W47" s="2280"/>
      <c r="X47" s="2280"/>
      <c r="Y47" s="2280"/>
      <c r="Z47" s="2280"/>
      <c r="AA47" s="2280"/>
      <c r="AB47" s="2280"/>
      <c r="AC47" s="2280"/>
      <c r="AD47" s="2280"/>
      <c r="AE47" s="2280"/>
      <c r="AF47" s="2280"/>
      <c r="AG47" s="2223"/>
      <c r="AH47" s="2281"/>
      <c r="AI47" s="2277">
        <f t="shared" si="14"/>
        <v>0</v>
      </c>
      <c r="AJ47" s="2278" t="e">
        <f t="shared" si="15"/>
        <v>#DIV/0!</v>
      </c>
      <c r="AK47" s="2278" t="e">
        <f t="shared" si="16"/>
        <v>#DIV/0!</v>
      </c>
      <c r="AL47" s="2132">
        <f t="shared" si="4"/>
        <v>0</v>
      </c>
      <c r="AM47" s="2132"/>
      <c r="AN47" s="2132"/>
      <c r="AO47" s="2152">
        <f t="shared" si="7"/>
        <v>0</v>
      </c>
    </row>
    <row r="48" spans="1:41" s="2282" customFormat="1" ht="31.5" customHeight="1">
      <c r="A48" s="2155">
        <f>A47+1</f>
        <v>2</v>
      </c>
      <c r="B48" s="2156"/>
      <c r="C48" s="2157" t="s">
        <v>1309</v>
      </c>
      <c r="D48" s="2223">
        <v>91000</v>
      </c>
      <c r="E48" s="2223">
        <v>91000</v>
      </c>
      <c r="F48" s="2224">
        <f>E48-D48</f>
        <v>0</v>
      </c>
      <c r="G48" s="2159">
        <f>E48/D48*100</f>
        <v>100</v>
      </c>
      <c r="H48" s="2283">
        <v>50800</v>
      </c>
      <c r="I48" s="2283"/>
      <c r="J48" s="2283">
        <f>'[3]18'!C25</f>
        <v>91000</v>
      </c>
      <c r="K48" s="2160">
        <f t="shared" si="1"/>
        <v>107119.10559999943</v>
      </c>
      <c r="L48" s="2160">
        <f t="shared" si="2"/>
        <v>40200</v>
      </c>
      <c r="M48" s="2161">
        <f t="shared" si="3"/>
        <v>179.13385826771653</v>
      </c>
      <c r="N48" s="2223">
        <f>N42</f>
        <v>54500</v>
      </c>
      <c r="O48" s="2223">
        <f>O42</f>
        <v>52619.105599999428</v>
      </c>
      <c r="P48" s="2280"/>
      <c r="Q48" s="2280"/>
      <c r="R48" s="2280"/>
      <c r="S48" s="2280"/>
      <c r="T48" s="2280"/>
      <c r="U48" s="2280"/>
      <c r="V48" s="2280"/>
      <c r="W48" s="2280"/>
      <c r="X48" s="2280"/>
      <c r="Y48" s="2280"/>
      <c r="Z48" s="2280"/>
      <c r="AA48" s="2280"/>
      <c r="AB48" s="2280"/>
      <c r="AC48" s="2280"/>
      <c r="AD48" s="2280"/>
      <c r="AE48" s="2280"/>
      <c r="AF48" s="2280"/>
      <c r="AG48" s="2223">
        <f>AG42</f>
        <v>0</v>
      </c>
      <c r="AI48" s="2277">
        <f t="shared" si="14"/>
        <v>107.28346456692914</v>
      </c>
      <c r="AJ48" s="2278">
        <f t="shared" si="15"/>
        <v>96.548817614677844</v>
      </c>
      <c r="AK48" s="2278">
        <f t="shared" si="16"/>
        <v>0</v>
      </c>
      <c r="AL48" s="2165">
        <f t="shared" si="4"/>
        <v>107.28346456692914</v>
      </c>
      <c r="AM48" s="2165">
        <f t="shared" si="5"/>
        <v>96.548817614677844</v>
      </c>
      <c r="AN48" s="2165">
        <f t="shared" si="6"/>
        <v>0</v>
      </c>
      <c r="AO48" s="2166">
        <f t="shared" si="7"/>
        <v>107119.10559999943</v>
      </c>
    </row>
    <row r="49" spans="1:41" s="2275" customFormat="1" ht="31.5" customHeight="1">
      <c r="A49" s="2143" t="s">
        <v>317</v>
      </c>
      <c r="B49" s="2144"/>
      <c r="C49" s="2145" t="s">
        <v>1310</v>
      </c>
      <c r="D49" s="2177">
        <v>91000</v>
      </c>
      <c r="E49" s="2177">
        <v>91000</v>
      </c>
      <c r="F49" s="2284">
        <f>F50+F51+F52</f>
        <v>0</v>
      </c>
      <c r="G49" s="2284">
        <f>G50+G51+G52</f>
        <v>0</v>
      </c>
      <c r="H49" s="2284">
        <f>H50+H51+H52</f>
        <v>369350</v>
      </c>
      <c r="I49" s="2284"/>
      <c r="J49" s="2284">
        <f>J50+J51+J52</f>
        <v>40200</v>
      </c>
      <c r="K49" s="2149">
        <f t="shared" si="1"/>
        <v>733070.58495999943</v>
      </c>
      <c r="L49" s="2149">
        <f t="shared" si="2"/>
        <v>-329150</v>
      </c>
      <c r="M49" s="2153">
        <f t="shared" si="3"/>
        <v>10.883985379721132</v>
      </c>
      <c r="N49" s="2284">
        <f>N50+N51+N52</f>
        <v>512544.4</v>
      </c>
      <c r="O49" s="2284">
        <f>O50+O51+O52</f>
        <v>102616.52800000005</v>
      </c>
      <c r="P49" s="2276"/>
      <c r="Q49" s="2276"/>
      <c r="R49" s="2276"/>
      <c r="S49" s="2276"/>
      <c r="T49" s="2276"/>
      <c r="U49" s="2276"/>
      <c r="V49" s="2276"/>
      <c r="W49" s="2276"/>
      <c r="X49" s="2276"/>
      <c r="Y49" s="2276"/>
      <c r="Z49" s="2276"/>
      <c r="AA49" s="2276"/>
      <c r="AB49" s="2276"/>
      <c r="AC49" s="2276">
        <f>329150</f>
        <v>329150</v>
      </c>
      <c r="AD49" s="2276"/>
      <c r="AE49" s="2276"/>
      <c r="AF49" s="2140">
        <f>H49+N49+O49</f>
        <v>984510.92800000007</v>
      </c>
      <c r="AG49" s="2284">
        <f>AG50+AG51+AG52</f>
        <v>117909.65695999935</v>
      </c>
      <c r="AI49" s="2277">
        <f t="shared" si="14"/>
        <v>138.76929741437661</v>
      </c>
      <c r="AJ49" s="2278">
        <f t="shared" si="15"/>
        <v>20.021002668256649</v>
      </c>
      <c r="AK49" s="2278">
        <f t="shared" si="16"/>
        <v>114.9031830038133</v>
      </c>
      <c r="AL49" s="2132">
        <f t="shared" si="4"/>
        <v>138.76929741437661</v>
      </c>
      <c r="AM49" s="2132">
        <f t="shared" si="5"/>
        <v>20.021002668256649</v>
      </c>
      <c r="AN49" s="2132">
        <f t="shared" si="6"/>
        <v>114.9031830038133</v>
      </c>
      <c r="AO49" s="2152">
        <f t="shared" si="7"/>
        <v>733070.58495999943</v>
      </c>
    </row>
    <row r="50" spans="1:41" s="2282" customFormat="1" ht="31.5" customHeight="1">
      <c r="A50" s="2155">
        <v>1</v>
      </c>
      <c r="B50" s="2156"/>
      <c r="C50" s="2157" t="s">
        <v>1082</v>
      </c>
      <c r="D50" s="2223"/>
      <c r="E50" s="2223"/>
      <c r="F50" s="2147">
        <f>E50-D50</f>
        <v>0</v>
      </c>
      <c r="G50" s="2159"/>
      <c r="H50" s="2223"/>
      <c r="I50" s="2223"/>
      <c r="J50" s="2223"/>
      <c r="K50" s="2160">
        <f t="shared" si="1"/>
        <v>0</v>
      </c>
      <c r="L50" s="2149">
        <f t="shared" si="2"/>
        <v>0</v>
      </c>
      <c r="M50" s="2153"/>
      <c r="N50" s="2223"/>
      <c r="O50" s="2223"/>
      <c r="P50" s="2280"/>
      <c r="Q50" s="2280"/>
      <c r="R50" s="2280"/>
      <c r="S50" s="2280"/>
      <c r="T50" s="2280"/>
      <c r="U50" s="2280"/>
      <c r="V50" s="2280"/>
      <c r="W50" s="2280"/>
      <c r="X50" s="2280"/>
      <c r="Y50" s="2280"/>
      <c r="Z50" s="2280"/>
      <c r="AA50" s="2280"/>
      <c r="AB50" s="2280"/>
      <c r="AC50" s="2280"/>
      <c r="AD50" s="2280"/>
      <c r="AE50" s="2280"/>
      <c r="AF50" s="2280"/>
      <c r="AG50" s="2223"/>
      <c r="AI50" s="2277"/>
      <c r="AJ50" s="2278"/>
      <c r="AK50" s="2278"/>
      <c r="AL50" s="2132"/>
      <c r="AM50" s="2132"/>
      <c r="AN50" s="2132"/>
      <c r="AO50" s="2152">
        <f t="shared" si="7"/>
        <v>0</v>
      </c>
    </row>
    <row r="51" spans="1:41" s="2282" customFormat="1" ht="31.5" customHeight="1">
      <c r="A51" s="2155">
        <f>A50+1</f>
        <v>2</v>
      </c>
      <c r="B51" s="2156"/>
      <c r="C51" s="2157" t="s">
        <v>1083</v>
      </c>
      <c r="D51" s="2223">
        <v>91000</v>
      </c>
      <c r="E51" s="2223">
        <v>91000</v>
      </c>
      <c r="F51" s="2147">
        <f>E51-D51</f>
        <v>0</v>
      </c>
      <c r="G51" s="2159"/>
      <c r="H51" s="2223"/>
      <c r="I51" s="2223"/>
      <c r="J51" s="2223"/>
      <c r="K51" s="2160">
        <f t="shared" si="1"/>
        <v>0</v>
      </c>
      <c r="L51" s="2149">
        <f t="shared" si="2"/>
        <v>0</v>
      </c>
      <c r="M51" s="2153"/>
      <c r="N51" s="2223">
        <f>N47</f>
        <v>0</v>
      </c>
      <c r="O51" s="2223"/>
      <c r="P51" s="2280"/>
      <c r="Q51" s="2280"/>
      <c r="R51" s="2280"/>
      <c r="S51" s="2280"/>
      <c r="T51" s="2280"/>
      <c r="U51" s="2280"/>
      <c r="V51" s="2280"/>
      <c r="W51" s="2280"/>
      <c r="X51" s="2280"/>
      <c r="Y51" s="2280"/>
      <c r="Z51" s="2280"/>
      <c r="AA51" s="2280"/>
      <c r="AB51" s="2280"/>
      <c r="AC51" s="2280"/>
      <c r="AD51" s="2280"/>
      <c r="AE51" s="2280"/>
      <c r="AF51" s="2280"/>
      <c r="AG51" s="2223"/>
      <c r="AI51" s="2277" t="e">
        <f t="shared" si="14"/>
        <v>#DIV/0!</v>
      </c>
      <c r="AJ51" s="2278" t="e">
        <f t="shared" si="15"/>
        <v>#DIV/0!</v>
      </c>
      <c r="AK51" s="2278" t="e">
        <f t="shared" si="16"/>
        <v>#DIV/0!</v>
      </c>
      <c r="AL51" s="2132"/>
      <c r="AM51" s="2132"/>
      <c r="AN51" s="2132"/>
      <c r="AO51" s="2152">
        <f t="shared" si="7"/>
        <v>0</v>
      </c>
    </row>
    <row r="52" spans="1:41" s="2282" customFormat="1" ht="31.5" customHeight="1">
      <c r="A52" s="2155">
        <v>3</v>
      </c>
      <c r="B52" s="2156"/>
      <c r="C52" s="2157" t="s">
        <v>1311</v>
      </c>
      <c r="D52" s="2223"/>
      <c r="E52" s="2223"/>
      <c r="F52" s="2147">
        <f>E52-D52</f>
        <v>0</v>
      </c>
      <c r="G52" s="2159"/>
      <c r="H52" s="2158">
        <v>369350</v>
      </c>
      <c r="I52" s="2158"/>
      <c r="J52" s="2158">
        <f>'[3]18'!C32</f>
        <v>40200</v>
      </c>
      <c r="K52" s="2160">
        <f t="shared" si="1"/>
        <v>733070.58495999943</v>
      </c>
      <c r="L52" s="2160">
        <f t="shared" si="2"/>
        <v>-329150</v>
      </c>
      <c r="M52" s="2161">
        <f t="shared" si="3"/>
        <v>10.883985379721132</v>
      </c>
      <c r="N52" s="2223">
        <f>N44-N45</f>
        <v>512544.4</v>
      </c>
      <c r="O52" s="2223">
        <f>O44-O45</f>
        <v>102616.52800000005</v>
      </c>
      <c r="P52" s="2280"/>
      <c r="Q52" s="2280"/>
      <c r="R52" s="2280"/>
      <c r="S52" s="2280"/>
      <c r="T52" s="2280"/>
      <c r="U52" s="2280"/>
      <c r="V52" s="2280"/>
      <c r="W52" s="2280"/>
      <c r="X52" s="2280"/>
      <c r="Y52" s="2280"/>
      <c r="Z52" s="2280"/>
      <c r="AA52" s="2280"/>
      <c r="AB52" s="2280"/>
      <c r="AC52" s="2280"/>
      <c r="AD52" s="2280"/>
      <c r="AE52" s="2280"/>
      <c r="AF52" s="2280"/>
      <c r="AG52" s="2223">
        <f>AG44-AG45</f>
        <v>117909.65695999935</v>
      </c>
      <c r="AI52" s="2277">
        <f t="shared" si="14"/>
        <v>138.76929741437661</v>
      </c>
      <c r="AJ52" s="2278">
        <f t="shared" si="15"/>
        <v>20.021002668256649</v>
      </c>
      <c r="AK52" s="2278">
        <f t="shared" si="16"/>
        <v>114.9031830038133</v>
      </c>
      <c r="AL52" s="2165">
        <f t="shared" si="4"/>
        <v>138.76929741437661</v>
      </c>
      <c r="AM52" s="2165">
        <f t="shared" si="5"/>
        <v>20.021002668256649</v>
      </c>
      <c r="AN52" s="2165">
        <f t="shared" si="6"/>
        <v>114.9031830038133</v>
      </c>
      <c r="AO52" s="2166">
        <f t="shared" si="7"/>
        <v>733070.58495999943</v>
      </c>
    </row>
    <row r="53" spans="1:41" s="2275" customFormat="1" ht="31.5" customHeight="1">
      <c r="A53" s="2285" t="s">
        <v>319</v>
      </c>
      <c r="B53" s="2286"/>
      <c r="C53" s="2287" t="s">
        <v>1312</v>
      </c>
      <c r="D53" s="2288">
        <f>D45-D46+D49</f>
        <v>320600</v>
      </c>
      <c r="E53" s="2288">
        <f t="shared" ref="E53:O53" si="18">E45-E46+E49</f>
        <v>320600</v>
      </c>
      <c r="F53" s="2288">
        <f t="shared" si="18"/>
        <v>0</v>
      </c>
      <c r="G53" s="2288">
        <f t="shared" si="18"/>
        <v>0</v>
      </c>
      <c r="H53" s="2288">
        <f t="shared" si="18"/>
        <v>507950</v>
      </c>
      <c r="I53" s="2288"/>
      <c r="J53" s="2288">
        <f t="shared" si="18"/>
        <v>178800</v>
      </c>
      <c r="K53" s="2289"/>
      <c r="L53" s="2290">
        <f t="shared" si="2"/>
        <v>-329150</v>
      </c>
      <c r="M53" s="2291">
        <f t="shared" si="3"/>
        <v>35.200314991633036</v>
      </c>
      <c r="N53" s="2288">
        <f t="shared" si="18"/>
        <v>636844.4</v>
      </c>
      <c r="O53" s="2288">
        <f t="shared" si="18"/>
        <v>686841.82240000064</v>
      </c>
      <c r="P53" s="2292"/>
      <c r="Q53" s="2292"/>
      <c r="R53" s="2292"/>
      <c r="S53" s="2292"/>
      <c r="T53" s="2292"/>
      <c r="U53" s="2292"/>
      <c r="V53" s="2292"/>
      <c r="W53" s="2292"/>
      <c r="X53" s="2292"/>
      <c r="Y53" s="2292"/>
      <c r="Z53" s="2292"/>
      <c r="AA53" s="2292"/>
      <c r="AB53" s="2292"/>
      <c r="AC53" s="2292"/>
      <c r="AD53" s="2292"/>
      <c r="AE53" s="2292"/>
      <c r="AF53" s="2292"/>
      <c r="AG53" s="2288">
        <f>AG45-AG46+AG49</f>
        <v>804751.47936</v>
      </c>
      <c r="AI53" s="2277">
        <f t="shared" si="14"/>
        <v>125.37541096564622</v>
      </c>
      <c r="AJ53" s="2278">
        <f t="shared" si="15"/>
        <v>107.85080663345718</v>
      </c>
      <c r="AK53" s="2278">
        <f t="shared" si="16"/>
        <v>117.16693030543669</v>
      </c>
      <c r="AL53" s="2132">
        <f t="shared" si="4"/>
        <v>125.37541096564622</v>
      </c>
      <c r="AM53" s="2132">
        <f t="shared" si="5"/>
        <v>107.85080663345718</v>
      </c>
      <c r="AN53" s="2132">
        <f t="shared" si="6"/>
        <v>117.16693030543669</v>
      </c>
      <c r="AO53" s="2293">
        <f t="shared" si="7"/>
        <v>2128437.7017600005</v>
      </c>
    </row>
    <row r="54" spans="1:41" s="2091" customFormat="1" ht="40.5" customHeight="1">
      <c r="A54" s="2913"/>
      <c r="B54" s="2913"/>
      <c r="C54" s="2913"/>
      <c r="D54" s="2913"/>
      <c r="E54" s="2913"/>
      <c r="F54" s="2913"/>
      <c r="G54" s="2913"/>
      <c r="H54" s="2913"/>
      <c r="I54" s="2913"/>
      <c r="J54" s="2913"/>
      <c r="K54" s="2913"/>
      <c r="L54" s="2913"/>
      <c r="M54" s="2913"/>
      <c r="N54" s="2913"/>
      <c r="O54" s="2913"/>
    </row>
    <row r="55" spans="1:41" s="2091" customFormat="1" ht="15.75" customHeight="1">
      <c r="A55" s="2294"/>
      <c r="B55" s="2295"/>
      <c r="C55" s="2914"/>
      <c r="D55" s="2914"/>
      <c r="E55" s="2914"/>
      <c r="F55" s="2914"/>
      <c r="G55" s="2914"/>
      <c r="H55" s="2914"/>
      <c r="I55" s="2914"/>
      <c r="J55" s="2914"/>
      <c r="K55" s="2914"/>
      <c r="L55" s="2914"/>
      <c r="M55" s="2914"/>
      <c r="N55" s="2914"/>
      <c r="O55" s="2914"/>
    </row>
    <row r="56" spans="1:41" s="2087" customFormat="1">
      <c r="A56" s="2086"/>
      <c r="C56" s="2091"/>
      <c r="D56" s="2296"/>
      <c r="E56" s="2296"/>
      <c r="F56" s="2296"/>
      <c r="G56" s="2296"/>
      <c r="H56" s="2296"/>
      <c r="I56" s="2296"/>
      <c r="J56" s="2296"/>
      <c r="K56" s="2296"/>
      <c r="L56" s="2296"/>
      <c r="M56" s="2296"/>
    </row>
    <row r="57" spans="1:41">
      <c r="D57" s="2297"/>
      <c r="E57" s="2297"/>
      <c r="F57" s="2297"/>
      <c r="G57" s="2297"/>
      <c r="H57" s="2297"/>
      <c r="I57" s="2297"/>
      <c r="J57" s="2297"/>
      <c r="K57" s="2297"/>
      <c r="L57" s="2297"/>
      <c r="M57" s="2297"/>
    </row>
    <row r="58" spans="1:41">
      <c r="D58" s="2297"/>
      <c r="E58" s="2297"/>
      <c r="F58" s="2297"/>
      <c r="G58" s="2297"/>
      <c r="H58" s="2297"/>
      <c r="I58" s="2297"/>
      <c r="J58" s="2297"/>
      <c r="K58" s="2297"/>
      <c r="L58" s="2297"/>
      <c r="M58" s="2297"/>
    </row>
    <row r="59" spans="1:41">
      <c r="A59" s="2298"/>
      <c r="D59" s="2297"/>
      <c r="E59" s="2297"/>
      <c r="F59" s="2297"/>
      <c r="G59" s="2297"/>
      <c r="H59" s="2297"/>
      <c r="I59" s="2297"/>
      <c r="J59" s="2297"/>
      <c r="K59" s="2297"/>
      <c r="L59" s="2297"/>
      <c r="M59" s="2297"/>
    </row>
    <row r="60" spans="1:41">
      <c r="D60" s="2297"/>
      <c r="E60" s="2297"/>
      <c r="F60" s="2297"/>
      <c r="G60" s="2297"/>
      <c r="H60" s="2297"/>
      <c r="I60" s="2297"/>
      <c r="J60" s="2297"/>
      <c r="K60" s="2297"/>
      <c r="L60" s="2297"/>
      <c r="M60" s="2297"/>
    </row>
    <row r="61" spans="1:41">
      <c r="D61" s="2297"/>
      <c r="E61" s="2297"/>
      <c r="F61" s="2297"/>
      <c r="G61" s="2297"/>
      <c r="H61" s="2297"/>
      <c r="I61" s="2297"/>
      <c r="J61" s="2297"/>
      <c r="K61" s="2297"/>
      <c r="L61" s="2297"/>
      <c r="M61" s="2297"/>
    </row>
    <row r="62" spans="1:41">
      <c r="D62" s="2297"/>
      <c r="E62" s="2297"/>
      <c r="F62" s="2297"/>
      <c r="G62" s="2297"/>
      <c r="H62" s="2297"/>
      <c r="I62" s="2297"/>
      <c r="J62" s="2297"/>
      <c r="K62" s="2297"/>
      <c r="L62" s="2297"/>
      <c r="M62" s="2297"/>
    </row>
    <row r="63" spans="1:41">
      <c r="D63" s="2297"/>
      <c r="E63" s="2297"/>
      <c r="F63" s="2297"/>
      <c r="G63" s="2297"/>
      <c r="H63" s="2297"/>
      <c r="I63" s="2297"/>
      <c r="J63" s="2297"/>
      <c r="K63" s="2297"/>
      <c r="L63" s="2297"/>
      <c r="M63" s="2297"/>
    </row>
    <row r="64" spans="1:41">
      <c r="D64" s="2297"/>
      <c r="E64" s="2297"/>
      <c r="F64" s="2297"/>
      <c r="G64" s="2297"/>
      <c r="H64" s="2297"/>
      <c r="I64" s="2297"/>
      <c r="J64" s="2297"/>
      <c r="K64" s="2297"/>
      <c r="L64" s="2297"/>
      <c r="M64" s="2297"/>
    </row>
    <row r="65" spans="4:13">
      <c r="D65" s="2297"/>
      <c r="E65" s="2297"/>
      <c r="F65" s="2297"/>
      <c r="G65" s="2297"/>
      <c r="H65" s="2297"/>
      <c r="I65" s="2297"/>
      <c r="J65" s="2297"/>
      <c r="K65" s="2297"/>
      <c r="L65" s="2297"/>
      <c r="M65" s="2297"/>
    </row>
    <row r="66" spans="4:13">
      <c r="D66" s="2297"/>
      <c r="E66" s="2297"/>
      <c r="F66" s="2297"/>
      <c r="G66" s="2297"/>
      <c r="H66" s="2297"/>
      <c r="I66" s="2297"/>
      <c r="J66" s="2297"/>
      <c r="K66" s="2297"/>
      <c r="L66" s="2297"/>
      <c r="M66" s="2297"/>
    </row>
    <row r="67" spans="4:13">
      <c r="D67" s="2297"/>
      <c r="E67" s="2297"/>
      <c r="F67" s="2297"/>
      <c r="G67" s="2297"/>
      <c r="H67" s="2297"/>
      <c r="I67" s="2297"/>
      <c r="J67" s="2297"/>
      <c r="K67" s="2297"/>
      <c r="L67" s="2297"/>
      <c r="M67" s="2297"/>
    </row>
    <row r="68" spans="4:13">
      <c r="D68" s="2297"/>
      <c r="E68" s="2297"/>
      <c r="F68" s="2297"/>
      <c r="G68" s="2297"/>
      <c r="H68" s="2297"/>
      <c r="I68" s="2297"/>
      <c r="J68" s="2297"/>
      <c r="K68" s="2297"/>
      <c r="L68" s="2297"/>
      <c r="M68" s="2297"/>
    </row>
    <row r="69" spans="4:13">
      <c r="D69" s="2297"/>
      <c r="E69" s="2297"/>
      <c r="F69" s="2297"/>
      <c r="G69" s="2297"/>
      <c r="H69" s="2297"/>
      <c r="I69" s="2297"/>
      <c r="J69" s="2297"/>
      <c r="K69" s="2297"/>
      <c r="L69" s="2297"/>
      <c r="M69" s="2297"/>
    </row>
    <row r="70" spans="4:13">
      <c r="D70" s="2297"/>
      <c r="E70" s="2297"/>
      <c r="F70" s="2297"/>
      <c r="G70" s="2297"/>
      <c r="H70" s="2297"/>
      <c r="I70" s="2297"/>
      <c r="J70" s="2297"/>
      <c r="K70" s="2297"/>
      <c r="L70" s="2297"/>
      <c r="M70" s="2297"/>
    </row>
    <row r="71" spans="4:13">
      <c r="D71" s="2297"/>
      <c r="E71" s="2297"/>
      <c r="F71" s="2297"/>
      <c r="G71" s="2297"/>
      <c r="H71" s="2297"/>
      <c r="I71" s="2297"/>
      <c r="J71" s="2297"/>
      <c r="K71" s="2297"/>
      <c r="L71" s="2297"/>
      <c r="M71" s="2297"/>
    </row>
    <row r="72" spans="4:13">
      <c r="D72" s="2297"/>
      <c r="E72" s="2297"/>
      <c r="F72" s="2297"/>
      <c r="G72" s="2297"/>
      <c r="H72" s="2297"/>
      <c r="I72" s="2297"/>
      <c r="J72" s="2297"/>
      <c r="K72" s="2297"/>
      <c r="L72" s="2297"/>
      <c r="M72" s="2297"/>
    </row>
    <row r="73" spans="4:13">
      <c r="D73" s="2297"/>
      <c r="E73" s="2297"/>
      <c r="F73" s="2297"/>
      <c r="G73" s="2297"/>
      <c r="H73" s="2297"/>
      <c r="I73" s="2297"/>
      <c r="J73" s="2297"/>
      <c r="K73" s="2297"/>
      <c r="L73" s="2297"/>
      <c r="M73" s="2297"/>
    </row>
    <row r="74" spans="4:13">
      <c r="D74" s="2297"/>
      <c r="E74" s="2297"/>
      <c r="F74" s="2297"/>
      <c r="G74" s="2297"/>
      <c r="H74" s="2297"/>
      <c r="I74" s="2297"/>
      <c r="J74" s="2297"/>
      <c r="K74" s="2297"/>
      <c r="L74" s="2297"/>
      <c r="M74" s="2297"/>
    </row>
    <row r="75" spans="4:13">
      <c r="D75" s="2297"/>
      <c r="E75" s="2297"/>
      <c r="F75" s="2297"/>
      <c r="G75" s="2297"/>
      <c r="H75" s="2297"/>
      <c r="I75" s="2297"/>
      <c r="J75" s="2297"/>
      <c r="K75" s="2297"/>
      <c r="L75" s="2297"/>
      <c r="M75" s="2297"/>
    </row>
    <row r="76" spans="4:13">
      <c r="D76" s="2297"/>
      <c r="E76" s="2297"/>
      <c r="F76" s="2297"/>
      <c r="G76" s="2297"/>
      <c r="H76" s="2297"/>
      <c r="I76" s="2297"/>
      <c r="J76" s="2297"/>
      <c r="K76" s="2297"/>
      <c r="L76" s="2297"/>
      <c r="M76" s="2297"/>
    </row>
    <row r="77" spans="4:13">
      <c r="D77" s="2297"/>
      <c r="E77" s="2297"/>
      <c r="F77" s="2297"/>
      <c r="G77" s="2297"/>
      <c r="H77" s="2297"/>
      <c r="I77" s="2297"/>
      <c r="J77" s="2297"/>
      <c r="K77" s="2297"/>
      <c r="L77" s="2297"/>
      <c r="M77" s="2297"/>
    </row>
    <row r="78" spans="4:13">
      <c r="D78" s="2297"/>
      <c r="E78" s="2297"/>
      <c r="F78" s="2297"/>
      <c r="G78" s="2297"/>
      <c r="H78" s="2297"/>
      <c r="I78" s="2297"/>
      <c r="J78" s="2297"/>
      <c r="K78" s="2297"/>
      <c r="L78" s="2297"/>
      <c r="M78" s="2297"/>
    </row>
    <row r="79" spans="4:13">
      <c r="D79" s="2297"/>
      <c r="E79" s="2297"/>
      <c r="F79" s="2297"/>
      <c r="G79" s="2297"/>
      <c r="H79" s="2297"/>
      <c r="I79" s="2297"/>
      <c r="J79" s="2297"/>
      <c r="K79" s="2297"/>
      <c r="L79" s="2297"/>
      <c r="M79" s="2297"/>
    </row>
    <row r="80" spans="4:13">
      <c r="D80" s="2297"/>
      <c r="E80" s="2297"/>
      <c r="F80" s="2297"/>
      <c r="G80" s="2297"/>
      <c r="H80" s="2297"/>
      <c r="I80" s="2297"/>
      <c r="J80" s="2297"/>
      <c r="K80" s="2297"/>
      <c r="L80" s="2297"/>
      <c r="M80" s="2297"/>
    </row>
    <row r="81" spans="4:13">
      <c r="D81" s="2297"/>
      <c r="E81" s="2297"/>
      <c r="F81" s="2297"/>
      <c r="G81" s="2297"/>
      <c r="H81" s="2297"/>
      <c r="I81" s="2297"/>
      <c r="J81" s="2297"/>
      <c r="K81" s="2297"/>
      <c r="L81" s="2297"/>
      <c r="M81" s="2297"/>
    </row>
    <row r="82" spans="4:13">
      <c r="D82" s="2297"/>
      <c r="E82" s="2297"/>
      <c r="F82" s="2297"/>
      <c r="G82" s="2297"/>
      <c r="H82" s="2297"/>
      <c r="I82" s="2297"/>
      <c r="J82" s="2297"/>
      <c r="K82" s="2297"/>
      <c r="L82" s="2297"/>
      <c r="M82" s="2297"/>
    </row>
    <row r="83" spans="4:13">
      <c r="D83" s="2297"/>
      <c r="E83" s="2297"/>
      <c r="F83" s="2297"/>
      <c r="G83" s="2297"/>
      <c r="H83" s="2297"/>
      <c r="I83" s="2297"/>
      <c r="J83" s="2297"/>
      <c r="K83" s="2297"/>
      <c r="L83" s="2297"/>
      <c r="M83" s="2297"/>
    </row>
    <row r="84" spans="4:13">
      <c r="D84" s="2297"/>
      <c r="E84" s="2297"/>
      <c r="F84" s="2297"/>
      <c r="G84" s="2297"/>
      <c r="H84" s="2297"/>
      <c r="I84" s="2297"/>
      <c r="J84" s="2297"/>
      <c r="K84" s="2297"/>
      <c r="L84" s="2297"/>
      <c r="M84" s="2297"/>
    </row>
    <row r="85" spans="4:13">
      <c r="D85" s="2297"/>
      <c r="E85" s="2297"/>
      <c r="F85" s="2297"/>
      <c r="G85" s="2297"/>
      <c r="H85" s="2297"/>
      <c r="I85" s="2297"/>
      <c r="J85" s="2297"/>
      <c r="K85" s="2297"/>
      <c r="L85" s="2297"/>
      <c r="M85" s="2297"/>
    </row>
    <row r="86" spans="4:13">
      <c r="D86" s="2297"/>
      <c r="E86" s="2297"/>
      <c r="F86" s="2297"/>
      <c r="G86" s="2297"/>
      <c r="H86" s="2297"/>
      <c r="I86" s="2297"/>
      <c r="J86" s="2297"/>
      <c r="K86" s="2297"/>
      <c r="L86" s="2297"/>
      <c r="M86" s="2297"/>
    </row>
    <row r="87" spans="4:13">
      <c r="D87" s="2297"/>
      <c r="E87" s="2297"/>
      <c r="F87" s="2297"/>
      <c r="G87" s="2297"/>
      <c r="H87" s="2297"/>
      <c r="I87" s="2297"/>
      <c r="J87" s="2297"/>
      <c r="K87" s="2297"/>
      <c r="L87" s="2297"/>
      <c r="M87" s="2297"/>
    </row>
    <row r="88" spans="4:13">
      <c r="D88" s="2297"/>
      <c r="E88" s="2297"/>
      <c r="F88" s="2297"/>
      <c r="G88" s="2297"/>
      <c r="H88" s="2297"/>
      <c r="I88" s="2297"/>
      <c r="J88" s="2297"/>
      <c r="K88" s="2297"/>
      <c r="L88" s="2297"/>
      <c r="M88" s="2297"/>
    </row>
    <row r="89" spans="4:13">
      <c r="D89" s="2297"/>
      <c r="E89" s="2297"/>
      <c r="F89" s="2297"/>
      <c r="G89" s="2297"/>
      <c r="H89" s="2297"/>
      <c r="I89" s="2297"/>
      <c r="J89" s="2297"/>
      <c r="K89" s="2297"/>
      <c r="L89" s="2297"/>
      <c r="M89" s="2297"/>
    </row>
    <row r="90" spans="4:13">
      <c r="D90" s="2297"/>
      <c r="E90" s="2297"/>
      <c r="F90" s="2297"/>
      <c r="G90" s="2297"/>
      <c r="H90" s="2297"/>
      <c r="I90" s="2297"/>
      <c r="J90" s="2297"/>
      <c r="K90" s="2297"/>
      <c r="L90" s="2297"/>
      <c r="M90" s="2297"/>
    </row>
    <row r="91" spans="4:13">
      <c r="D91" s="2297"/>
      <c r="E91" s="2297"/>
      <c r="F91" s="2297"/>
      <c r="G91" s="2297"/>
      <c r="H91" s="2297"/>
      <c r="I91" s="2297"/>
      <c r="J91" s="2297"/>
      <c r="K91" s="2297"/>
      <c r="L91" s="2297"/>
      <c r="M91" s="2297"/>
    </row>
    <row r="100" spans="1:13" s="2164" customFormat="1">
      <c r="A100" s="2093"/>
      <c r="B100" s="2095"/>
      <c r="C100" s="2096"/>
      <c r="D100" s="2095"/>
      <c r="E100" s="2095"/>
      <c r="F100" s="2095"/>
      <c r="G100" s="2095"/>
      <c r="H100" s="2095"/>
      <c r="I100" s="2095"/>
      <c r="J100" s="2095"/>
      <c r="K100" s="2095"/>
      <c r="L100" s="2095"/>
      <c r="M100" s="2095"/>
    </row>
    <row r="101" spans="1:13" s="2164" customFormat="1">
      <c r="A101" s="2093"/>
      <c r="B101" s="2095"/>
      <c r="C101" s="2096"/>
      <c r="D101" s="2095"/>
      <c r="E101" s="2095"/>
      <c r="F101" s="2095"/>
      <c r="G101" s="2095"/>
      <c r="H101" s="2095"/>
      <c r="I101" s="2095"/>
      <c r="J101" s="2095"/>
      <c r="K101" s="2095"/>
      <c r="L101" s="2095"/>
      <c r="M101" s="2095"/>
    </row>
    <row r="102" spans="1:13" s="2164" customFormat="1">
      <c r="A102" s="2093"/>
      <c r="B102" s="2095"/>
      <c r="C102" s="2096"/>
      <c r="D102" s="2095"/>
      <c r="E102" s="2095"/>
      <c r="F102" s="2095"/>
      <c r="G102" s="2095"/>
      <c r="H102" s="2095"/>
      <c r="I102" s="2095"/>
      <c r="J102" s="2095"/>
      <c r="K102" s="2095"/>
      <c r="L102" s="2095"/>
      <c r="M102" s="2095"/>
    </row>
    <row r="103" spans="1:13" s="2164" customFormat="1">
      <c r="A103" s="2093"/>
      <c r="B103" s="2095"/>
      <c r="C103" s="2096"/>
      <c r="D103" s="2095"/>
      <c r="E103" s="2095"/>
      <c r="F103" s="2095"/>
      <c r="G103" s="2095"/>
      <c r="H103" s="2095"/>
      <c r="I103" s="2095"/>
      <c r="J103" s="2095"/>
      <c r="K103" s="2095"/>
      <c r="L103" s="2095"/>
      <c r="M103" s="2095"/>
    </row>
    <row r="104" spans="1:13" s="2164" customFormat="1">
      <c r="A104" s="2093"/>
      <c r="B104" s="2095"/>
      <c r="C104" s="2096"/>
      <c r="D104" s="2095"/>
      <c r="E104" s="2095"/>
      <c r="F104" s="2095"/>
      <c r="G104" s="2095"/>
      <c r="H104" s="2095"/>
      <c r="I104" s="2095"/>
      <c r="J104" s="2095"/>
      <c r="K104" s="2095"/>
      <c r="L104" s="2095"/>
      <c r="M104" s="2095"/>
    </row>
    <row r="105" spans="1:13" s="2164" customFormat="1">
      <c r="A105" s="2093"/>
      <c r="B105" s="2095"/>
      <c r="C105" s="2096"/>
      <c r="D105" s="2095"/>
      <c r="E105" s="2095"/>
      <c r="F105" s="2095"/>
      <c r="G105" s="2095"/>
      <c r="H105" s="2095"/>
      <c r="I105" s="2095"/>
      <c r="J105" s="2095"/>
      <c r="K105" s="2095"/>
      <c r="L105" s="2095"/>
      <c r="M105" s="2095"/>
    </row>
    <row r="106" spans="1:13" s="2164" customFormat="1">
      <c r="A106" s="2093"/>
      <c r="B106" s="2095"/>
      <c r="C106" s="2096"/>
      <c r="D106" s="2095"/>
      <c r="E106" s="2095"/>
      <c r="F106" s="2095"/>
      <c r="G106" s="2095"/>
      <c r="H106" s="2095"/>
      <c r="I106" s="2095"/>
      <c r="J106" s="2095"/>
      <c r="K106" s="2095"/>
      <c r="L106" s="2095"/>
      <c r="M106" s="2095"/>
    </row>
    <row r="107" spans="1:13" s="2164" customFormat="1">
      <c r="A107" s="2093"/>
      <c r="B107" s="2095"/>
      <c r="C107" s="2096"/>
      <c r="D107" s="2095"/>
      <c r="E107" s="2095"/>
      <c r="F107" s="2095"/>
      <c r="G107" s="2095"/>
      <c r="H107" s="2095"/>
      <c r="I107" s="2095"/>
      <c r="J107" s="2095"/>
      <c r="K107" s="2095"/>
      <c r="L107" s="2095"/>
      <c r="M107" s="2095"/>
    </row>
  </sheetData>
  <mergeCells count="26">
    <mergeCell ref="A3:AG3"/>
    <mergeCell ref="A4:AG4"/>
    <mergeCell ref="A7:A10"/>
    <mergeCell ref="B7:B10"/>
    <mergeCell ref="C7:C10"/>
    <mergeCell ref="D7:D10"/>
    <mergeCell ref="E7:E10"/>
    <mergeCell ref="G7:G10"/>
    <mergeCell ref="H7:H10"/>
    <mergeCell ref="I7:I10"/>
    <mergeCell ref="A54:O54"/>
    <mergeCell ref="C55:O55"/>
    <mergeCell ref="AG7:AG10"/>
    <mergeCell ref="AL7:AN7"/>
    <mergeCell ref="AO7:AO10"/>
    <mergeCell ref="L8:L10"/>
    <mergeCell ref="M8:M10"/>
    <mergeCell ref="AL8:AL10"/>
    <mergeCell ref="AM8:AM10"/>
    <mergeCell ref="AN8:AN10"/>
    <mergeCell ref="J7:J10"/>
    <mergeCell ref="K7:K10"/>
    <mergeCell ref="L7:M7"/>
    <mergeCell ref="N7:N10"/>
    <mergeCell ref="O7:O10"/>
    <mergeCell ref="Z7:AA7"/>
  </mergeCells>
  <pageMargins left="0.49" right="0.15748031496063" top="0.31496062992126" bottom="0.35433070866141703" header="0.31496062992126" footer="0.31496062992126"/>
  <pageSetup paperSize="9" scale="62"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opLeftCell="B1" workbookViewId="0">
      <pane xSplit="1" ySplit="12" topLeftCell="C14" activePane="bottomRight" state="frozen"/>
      <selection activeCell="B1" sqref="B1"/>
      <selection pane="topRight" activeCell="C1" sqref="C1"/>
      <selection pane="bottomLeft" activeCell="B12" sqref="B12"/>
      <selection pane="bottomRight" activeCell="M8" sqref="M8:M10"/>
    </sheetView>
  </sheetViews>
  <sheetFormatPr defaultRowHeight="13.2"/>
  <cols>
    <col min="1" max="1" width="6.33203125" style="1841" customWidth="1"/>
    <col min="2" max="2" width="22.33203125" style="1841" customWidth="1"/>
    <col min="3" max="3" width="10.5546875" style="1841" customWidth="1"/>
    <col min="4" max="4" width="9.5546875" style="1841" customWidth="1"/>
    <col min="5" max="5" width="10.44140625" style="1841" customWidth="1"/>
    <col min="6" max="6" width="9.88671875" style="1841" customWidth="1"/>
    <col min="7" max="7" width="8.33203125" style="1841" customWidth="1"/>
    <col min="8" max="8" width="9.21875" style="1841" customWidth="1"/>
    <col min="9" max="9" width="8.5546875" style="1841" customWidth="1"/>
    <col min="10" max="10" width="8.44140625" style="1841" customWidth="1"/>
    <col min="11" max="11" width="7.5546875" style="1841" customWidth="1"/>
    <col min="12" max="12" width="8.33203125" style="1841" customWidth="1"/>
    <col min="13" max="13" width="10.33203125" style="1841" customWidth="1"/>
    <col min="14" max="263" width="8.88671875" style="1841"/>
    <col min="264" max="264" width="6.33203125" style="1841" customWidth="1"/>
    <col min="265" max="265" width="38.109375" style="1841" customWidth="1"/>
    <col min="266" max="266" width="11.88671875" style="1841" customWidth="1"/>
    <col min="267" max="268" width="12.5546875" style="1841" customWidth="1"/>
    <col min="269" max="269" width="14.88671875" style="1841" customWidth="1"/>
    <col min="270" max="519" width="8.88671875" style="1841"/>
    <col min="520" max="520" width="6.33203125" style="1841" customWidth="1"/>
    <col min="521" max="521" width="38.109375" style="1841" customWidth="1"/>
    <col min="522" max="522" width="11.88671875" style="1841" customWidth="1"/>
    <col min="523" max="524" width="12.5546875" style="1841" customWidth="1"/>
    <col min="525" max="525" width="14.88671875" style="1841" customWidth="1"/>
    <col min="526" max="775" width="8.88671875" style="1841"/>
    <col min="776" max="776" width="6.33203125" style="1841" customWidth="1"/>
    <col min="777" max="777" width="38.109375" style="1841" customWidth="1"/>
    <col min="778" max="778" width="11.88671875" style="1841" customWidth="1"/>
    <col min="779" max="780" width="12.5546875" style="1841" customWidth="1"/>
    <col min="781" max="781" width="14.88671875" style="1841" customWidth="1"/>
    <col min="782" max="1031" width="8.88671875" style="1841"/>
    <col min="1032" max="1032" width="6.33203125" style="1841" customWidth="1"/>
    <col min="1033" max="1033" width="38.109375" style="1841" customWidth="1"/>
    <col min="1034" max="1034" width="11.88671875" style="1841" customWidth="1"/>
    <col min="1035" max="1036" width="12.5546875" style="1841" customWidth="1"/>
    <col min="1037" max="1037" width="14.88671875" style="1841" customWidth="1"/>
    <col min="1038" max="1287" width="8.88671875" style="1841"/>
    <col min="1288" max="1288" width="6.33203125" style="1841" customWidth="1"/>
    <col min="1289" max="1289" width="38.109375" style="1841" customWidth="1"/>
    <col min="1290" max="1290" width="11.88671875" style="1841" customWidth="1"/>
    <col min="1291" max="1292" width="12.5546875" style="1841" customWidth="1"/>
    <col min="1293" max="1293" width="14.88671875" style="1841" customWidth="1"/>
    <col min="1294" max="1543" width="8.88671875" style="1841"/>
    <col min="1544" max="1544" width="6.33203125" style="1841" customWidth="1"/>
    <col min="1545" max="1545" width="38.109375" style="1841" customWidth="1"/>
    <col min="1546" max="1546" width="11.88671875" style="1841" customWidth="1"/>
    <col min="1547" max="1548" width="12.5546875" style="1841" customWidth="1"/>
    <col min="1549" max="1549" width="14.88671875" style="1841" customWidth="1"/>
    <col min="1550" max="1799" width="8.88671875" style="1841"/>
    <col min="1800" max="1800" width="6.33203125" style="1841" customWidth="1"/>
    <col min="1801" max="1801" width="38.109375" style="1841" customWidth="1"/>
    <col min="1802" max="1802" width="11.88671875" style="1841" customWidth="1"/>
    <col min="1803" max="1804" width="12.5546875" style="1841" customWidth="1"/>
    <col min="1805" max="1805" width="14.88671875" style="1841" customWidth="1"/>
    <col min="1806" max="2055" width="8.88671875" style="1841"/>
    <col min="2056" max="2056" width="6.33203125" style="1841" customWidth="1"/>
    <col min="2057" max="2057" width="38.109375" style="1841" customWidth="1"/>
    <col min="2058" max="2058" width="11.88671875" style="1841" customWidth="1"/>
    <col min="2059" max="2060" width="12.5546875" style="1841" customWidth="1"/>
    <col min="2061" max="2061" width="14.88671875" style="1841" customWidth="1"/>
    <col min="2062" max="2311" width="8.88671875" style="1841"/>
    <col min="2312" max="2312" width="6.33203125" style="1841" customWidth="1"/>
    <col min="2313" max="2313" width="38.109375" style="1841" customWidth="1"/>
    <col min="2314" max="2314" width="11.88671875" style="1841" customWidth="1"/>
    <col min="2315" max="2316" width="12.5546875" style="1841" customWidth="1"/>
    <col min="2317" max="2317" width="14.88671875" style="1841" customWidth="1"/>
    <col min="2318" max="2567" width="8.88671875" style="1841"/>
    <col min="2568" max="2568" width="6.33203125" style="1841" customWidth="1"/>
    <col min="2569" max="2569" width="38.109375" style="1841" customWidth="1"/>
    <col min="2570" max="2570" width="11.88671875" style="1841" customWidth="1"/>
    <col min="2571" max="2572" width="12.5546875" style="1841" customWidth="1"/>
    <col min="2573" max="2573" width="14.88671875" style="1841" customWidth="1"/>
    <col min="2574" max="2823" width="8.88671875" style="1841"/>
    <col min="2824" max="2824" width="6.33203125" style="1841" customWidth="1"/>
    <col min="2825" max="2825" width="38.109375" style="1841" customWidth="1"/>
    <col min="2826" max="2826" width="11.88671875" style="1841" customWidth="1"/>
    <col min="2827" max="2828" width="12.5546875" style="1841" customWidth="1"/>
    <col min="2829" max="2829" width="14.88671875" style="1841" customWidth="1"/>
    <col min="2830" max="3079" width="8.88671875" style="1841"/>
    <col min="3080" max="3080" width="6.33203125" style="1841" customWidth="1"/>
    <col min="3081" max="3081" width="38.109375" style="1841" customWidth="1"/>
    <col min="3082" max="3082" width="11.88671875" style="1841" customWidth="1"/>
    <col min="3083" max="3084" width="12.5546875" style="1841" customWidth="1"/>
    <col min="3085" max="3085" width="14.88671875" style="1841" customWidth="1"/>
    <col min="3086" max="3335" width="8.88671875" style="1841"/>
    <col min="3336" max="3336" width="6.33203125" style="1841" customWidth="1"/>
    <col min="3337" max="3337" width="38.109375" style="1841" customWidth="1"/>
    <col min="3338" max="3338" width="11.88671875" style="1841" customWidth="1"/>
    <col min="3339" max="3340" width="12.5546875" style="1841" customWidth="1"/>
    <col min="3341" max="3341" width="14.88671875" style="1841" customWidth="1"/>
    <col min="3342" max="3591" width="8.88671875" style="1841"/>
    <col min="3592" max="3592" width="6.33203125" style="1841" customWidth="1"/>
    <col min="3593" max="3593" width="38.109375" style="1841" customWidth="1"/>
    <col min="3594" max="3594" width="11.88671875" style="1841" customWidth="1"/>
    <col min="3595" max="3596" width="12.5546875" style="1841" customWidth="1"/>
    <col min="3597" max="3597" width="14.88671875" style="1841" customWidth="1"/>
    <col min="3598" max="3847" width="8.88671875" style="1841"/>
    <col min="3848" max="3848" width="6.33203125" style="1841" customWidth="1"/>
    <col min="3849" max="3849" width="38.109375" style="1841" customWidth="1"/>
    <col min="3850" max="3850" width="11.88671875" style="1841" customWidth="1"/>
    <col min="3851" max="3852" width="12.5546875" style="1841" customWidth="1"/>
    <col min="3853" max="3853" width="14.88671875" style="1841" customWidth="1"/>
    <col min="3854" max="4103" width="8.88671875" style="1841"/>
    <col min="4104" max="4104" width="6.33203125" style="1841" customWidth="1"/>
    <col min="4105" max="4105" width="38.109375" style="1841" customWidth="1"/>
    <col min="4106" max="4106" width="11.88671875" style="1841" customWidth="1"/>
    <col min="4107" max="4108" width="12.5546875" style="1841" customWidth="1"/>
    <col min="4109" max="4109" width="14.88671875" style="1841" customWidth="1"/>
    <col min="4110" max="4359" width="8.88671875" style="1841"/>
    <col min="4360" max="4360" width="6.33203125" style="1841" customWidth="1"/>
    <col min="4361" max="4361" width="38.109375" style="1841" customWidth="1"/>
    <col min="4362" max="4362" width="11.88671875" style="1841" customWidth="1"/>
    <col min="4363" max="4364" width="12.5546875" style="1841" customWidth="1"/>
    <col min="4365" max="4365" width="14.88671875" style="1841" customWidth="1"/>
    <col min="4366" max="4615" width="8.88671875" style="1841"/>
    <col min="4616" max="4616" width="6.33203125" style="1841" customWidth="1"/>
    <col min="4617" max="4617" width="38.109375" style="1841" customWidth="1"/>
    <col min="4618" max="4618" width="11.88671875" style="1841" customWidth="1"/>
    <col min="4619" max="4620" width="12.5546875" style="1841" customWidth="1"/>
    <col min="4621" max="4621" width="14.88671875" style="1841" customWidth="1"/>
    <col min="4622" max="4871" width="8.88671875" style="1841"/>
    <col min="4872" max="4872" width="6.33203125" style="1841" customWidth="1"/>
    <col min="4873" max="4873" width="38.109375" style="1841" customWidth="1"/>
    <col min="4874" max="4874" width="11.88671875" style="1841" customWidth="1"/>
    <col min="4875" max="4876" width="12.5546875" style="1841" customWidth="1"/>
    <col min="4877" max="4877" width="14.88671875" style="1841" customWidth="1"/>
    <col min="4878" max="5127" width="8.88671875" style="1841"/>
    <col min="5128" max="5128" width="6.33203125" style="1841" customWidth="1"/>
    <col min="5129" max="5129" width="38.109375" style="1841" customWidth="1"/>
    <col min="5130" max="5130" width="11.88671875" style="1841" customWidth="1"/>
    <col min="5131" max="5132" width="12.5546875" style="1841" customWidth="1"/>
    <col min="5133" max="5133" width="14.88671875" style="1841" customWidth="1"/>
    <col min="5134" max="5383" width="8.88671875" style="1841"/>
    <col min="5384" max="5384" width="6.33203125" style="1841" customWidth="1"/>
    <col min="5385" max="5385" width="38.109375" style="1841" customWidth="1"/>
    <col min="5386" max="5386" width="11.88671875" style="1841" customWidth="1"/>
    <col min="5387" max="5388" width="12.5546875" style="1841" customWidth="1"/>
    <col min="5389" max="5389" width="14.88671875" style="1841" customWidth="1"/>
    <col min="5390" max="5639" width="8.88671875" style="1841"/>
    <col min="5640" max="5640" width="6.33203125" style="1841" customWidth="1"/>
    <col min="5641" max="5641" width="38.109375" style="1841" customWidth="1"/>
    <col min="5642" max="5642" width="11.88671875" style="1841" customWidth="1"/>
    <col min="5643" max="5644" width="12.5546875" style="1841" customWidth="1"/>
    <col min="5645" max="5645" width="14.88671875" style="1841" customWidth="1"/>
    <col min="5646" max="5895" width="8.88671875" style="1841"/>
    <col min="5896" max="5896" width="6.33203125" style="1841" customWidth="1"/>
    <col min="5897" max="5897" width="38.109375" style="1841" customWidth="1"/>
    <col min="5898" max="5898" width="11.88671875" style="1841" customWidth="1"/>
    <col min="5899" max="5900" width="12.5546875" style="1841" customWidth="1"/>
    <col min="5901" max="5901" width="14.88671875" style="1841" customWidth="1"/>
    <col min="5902" max="6151" width="8.88671875" style="1841"/>
    <col min="6152" max="6152" width="6.33203125" style="1841" customWidth="1"/>
    <col min="6153" max="6153" width="38.109375" style="1841" customWidth="1"/>
    <col min="6154" max="6154" width="11.88671875" style="1841" customWidth="1"/>
    <col min="6155" max="6156" width="12.5546875" style="1841" customWidth="1"/>
    <col min="6157" max="6157" width="14.88671875" style="1841" customWidth="1"/>
    <col min="6158" max="6407" width="8.88671875" style="1841"/>
    <col min="6408" max="6408" width="6.33203125" style="1841" customWidth="1"/>
    <col min="6409" max="6409" width="38.109375" style="1841" customWidth="1"/>
    <col min="6410" max="6410" width="11.88671875" style="1841" customWidth="1"/>
    <col min="6411" max="6412" width="12.5546875" style="1841" customWidth="1"/>
    <col min="6413" max="6413" width="14.88671875" style="1841" customWidth="1"/>
    <col min="6414" max="6663" width="8.88671875" style="1841"/>
    <col min="6664" max="6664" width="6.33203125" style="1841" customWidth="1"/>
    <col min="6665" max="6665" width="38.109375" style="1841" customWidth="1"/>
    <col min="6666" max="6666" width="11.88671875" style="1841" customWidth="1"/>
    <col min="6667" max="6668" width="12.5546875" style="1841" customWidth="1"/>
    <col min="6669" max="6669" width="14.88671875" style="1841" customWidth="1"/>
    <col min="6670" max="6919" width="8.88671875" style="1841"/>
    <col min="6920" max="6920" width="6.33203125" style="1841" customWidth="1"/>
    <col min="6921" max="6921" width="38.109375" style="1841" customWidth="1"/>
    <col min="6922" max="6922" width="11.88671875" style="1841" customWidth="1"/>
    <col min="6923" max="6924" width="12.5546875" style="1841" customWidth="1"/>
    <col min="6925" max="6925" width="14.88671875" style="1841" customWidth="1"/>
    <col min="6926" max="7175" width="8.88671875" style="1841"/>
    <col min="7176" max="7176" width="6.33203125" style="1841" customWidth="1"/>
    <col min="7177" max="7177" width="38.109375" style="1841" customWidth="1"/>
    <col min="7178" max="7178" width="11.88671875" style="1841" customWidth="1"/>
    <col min="7179" max="7180" width="12.5546875" style="1841" customWidth="1"/>
    <col min="7181" max="7181" width="14.88671875" style="1841" customWidth="1"/>
    <col min="7182" max="7431" width="8.88671875" style="1841"/>
    <col min="7432" max="7432" width="6.33203125" style="1841" customWidth="1"/>
    <col min="7433" max="7433" width="38.109375" style="1841" customWidth="1"/>
    <col min="7434" max="7434" width="11.88671875" style="1841" customWidth="1"/>
    <col min="7435" max="7436" width="12.5546875" style="1841" customWidth="1"/>
    <col min="7437" max="7437" width="14.88671875" style="1841" customWidth="1"/>
    <col min="7438" max="7687" width="8.88671875" style="1841"/>
    <col min="7688" max="7688" width="6.33203125" style="1841" customWidth="1"/>
    <col min="7689" max="7689" width="38.109375" style="1841" customWidth="1"/>
    <col min="7690" max="7690" width="11.88671875" style="1841" customWidth="1"/>
    <col min="7691" max="7692" width="12.5546875" style="1841" customWidth="1"/>
    <col min="7693" max="7693" width="14.88671875" style="1841" customWidth="1"/>
    <col min="7694" max="7943" width="8.88671875" style="1841"/>
    <col min="7944" max="7944" width="6.33203125" style="1841" customWidth="1"/>
    <col min="7945" max="7945" width="38.109375" style="1841" customWidth="1"/>
    <col min="7946" max="7946" width="11.88671875" style="1841" customWidth="1"/>
    <col min="7947" max="7948" width="12.5546875" style="1841" customWidth="1"/>
    <col min="7949" max="7949" width="14.88671875" style="1841" customWidth="1"/>
    <col min="7950" max="8199" width="8.88671875" style="1841"/>
    <col min="8200" max="8200" width="6.33203125" style="1841" customWidth="1"/>
    <col min="8201" max="8201" width="38.109375" style="1841" customWidth="1"/>
    <col min="8202" max="8202" width="11.88671875" style="1841" customWidth="1"/>
    <col min="8203" max="8204" width="12.5546875" style="1841" customWidth="1"/>
    <col min="8205" max="8205" width="14.88671875" style="1841" customWidth="1"/>
    <col min="8206" max="8455" width="8.88671875" style="1841"/>
    <col min="8456" max="8456" width="6.33203125" style="1841" customWidth="1"/>
    <col min="8457" max="8457" width="38.109375" style="1841" customWidth="1"/>
    <col min="8458" max="8458" width="11.88671875" style="1841" customWidth="1"/>
    <col min="8459" max="8460" width="12.5546875" style="1841" customWidth="1"/>
    <col min="8461" max="8461" width="14.88671875" style="1841" customWidth="1"/>
    <col min="8462" max="8711" width="8.88671875" style="1841"/>
    <col min="8712" max="8712" width="6.33203125" style="1841" customWidth="1"/>
    <col min="8713" max="8713" width="38.109375" style="1841" customWidth="1"/>
    <col min="8714" max="8714" width="11.88671875" style="1841" customWidth="1"/>
    <col min="8715" max="8716" width="12.5546875" style="1841" customWidth="1"/>
    <col min="8717" max="8717" width="14.88671875" style="1841" customWidth="1"/>
    <col min="8718" max="8967" width="8.88671875" style="1841"/>
    <col min="8968" max="8968" width="6.33203125" style="1841" customWidth="1"/>
    <col min="8969" max="8969" width="38.109375" style="1841" customWidth="1"/>
    <col min="8970" max="8970" width="11.88671875" style="1841" customWidth="1"/>
    <col min="8971" max="8972" width="12.5546875" style="1841" customWidth="1"/>
    <col min="8973" max="8973" width="14.88671875" style="1841" customWidth="1"/>
    <col min="8974" max="9223" width="8.88671875" style="1841"/>
    <col min="9224" max="9224" width="6.33203125" style="1841" customWidth="1"/>
    <col min="9225" max="9225" width="38.109375" style="1841" customWidth="1"/>
    <col min="9226" max="9226" width="11.88671875" style="1841" customWidth="1"/>
    <col min="9227" max="9228" width="12.5546875" style="1841" customWidth="1"/>
    <col min="9229" max="9229" width="14.88671875" style="1841" customWidth="1"/>
    <col min="9230" max="9479" width="8.88671875" style="1841"/>
    <col min="9480" max="9480" width="6.33203125" style="1841" customWidth="1"/>
    <col min="9481" max="9481" width="38.109375" style="1841" customWidth="1"/>
    <col min="9482" max="9482" width="11.88671875" style="1841" customWidth="1"/>
    <col min="9483" max="9484" width="12.5546875" style="1841" customWidth="1"/>
    <col min="9485" max="9485" width="14.88671875" style="1841" customWidth="1"/>
    <col min="9486" max="9735" width="8.88671875" style="1841"/>
    <col min="9736" max="9736" width="6.33203125" style="1841" customWidth="1"/>
    <col min="9737" max="9737" width="38.109375" style="1841" customWidth="1"/>
    <col min="9738" max="9738" width="11.88671875" style="1841" customWidth="1"/>
    <col min="9739" max="9740" width="12.5546875" style="1841" customWidth="1"/>
    <col min="9741" max="9741" width="14.88671875" style="1841" customWidth="1"/>
    <col min="9742" max="9991" width="8.88671875" style="1841"/>
    <col min="9992" max="9992" width="6.33203125" style="1841" customWidth="1"/>
    <col min="9993" max="9993" width="38.109375" style="1841" customWidth="1"/>
    <col min="9994" max="9994" width="11.88671875" style="1841" customWidth="1"/>
    <col min="9995" max="9996" width="12.5546875" style="1841" customWidth="1"/>
    <col min="9997" max="9997" width="14.88671875" style="1841" customWidth="1"/>
    <col min="9998" max="10247" width="8.88671875" style="1841"/>
    <col min="10248" max="10248" width="6.33203125" style="1841" customWidth="1"/>
    <col min="10249" max="10249" width="38.109375" style="1841" customWidth="1"/>
    <col min="10250" max="10250" width="11.88671875" style="1841" customWidth="1"/>
    <col min="10251" max="10252" width="12.5546875" style="1841" customWidth="1"/>
    <col min="10253" max="10253" width="14.88671875" style="1841" customWidth="1"/>
    <col min="10254" max="10503" width="8.88671875" style="1841"/>
    <col min="10504" max="10504" width="6.33203125" style="1841" customWidth="1"/>
    <col min="10505" max="10505" width="38.109375" style="1841" customWidth="1"/>
    <col min="10506" max="10506" width="11.88671875" style="1841" customWidth="1"/>
    <col min="10507" max="10508" width="12.5546875" style="1841" customWidth="1"/>
    <col min="10509" max="10509" width="14.88671875" style="1841" customWidth="1"/>
    <col min="10510" max="10759" width="8.88671875" style="1841"/>
    <col min="10760" max="10760" width="6.33203125" style="1841" customWidth="1"/>
    <col min="10761" max="10761" width="38.109375" style="1841" customWidth="1"/>
    <col min="10762" max="10762" width="11.88671875" style="1841" customWidth="1"/>
    <col min="10763" max="10764" width="12.5546875" style="1841" customWidth="1"/>
    <col min="10765" max="10765" width="14.88671875" style="1841" customWidth="1"/>
    <col min="10766" max="11015" width="8.88671875" style="1841"/>
    <col min="11016" max="11016" width="6.33203125" style="1841" customWidth="1"/>
    <col min="11017" max="11017" width="38.109375" style="1841" customWidth="1"/>
    <col min="11018" max="11018" width="11.88671875" style="1841" customWidth="1"/>
    <col min="11019" max="11020" width="12.5546875" style="1841" customWidth="1"/>
    <col min="11021" max="11021" width="14.88671875" style="1841" customWidth="1"/>
    <col min="11022" max="11271" width="8.88671875" style="1841"/>
    <col min="11272" max="11272" width="6.33203125" style="1841" customWidth="1"/>
    <col min="11273" max="11273" width="38.109375" style="1841" customWidth="1"/>
    <col min="11274" max="11274" width="11.88671875" style="1841" customWidth="1"/>
    <col min="11275" max="11276" width="12.5546875" style="1841" customWidth="1"/>
    <col min="11277" max="11277" width="14.88671875" style="1841" customWidth="1"/>
    <col min="11278" max="11527" width="8.88671875" style="1841"/>
    <col min="11528" max="11528" width="6.33203125" style="1841" customWidth="1"/>
    <col min="11529" max="11529" width="38.109375" style="1841" customWidth="1"/>
    <col min="11530" max="11530" width="11.88671875" style="1841" customWidth="1"/>
    <col min="11531" max="11532" width="12.5546875" style="1841" customWidth="1"/>
    <col min="11533" max="11533" width="14.88671875" style="1841" customWidth="1"/>
    <col min="11534" max="11783" width="8.88671875" style="1841"/>
    <col min="11784" max="11784" width="6.33203125" style="1841" customWidth="1"/>
    <col min="11785" max="11785" width="38.109375" style="1841" customWidth="1"/>
    <col min="11786" max="11786" width="11.88671875" style="1841" customWidth="1"/>
    <col min="11787" max="11788" width="12.5546875" style="1841" customWidth="1"/>
    <col min="11789" max="11789" width="14.88671875" style="1841" customWidth="1"/>
    <col min="11790" max="12039" width="8.88671875" style="1841"/>
    <col min="12040" max="12040" width="6.33203125" style="1841" customWidth="1"/>
    <col min="12041" max="12041" width="38.109375" style="1841" customWidth="1"/>
    <col min="12042" max="12042" width="11.88671875" style="1841" customWidth="1"/>
    <col min="12043" max="12044" width="12.5546875" style="1841" customWidth="1"/>
    <col min="12045" max="12045" width="14.88671875" style="1841" customWidth="1"/>
    <col min="12046" max="12295" width="8.88671875" style="1841"/>
    <col min="12296" max="12296" width="6.33203125" style="1841" customWidth="1"/>
    <col min="12297" max="12297" width="38.109375" style="1841" customWidth="1"/>
    <col min="12298" max="12298" width="11.88671875" style="1841" customWidth="1"/>
    <col min="12299" max="12300" width="12.5546875" style="1841" customWidth="1"/>
    <col min="12301" max="12301" width="14.88671875" style="1841" customWidth="1"/>
    <col min="12302" max="12551" width="8.88671875" style="1841"/>
    <col min="12552" max="12552" width="6.33203125" style="1841" customWidth="1"/>
    <col min="12553" max="12553" width="38.109375" style="1841" customWidth="1"/>
    <col min="12554" max="12554" width="11.88671875" style="1841" customWidth="1"/>
    <col min="12555" max="12556" width="12.5546875" style="1841" customWidth="1"/>
    <col min="12557" max="12557" width="14.88671875" style="1841" customWidth="1"/>
    <col min="12558" max="12807" width="8.88671875" style="1841"/>
    <col min="12808" max="12808" width="6.33203125" style="1841" customWidth="1"/>
    <col min="12809" max="12809" width="38.109375" style="1841" customWidth="1"/>
    <col min="12810" max="12810" width="11.88671875" style="1841" customWidth="1"/>
    <col min="12811" max="12812" width="12.5546875" style="1841" customWidth="1"/>
    <col min="12813" max="12813" width="14.88671875" style="1841" customWidth="1"/>
    <col min="12814" max="13063" width="8.88671875" style="1841"/>
    <col min="13064" max="13064" width="6.33203125" style="1841" customWidth="1"/>
    <col min="13065" max="13065" width="38.109375" style="1841" customWidth="1"/>
    <col min="13066" max="13066" width="11.88671875" style="1841" customWidth="1"/>
    <col min="13067" max="13068" width="12.5546875" style="1841" customWidth="1"/>
    <col min="13069" max="13069" width="14.88671875" style="1841" customWidth="1"/>
    <col min="13070" max="13319" width="8.88671875" style="1841"/>
    <col min="13320" max="13320" width="6.33203125" style="1841" customWidth="1"/>
    <col min="13321" max="13321" width="38.109375" style="1841" customWidth="1"/>
    <col min="13322" max="13322" width="11.88671875" style="1841" customWidth="1"/>
    <col min="13323" max="13324" width="12.5546875" style="1841" customWidth="1"/>
    <col min="13325" max="13325" width="14.88671875" style="1841" customWidth="1"/>
    <col min="13326" max="13575" width="8.88671875" style="1841"/>
    <col min="13576" max="13576" width="6.33203125" style="1841" customWidth="1"/>
    <col min="13577" max="13577" width="38.109375" style="1841" customWidth="1"/>
    <col min="13578" max="13578" width="11.88671875" style="1841" customWidth="1"/>
    <col min="13579" max="13580" width="12.5546875" style="1841" customWidth="1"/>
    <col min="13581" max="13581" width="14.88671875" style="1841" customWidth="1"/>
    <col min="13582" max="13831" width="8.88671875" style="1841"/>
    <col min="13832" max="13832" width="6.33203125" style="1841" customWidth="1"/>
    <col min="13833" max="13833" width="38.109375" style="1841" customWidth="1"/>
    <col min="13834" max="13834" width="11.88671875" style="1841" customWidth="1"/>
    <col min="13835" max="13836" width="12.5546875" style="1841" customWidth="1"/>
    <col min="13837" max="13837" width="14.88671875" style="1841" customWidth="1"/>
    <col min="13838" max="14087" width="8.88671875" style="1841"/>
    <col min="14088" max="14088" width="6.33203125" style="1841" customWidth="1"/>
    <col min="14089" max="14089" width="38.109375" style="1841" customWidth="1"/>
    <col min="14090" max="14090" width="11.88671875" style="1841" customWidth="1"/>
    <col min="14091" max="14092" width="12.5546875" style="1841" customWidth="1"/>
    <col min="14093" max="14093" width="14.88671875" style="1841" customWidth="1"/>
    <col min="14094" max="14343" width="8.88671875" style="1841"/>
    <col min="14344" max="14344" width="6.33203125" style="1841" customWidth="1"/>
    <col min="14345" max="14345" width="38.109375" style="1841" customWidth="1"/>
    <col min="14346" max="14346" width="11.88671875" style="1841" customWidth="1"/>
    <col min="14347" max="14348" width="12.5546875" style="1841" customWidth="1"/>
    <col min="14349" max="14349" width="14.88671875" style="1841" customWidth="1"/>
    <col min="14350" max="14599" width="8.88671875" style="1841"/>
    <col min="14600" max="14600" width="6.33203125" style="1841" customWidth="1"/>
    <col min="14601" max="14601" width="38.109375" style="1841" customWidth="1"/>
    <col min="14602" max="14602" width="11.88671875" style="1841" customWidth="1"/>
    <col min="14603" max="14604" width="12.5546875" style="1841" customWidth="1"/>
    <col min="14605" max="14605" width="14.88671875" style="1841" customWidth="1"/>
    <col min="14606" max="14855" width="8.88671875" style="1841"/>
    <col min="14856" max="14856" width="6.33203125" style="1841" customWidth="1"/>
    <col min="14857" max="14857" width="38.109375" style="1841" customWidth="1"/>
    <col min="14858" max="14858" width="11.88671875" style="1841" customWidth="1"/>
    <col min="14859" max="14860" width="12.5546875" style="1841" customWidth="1"/>
    <col min="14861" max="14861" width="14.88671875" style="1841" customWidth="1"/>
    <col min="14862" max="15111" width="8.88671875" style="1841"/>
    <col min="15112" max="15112" width="6.33203125" style="1841" customWidth="1"/>
    <col min="15113" max="15113" width="38.109375" style="1841" customWidth="1"/>
    <col min="15114" max="15114" width="11.88671875" style="1841" customWidth="1"/>
    <col min="15115" max="15116" width="12.5546875" style="1841" customWidth="1"/>
    <col min="15117" max="15117" width="14.88671875" style="1841" customWidth="1"/>
    <col min="15118" max="15367" width="8.88671875" style="1841"/>
    <col min="15368" max="15368" width="6.33203125" style="1841" customWidth="1"/>
    <col min="15369" max="15369" width="38.109375" style="1841" customWidth="1"/>
    <col min="15370" max="15370" width="11.88671875" style="1841" customWidth="1"/>
    <col min="15371" max="15372" width="12.5546875" style="1841" customWidth="1"/>
    <col min="15373" max="15373" width="14.88671875" style="1841" customWidth="1"/>
    <col min="15374" max="15623" width="8.88671875" style="1841"/>
    <col min="15624" max="15624" width="6.33203125" style="1841" customWidth="1"/>
    <col min="15625" max="15625" width="38.109375" style="1841" customWidth="1"/>
    <col min="15626" max="15626" width="11.88671875" style="1841" customWidth="1"/>
    <col min="15627" max="15628" width="12.5546875" style="1841" customWidth="1"/>
    <col min="15629" max="15629" width="14.88671875" style="1841" customWidth="1"/>
    <col min="15630" max="15879" width="8.88671875" style="1841"/>
    <col min="15880" max="15880" width="6.33203125" style="1841" customWidth="1"/>
    <col min="15881" max="15881" width="38.109375" style="1841" customWidth="1"/>
    <col min="15882" max="15882" width="11.88671875" style="1841" customWidth="1"/>
    <col min="15883" max="15884" width="12.5546875" style="1841" customWidth="1"/>
    <col min="15885" max="15885" width="14.88671875" style="1841" customWidth="1"/>
    <col min="15886" max="16135" width="8.88671875" style="1841"/>
    <col min="16136" max="16136" width="6.33203125" style="1841" customWidth="1"/>
    <col min="16137" max="16137" width="38.109375" style="1841" customWidth="1"/>
    <col min="16138" max="16138" width="11.88671875" style="1841" customWidth="1"/>
    <col min="16139" max="16140" width="12.5546875" style="1841" customWidth="1"/>
    <col min="16141" max="16141" width="14.88671875" style="1841" customWidth="1"/>
    <col min="16142" max="16384" width="8.88671875" style="1841"/>
  </cols>
  <sheetData>
    <row r="1" spans="1:13">
      <c r="A1" s="1840" t="s">
        <v>69</v>
      </c>
      <c r="J1" s="1840" t="s">
        <v>1172</v>
      </c>
      <c r="K1" s="1840"/>
      <c r="L1" s="1840"/>
    </row>
    <row r="4" spans="1:13">
      <c r="A4" s="2988" t="s">
        <v>1473</v>
      </c>
      <c r="B4" s="2988"/>
      <c r="C4" s="2988"/>
      <c r="D4" s="2988"/>
      <c r="E4" s="2988"/>
      <c r="F4" s="2988"/>
      <c r="G4" s="2988"/>
      <c r="H4" s="2988"/>
      <c r="I4" s="2988"/>
      <c r="J4" s="2988"/>
      <c r="K4" s="2988"/>
      <c r="L4" s="2988"/>
      <c r="M4" s="2988"/>
    </row>
    <row r="5" spans="1:13">
      <c r="A5" s="2986" t="s">
        <v>1055</v>
      </c>
      <c r="B5" s="2986"/>
      <c r="C5" s="2986"/>
      <c r="D5" s="2986"/>
      <c r="E5" s="2986"/>
      <c r="F5" s="2986"/>
      <c r="G5" s="2986"/>
      <c r="H5" s="2986"/>
      <c r="I5" s="2986"/>
      <c r="J5" s="2986"/>
      <c r="K5" s="2986"/>
      <c r="L5" s="2986"/>
      <c r="M5" s="2986"/>
    </row>
    <row r="6" spans="1:13">
      <c r="M6" s="1842" t="s">
        <v>1056</v>
      </c>
    </row>
    <row r="7" spans="1:13">
      <c r="M7" s="1842"/>
    </row>
    <row r="8" spans="1:13" ht="27" customHeight="1">
      <c r="A8" s="3004" t="s">
        <v>49</v>
      </c>
      <c r="B8" s="3004" t="s">
        <v>1485</v>
      </c>
      <c r="C8" s="3004" t="s">
        <v>716</v>
      </c>
      <c r="D8" s="3224" t="s">
        <v>1173</v>
      </c>
      <c r="E8" s="3225"/>
      <c r="F8" s="3225"/>
      <c r="G8" s="3225"/>
      <c r="H8" s="3225"/>
      <c r="I8" s="3225"/>
      <c r="J8" s="3225"/>
      <c r="K8" s="3225"/>
      <c r="L8" s="3226"/>
      <c r="M8" s="3004" t="s">
        <v>1174</v>
      </c>
    </row>
    <row r="9" spans="1:13" ht="16.8" customHeight="1">
      <c r="A9" s="3005"/>
      <c r="B9" s="3005"/>
      <c r="C9" s="3005"/>
      <c r="D9" s="3010" t="s">
        <v>1484</v>
      </c>
      <c r="E9" s="3011" t="s">
        <v>330</v>
      </c>
      <c r="F9" s="3010" t="s">
        <v>1478</v>
      </c>
      <c r="G9" s="3010"/>
      <c r="H9" s="3010"/>
      <c r="I9" s="3010"/>
      <c r="J9" s="3013" t="s">
        <v>1178</v>
      </c>
      <c r="K9" s="3010" t="s">
        <v>1478</v>
      </c>
      <c r="L9" s="3010"/>
      <c r="M9" s="3005"/>
    </row>
    <row r="10" spans="1:13" ht="168" customHeight="1">
      <c r="A10" s="3006"/>
      <c r="B10" s="3006"/>
      <c r="C10" s="3006"/>
      <c r="D10" s="3010"/>
      <c r="E10" s="3012"/>
      <c r="F10" s="2734" t="s">
        <v>1474</v>
      </c>
      <c r="G10" s="2735" t="s">
        <v>1475</v>
      </c>
      <c r="H10" s="2734" t="s">
        <v>1476</v>
      </c>
      <c r="I10" s="2734" t="s">
        <v>1477</v>
      </c>
      <c r="J10" s="3014"/>
      <c r="K10" s="1868" t="s">
        <v>1479</v>
      </c>
      <c r="L10" s="1868" t="s">
        <v>1480</v>
      </c>
      <c r="M10" s="3006"/>
    </row>
    <row r="11" spans="1:13">
      <c r="A11" s="1865" t="s">
        <v>80</v>
      </c>
      <c r="B11" s="1865" t="s">
        <v>81</v>
      </c>
      <c r="C11" s="1865" t="s">
        <v>1483</v>
      </c>
      <c r="D11" s="1865" t="s">
        <v>1482</v>
      </c>
      <c r="E11" s="1865" t="s">
        <v>1481</v>
      </c>
      <c r="F11" s="1865">
        <v>4</v>
      </c>
      <c r="G11" s="1865">
        <v>5</v>
      </c>
      <c r="H11" s="1865">
        <v>6</v>
      </c>
      <c r="I11" s="1865">
        <v>7</v>
      </c>
      <c r="J11" s="1865" t="s">
        <v>1183</v>
      </c>
      <c r="K11" s="1865">
        <v>9</v>
      </c>
      <c r="L11" s="1865">
        <v>10</v>
      </c>
      <c r="M11" s="1865">
        <v>11</v>
      </c>
    </row>
    <row r="12" spans="1:13" ht="18.600000000000001" customHeight="1">
      <c r="A12" s="1870"/>
      <c r="B12" s="1871" t="s">
        <v>737</v>
      </c>
      <c r="C12" s="2716">
        <f>D12+M12</f>
        <v>461507</v>
      </c>
      <c r="D12" s="2727">
        <f>SUM(D13:D25,D34,D35,D36)</f>
        <v>152648</v>
      </c>
      <c r="E12" s="2727">
        <f>SUM(E13:E25,E34,E35,E36)</f>
        <v>145913</v>
      </c>
      <c r="F12" s="2727">
        <f>SUM(F13:F21)</f>
        <v>30624</v>
      </c>
      <c r="G12" s="2727">
        <f>SUM(G13:G21)</f>
        <v>15207</v>
      </c>
      <c r="H12" s="2727">
        <f t="shared" ref="H12:I12" si="0">SUM(H13:H21)</f>
        <v>60082</v>
      </c>
      <c r="I12" s="2727">
        <f t="shared" si="0"/>
        <v>40000</v>
      </c>
      <c r="J12" s="2727">
        <f t="shared" ref="J12:K12" si="1">SUM(J13:J21)</f>
        <v>6735</v>
      </c>
      <c r="K12" s="2727">
        <f t="shared" si="1"/>
        <v>1014</v>
      </c>
      <c r="L12" s="2727">
        <f t="shared" ref="L12" si="2">SUM(L13:L21)</f>
        <v>5721</v>
      </c>
      <c r="M12" s="2727">
        <f>SUM(M13:M21)</f>
        <v>308859</v>
      </c>
    </row>
    <row r="13" spans="1:13" ht="13.8">
      <c r="A13" s="117">
        <v>1</v>
      </c>
      <c r="B13" s="2712" t="s">
        <v>28</v>
      </c>
      <c r="C13" s="2733">
        <f t="shared" ref="C13:C21" si="3">D13+M13</f>
        <v>13749</v>
      </c>
      <c r="D13" s="2728">
        <f>E13+J13</f>
        <v>10287</v>
      </c>
      <c r="E13" s="2728">
        <f>SUM(F13:I13)</f>
        <v>10209</v>
      </c>
      <c r="F13" s="2728"/>
      <c r="G13" s="2728">
        <f>'BSCD CDCS 2019 (hoan chinh)-05 '!L18</f>
        <v>3410</v>
      </c>
      <c r="H13" s="2728">
        <f>'BSCD CDCS 2019 (hoan chinh)-05 '!L1</f>
        <v>799</v>
      </c>
      <c r="I13" s="2728">
        <f>'BSCD CDCS 2019 (hoan chinh)-05 '!L16</f>
        <v>6000</v>
      </c>
      <c r="J13" s="2728">
        <f>K13+L13</f>
        <v>78</v>
      </c>
      <c r="K13" s="2728">
        <f>'BSCD CDCS 2019 (hoan chinh)-05 '!L23</f>
        <v>78</v>
      </c>
      <c r="L13" s="2728">
        <f>'BSCD CDCS 2019 (hoan chinh)-05 '!L22</f>
        <v>0</v>
      </c>
      <c r="M13" s="2728">
        <f>'TH-CTMT2019'!C26</f>
        <v>3462</v>
      </c>
    </row>
    <row r="14" spans="1:13" ht="13.8">
      <c r="A14" s="117">
        <v>2</v>
      </c>
      <c r="B14" s="118" t="s">
        <v>82</v>
      </c>
      <c r="C14" s="2733">
        <f t="shared" si="3"/>
        <v>151135</v>
      </c>
      <c r="D14" s="2728">
        <f t="shared" ref="D14:D21" si="4">E14+J14</f>
        <v>29207</v>
      </c>
      <c r="E14" s="2728">
        <f t="shared" ref="E14:E21" si="5">SUM(F14:I14)</f>
        <v>28275</v>
      </c>
      <c r="F14" s="2728">
        <f>'BSCD CDCS 2019 (hoan chinh)-05 '!F17</f>
        <v>10624</v>
      </c>
      <c r="G14" s="2728">
        <f>'BSCD CDCS 2019 (hoan chinh)-05 '!F18</f>
        <v>890</v>
      </c>
      <c r="H14" s="2728">
        <f>'BSCD CDCS 2019 (hoan chinh)-05 '!F1</f>
        <v>12761</v>
      </c>
      <c r="I14" s="2728">
        <f>'BSCD CDCS 2019 (hoan chinh)-05 '!F16</f>
        <v>4000</v>
      </c>
      <c r="J14" s="2728">
        <f t="shared" ref="J14:J21" si="6">K14+L14</f>
        <v>932</v>
      </c>
      <c r="K14" s="2728">
        <f>'BSCD CDCS 2019 (hoan chinh)-05 '!F23</f>
        <v>150</v>
      </c>
      <c r="L14" s="2728">
        <f>'BSCD CDCS 2019 (hoan chinh)-05 '!F22</f>
        <v>782</v>
      </c>
      <c r="M14" s="2728">
        <f>'TH-CTMT2019'!C21</f>
        <v>121928</v>
      </c>
    </row>
    <row r="15" spans="1:13" ht="13.8">
      <c r="A15" s="117">
        <v>3</v>
      </c>
      <c r="B15" s="118" t="s">
        <v>83</v>
      </c>
      <c r="C15" s="2733">
        <f t="shared" si="3"/>
        <v>62263</v>
      </c>
      <c r="D15" s="2728">
        <f t="shared" si="4"/>
        <v>15494</v>
      </c>
      <c r="E15" s="2728">
        <f t="shared" si="5"/>
        <v>14457</v>
      </c>
      <c r="F15" s="2728"/>
      <c r="G15" s="2728">
        <f>'BSCD CDCS 2019 (hoan chinh)-05 '!I18</f>
        <v>1161</v>
      </c>
      <c r="H15" s="2728">
        <f>'BSCD CDCS 2019 (hoan chinh)-05 '!I1</f>
        <v>9296</v>
      </c>
      <c r="I15" s="2728">
        <f>'BSCD CDCS 2019 (hoan chinh)-05 '!I16</f>
        <v>4000</v>
      </c>
      <c r="J15" s="2728">
        <f t="shared" si="6"/>
        <v>1037</v>
      </c>
      <c r="K15" s="2728">
        <f>'BSCD CDCS 2019 (hoan chinh)-05 '!I23</f>
        <v>126</v>
      </c>
      <c r="L15" s="2728">
        <f>'BSCD CDCS 2019 (hoan chinh)-05 '!I22</f>
        <v>911</v>
      </c>
      <c r="M15" s="2728">
        <f>'TH-CTMT2019'!C23</f>
        <v>46769</v>
      </c>
    </row>
    <row r="16" spans="1:13" ht="13.8">
      <c r="A16" s="117">
        <v>4</v>
      </c>
      <c r="B16" s="118" t="s">
        <v>84</v>
      </c>
      <c r="C16" s="2733">
        <f t="shared" si="3"/>
        <v>55955</v>
      </c>
      <c r="D16" s="2728">
        <f t="shared" si="4"/>
        <v>15260</v>
      </c>
      <c r="E16" s="2728">
        <f t="shared" si="5"/>
        <v>14068</v>
      </c>
      <c r="F16" s="2728"/>
      <c r="G16" s="2728">
        <f>'BSCD CDCS 2019 (hoan chinh)-05 '!H18</f>
        <v>897</v>
      </c>
      <c r="H16" s="2728">
        <f>'BSCD CDCS 2019 (hoan chinh)-05 '!H1</f>
        <v>9171</v>
      </c>
      <c r="I16" s="2728">
        <f>'BSCD CDCS 2019 (hoan chinh)-05 '!H16</f>
        <v>4000</v>
      </c>
      <c r="J16" s="2728">
        <f t="shared" si="6"/>
        <v>1192</v>
      </c>
      <c r="K16" s="2728">
        <f>'BSCD CDCS 2019 (hoan chinh)-05 '!H23</f>
        <v>126</v>
      </c>
      <c r="L16" s="2728">
        <f>'BSCD CDCS 2019 (hoan chinh)-05 '!H22</f>
        <v>1066</v>
      </c>
      <c r="M16" s="2728">
        <f>'TH-CTMT2019'!C18</f>
        <v>40695</v>
      </c>
    </row>
    <row r="17" spans="1:13" ht="13.8">
      <c r="A17" s="117">
        <v>5</v>
      </c>
      <c r="B17" s="118" t="s">
        <v>85</v>
      </c>
      <c r="C17" s="2733">
        <f t="shared" si="3"/>
        <v>44339</v>
      </c>
      <c r="D17" s="2728">
        <f t="shared" si="4"/>
        <v>13447</v>
      </c>
      <c r="E17" s="2728">
        <f t="shared" si="5"/>
        <v>12808</v>
      </c>
      <c r="F17" s="2728"/>
      <c r="G17" s="2728">
        <f>'BSCD CDCS 2019 (hoan chinh)-05 '!J18</f>
        <v>1672</v>
      </c>
      <c r="H17" s="2728">
        <f>'BSCD CDCS 2019 (hoan chinh)-05 '!J1</f>
        <v>7136</v>
      </c>
      <c r="I17" s="2728">
        <f>'BSCD CDCS 2019 (hoan chinh)-05 '!J16</f>
        <v>4000</v>
      </c>
      <c r="J17" s="2728">
        <f t="shared" si="6"/>
        <v>639</v>
      </c>
      <c r="K17" s="2728">
        <f>'BSCD CDCS 2019 (hoan chinh)-05 '!J23</f>
        <v>102</v>
      </c>
      <c r="L17" s="2728">
        <f>'BSCD CDCS 2019 (hoan chinh)-05 '!J22</f>
        <v>537</v>
      </c>
      <c r="M17" s="2728">
        <f>'TH-CTMT2019'!C24</f>
        <v>30892</v>
      </c>
    </row>
    <row r="18" spans="1:13" ht="13.8">
      <c r="A18" s="117">
        <v>6</v>
      </c>
      <c r="B18" s="118" t="s">
        <v>86</v>
      </c>
      <c r="C18" s="2733">
        <f t="shared" si="3"/>
        <v>29735</v>
      </c>
      <c r="D18" s="2728">
        <f t="shared" si="4"/>
        <v>17023</v>
      </c>
      <c r="E18" s="2728">
        <f t="shared" si="5"/>
        <v>16249</v>
      </c>
      <c r="F18" s="2728"/>
      <c r="G18" s="2728">
        <f>'BSCD CDCS 2019 (hoan chinh)-05 '!E18</f>
        <v>2248</v>
      </c>
      <c r="H18" s="2728">
        <f>'BSCD CDCS 2019 (hoan chinh)-05 '!E1</f>
        <v>9001</v>
      </c>
      <c r="I18" s="2728">
        <f>'BSCD CDCS 2019 (hoan chinh)-05 '!E16</f>
        <v>5000</v>
      </c>
      <c r="J18" s="2728">
        <f t="shared" si="6"/>
        <v>774</v>
      </c>
      <c r="K18" s="2728">
        <f>'BSCD CDCS 2019 (hoan chinh)-05 '!E23</f>
        <v>102</v>
      </c>
      <c r="L18" s="2728">
        <f>'BSCD CDCS 2019 (hoan chinh)-05 '!E22</f>
        <v>672</v>
      </c>
      <c r="M18" s="2728">
        <f>'TH-CTMT2019'!C22</f>
        <v>12712</v>
      </c>
    </row>
    <row r="19" spans="1:13" ht="13.8">
      <c r="A19" s="117">
        <v>7</v>
      </c>
      <c r="B19" s="118" t="s">
        <v>87</v>
      </c>
      <c r="C19" s="2733">
        <f t="shared" si="3"/>
        <v>52428</v>
      </c>
      <c r="D19" s="2728">
        <f t="shared" si="4"/>
        <v>31505</v>
      </c>
      <c r="E19" s="2728">
        <f t="shared" si="5"/>
        <v>30545</v>
      </c>
      <c r="F19" s="2728">
        <f>'BSCD CDCS 2019 (hoan chinh)-05 '!G17</f>
        <v>20000</v>
      </c>
      <c r="G19" s="2728">
        <f>'BSCD CDCS 2019 (hoan chinh)-05 '!G18</f>
        <v>1592</v>
      </c>
      <c r="H19" s="2728">
        <f>'BSCD CDCS 2019 (hoan chinh)-05 '!G1</f>
        <v>4953</v>
      </c>
      <c r="I19" s="2728">
        <f>'BSCD CDCS 2019 (hoan chinh)-05 '!G16</f>
        <v>4000</v>
      </c>
      <c r="J19" s="2728">
        <f t="shared" si="6"/>
        <v>960</v>
      </c>
      <c r="K19" s="2728">
        <f>'BSCD CDCS 2019 (hoan chinh)-05 '!G23</f>
        <v>102</v>
      </c>
      <c r="L19" s="2728">
        <f>'BSCD CDCS 2019 (hoan chinh)-05 '!G22</f>
        <v>858</v>
      </c>
      <c r="M19" s="2728">
        <f>'TH-CTMT2019'!C19</f>
        <v>20923</v>
      </c>
    </row>
    <row r="20" spans="1:13" ht="13.8">
      <c r="A20" s="117">
        <v>8</v>
      </c>
      <c r="B20" s="118" t="s">
        <v>88</v>
      </c>
      <c r="C20" s="2733">
        <f t="shared" si="3"/>
        <v>35076</v>
      </c>
      <c r="D20" s="2728">
        <f t="shared" si="4"/>
        <v>12013</v>
      </c>
      <c r="E20" s="2728">
        <f t="shared" si="5"/>
        <v>10968</v>
      </c>
      <c r="F20" s="2728"/>
      <c r="G20" s="2728">
        <f>'BSCD CDCS 2019 (hoan chinh)-05 '!D18</f>
        <v>1525</v>
      </c>
      <c r="H20" s="2728">
        <f>'BSCD CDCS 2019 (hoan chinh)-05 '!D1</f>
        <v>5443</v>
      </c>
      <c r="I20" s="2728">
        <f>'BSCD CDCS 2019 (hoan chinh)-05 '!D16</f>
        <v>4000</v>
      </c>
      <c r="J20" s="2728">
        <f t="shared" si="6"/>
        <v>1045</v>
      </c>
      <c r="K20" s="2728">
        <f>'BSCD CDCS 2019 (hoan chinh)-05 '!D23</f>
        <v>150</v>
      </c>
      <c r="L20" s="2728">
        <f>'BSCD CDCS 2019 (hoan chinh)-05 '!D22</f>
        <v>895</v>
      </c>
      <c r="M20" s="2728">
        <f>'TH-CTMT2019'!C20</f>
        <v>23063</v>
      </c>
    </row>
    <row r="21" spans="1:13" ht="13.8">
      <c r="A21" s="2725">
        <v>9</v>
      </c>
      <c r="B21" s="2726" t="s">
        <v>36</v>
      </c>
      <c r="C21" s="2733">
        <f t="shared" si="3"/>
        <v>16827</v>
      </c>
      <c r="D21" s="2728">
        <f t="shared" si="4"/>
        <v>8412</v>
      </c>
      <c r="E21" s="2728">
        <f t="shared" si="5"/>
        <v>8334</v>
      </c>
      <c r="F21" s="2728"/>
      <c r="G21" s="2728">
        <f>'BSCD CDCS 2019 (hoan chinh)-05 '!K18</f>
        <v>1812</v>
      </c>
      <c r="H21" s="2728">
        <f>'BSCD CDCS 2019 (hoan chinh)-05 '!K1</f>
        <v>1522</v>
      </c>
      <c r="I21" s="2728">
        <f>'BSCD CDCS 2019 (hoan chinh)-05 '!K16</f>
        <v>5000</v>
      </c>
      <c r="J21" s="2728">
        <f t="shared" si="6"/>
        <v>78</v>
      </c>
      <c r="K21" s="2728">
        <f>'BSCD CDCS 2019 (hoan chinh)-05 '!K23</f>
        <v>78</v>
      </c>
      <c r="L21" s="2728">
        <f>'BSCD CDCS 2019 (hoan chinh)-05 '!K22</f>
        <v>0</v>
      </c>
      <c r="M21" s="2728">
        <f>'TH-CTMT2019'!C25</f>
        <v>8415</v>
      </c>
    </row>
  </sheetData>
  <mergeCells count="12">
    <mergeCell ref="A4:M4"/>
    <mergeCell ref="A5:M5"/>
    <mergeCell ref="C8:C10"/>
    <mergeCell ref="M8:M10"/>
    <mergeCell ref="B8:B10"/>
    <mergeCell ref="A8:A10"/>
    <mergeCell ref="F9:I9"/>
    <mergeCell ref="D9:D10"/>
    <mergeCell ref="E9:E10"/>
    <mergeCell ref="J9:J10"/>
    <mergeCell ref="K9:L9"/>
    <mergeCell ref="D8:L8"/>
  </mergeCells>
  <pageMargins left="0.49" right="0.2" top="0.5" bottom="0.46"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showZeros="0" topLeftCell="H1" zoomScaleNormal="100" workbookViewId="0">
      <selection activeCell="L1" sqref="L1"/>
    </sheetView>
  </sheetViews>
  <sheetFormatPr defaultRowHeight="13.2"/>
  <cols>
    <col min="1" max="1" width="4.109375" style="2635" customWidth="1"/>
    <col min="2" max="2" width="31.6640625" style="2635" customWidth="1"/>
    <col min="3" max="3" width="11.44140625" style="2635" bestFit="1" customWidth="1"/>
    <col min="4" max="4" width="10.109375" style="2635" customWidth="1"/>
    <col min="5" max="5" width="10.44140625" style="2635" bestFit="1" customWidth="1"/>
    <col min="6" max="6" width="10.21875" style="2635" customWidth="1"/>
    <col min="7" max="7" width="9.5546875" style="2635" customWidth="1"/>
    <col min="8" max="8" width="9.33203125" style="2635" customWidth="1"/>
    <col min="9" max="9" width="7" style="2635" customWidth="1"/>
    <col min="10" max="10" width="8.77734375" style="2635" customWidth="1"/>
    <col min="11" max="11" width="9.109375" style="2635" customWidth="1"/>
    <col min="12" max="12" width="6.77734375" style="2635" customWidth="1"/>
    <col min="13" max="14" width="11.21875" style="2635" bestFit="1" customWidth="1"/>
    <col min="15" max="15" width="9.5546875" style="2635" customWidth="1"/>
    <col min="16" max="16" width="7.5546875" style="2635" customWidth="1"/>
    <col min="17" max="17" width="9.5546875" style="2635" customWidth="1"/>
    <col min="18" max="18" width="10.21875" style="2635" bestFit="1" customWidth="1"/>
    <col min="19" max="19" width="7.6640625" style="2635" customWidth="1"/>
    <col min="20" max="256" width="8.88671875" style="2635"/>
    <col min="257" max="257" width="4.109375" style="2635" customWidth="1"/>
    <col min="258" max="258" width="14" style="2635" customWidth="1"/>
    <col min="259" max="512" width="8.88671875" style="2635"/>
    <col min="513" max="513" width="4.109375" style="2635" customWidth="1"/>
    <col min="514" max="514" width="14" style="2635" customWidth="1"/>
    <col min="515" max="768" width="8.88671875" style="2635"/>
    <col min="769" max="769" width="4.109375" style="2635" customWidth="1"/>
    <col min="770" max="770" width="14" style="2635" customWidth="1"/>
    <col min="771" max="1024" width="8.88671875" style="2635"/>
    <col min="1025" max="1025" width="4.109375" style="2635" customWidth="1"/>
    <col min="1026" max="1026" width="14" style="2635" customWidth="1"/>
    <col min="1027" max="1280" width="8.88671875" style="2635"/>
    <col min="1281" max="1281" width="4.109375" style="2635" customWidth="1"/>
    <col min="1282" max="1282" width="14" style="2635" customWidth="1"/>
    <col min="1283" max="1536" width="8.88671875" style="2635"/>
    <col min="1537" max="1537" width="4.109375" style="2635" customWidth="1"/>
    <col min="1538" max="1538" width="14" style="2635" customWidth="1"/>
    <col min="1539" max="1792" width="8.88671875" style="2635"/>
    <col min="1793" max="1793" width="4.109375" style="2635" customWidth="1"/>
    <col min="1794" max="1794" width="14" style="2635" customWidth="1"/>
    <col min="1795" max="2048" width="8.88671875" style="2635"/>
    <col min="2049" max="2049" width="4.109375" style="2635" customWidth="1"/>
    <col min="2050" max="2050" width="14" style="2635" customWidth="1"/>
    <col min="2051" max="2304" width="8.88671875" style="2635"/>
    <col min="2305" max="2305" width="4.109375" style="2635" customWidth="1"/>
    <col min="2306" max="2306" width="14" style="2635" customWidth="1"/>
    <col min="2307" max="2560" width="8.88671875" style="2635"/>
    <col min="2561" max="2561" width="4.109375" style="2635" customWidth="1"/>
    <col min="2562" max="2562" width="14" style="2635" customWidth="1"/>
    <col min="2563" max="2816" width="8.88671875" style="2635"/>
    <col min="2817" max="2817" width="4.109375" style="2635" customWidth="1"/>
    <col min="2818" max="2818" width="14" style="2635" customWidth="1"/>
    <col min="2819" max="3072" width="8.88671875" style="2635"/>
    <col min="3073" max="3073" width="4.109375" style="2635" customWidth="1"/>
    <col min="3074" max="3074" width="14" style="2635" customWidth="1"/>
    <col min="3075" max="3328" width="8.88671875" style="2635"/>
    <col min="3329" max="3329" width="4.109375" style="2635" customWidth="1"/>
    <col min="3330" max="3330" width="14" style="2635" customWidth="1"/>
    <col min="3331" max="3584" width="8.88671875" style="2635"/>
    <col min="3585" max="3585" width="4.109375" style="2635" customWidth="1"/>
    <col min="3586" max="3586" width="14" style="2635" customWidth="1"/>
    <col min="3587" max="3840" width="8.88671875" style="2635"/>
    <col min="3841" max="3841" width="4.109375" style="2635" customWidth="1"/>
    <col min="3842" max="3842" width="14" style="2635" customWidth="1"/>
    <col min="3843" max="4096" width="8.88671875" style="2635"/>
    <col min="4097" max="4097" width="4.109375" style="2635" customWidth="1"/>
    <col min="4098" max="4098" width="14" style="2635" customWidth="1"/>
    <col min="4099" max="4352" width="8.88671875" style="2635"/>
    <col min="4353" max="4353" width="4.109375" style="2635" customWidth="1"/>
    <col min="4354" max="4354" width="14" style="2635" customWidth="1"/>
    <col min="4355" max="4608" width="8.88671875" style="2635"/>
    <col min="4609" max="4609" width="4.109375" style="2635" customWidth="1"/>
    <col min="4610" max="4610" width="14" style="2635" customWidth="1"/>
    <col min="4611" max="4864" width="8.88671875" style="2635"/>
    <col min="4865" max="4865" width="4.109375" style="2635" customWidth="1"/>
    <col min="4866" max="4866" width="14" style="2635" customWidth="1"/>
    <col min="4867" max="5120" width="8.88671875" style="2635"/>
    <col min="5121" max="5121" width="4.109375" style="2635" customWidth="1"/>
    <col min="5122" max="5122" width="14" style="2635" customWidth="1"/>
    <col min="5123" max="5376" width="8.88671875" style="2635"/>
    <col min="5377" max="5377" width="4.109375" style="2635" customWidth="1"/>
    <col min="5378" max="5378" width="14" style="2635" customWidth="1"/>
    <col min="5379" max="5632" width="8.88671875" style="2635"/>
    <col min="5633" max="5633" width="4.109375" style="2635" customWidth="1"/>
    <col min="5634" max="5634" width="14" style="2635" customWidth="1"/>
    <col min="5635" max="5888" width="8.88671875" style="2635"/>
    <col min="5889" max="5889" width="4.109375" style="2635" customWidth="1"/>
    <col min="5890" max="5890" width="14" style="2635" customWidth="1"/>
    <col min="5891" max="6144" width="8.88671875" style="2635"/>
    <col min="6145" max="6145" width="4.109375" style="2635" customWidth="1"/>
    <col min="6146" max="6146" width="14" style="2635" customWidth="1"/>
    <col min="6147" max="6400" width="8.88671875" style="2635"/>
    <col min="6401" max="6401" width="4.109375" style="2635" customWidth="1"/>
    <col min="6402" max="6402" width="14" style="2635" customWidth="1"/>
    <col min="6403" max="6656" width="8.88671875" style="2635"/>
    <col min="6657" max="6657" width="4.109375" style="2635" customWidth="1"/>
    <col min="6658" max="6658" width="14" style="2635" customWidth="1"/>
    <col min="6659" max="6912" width="8.88671875" style="2635"/>
    <col min="6913" max="6913" width="4.109375" style="2635" customWidth="1"/>
    <col min="6914" max="6914" width="14" style="2635" customWidth="1"/>
    <col min="6915" max="7168" width="8.88671875" style="2635"/>
    <col min="7169" max="7169" width="4.109375" style="2635" customWidth="1"/>
    <col min="7170" max="7170" width="14" style="2635" customWidth="1"/>
    <col min="7171" max="7424" width="8.88671875" style="2635"/>
    <col min="7425" max="7425" width="4.109375" style="2635" customWidth="1"/>
    <col min="7426" max="7426" width="14" style="2635" customWidth="1"/>
    <col min="7427" max="7680" width="8.88671875" style="2635"/>
    <col min="7681" max="7681" width="4.109375" style="2635" customWidth="1"/>
    <col min="7682" max="7682" width="14" style="2635" customWidth="1"/>
    <col min="7683" max="7936" width="8.88671875" style="2635"/>
    <col min="7937" max="7937" width="4.109375" style="2635" customWidth="1"/>
    <col min="7938" max="7938" width="14" style="2635" customWidth="1"/>
    <col min="7939" max="8192" width="8.88671875" style="2635"/>
    <col min="8193" max="8193" width="4.109375" style="2635" customWidth="1"/>
    <col min="8194" max="8194" width="14" style="2635" customWidth="1"/>
    <col min="8195" max="8448" width="8.88671875" style="2635"/>
    <col min="8449" max="8449" width="4.109375" style="2635" customWidth="1"/>
    <col min="8450" max="8450" width="14" style="2635" customWidth="1"/>
    <col min="8451" max="8704" width="8.88671875" style="2635"/>
    <col min="8705" max="8705" width="4.109375" style="2635" customWidth="1"/>
    <col min="8706" max="8706" width="14" style="2635" customWidth="1"/>
    <col min="8707" max="8960" width="8.88671875" style="2635"/>
    <col min="8961" max="8961" width="4.109375" style="2635" customWidth="1"/>
    <col min="8962" max="8962" width="14" style="2635" customWidth="1"/>
    <col min="8963" max="9216" width="8.88671875" style="2635"/>
    <col min="9217" max="9217" width="4.109375" style="2635" customWidth="1"/>
    <col min="9218" max="9218" width="14" style="2635" customWidth="1"/>
    <col min="9219" max="9472" width="8.88671875" style="2635"/>
    <col min="9473" max="9473" width="4.109375" style="2635" customWidth="1"/>
    <col min="9474" max="9474" width="14" style="2635" customWidth="1"/>
    <col min="9475" max="9728" width="8.88671875" style="2635"/>
    <col min="9729" max="9729" width="4.109375" style="2635" customWidth="1"/>
    <col min="9730" max="9730" width="14" style="2635" customWidth="1"/>
    <col min="9731" max="9984" width="8.88671875" style="2635"/>
    <col min="9985" max="9985" width="4.109375" style="2635" customWidth="1"/>
    <col min="9986" max="9986" width="14" style="2635" customWidth="1"/>
    <col min="9987" max="10240" width="8.88671875" style="2635"/>
    <col min="10241" max="10241" width="4.109375" style="2635" customWidth="1"/>
    <col min="10242" max="10242" width="14" style="2635" customWidth="1"/>
    <col min="10243" max="10496" width="8.88671875" style="2635"/>
    <col min="10497" max="10497" width="4.109375" style="2635" customWidth="1"/>
    <col min="10498" max="10498" width="14" style="2635" customWidth="1"/>
    <col min="10499" max="10752" width="8.88671875" style="2635"/>
    <col min="10753" max="10753" width="4.109375" style="2635" customWidth="1"/>
    <col min="10754" max="10754" width="14" style="2635" customWidth="1"/>
    <col min="10755" max="11008" width="8.88671875" style="2635"/>
    <col min="11009" max="11009" width="4.109375" style="2635" customWidth="1"/>
    <col min="11010" max="11010" width="14" style="2635" customWidth="1"/>
    <col min="11011" max="11264" width="8.88671875" style="2635"/>
    <col min="11265" max="11265" width="4.109375" style="2635" customWidth="1"/>
    <col min="11266" max="11266" width="14" style="2635" customWidth="1"/>
    <col min="11267" max="11520" width="8.88671875" style="2635"/>
    <col min="11521" max="11521" width="4.109375" style="2635" customWidth="1"/>
    <col min="11522" max="11522" width="14" style="2635" customWidth="1"/>
    <col min="11523" max="11776" width="8.88671875" style="2635"/>
    <col min="11777" max="11777" width="4.109375" style="2635" customWidth="1"/>
    <col min="11778" max="11778" width="14" style="2635" customWidth="1"/>
    <col min="11779" max="12032" width="8.88671875" style="2635"/>
    <col min="12033" max="12033" width="4.109375" style="2635" customWidth="1"/>
    <col min="12034" max="12034" width="14" style="2635" customWidth="1"/>
    <col min="12035" max="12288" width="8.88671875" style="2635"/>
    <col min="12289" max="12289" width="4.109375" style="2635" customWidth="1"/>
    <col min="12290" max="12290" width="14" style="2635" customWidth="1"/>
    <col min="12291" max="12544" width="8.88671875" style="2635"/>
    <col min="12545" max="12545" width="4.109375" style="2635" customWidth="1"/>
    <col min="12546" max="12546" width="14" style="2635" customWidth="1"/>
    <col min="12547" max="12800" width="8.88671875" style="2635"/>
    <col min="12801" max="12801" width="4.109375" style="2635" customWidth="1"/>
    <col min="12802" max="12802" width="14" style="2635" customWidth="1"/>
    <col min="12803" max="13056" width="8.88671875" style="2635"/>
    <col min="13057" max="13057" width="4.109375" style="2635" customWidth="1"/>
    <col min="13058" max="13058" width="14" style="2635" customWidth="1"/>
    <col min="13059" max="13312" width="8.88671875" style="2635"/>
    <col min="13313" max="13313" width="4.109375" style="2635" customWidth="1"/>
    <col min="13314" max="13314" width="14" style="2635" customWidth="1"/>
    <col min="13315" max="13568" width="8.88671875" style="2635"/>
    <col min="13569" max="13569" width="4.109375" style="2635" customWidth="1"/>
    <col min="13570" max="13570" width="14" style="2635" customWidth="1"/>
    <col min="13571" max="13824" width="8.88671875" style="2635"/>
    <col min="13825" max="13825" width="4.109375" style="2635" customWidth="1"/>
    <col min="13826" max="13826" width="14" style="2635" customWidth="1"/>
    <col min="13827" max="14080" width="8.88671875" style="2635"/>
    <col min="14081" max="14081" width="4.109375" style="2635" customWidth="1"/>
    <col min="14082" max="14082" width="14" style="2635" customWidth="1"/>
    <col min="14083" max="14336" width="8.88671875" style="2635"/>
    <col min="14337" max="14337" width="4.109375" style="2635" customWidth="1"/>
    <col min="14338" max="14338" width="14" style="2635" customWidth="1"/>
    <col min="14339" max="14592" width="8.88671875" style="2635"/>
    <col min="14593" max="14593" width="4.109375" style="2635" customWidth="1"/>
    <col min="14594" max="14594" width="14" style="2635" customWidth="1"/>
    <col min="14595" max="14848" width="8.88671875" style="2635"/>
    <col min="14849" max="14849" width="4.109375" style="2635" customWidth="1"/>
    <col min="14850" max="14850" width="14" style="2635" customWidth="1"/>
    <col min="14851" max="15104" width="8.88671875" style="2635"/>
    <col min="15105" max="15105" width="4.109375" style="2635" customWidth="1"/>
    <col min="15106" max="15106" width="14" style="2635" customWidth="1"/>
    <col min="15107" max="15360" width="8.88671875" style="2635"/>
    <col min="15361" max="15361" width="4.109375" style="2635" customWidth="1"/>
    <col min="15362" max="15362" width="14" style="2635" customWidth="1"/>
    <col min="15363" max="15616" width="8.88671875" style="2635"/>
    <col min="15617" max="15617" width="4.109375" style="2635" customWidth="1"/>
    <col min="15618" max="15618" width="14" style="2635" customWidth="1"/>
    <col min="15619" max="15872" width="8.88671875" style="2635"/>
    <col min="15873" max="15873" width="4.109375" style="2635" customWidth="1"/>
    <col min="15874" max="15874" width="14" style="2635" customWidth="1"/>
    <col min="15875" max="16128" width="8.88671875" style="2635"/>
    <col min="16129" max="16129" width="4.109375" style="2635" customWidth="1"/>
    <col min="16130" max="16130" width="14" style="2635" customWidth="1"/>
    <col min="16131" max="16384" width="8.88671875" style="2635"/>
  </cols>
  <sheetData>
    <row r="1" spans="1:19">
      <c r="A1" s="1840" t="s">
        <v>69</v>
      </c>
      <c r="L1" s="1840"/>
      <c r="Q1" s="1840" t="s">
        <v>1175</v>
      </c>
    </row>
    <row r="4" spans="1:19">
      <c r="A4" s="2988" t="s">
        <v>1486</v>
      </c>
      <c r="B4" s="2988"/>
      <c r="C4" s="2988"/>
      <c r="D4" s="2988"/>
      <c r="E4" s="2988"/>
      <c r="F4" s="2988"/>
      <c r="G4" s="2988"/>
      <c r="H4" s="2988"/>
      <c r="I4" s="2988"/>
      <c r="J4" s="2988"/>
      <c r="K4" s="2988"/>
      <c r="L4" s="2988"/>
      <c r="M4" s="2988"/>
      <c r="N4" s="2988"/>
      <c r="O4" s="2988"/>
      <c r="P4" s="2988"/>
      <c r="Q4" s="2988"/>
      <c r="R4" s="2988"/>
      <c r="S4" s="2988"/>
    </row>
    <row r="5" spans="1:19">
      <c r="A5" s="2986" t="s">
        <v>1055</v>
      </c>
      <c r="B5" s="2986"/>
      <c r="C5" s="2986"/>
      <c r="D5" s="2986"/>
      <c r="E5" s="2986"/>
      <c r="F5" s="2986"/>
      <c r="G5" s="2986"/>
      <c r="H5" s="2986"/>
      <c r="I5" s="2986"/>
      <c r="J5" s="2986"/>
      <c r="K5" s="2986"/>
      <c r="L5" s="2986"/>
      <c r="M5" s="2986"/>
      <c r="N5" s="2986"/>
      <c r="O5" s="2986"/>
      <c r="P5" s="2986"/>
      <c r="Q5" s="2986"/>
      <c r="R5" s="2986"/>
      <c r="S5" s="2986"/>
    </row>
    <row r="6" spans="1:19" ht="25.5" customHeight="1">
      <c r="N6" s="1842"/>
      <c r="R6" s="1842" t="s">
        <v>1056</v>
      </c>
    </row>
    <row r="7" spans="1:19">
      <c r="A7" s="3003" t="s">
        <v>49</v>
      </c>
      <c r="B7" s="3003" t="s">
        <v>399</v>
      </c>
      <c r="C7" s="3003" t="s">
        <v>716</v>
      </c>
      <c r="D7" s="3003" t="s">
        <v>75</v>
      </c>
      <c r="E7" s="3003"/>
      <c r="F7" s="3003" t="s">
        <v>1402</v>
      </c>
      <c r="G7" s="3003"/>
      <c r="H7" s="3003"/>
      <c r="I7" s="3003"/>
      <c r="J7" s="3003"/>
      <c r="K7" s="3003"/>
      <c r="L7" s="3003"/>
      <c r="M7" s="3003" t="s">
        <v>1487</v>
      </c>
      <c r="N7" s="3003"/>
      <c r="O7" s="3003"/>
      <c r="P7" s="3003"/>
      <c r="Q7" s="3003"/>
      <c r="R7" s="3003"/>
      <c r="S7" s="3003"/>
    </row>
    <row r="8" spans="1:19">
      <c r="A8" s="3003"/>
      <c r="B8" s="3003"/>
      <c r="C8" s="3003"/>
      <c r="D8" s="3010" t="s">
        <v>1176</v>
      </c>
      <c r="E8" s="3010" t="s">
        <v>1177</v>
      </c>
      <c r="F8" s="3003" t="s">
        <v>716</v>
      </c>
      <c r="G8" s="3010" t="s">
        <v>1176</v>
      </c>
      <c r="H8" s="3010"/>
      <c r="I8" s="3010"/>
      <c r="J8" s="3010" t="s">
        <v>1177</v>
      </c>
      <c r="K8" s="3010"/>
      <c r="L8" s="3010"/>
      <c r="M8" s="3003" t="s">
        <v>716</v>
      </c>
      <c r="N8" s="3010" t="s">
        <v>1176</v>
      </c>
      <c r="O8" s="3010"/>
      <c r="P8" s="3010"/>
      <c r="Q8" s="3010" t="s">
        <v>1177</v>
      </c>
      <c r="R8" s="3010"/>
      <c r="S8" s="3010"/>
    </row>
    <row r="9" spans="1:19" ht="39.6">
      <c r="A9" s="3003"/>
      <c r="B9" s="3003"/>
      <c r="C9" s="3003"/>
      <c r="D9" s="3010"/>
      <c r="E9" s="3010"/>
      <c r="F9" s="3003"/>
      <c r="G9" s="1865" t="s">
        <v>716</v>
      </c>
      <c r="H9" s="1865" t="s">
        <v>330</v>
      </c>
      <c r="I9" s="1865" t="s">
        <v>1178</v>
      </c>
      <c r="J9" s="1865" t="s">
        <v>716</v>
      </c>
      <c r="K9" s="1865" t="s">
        <v>330</v>
      </c>
      <c r="L9" s="1865" t="s">
        <v>1178</v>
      </c>
      <c r="M9" s="3003"/>
      <c r="N9" s="1865" t="s">
        <v>716</v>
      </c>
      <c r="O9" s="1865" t="s">
        <v>330</v>
      </c>
      <c r="P9" s="1865" t="s">
        <v>1178</v>
      </c>
      <c r="Q9" s="1865" t="s">
        <v>716</v>
      </c>
      <c r="R9" s="1865" t="s">
        <v>330</v>
      </c>
      <c r="S9" s="1865" t="s">
        <v>1178</v>
      </c>
    </row>
    <row r="10" spans="1:19">
      <c r="A10" s="1865" t="s">
        <v>80</v>
      </c>
      <c r="B10" s="1865" t="s">
        <v>81</v>
      </c>
      <c r="C10" s="1865" t="s">
        <v>193</v>
      </c>
      <c r="D10" s="1865" t="s">
        <v>1179</v>
      </c>
      <c r="E10" s="1865" t="s">
        <v>1180</v>
      </c>
      <c r="F10" s="1865" t="s">
        <v>1181</v>
      </c>
      <c r="G10" s="1865" t="s">
        <v>1182</v>
      </c>
      <c r="H10" s="1865">
        <v>6</v>
      </c>
      <c r="I10" s="1865">
        <v>7</v>
      </c>
      <c r="J10" s="1865" t="s">
        <v>1183</v>
      </c>
      <c r="K10" s="1865">
        <v>9</v>
      </c>
      <c r="L10" s="1865">
        <v>10</v>
      </c>
      <c r="M10" s="1865" t="s">
        <v>1184</v>
      </c>
      <c r="N10" s="1865" t="s">
        <v>1185</v>
      </c>
      <c r="O10" s="1865">
        <v>13</v>
      </c>
      <c r="P10" s="1865">
        <v>14</v>
      </c>
      <c r="Q10" s="1865" t="s">
        <v>1186</v>
      </c>
      <c r="R10" s="1865">
        <v>16</v>
      </c>
      <c r="S10" s="1865">
        <v>17</v>
      </c>
    </row>
    <row r="11" spans="1:19" ht="20.399999999999999" customHeight="1">
      <c r="A11" s="3015" t="s">
        <v>978</v>
      </c>
      <c r="B11" s="3016"/>
      <c r="C11" s="2745">
        <f>D11+E11</f>
        <v>322200</v>
      </c>
      <c r="D11" s="2745">
        <f>G11+N11</f>
        <v>250697</v>
      </c>
      <c r="E11" s="2745">
        <f>J11+Q11</f>
        <v>71503</v>
      </c>
      <c r="F11" s="2745">
        <f>G11+J11</f>
        <v>127400</v>
      </c>
      <c r="G11" s="2745">
        <f>H11+I11</f>
        <v>99697</v>
      </c>
      <c r="H11" s="2745">
        <f>H12+H22</f>
        <v>99697</v>
      </c>
      <c r="I11" s="2745">
        <f>I12+I22</f>
        <v>0</v>
      </c>
      <c r="J11" s="2745">
        <f>K11+L11</f>
        <v>27703</v>
      </c>
      <c r="K11" s="2745">
        <f>K12+K22</f>
        <v>27703</v>
      </c>
      <c r="L11" s="2745">
        <f>L12+L22</f>
        <v>0</v>
      </c>
      <c r="M11" s="2745">
        <f>N11+Q11</f>
        <v>194800</v>
      </c>
      <c r="N11" s="2745">
        <f>O11+P11</f>
        <v>151000</v>
      </c>
      <c r="O11" s="2745">
        <f>O12+O22</f>
        <v>151000</v>
      </c>
      <c r="P11" s="2745">
        <f>P12+P22</f>
        <v>0</v>
      </c>
      <c r="Q11" s="2745">
        <f>R11+S11</f>
        <v>43800</v>
      </c>
      <c r="R11" s="2745">
        <f>R12+R22</f>
        <v>43800</v>
      </c>
      <c r="S11" s="2745">
        <f>S12+S22</f>
        <v>0</v>
      </c>
    </row>
    <row r="12" spans="1:19" ht="18.600000000000001" customHeight="1">
      <c r="A12" s="2737" t="s">
        <v>80</v>
      </c>
      <c r="B12" s="2738" t="s">
        <v>1457</v>
      </c>
      <c r="C12" s="2746">
        <f t="shared" ref="C12:C31" si="0">D12+E12</f>
        <v>13341</v>
      </c>
      <c r="D12" s="2746">
        <f t="shared" ref="D12:D31" si="1">G12+N12</f>
        <v>0</v>
      </c>
      <c r="E12" s="2746">
        <f t="shared" ref="E12:E31" si="2">J12+Q12</f>
        <v>13341</v>
      </c>
      <c r="F12" s="2746">
        <f t="shared" ref="F12:F31" si="3">G12+J12</f>
        <v>4788</v>
      </c>
      <c r="G12" s="2746">
        <f t="shared" ref="G12:G31" si="4">H12+I12</f>
        <v>0</v>
      </c>
      <c r="H12" s="2746">
        <f>SUM(H13:H21)</f>
        <v>0</v>
      </c>
      <c r="I12" s="2746">
        <f t="shared" ref="I12:S12" si="5">SUM(I13:I21)</f>
        <v>0</v>
      </c>
      <c r="J12" s="2746">
        <f t="shared" si="5"/>
        <v>4788</v>
      </c>
      <c r="K12" s="2746">
        <f t="shared" si="5"/>
        <v>4788</v>
      </c>
      <c r="L12" s="2746">
        <f t="shared" si="5"/>
        <v>0</v>
      </c>
      <c r="M12" s="2746">
        <f t="shared" si="5"/>
        <v>8553</v>
      </c>
      <c r="N12" s="2746">
        <f t="shared" si="5"/>
        <v>0</v>
      </c>
      <c r="O12" s="2746">
        <f t="shared" si="5"/>
        <v>0</v>
      </c>
      <c r="P12" s="2746">
        <f t="shared" si="5"/>
        <v>0</v>
      </c>
      <c r="Q12" s="2746">
        <f t="shared" si="5"/>
        <v>8553</v>
      </c>
      <c r="R12" s="2746">
        <f t="shared" si="5"/>
        <v>8553</v>
      </c>
      <c r="S12" s="2746">
        <f t="shared" si="5"/>
        <v>0</v>
      </c>
    </row>
    <row r="13" spans="1:19">
      <c r="A13" s="2739" t="s">
        <v>1089</v>
      </c>
      <c r="B13" s="2740" t="s">
        <v>1458</v>
      </c>
      <c r="C13" s="2747">
        <f t="shared" si="0"/>
        <v>4815</v>
      </c>
      <c r="D13" s="2747">
        <f t="shared" si="1"/>
        <v>0</v>
      </c>
      <c r="E13" s="2747">
        <f t="shared" si="2"/>
        <v>4815</v>
      </c>
      <c r="F13" s="2747">
        <f t="shared" si="3"/>
        <v>412</v>
      </c>
      <c r="G13" s="2745">
        <f t="shared" si="4"/>
        <v>0</v>
      </c>
      <c r="H13" s="2748"/>
      <c r="I13" s="2748"/>
      <c r="J13" s="2749">
        <f t="shared" ref="J13:J31" si="6">K13+L13</f>
        <v>412</v>
      </c>
      <c r="K13" s="2744">
        <v>412</v>
      </c>
      <c r="L13" s="2748"/>
      <c r="M13" s="2747">
        <f t="shared" ref="M13:M31" si="7">N13+Q13</f>
        <v>4403</v>
      </c>
      <c r="N13" s="2747">
        <f t="shared" ref="N13:N31" si="8">O13+P13</f>
        <v>0</v>
      </c>
      <c r="O13" s="2748"/>
      <c r="P13" s="2748"/>
      <c r="Q13" s="2747">
        <f t="shared" ref="Q13:Q31" si="9">R13+S13</f>
        <v>4403</v>
      </c>
      <c r="R13" s="2747">
        <v>4403</v>
      </c>
      <c r="S13" s="2748"/>
    </row>
    <row r="14" spans="1:19">
      <c r="A14" s="2739" t="s">
        <v>1089</v>
      </c>
      <c r="B14" s="2740" t="s">
        <v>1459</v>
      </c>
      <c r="C14" s="2747">
        <f t="shared" si="0"/>
        <v>3295</v>
      </c>
      <c r="D14" s="2747">
        <f t="shared" si="1"/>
        <v>0</v>
      </c>
      <c r="E14" s="2747">
        <f t="shared" si="2"/>
        <v>3295</v>
      </c>
      <c r="F14" s="2747">
        <f t="shared" si="3"/>
        <v>2795</v>
      </c>
      <c r="G14" s="2745">
        <f t="shared" si="4"/>
        <v>0</v>
      </c>
      <c r="H14" s="2748"/>
      <c r="I14" s="2748"/>
      <c r="J14" s="2749">
        <f t="shared" si="6"/>
        <v>2795</v>
      </c>
      <c r="K14" s="2744">
        <v>2795</v>
      </c>
      <c r="L14" s="2748"/>
      <c r="M14" s="2747">
        <f t="shared" si="7"/>
        <v>500</v>
      </c>
      <c r="N14" s="2747">
        <f t="shared" si="8"/>
        <v>0</v>
      </c>
      <c r="O14" s="2748"/>
      <c r="P14" s="2748"/>
      <c r="Q14" s="2747">
        <f t="shared" si="9"/>
        <v>500</v>
      </c>
      <c r="R14" s="2747">
        <v>500</v>
      </c>
      <c r="S14" s="2748"/>
    </row>
    <row r="15" spans="1:19">
      <c r="A15" s="2739" t="s">
        <v>1089</v>
      </c>
      <c r="B15" s="2740" t="s">
        <v>618</v>
      </c>
      <c r="C15" s="2747">
        <f t="shared" si="0"/>
        <v>1291</v>
      </c>
      <c r="D15" s="2747">
        <f t="shared" si="1"/>
        <v>0</v>
      </c>
      <c r="E15" s="2747">
        <f t="shared" si="2"/>
        <v>1291</v>
      </c>
      <c r="F15" s="2747">
        <f t="shared" si="3"/>
        <v>1291</v>
      </c>
      <c r="G15" s="2745">
        <f t="shared" si="4"/>
        <v>0</v>
      </c>
      <c r="H15" s="2748"/>
      <c r="I15" s="2748"/>
      <c r="J15" s="2749">
        <f t="shared" si="6"/>
        <v>1291</v>
      </c>
      <c r="K15" s="2744">
        <v>1291</v>
      </c>
      <c r="L15" s="2748"/>
      <c r="M15" s="2747">
        <f t="shared" si="7"/>
        <v>0</v>
      </c>
      <c r="N15" s="2747">
        <f t="shared" si="8"/>
        <v>0</v>
      </c>
      <c r="O15" s="2748"/>
      <c r="P15" s="2748"/>
      <c r="Q15" s="2747">
        <f t="shared" si="9"/>
        <v>0</v>
      </c>
      <c r="R15" s="2747"/>
      <c r="S15" s="2748"/>
    </row>
    <row r="16" spans="1:19">
      <c r="A16" s="2739" t="s">
        <v>1089</v>
      </c>
      <c r="B16" s="2740" t="s">
        <v>1460</v>
      </c>
      <c r="C16" s="2747">
        <f t="shared" si="0"/>
        <v>1040</v>
      </c>
      <c r="D16" s="2747">
        <f t="shared" si="1"/>
        <v>0</v>
      </c>
      <c r="E16" s="2747">
        <f t="shared" si="2"/>
        <v>1040</v>
      </c>
      <c r="F16" s="2747">
        <f t="shared" si="3"/>
        <v>290</v>
      </c>
      <c r="G16" s="2745">
        <f t="shared" si="4"/>
        <v>0</v>
      </c>
      <c r="H16" s="2750"/>
      <c r="I16" s="2750"/>
      <c r="J16" s="2749">
        <f t="shared" si="6"/>
        <v>290</v>
      </c>
      <c r="K16" s="2744">
        <v>290</v>
      </c>
      <c r="L16" s="2750"/>
      <c r="M16" s="2747">
        <f t="shared" si="7"/>
        <v>750</v>
      </c>
      <c r="N16" s="2747">
        <f t="shared" si="8"/>
        <v>0</v>
      </c>
      <c r="O16" s="2750"/>
      <c r="P16" s="2750"/>
      <c r="Q16" s="2747">
        <f t="shared" si="9"/>
        <v>750</v>
      </c>
      <c r="R16" s="2745">
        <v>750</v>
      </c>
      <c r="S16" s="2750"/>
    </row>
    <row r="17" spans="1:19">
      <c r="A17" s="2739" t="s">
        <v>1089</v>
      </c>
      <c r="B17" s="2740" t="s">
        <v>1461</v>
      </c>
      <c r="C17" s="2747">
        <f t="shared" si="0"/>
        <v>1000</v>
      </c>
      <c r="D17" s="2747">
        <f t="shared" si="1"/>
        <v>0</v>
      </c>
      <c r="E17" s="2747">
        <f t="shared" si="2"/>
        <v>1000</v>
      </c>
      <c r="F17" s="2747">
        <f t="shared" si="3"/>
        <v>0</v>
      </c>
      <c r="G17" s="2745">
        <f t="shared" si="4"/>
        <v>0</v>
      </c>
      <c r="H17" s="2748"/>
      <c r="I17" s="2748"/>
      <c r="J17" s="2749">
        <f t="shared" si="6"/>
        <v>0</v>
      </c>
      <c r="K17" s="2748"/>
      <c r="L17" s="2748"/>
      <c r="M17" s="2747">
        <f t="shared" si="7"/>
        <v>1000</v>
      </c>
      <c r="N17" s="2747">
        <f t="shared" si="8"/>
        <v>0</v>
      </c>
      <c r="O17" s="2748"/>
      <c r="P17" s="2748"/>
      <c r="Q17" s="2747">
        <f t="shared" si="9"/>
        <v>1000</v>
      </c>
      <c r="R17" s="2747">
        <v>1000</v>
      </c>
      <c r="S17" s="2748"/>
    </row>
    <row r="18" spans="1:19">
      <c r="A18" s="2739" t="s">
        <v>1089</v>
      </c>
      <c r="B18" s="2740" t="s">
        <v>621</v>
      </c>
      <c r="C18" s="2747">
        <f t="shared" si="0"/>
        <v>600</v>
      </c>
      <c r="D18" s="2747">
        <f t="shared" si="1"/>
        <v>0</v>
      </c>
      <c r="E18" s="2747">
        <f t="shared" si="2"/>
        <v>600</v>
      </c>
      <c r="F18" s="2747">
        <f t="shared" si="3"/>
        <v>0</v>
      </c>
      <c r="G18" s="2745">
        <f t="shared" si="4"/>
        <v>0</v>
      </c>
      <c r="H18" s="2748"/>
      <c r="I18" s="2748"/>
      <c r="J18" s="2749">
        <f t="shared" si="6"/>
        <v>0</v>
      </c>
      <c r="K18" s="2748"/>
      <c r="L18" s="2748"/>
      <c r="M18" s="2747">
        <f t="shared" si="7"/>
        <v>600</v>
      </c>
      <c r="N18" s="2747">
        <f t="shared" si="8"/>
        <v>0</v>
      </c>
      <c r="O18" s="2748"/>
      <c r="P18" s="2748"/>
      <c r="Q18" s="2747">
        <f t="shared" si="9"/>
        <v>600</v>
      </c>
      <c r="R18" s="2747">
        <v>600</v>
      </c>
      <c r="S18" s="2748"/>
    </row>
    <row r="19" spans="1:19">
      <c r="A19" s="2739" t="s">
        <v>1089</v>
      </c>
      <c r="B19" s="2740" t="s">
        <v>598</v>
      </c>
      <c r="C19" s="2747">
        <f t="shared" si="0"/>
        <v>400</v>
      </c>
      <c r="D19" s="2747">
        <f t="shared" si="1"/>
        <v>0</v>
      </c>
      <c r="E19" s="2747">
        <f t="shared" si="2"/>
        <v>400</v>
      </c>
      <c r="F19" s="2747">
        <f t="shared" si="3"/>
        <v>0</v>
      </c>
      <c r="G19" s="2745">
        <f t="shared" si="4"/>
        <v>0</v>
      </c>
      <c r="H19" s="2748"/>
      <c r="I19" s="2748"/>
      <c r="J19" s="2749">
        <f t="shared" si="6"/>
        <v>0</v>
      </c>
      <c r="K19" s="2748"/>
      <c r="L19" s="2748"/>
      <c r="M19" s="2747">
        <f t="shared" si="7"/>
        <v>400</v>
      </c>
      <c r="N19" s="2747">
        <f t="shared" si="8"/>
        <v>0</v>
      </c>
      <c r="O19" s="2748"/>
      <c r="P19" s="2748"/>
      <c r="Q19" s="2747">
        <f t="shared" si="9"/>
        <v>400</v>
      </c>
      <c r="R19" s="2747">
        <v>400</v>
      </c>
      <c r="S19" s="2748"/>
    </row>
    <row r="20" spans="1:19">
      <c r="A20" s="2739" t="s">
        <v>1089</v>
      </c>
      <c r="B20" s="2740" t="s">
        <v>1462</v>
      </c>
      <c r="C20" s="2747">
        <f t="shared" si="0"/>
        <v>400</v>
      </c>
      <c r="D20" s="2747">
        <f t="shared" si="1"/>
        <v>0</v>
      </c>
      <c r="E20" s="2747">
        <f t="shared" si="2"/>
        <v>400</v>
      </c>
      <c r="F20" s="2747">
        <f t="shared" si="3"/>
        <v>0</v>
      </c>
      <c r="G20" s="2745">
        <f t="shared" si="4"/>
        <v>0</v>
      </c>
      <c r="H20" s="2748"/>
      <c r="I20" s="2748"/>
      <c r="J20" s="2749">
        <f t="shared" si="6"/>
        <v>0</v>
      </c>
      <c r="K20" s="2748"/>
      <c r="L20" s="2748"/>
      <c r="M20" s="2747">
        <f t="shared" si="7"/>
        <v>400</v>
      </c>
      <c r="N20" s="2747">
        <f t="shared" si="8"/>
        <v>0</v>
      </c>
      <c r="O20" s="2748"/>
      <c r="P20" s="2748"/>
      <c r="Q20" s="2747">
        <f t="shared" si="9"/>
        <v>400</v>
      </c>
      <c r="R20" s="2747">
        <v>400</v>
      </c>
      <c r="S20" s="2748"/>
    </row>
    <row r="21" spans="1:19">
      <c r="A21" s="2739" t="s">
        <v>1089</v>
      </c>
      <c r="B21" s="2740" t="s">
        <v>1463</v>
      </c>
      <c r="C21" s="2747">
        <f t="shared" si="0"/>
        <v>500</v>
      </c>
      <c r="D21" s="2747">
        <f t="shared" si="1"/>
        <v>0</v>
      </c>
      <c r="E21" s="2747">
        <f t="shared" si="2"/>
        <v>500</v>
      </c>
      <c r="F21" s="2747">
        <f t="shared" si="3"/>
        <v>0</v>
      </c>
      <c r="G21" s="2745">
        <f t="shared" si="4"/>
        <v>0</v>
      </c>
      <c r="H21" s="2748"/>
      <c r="I21" s="2748"/>
      <c r="J21" s="2749">
        <f t="shared" si="6"/>
        <v>0</v>
      </c>
      <c r="K21" s="2748"/>
      <c r="L21" s="2748"/>
      <c r="M21" s="2747">
        <f t="shared" si="7"/>
        <v>500</v>
      </c>
      <c r="N21" s="2747">
        <f t="shared" si="8"/>
        <v>0</v>
      </c>
      <c r="O21" s="2748"/>
      <c r="P21" s="2748"/>
      <c r="Q21" s="2747">
        <f t="shared" si="9"/>
        <v>500</v>
      </c>
      <c r="R21" s="2747">
        <v>500</v>
      </c>
      <c r="S21" s="2748"/>
    </row>
    <row r="22" spans="1:19" s="1864" customFormat="1" ht="19.2" customHeight="1">
      <c r="A22" s="2737" t="s">
        <v>81</v>
      </c>
      <c r="B22" s="2738" t="s">
        <v>1464</v>
      </c>
      <c r="C22" s="2745">
        <f t="shared" si="0"/>
        <v>308859</v>
      </c>
      <c r="D22" s="2745">
        <f t="shared" si="1"/>
        <v>250697</v>
      </c>
      <c r="E22" s="2745">
        <f t="shared" si="2"/>
        <v>58162</v>
      </c>
      <c r="F22" s="2745">
        <f t="shared" si="3"/>
        <v>122612</v>
      </c>
      <c r="G22" s="2745">
        <f t="shared" si="4"/>
        <v>99697</v>
      </c>
      <c r="H22" s="2751">
        <f>SUM(H23:H31)</f>
        <v>99697</v>
      </c>
      <c r="I22" s="2751">
        <f t="shared" ref="I22:S22" si="10">SUM(I23:I31)</f>
        <v>0</v>
      </c>
      <c r="J22" s="2751">
        <f t="shared" si="10"/>
        <v>22915</v>
      </c>
      <c r="K22" s="2751">
        <f t="shared" si="10"/>
        <v>22915</v>
      </c>
      <c r="L22" s="2751">
        <f t="shared" si="10"/>
        <v>0</v>
      </c>
      <c r="M22" s="2751">
        <f t="shared" si="10"/>
        <v>186247</v>
      </c>
      <c r="N22" s="2751">
        <f t="shared" si="10"/>
        <v>151000</v>
      </c>
      <c r="O22" s="2751">
        <f t="shared" si="10"/>
        <v>151000</v>
      </c>
      <c r="P22" s="2751">
        <f t="shared" si="10"/>
        <v>0</v>
      </c>
      <c r="Q22" s="2751">
        <f t="shared" si="10"/>
        <v>35247</v>
      </c>
      <c r="R22" s="2751">
        <f t="shared" si="10"/>
        <v>35247</v>
      </c>
      <c r="S22" s="2751">
        <f t="shared" si="10"/>
        <v>0</v>
      </c>
    </row>
    <row r="23" spans="1:19">
      <c r="A23" s="2739" t="s">
        <v>1089</v>
      </c>
      <c r="B23" s="2741" t="s">
        <v>1465</v>
      </c>
      <c r="C23" s="2747">
        <f t="shared" si="0"/>
        <v>40695</v>
      </c>
      <c r="D23" s="2747">
        <f t="shared" si="1"/>
        <v>33613</v>
      </c>
      <c r="E23" s="2747">
        <f t="shared" si="2"/>
        <v>7082</v>
      </c>
      <c r="F23" s="2747">
        <f t="shared" si="3"/>
        <v>9021</v>
      </c>
      <c r="G23" s="2747">
        <f t="shared" si="4"/>
        <v>7046</v>
      </c>
      <c r="H23" s="2752">
        <v>7046</v>
      </c>
      <c r="I23" s="2752"/>
      <c r="J23" s="2749">
        <f t="shared" si="6"/>
        <v>1975</v>
      </c>
      <c r="K23" s="2753">
        <v>1975</v>
      </c>
      <c r="L23" s="2753"/>
      <c r="M23" s="2747">
        <f t="shared" si="7"/>
        <v>31674</v>
      </c>
      <c r="N23" s="2747">
        <f t="shared" si="8"/>
        <v>26567</v>
      </c>
      <c r="O23" s="2752">
        <v>26567</v>
      </c>
      <c r="P23" s="2753"/>
      <c r="Q23" s="2747">
        <f t="shared" si="9"/>
        <v>5107</v>
      </c>
      <c r="R23" s="2752">
        <v>5107</v>
      </c>
      <c r="S23" s="2753"/>
    </row>
    <row r="24" spans="1:19">
      <c r="A24" s="2739" t="s">
        <v>1089</v>
      </c>
      <c r="B24" s="2741" t="s">
        <v>1466</v>
      </c>
      <c r="C24" s="2747">
        <f t="shared" si="0"/>
        <v>20923</v>
      </c>
      <c r="D24" s="2747">
        <f t="shared" si="1"/>
        <v>14318</v>
      </c>
      <c r="E24" s="2747">
        <f t="shared" si="2"/>
        <v>6605</v>
      </c>
      <c r="F24" s="2747">
        <f t="shared" si="3"/>
        <v>5106</v>
      </c>
      <c r="G24" s="2747">
        <f t="shared" si="4"/>
        <v>3380</v>
      </c>
      <c r="H24" s="2752">
        <v>3380</v>
      </c>
      <c r="I24" s="2752"/>
      <c r="J24" s="2749">
        <f t="shared" si="6"/>
        <v>1726</v>
      </c>
      <c r="K24" s="2753">
        <v>1726</v>
      </c>
      <c r="L24" s="2753"/>
      <c r="M24" s="2747">
        <f t="shared" si="7"/>
        <v>15817</v>
      </c>
      <c r="N24" s="2747">
        <f t="shared" si="8"/>
        <v>10938</v>
      </c>
      <c r="O24" s="2752">
        <v>10938</v>
      </c>
      <c r="P24" s="2753"/>
      <c r="Q24" s="2747">
        <f t="shared" si="9"/>
        <v>4879</v>
      </c>
      <c r="R24" s="2752">
        <v>4879</v>
      </c>
      <c r="S24" s="2753"/>
    </row>
    <row r="25" spans="1:19">
      <c r="A25" s="2739" t="s">
        <v>1089</v>
      </c>
      <c r="B25" s="2741" t="s">
        <v>1467</v>
      </c>
      <c r="C25" s="2747">
        <f t="shared" si="0"/>
        <v>23063</v>
      </c>
      <c r="D25" s="2747">
        <f t="shared" si="1"/>
        <v>18408</v>
      </c>
      <c r="E25" s="2747">
        <f t="shared" si="2"/>
        <v>4655</v>
      </c>
      <c r="F25" s="2747">
        <f t="shared" si="3"/>
        <v>2210</v>
      </c>
      <c r="G25" s="2747">
        <f t="shared" si="4"/>
        <v>2000</v>
      </c>
      <c r="H25" s="2752">
        <v>2000</v>
      </c>
      <c r="I25" s="2752"/>
      <c r="J25" s="2749">
        <f t="shared" si="6"/>
        <v>210</v>
      </c>
      <c r="K25" s="2753">
        <v>210</v>
      </c>
      <c r="L25" s="2753"/>
      <c r="M25" s="2747">
        <f t="shared" si="7"/>
        <v>20853</v>
      </c>
      <c r="N25" s="2747">
        <f t="shared" si="8"/>
        <v>16408</v>
      </c>
      <c r="O25" s="2752">
        <v>16408</v>
      </c>
      <c r="P25" s="2753"/>
      <c r="Q25" s="2747">
        <f t="shared" si="9"/>
        <v>4445</v>
      </c>
      <c r="R25" s="2752">
        <v>4445</v>
      </c>
      <c r="S25" s="2753"/>
    </row>
    <row r="26" spans="1:19">
      <c r="A26" s="2739" t="s">
        <v>1089</v>
      </c>
      <c r="B26" s="2741" t="s">
        <v>1468</v>
      </c>
      <c r="C26" s="2747">
        <f t="shared" si="0"/>
        <v>121928</v>
      </c>
      <c r="D26" s="2747">
        <f t="shared" si="1"/>
        <v>106330</v>
      </c>
      <c r="E26" s="2747">
        <f t="shared" si="2"/>
        <v>15598</v>
      </c>
      <c r="F26" s="2747">
        <f t="shared" si="3"/>
        <v>78874</v>
      </c>
      <c r="G26" s="2747">
        <f t="shared" si="4"/>
        <v>68044</v>
      </c>
      <c r="H26" s="2752">
        <v>68044</v>
      </c>
      <c r="I26" s="2752"/>
      <c r="J26" s="2749">
        <f t="shared" si="6"/>
        <v>10830</v>
      </c>
      <c r="K26" s="2753">
        <v>10830</v>
      </c>
      <c r="L26" s="2753"/>
      <c r="M26" s="2747">
        <f t="shared" si="7"/>
        <v>43054</v>
      </c>
      <c r="N26" s="2747">
        <f t="shared" si="8"/>
        <v>38286</v>
      </c>
      <c r="O26" s="2752">
        <v>38286</v>
      </c>
      <c r="P26" s="2753"/>
      <c r="Q26" s="2747">
        <f t="shared" si="9"/>
        <v>4768</v>
      </c>
      <c r="R26" s="2752">
        <v>4768</v>
      </c>
      <c r="S26" s="2753"/>
    </row>
    <row r="27" spans="1:19">
      <c r="A27" s="2739" t="s">
        <v>1089</v>
      </c>
      <c r="B27" s="2741" t="s">
        <v>1469</v>
      </c>
      <c r="C27" s="2747">
        <f t="shared" si="0"/>
        <v>12712</v>
      </c>
      <c r="D27" s="2747">
        <f t="shared" si="1"/>
        <v>8380</v>
      </c>
      <c r="E27" s="2747">
        <f t="shared" si="2"/>
        <v>4332</v>
      </c>
      <c r="F27" s="2747">
        <f t="shared" si="3"/>
        <v>2215</v>
      </c>
      <c r="G27" s="2747">
        <f t="shared" si="4"/>
        <v>2000</v>
      </c>
      <c r="H27" s="2752">
        <v>2000</v>
      </c>
      <c r="I27" s="2752"/>
      <c r="J27" s="2749">
        <f t="shared" si="6"/>
        <v>215</v>
      </c>
      <c r="K27" s="2753">
        <v>215</v>
      </c>
      <c r="L27" s="2753"/>
      <c r="M27" s="2747">
        <f t="shared" si="7"/>
        <v>10497</v>
      </c>
      <c r="N27" s="2747">
        <f t="shared" si="8"/>
        <v>6380</v>
      </c>
      <c r="O27" s="2752">
        <v>6380</v>
      </c>
      <c r="P27" s="2753"/>
      <c r="Q27" s="2747">
        <f t="shared" si="9"/>
        <v>4117</v>
      </c>
      <c r="R27" s="2752">
        <v>4117</v>
      </c>
      <c r="S27" s="2753"/>
    </row>
    <row r="28" spans="1:19">
      <c r="A28" s="2739" t="s">
        <v>1089</v>
      </c>
      <c r="B28" s="2741" t="s">
        <v>1470</v>
      </c>
      <c r="C28" s="2747">
        <f t="shared" si="0"/>
        <v>46769</v>
      </c>
      <c r="D28" s="2747">
        <f t="shared" si="1"/>
        <v>39069</v>
      </c>
      <c r="E28" s="2747">
        <f t="shared" si="2"/>
        <v>7700</v>
      </c>
      <c r="F28" s="2747">
        <f t="shared" si="3"/>
        <v>12570</v>
      </c>
      <c r="G28" s="2747">
        <f t="shared" si="4"/>
        <v>9348</v>
      </c>
      <c r="H28" s="2752">
        <v>9348</v>
      </c>
      <c r="I28" s="2752"/>
      <c r="J28" s="2749">
        <f t="shared" si="6"/>
        <v>3222</v>
      </c>
      <c r="K28" s="2753">
        <v>3222</v>
      </c>
      <c r="L28" s="2753"/>
      <c r="M28" s="2747">
        <f t="shared" si="7"/>
        <v>34199</v>
      </c>
      <c r="N28" s="2747">
        <f t="shared" si="8"/>
        <v>29721</v>
      </c>
      <c r="O28" s="2752">
        <v>29721</v>
      </c>
      <c r="P28" s="2753"/>
      <c r="Q28" s="2747">
        <f t="shared" si="9"/>
        <v>4478</v>
      </c>
      <c r="R28" s="2752">
        <v>4478</v>
      </c>
      <c r="S28" s="2753"/>
    </row>
    <row r="29" spans="1:19">
      <c r="A29" s="2739" t="s">
        <v>1089</v>
      </c>
      <c r="B29" s="2741" t="s">
        <v>1471</v>
      </c>
      <c r="C29" s="2747">
        <f t="shared" si="0"/>
        <v>30892</v>
      </c>
      <c r="D29" s="2747">
        <f t="shared" si="1"/>
        <v>23215</v>
      </c>
      <c r="E29" s="2747">
        <f t="shared" si="2"/>
        <v>7677</v>
      </c>
      <c r="F29" s="2747">
        <f t="shared" si="3"/>
        <v>12616</v>
      </c>
      <c r="G29" s="2747">
        <f t="shared" si="4"/>
        <v>7879</v>
      </c>
      <c r="H29" s="2752">
        <v>7879</v>
      </c>
      <c r="I29" s="2752"/>
      <c r="J29" s="2749">
        <f t="shared" si="6"/>
        <v>4737</v>
      </c>
      <c r="K29" s="2753">
        <v>4737</v>
      </c>
      <c r="L29" s="2753"/>
      <c r="M29" s="2747">
        <f t="shared" si="7"/>
        <v>18276</v>
      </c>
      <c r="N29" s="2747">
        <f t="shared" si="8"/>
        <v>15336</v>
      </c>
      <c r="O29" s="2752">
        <v>15336</v>
      </c>
      <c r="P29" s="2753"/>
      <c r="Q29" s="2747">
        <f t="shared" si="9"/>
        <v>2940</v>
      </c>
      <c r="R29" s="2752">
        <v>2940</v>
      </c>
      <c r="S29" s="2753"/>
    </row>
    <row r="30" spans="1:19">
      <c r="A30" s="2739" t="s">
        <v>1089</v>
      </c>
      <c r="B30" s="2741" t="s">
        <v>1472</v>
      </c>
      <c r="C30" s="2747">
        <f t="shared" si="0"/>
        <v>8415</v>
      </c>
      <c r="D30" s="2747">
        <f t="shared" si="1"/>
        <v>5508</v>
      </c>
      <c r="E30" s="2747">
        <f t="shared" si="2"/>
        <v>2907</v>
      </c>
      <c r="F30" s="2747">
        <f t="shared" si="3"/>
        <v>0</v>
      </c>
      <c r="G30" s="2747">
        <f t="shared" si="4"/>
        <v>0</v>
      </c>
      <c r="H30" s="2752"/>
      <c r="I30" s="2752"/>
      <c r="J30" s="2749">
        <f t="shared" si="6"/>
        <v>0</v>
      </c>
      <c r="K30" s="2753"/>
      <c r="L30" s="2753"/>
      <c r="M30" s="2747">
        <f t="shared" si="7"/>
        <v>8415</v>
      </c>
      <c r="N30" s="2747">
        <f t="shared" si="8"/>
        <v>5508</v>
      </c>
      <c r="O30" s="2752">
        <v>5508</v>
      </c>
      <c r="P30" s="2753"/>
      <c r="Q30" s="2747">
        <f t="shared" si="9"/>
        <v>2907</v>
      </c>
      <c r="R30" s="2752">
        <v>2907</v>
      </c>
      <c r="S30" s="2753"/>
    </row>
    <row r="31" spans="1:19">
      <c r="A31" s="2742" t="s">
        <v>1089</v>
      </c>
      <c r="B31" s="2743" t="s">
        <v>28</v>
      </c>
      <c r="C31" s="2747">
        <f t="shared" si="0"/>
        <v>3462</v>
      </c>
      <c r="D31" s="2747">
        <f t="shared" si="1"/>
        <v>1856</v>
      </c>
      <c r="E31" s="2747">
        <f t="shared" si="2"/>
        <v>1606</v>
      </c>
      <c r="F31" s="2747">
        <f t="shared" si="3"/>
        <v>0</v>
      </c>
      <c r="G31" s="2747">
        <f t="shared" si="4"/>
        <v>0</v>
      </c>
      <c r="H31" s="2752"/>
      <c r="I31" s="2752"/>
      <c r="J31" s="2749">
        <f t="shared" si="6"/>
        <v>0</v>
      </c>
      <c r="K31" s="2753"/>
      <c r="L31" s="2753"/>
      <c r="M31" s="2747">
        <f t="shared" si="7"/>
        <v>3462</v>
      </c>
      <c r="N31" s="2747">
        <f t="shared" si="8"/>
        <v>1856</v>
      </c>
      <c r="O31" s="2752">
        <v>1856</v>
      </c>
      <c r="P31" s="2753"/>
      <c r="Q31" s="2747">
        <f t="shared" si="9"/>
        <v>1606</v>
      </c>
      <c r="R31" s="2752">
        <v>1606</v>
      </c>
      <c r="S31" s="2753"/>
    </row>
  </sheetData>
  <mergeCells count="17">
    <mergeCell ref="A7:A9"/>
    <mergeCell ref="B7:B9"/>
    <mergeCell ref="C7:C9"/>
    <mergeCell ref="D7:E7"/>
    <mergeCell ref="F7:L7"/>
    <mergeCell ref="M7:S7"/>
    <mergeCell ref="D8:D9"/>
    <mergeCell ref="E8:E9"/>
    <mergeCell ref="F8:F9"/>
    <mergeCell ref="G8:I8"/>
    <mergeCell ref="A4:S4"/>
    <mergeCell ref="A5:S5"/>
    <mergeCell ref="J8:L8"/>
    <mergeCell ref="M8:M9"/>
    <mergeCell ref="N8:P8"/>
    <mergeCell ref="A11:B11"/>
    <mergeCell ref="Q8:S8"/>
  </mergeCells>
  <pageMargins left="0.35" right="0.2" top="0.42" bottom="0.38" header="0.3" footer="0.3"/>
  <pageSetup scale="68"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638"/>
  <sheetViews>
    <sheetView showZeros="0" tabSelected="1" topLeftCell="A10" zoomScale="115" zoomScaleNormal="115" zoomScaleSheetLayoutView="96" workbookViewId="0">
      <selection activeCell="I18" sqref="I18"/>
    </sheetView>
  </sheetViews>
  <sheetFormatPr defaultColWidth="9.109375" defaultRowHeight="13.2"/>
  <cols>
    <col min="1" max="1" width="4.5546875" style="2820" customWidth="1"/>
    <col min="2" max="2" width="24.44140625" style="2822" customWidth="1"/>
    <col min="3" max="3" width="9.109375" style="2820" customWidth="1"/>
    <col min="4" max="4" width="8.33203125" style="2820" customWidth="1"/>
    <col min="5" max="5" width="7" style="2820" customWidth="1"/>
    <col min="6" max="6" width="9.44140625" style="2820" customWidth="1"/>
    <col min="7" max="7" width="10.88671875" style="2821" customWidth="1"/>
    <col min="8" max="9" width="9.109375" style="2821"/>
    <col min="10" max="10" width="9.33203125" style="2821" customWidth="1"/>
    <col min="11" max="18" width="9.109375" style="2821" customWidth="1"/>
    <col min="19" max="19" width="9.109375" style="2821"/>
    <col min="20" max="20" width="8.21875" style="2821" customWidth="1"/>
    <col min="21" max="21" width="7.5546875" style="2821" customWidth="1"/>
    <col min="22" max="22" width="8.44140625" style="2821" customWidth="1"/>
    <col min="23" max="23" width="9.33203125" style="2821" customWidth="1"/>
    <col min="24" max="16384" width="9.109375" style="2821"/>
  </cols>
  <sheetData>
    <row r="1" spans="1:25" ht="12.75" customHeight="1">
      <c r="A1" s="3018" t="s">
        <v>69</v>
      </c>
      <c r="B1" s="3018"/>
      <c r="C1" s="3018"/>
      <c r="U1" s="3018" t="s">
        <v>1997</v>
      </c>
      <c r="V1" s="3018"/>
      <c r="W1" s="3018"/>
    </row>
    <row r="3" spans="1:25">
      <c r="A3" s="3018" t="s">
        <v>1530</v>
      </c>
      <c r="B3" s="3018"/>
      <c r="C3" s="3018"/>
      <c r="D3" s="3018"/>
      <c r="E3" s="3018"/>
      <c r="F3" s="3018"/>
      <c r="G3" s="3018"/>
      <c r="H3" s="3018"/>
      <c r="I3" s="3018"/>
      <c r="J3" s="3018"/>
      <c r="K3" s="3018"/>
      <c r="L3" s="3018"/>
      <c r="M3" s="3018"/>
      <c r="N3" s="3018"/>
      <c r="O3" s="3018"/>
      <c r="P3" s="3018"/>
      <c r="Q3" s="3018"/>
      <c r="R3" s="3018"/>
      <c r="S3" s="3018"/>
      <c r="T3" s="3018"/>
      <c r="U3" s="3018"/>
      <c r="V3" s="3018"/>
    </row>
    <row r="4" spans="1:25">
      <c r="A4" s="3019" t="s">
        <v>1055</v>
      </c>
      <c r="B4" s="3019"/>
      <c r="C4" s="3019"/>
      <c r="D4" s="3019"/>
      <c r="E4" s="3019"/>
      <c r="F4" s="3019"/>
      <c r="G4" s="3019"/>
      <c r="H4" s="3019"/>
      <c r="I4" s="3019"/>
      <c r="J4" s="3019"/>
      <c r="K4" s="3019"/>
      <c r="L4" s="3019"/>
      <c r="M4" s="3019"/>
      <c r="N4" s="3019"/>
      <c r="O4" s="3019"/>
      <c r="P4" s="3019"/>
      <c r="Q4" s="3019"/>
      <c r="R4" s="3019"/>
      <c r="S4" s="3019"/>
      <c r="T4" s="3019"/>
      <c r="U4" s="3019"/>
      <c r="V4" s="3019"/>
    </row>
    <row r="5" spans="1:25" ht="12.75" customHeight="1">
      <c r="U5" s="3020" t="s">
        <v>1056</v>
      </c>
      <c r="V5" s="3020"/>
      <c r="W5" s="3020"/>
    </row>
    <row r="6" spans="1:25" ht="18" customHeight="1">
      <c r="A6" s="3017" t="s">
        <v>49</v>
      </c>
      <c r="B6" s="3021" t="s">
        <v>1187</v>
      </c>
      <c r="C6" s="3017" t="s">
        <v>1188</v>
      </c>
      <c r="D6" s="3017" t="s">
        <v>1189</v>
      </c>
      <c r="E6" s="3017" t="s">
        <v>1190</v>
      </c>
      <c r="F6" s="3017" t="s">
        <v>1191</v>
      </c>
      <c r="G6" s="3017"/>
      <c r="H6" s="3017"/>
      <c r="I6" s="3017"/>
      <c r="J6" s="3017"/>
      <c r="K6" s="3017" t="s">
        <v>1531</v>
      </c>
      <c r="L6" s="3017"/>
      <c r="M6" s="3017"/>
      <c r="N6" s="3017"/>
      <c r="O6" s="3017" t="s">
        <v>1532</v>
      </c>
      <c r="P6" s="3017"/>
      <c r="Q6" s="3017"/>
      <c r="R6" s="3017"/>
      <c r="S6" s="3017" t="s">
        <v>1533</v>
      </c>
      <c r="T6" s="3017"/>
      <c r="U6" s="3017"/>
      <c r="V6" s="3017"/>
      <c r="W6" s="3017"/>
    </row>
    <row r="7" spans="1:25" ht="18" customHeight="1">
      <c r="A7" s="3017"/>
      <c r="B7" s="3022"/>
      <c r="C7" s="3017"/>
      <c r="D7" s="3017"/>
      <c r="E7" s="3017"/>
      <c r="F7" s="3017" t="s">
        <v>1192</v>
      </c>
      <c r="G7" s="3017" t="s">
        <v>1193</v>
      </c>
      <c r="H7" s="3017"/>
      <c r="I7" s="3017"/>
      <c r="J7" s="3017"/>
      <c r="K7" s="3017"/>
      <c r="L7" s="3017"/>
      <c r="M7" s="3017"/>
      <c r="N7" s="3017"/>
      <c r="O7" s="3017"/>
      <c r="P7" s="3017"/>
      <c r="Q7" s="3017"/>
      <c r="R7" s="3017"/>
      <c r="S7" s="3017"/>
      <c r="T7" s="3017"/>
      <c r="U7" s="3017"/>
      <c r="V7" s="3017"/>
      <c r="W7" s="3017"/>
    </row>
    <row r="8" spans="1:25" ht="18" customHeight="1">
      <c r="A8" s="3017"/>
      <c r="B8" s="3022"/>
      <c r="C8" s="3017"/>
      <c r="D8" s="3017"/>
      <c r="E8" s="3017"/>
      <c r="F8" s="3017"/>
      <c r="G8" s="3017" t="s">
        <v>1534</v>
      </c>
      <c r="H8" s="3017" t="s">
        <v>1194</v>
      </c>
      <c r="I8" s="3017"/>
      <c r="J8" s="3017"/>
      <c r="K8" s="3017" t="s">
        <v>716</v>
      </c>
      <c r="L8" s="3017" t="s">
        <v>1194</v>
      </c>
      <c r="M8" s="3017"/>
      <c r="N8" s="3017"/>
      <c r="O8" s="3017" t="s">
        <v>716</v>
      </c>
      <c r="P8" s="3017" t="s">
        <v>1194</v>
      </c>
      <c r="Q8" s="3017"/>
      <c r="R8" s="3017"/>
      <c r="S8" s="3017" t="s">
        <v>716</v>
      </c>
      <c r="T8" s="3017" t="s">
        <v>1194</v>
      </c>
      <c r="U8" s="3017"/>
      <c r="V8" s="3017"/>
      <c r="W8" s="3017"/>
    </row>
    <row r="9" spans="1:25" ht="63.75" customHeight="1">
      <c r="A9" s="3017"/>
      <c r="B9" s="3023"/>
      <c r="C9" s="3017"/>
      <c r="D9" s="3017"/>
      <c r="E9" s="3017"/>
      <c r="F9" s="3017"/>
      <c r="G9" s="3017"/>
      <c r="H9" s="2823" t="s">
        <v>1195</v>
      </c>
      <c r="I9" s="2823" t="s">
        <v>1196</v>
      </c>
      <c r="J9" s="2823" t="s">
        <v>1535</v>
      </c>
      <c r="K9" s="3017"/>
      <c r="L9" s="2823" t="s">
        <v>1195</v>
      </c>
      <c r="M9" s="2823" t="s">
        <v>1196</v>
      </c>
      <c r="N9" s="2823" t="s">
        <v>1536</v>
      </c>
      <c r="O9" s="3017"/>
      <c r="P9" s="2823" t="s">
        <v>1195</v>
      </c>
      <c r="Q9" s="2823" t="s">
        <v>1196</v>
      </c>
      <c r="R9" s="2823" t="s">
        <v>1536</v>
      </c>
      <c r="S9" s="3017"/>
      <c r="T9" s="2823" t="s">
        <v>1195</v>
      </c>
      <c r="U9" s="2823" t="s">
        <v>1196</v>
      </c>
      <c r="V9" s="2823" t="s">
        <v>1536</v>
      </c>
      <c r="W9" s="2823" t="s">
        <v>1537</v>
      </c>
    </row>
    <row r="10" spans="1:25">
      <c r="A10" s="2823" t="s">
        <v>80</v>
      </c>
      <c r="B10" s="2823" t="s">
        <v>81</v>
      </c>
      <c r="C10" s="2823">
        <v>1</v>
      </c>
      <c r="D10" s="2823">
        <v>2</v>
      </c>
      <c r="E10" s="2823">
        <v>3</v>
      </c>
      <c r="F10" s="2823">
        <v>4</v>
      </c>
      <c r="G10" s="2823">
        <v>5</v>
      </c>
      <c r="H10" s="2823">
        <v>6</v>
      </c>
      <c r="I10" s="2823">
        <v>7</v>
      </c>
      <c r="J10" s="2823">
        <v>8</v>
      </c>
      <c r="K10" s="2823">
        <v>9</v>
      </c>
      <c r="L10" s="2823">
        <v>10</v>
      </c>
      <c r="M10" s="2823">
        <v>11</v>
      </c>
      <c r="N10" s="2823">
        <v>12</v>
      </c>
      <c r="O10" s="2823">
        <v>13</v>
      </c>
      <c r="P10" s="2823">
        <v>14</v>
      </c>
      <c r="Q10" s="2823">
        <v>15</v>
      </c>
      <c r="R10" s="2823">
        <v>16</v>
      </c>
      <c r="S10" s="2823">
        <v>17</v>
      </c>
      <c r="T10" s="2823">
        <v>18</v>
      </c>
      <c r="U10" s="2823">
        <v>19</v>
      </c>
      <c r="V10" s="2823">
        <v>20</v>
      </c>
      <c r="W10" s="2824"/>
    </row>
    <row r="11" spans="1:25" ht="21" customHeight="1">
      <c r="A11" s="2825"/>
      <c r="B11" s="2825" t="s">
        <v>737</v>
      </c>
      <c r="C11" s="2825"/>
      <c r="D11" s="2825"/>
      <c r="E11" s="2825"/>
      <c r="F11" s="2825"/>
      <c r="G11" s="2826">
        <f t="shared" ref="G11:W11" si="0">G12+G196+G507+G631+G627</f>
        <v>12997766.032143001</v>
      </c>
      <c r="H11" s="2826">
        <f t="shared" si="0"/>
        <v>2847944</v>
      </c>
      <c r="I11" s="2826">
        <f t="shared" si="0"/>
        <v>5970286</v>
      </c>
      <c r="J11" s="2826">
        <f t="shared" si="0"/>
        <v>4179535.8730000001</v>
      </c>
      <c r="K11" s="2826">
        <f t="shared" si="0"/>
        <v>4805431</v>
      </c>
      <c r="L11" s="2826">
        <f t="shared" si="0"/>
        <v>2133811</v>
      </c>
      <c r="M11" s="2826">
        <f t="shared" si="0"/>
        <v>1676229</v>
      </c>
      <c r="N11" s="2826">
        <f t="shared" si="0"/>
        <v>995391</v>
      </c>
      <c r="O11" s="2826">
        <f t="shared" si="0"/>
        <v>5985833</v>
      </c>
      <c r="P11" s="2826">
        <f t="shared" si="0"/>
        <v>2379158</v>
      </c>
      <c r="Q11" s="2826">
        <f t="shared" si="0"/>
        <v>2153201</v>
      </c>
      <c r="R11" s="2826">
        <f t="shared" si="0"/>
        <v>1453474</v>
      </c>
      <c r="S11" s="2826">
        <f t="shared" si="0"/>
        <v>2939943</v>
      </c>
      <c r="T11" s="2826">
        <f t="shared" si="0"/>
        <v>270211</v>
      </c>
      <c r="U11" s="2826">
        <f t="shared" si="0"/>
        <v>955947</v>
      </c>
      <c r="V11" s="2826">
        <f t="shared" si="0"/>
        <v>753785</v>
      </c>
      <c r="W11" s="2826">
        <f t="shared" si="0"/>
        <v>960000</v>
      </c>
    </row>
    <row r="12" spans="1:25" ht="26.4">
      <c r="A12" s="2835" t="s">
        <v>80</v>
      </c>
      <c r="B12" s="2836" t="s">
        <v>1538</v>
      </c>
      <c r="C12" s="2835"/>
      <c r="D12" s="2835"/>
      <c r="E12" s="2835"/>
      <c r="F12" s="2835"/>
      <c r="G12" s="2837">
        <f>G13+G142</f>
        <v>3058034.9841329996</v>
      </c>
      <c r="H12" s="2837">
        <f t="shared" ref="H12:W12" si="1">H13+H142</f>
        <v>1001105</v>
      </c>
      <c r="I12" s="2837">
        <f t="shared" si="1"/>
        <v>1297335</v>
      </c>
      <c r="J12" s="2837">
        <f t="shared" si="1"/>
        <v>759594.87300000002</v>
      </c>
      <c r="K12" s="2837">
        <f t="shared" si="1"/>
        <v>1265626</v>
      </c>
      <c r="L12" s="2837">
        <f t="shared" si="1"/>
        <v>871601</v>
      </c>
      <c r="M12" s="2837">
        <f t="shared" si="1"/>
        <v>246203</v>
      </c>
      <c r="N12" s="2837">
        <f t="shared" si="1"/>
        <v>147822</v>
      </c>
      <c r="O12" s="2837">
        <f t="shared" si="1"/>
        <v>1350593</v>
      </c>
      <c r="P12" s="2837">
        <f t="shared" si="1"/>
        <v>951038</v>
      </c>
      <c r="Q12" s="2837">
        <f t="shared" si="1"/>
        <v>212042</v>
      </c>
      <c r="R12" s="2837">
        <f t="shared" si="1"/>
        <v>187513</v>
      </c>
      <c r="S12" s="2837">
        <f t="shared" si="1"/>
        <v>753785</v>
      </c>
      <c r="T12" s="2837">
        <f t="shared" si="1"/>
        <v>0</v>
      </c>
      <c r="U12" s="2837">
        <f t="shared" si="1"/>
        <v>0</v>
      </c>
      <c r="V12" s="2837">
        <f t="shared" si="1"/>
        <v>753785</v>
      </c>
      <c r="W12" s="2837">
        <f t="shared" si="1"/>
        <v>0</v>
      </c>
    </row>
    <row r="13" spans="1:25">
      <c r="A13" s="2835" t="s">
        <v>1908</v>
      </c>
      <c r="B13" s="2836" t="s">
        <v>1909</v>
      </c>
      <c r="C13" s="2835"/>
      <c r="D13" s="2835"/>
      <c r="E13" s="2835"/>
      <c r="F13" s="2835"/>
      <c r="G13" s="2837">
        <f>G14+G21+G28+G35+G87+G127+G134+G137</f>
        <v>3058034.9841329996</v>
      </c>
      <c r="H13" s="2837">
        <f t="shared" ref="H13:W13" si="2">H14+H21+H28+H35+H87+H127+H134+H137</f>
        <v>1001105</v>
      </c>
      <c r="I13" s="2837">
        <f t="shared" si="2"/>
        <v>1297335</v>
      </c>
      <c r="J13" s="2837">
        <f t="shared" si="2"/>
        <v>759594.87300000002</v>
      </c>
      <c r="K13" s="2837">
        <f t="shared" si="2"/>
        <v>1265626</v>
      </c>
      <c r="L13" s="2837">
        <f t="shared" si="2"/>
        <v>871601</v>
      </c>
      <c r="M13" s="2837">
        <f t="shared" si="2"/>
        <v>246203</v>
      </c>
      <c r="N13" s="2837">
        <f t="shared" si="2"/>
        <v>147822</v>
      </c>
      <c r="O13" s="2837">
        <f t="shared" si="2"/>
        <v>1350593</v>
      </c>
      <c r="P13" s="2837">
        <f t="shared" si="2"/>
        <v>951038</v>
      </c>
      <c r="Q13" s="2837">
        <f t="shared" si="2"/>
        <v>212042</v>
      </c>
      <c r="R13" s="2837">
        <f t="shared" si="2"/>
        <v>187513</v>
      </c>
      <c r="S13" s="2837">
        <f t="shared" si="2"/>
        <v>499190</v>
      </c>
      <c r="T13" s="2837">
        <f t="shared" si="2"/>
        <v>0</v>
      </c>
      <c r="U13" s="2837">
        <f t="shared" si="2"/>
        <v>0</v>
      </c>
      <c r="V13" s="2837">
        <f t="shared" si="2"/>
        <v>499190</v>
      </c>
      <c r="W13" s="2837">
        <f t="shared" si="2"/>
        <v>0</v>
      </c>
    </row>
    <row r="14" spans="1:25" s="2830" customFormat="1">
      <c r="A14" s="2827" t="s">
        <v>54</v>
      </c>
      <c r="B14" s="2828" t="s">
        <v>1539</v>
      </c>
      <c r="C14" s="2827"/>
      <c r="D14" s="2827"/>
      <c r="E14" s="2827"/>
      <c r="F14" s="2827"/>
      <c r="G14" s="2829">
        <f>G15</f>
        <v>0</v>
      </c>
      <c r="H14" s="2829">
        <f t="shared" ref="H14:W14" si="3">H15</f>
        <v>0</v>
      </c>
      <c r="I14" s="2829">
        <f t="shared" si="3"/>
        <v>0</v>
      </c>
      <c r="J14" s="2829">
        <f t="shared" si="3"/>
        <v>0</v>
      </c>
      <c r="K14" s="2829">
        <f t="shared" si="3"/>
        <v>0</v>
      </c>
      <c r="L14" s="2829">
        <f t="shared" si="3"/>
        <v>0</v>
      </c>
      <c r="M14" s="2829">
        <f t="shared" si="3"/>
        <v>0</v>
      </c>
      <c r="N14" s="2829">
        <f t="shared" si="3"/>
        <v>0</v>
      </c>
      <c r="O14" s="2829">
        <f t="shared" si="3"/>
        <v>0</v>
      </c>
      <c r="P14" s="2829">
        <f t="shared" si="3"/>
        <v>0</v>
      </c>
      <c r="Q14" s="2829">
        <f t="shared" si="3"/>
        <v>0</v>
      </c>
      <c r="R14" s="2829">
        <f t="shared" si="3"/>
        <v>0</v>
      </c>
      <c r="S14" s="2829">
        <f t="shared" si="3"/>
        <v>4500</v>
      </c>
      <c r="T14" s="2829">
        <f t="shared" si="3"/>
        <v>0</v>
      </c>
      <c r="U14" s="2829">
        <f t="shared" si="3"/>
        <v>0</v>
      </c>
      <c r="V14" s="2829">
        <f t="shared" si="3"/>
        <v>4500</v>
      </c>
      <c r="W14" s="2829">
        <f t="shared" si="3"/>
        <v>0</v>
      </c>
    </row>
    <row r="15" spans="1:25" s="2834" customFormat="1" ht="26.4">
      <c r="A15" s="2831"/>
      <c r="B15" s="2832" t="s">
        <v>1507</v>
      </c>
      <c r="C15" s="2831"/>
      <c r="D15" s="2831"/>
      <c r="E15" s="2831"/>
      <c r="F15" s="2831"/>
      <c r="G15" s="2833">
        <f>G16+G17</f>
        <v>0</v>
      </c>
      <c r="H15" s="2833">
        <f t="shared" ref="H15:W15" si="4">H16+H17</f>
        <v>0</v>
      </c>
      <c r="I15" s="2833">
        <f t="shared" si="4"/>
        <v>0</v>
      </c>
      <c r="J15" s="2833">
        <f t="shared" si="4"/>
        <v>0</v>
      </c>
      <c r="K15" s="2833">
        <f t="shared" si="4"/>
        <v>0</v>
      </c>
      <c r="L15" s="2833">
        <f t="shared" si="4"/>
        <v>0</v>
      </c>
      <c r="M15" s="2833">
        <f t="shared" si="4"/>
        <v>0</v>
      </c>
      <c r="N15" s="2833">
        <f t="shared" si="4"/>
        <v>0</v>
      </c>
      <c r="O15" s="2833">
        <f t="shared" si="4"/>
        <v>0</v>
      </c>
      <c r="P15" s="2833">
        <f t="shared" si="4"/>
        <v>0</v>
      </c>
      <c r="Q15" s="2833">
        <f t="shared" si="4"/>
        <v>0</v>
      </c>
      <c r="R15" s="2833">
        <f t="shared" si="4"/>
        <v>0</v>
      </c>
      <c r="S15" s="2833">
        <f t="shared" si="4"/>
        <v>4500</v>
      </c>
      <c r="T15" s="2833">
        <f t="shared" si="4"/>
        <v>0</v>
      </c>
      <c r="U15" s="2833">
        <f t="shared" si="4"/>
        <v>0</v>
      </c>
      <c r="V15" s="2833">
        <f t="shared" si="4"/>
        <v>4500</v>
      </c>
      <c r="W15" s="2833">
        <f t="shared" si="4"/>
        <v>0</v>
      </c>
      <c r="Y15" s="2878">
        <f>V142+W423</f>
        <v>415095</v>
      </c>
    </row>
    <row r="16" spans="1:25" s="2839" customFormat="1">
      <c r="A16" s="2835" t="s">
        <v>200</v>
      </c>
      <c r="B16" s="2836" t="s">
        <v>1197</v>
      </c>
      <c r="C16" s="2835"/>
      <c r="D16" s="2835"/>
      <c r="E16" s="2835"/>
      <c r="F16" s="2835"/>
      <c r="G16" s="2837"/>
      <c r="H16" s="2837"/>
      <c r="I16" s="2837"/>
      <c r="J16" s="2837"/>
      <c r="K16" s="2837"/>
      <c r="L16" s="2837"/>
      <c r="M16" s="2837"/>
      <c r="N16" s="2837"/>
      <c r="O16" s="2837"/>
      <c r="P16" s="2837"/>
      <c r="Q16" s="2837"/>
      <c r="R16" s="2837"/>
      <c r="S16" s="2837"/>
      <c r="T16" s="2837"/>
      <c r="U16" s="2837"/>
      <c r="V16" s="2837"/>
      <c r="W16" s="2838"/>
    </row>
    <row r="17" spans="1:23" s="2839" customFormat="1">
      <c r="A17" s="2835" t="s">
        <v>208</v>
      </c>
      <c r="B17" s="2836" t="s">
        <v>1198</v>
      </c>
      <c r="C17" s="2835"/>
      <c r="D17" s="2835"/>
      <c r="E17" s="2835"/>
      <c r="F17" s="2835"/>
      <c r="G17" s="2837">
        <f>G18+G19</f>
        <v>0</v>
      </c>
      <c r="H17" s="2837">
        <f t="shared" ref="H17:W17" si="5">H18+H19</f>
        <v>0</v>
      </c>
      <c r="I17" s="2837">
        <f t="shared" si="5"/>
        <v>0</v>
      </c>
      <c r="J17" s="2837">
        <f t="shared" si="5"/>
        <v>0</v>
      </c>
      <c r="K17" s="2837">
        <f t="shared" si="5"/>
        <v>0</v>
      </c>
      <c r="L17" s="2837">
        <f t="shared" si="5"/>
        <v>0</v>
      </c>
      <c r="M17" s="2837">
        <f t="shared" si="5"/>
        <v>0</v>
      </c>
      <c r="N17" s="2837">
        <f t="shared" si="5"/>
        <v>0</v>
      </c>
      <c r="O17" s="2837">
        <f t="shared" si="5"/>
        <v>0</v>
      </c>
      <c r="P17" s="2837">
        <f t="shared" si="5"/>
        <v>0</v>
      </c>
      <c r="Q17" s="2837">
        <f t="shared" si="5"/>
        <v>0</v>
      </c>
      <c r="R17" s="2837">
        <f t="shared" si="5"/>
        <v>0</v>
      </c>
      <c r="S17" s="2837">
        <f t="shared" si="5"/>
        <v>4500</v>
      </c>
      <c r="T17" s="2837">
        <f t="shared" si="5"/>
        <v>0</v>
      </c>
      <c r="U17" s="2837">
        <f t="shared" si="5"/>
        <v>0</v>
      </c>
      <c r="V17" s="2837">
        <f t="shared" si="5"/>
        <v>4500</v>
      </c>
      <c r="W17" s="2837">
        <f t="shared" si="5"/>
        <v>0</v>
      </c>
    </row>
    <row r="18" spans="1:23" s="2844" customFormat="1" ht="52.8">
      <c r="A18" s="2840" t="s">
        <v>441</v>
      </c>
      <c r="B18" s="2841" t="s">
        <v>1540</v>
      </c>
      <c r="C18" s="2840"/>
      <c r="D18" s="2840"/>
      <c r="E18" s="2840"/>
      <c r="F18" s="2840"/>
      <c r="G18" s="2842"/>
      <c r="H18" s="2842"/>
      <c r="I18" s="2842"/>
      <c r="J18" s="2842"/>
      <c r="K18" s="2842"/>
      <c r="L18" s="2842"/>
      <c r="M18" s="2842"/>
      <c r="N18" s="2842"/>
      <c r="O18" s="2842"/>
      <c r="P18" s="2842"/>
      <c r="Q18" s="2842"/>
      <c r="R18" s="2842"/>
      <c r="S18" s="2842"/>
      <c r="T18" s="2842"/>
      <c r="U18" s="2842"/>
      <c r="V18" s="2842"/>
      <c r="W18" s="2843"/>
    </row>
    <row r="19" spans="1:23" s="2847" customFormat="1" ht="26.4">
      <c r="A19" s="2845" t="s">
        <v>463</v>
      </c>
      <c r="B19" s="2841" t="s">
        <v>1541</v>
      </c>
      <c r="C19" s="2845"/>
      <c r="D19" s="2845"/>
      <c r="E19" s="2845"/>
      <c r="F19" s="2845"/>
      <c r="G19" s="2846">
        <f>G20</f>
        <v>0</v>
      </c>
      <c r="H19" s="2846">
        <f t="shared" ref="H19:W19" si="6">H20</f>
        <v>0</v>
      </c>
      <c r="I19" s="2846">
        <f t="shared" si="6"/>
        <v>0</v>
      </c>
      <c r="J19" s="2846">
        <f t="shared" si="6"/>
        <v>0</v>
      </c>
      <c r="K19" s="2846">
        <f t="shared" si="6"/>
        <v>0</v>
      </c>
      <c r="L19" s="2846">
        <f t="shared" si="6"/>
        <v>0</v>
      </c>
      <c r="M19" s="2846">
        <f t="shared" si="6"/>
        <v>0</v>
      </c>
      <c r="N19" s="2846">
        <f t="shared" si="6"/>
        <v>0</v>
      </c>
      <c r="O19" s="2846">
        <f>O20</f>
        <v>0</v>
      </c>
      <c r="P19" s="2846">
        <f t="shared" si="6"/>
        <v>0</v>
      </c>
      <c r="Q19" s="2846">
        <f t="shared" si="6"/>
        <v>0</v>
      </c>
      <c r="R19" s="2846">
        <f t="shared" si="6"/>
        <v>0</v>
      </c>
      <c r="S19" s="2846">
        <f t="shared" si="6"/>
        <v>4500</v>
      </c>
      <c r="T19" s="2846">
        <f t="shared" si="6"/>
        <v>0</v>
      </c>
      <c r="U19" s="2846">
        <f t="shared" si="6"/>
        <v>0</v>
      </c>
      <c r="V19" s="2846">
        <f t="shared" si="6"/>
        <v>4500</v>
      </c>
      <c r="W19" s="2846">
        <f t="shared" si="6"/>
        <v>0</v>
      </c>
    </row>
    <row r="20" spans="1:23" ht="39.6">
      <c r="A20" s="2848"/>
      <c r="B20" s="2849" t="s">
        <v>1542</v>
      </c>
      <c r="C20" s="2848" t="s">
        <v>32</v>
      </c>
      <c r="D20" s="2848" t="s">
        <v>1543</v>
      </c>
      <c r="E20" s="2848" t="s">
        <v>1544</v>
      </c>
      <c r="F20" s="2848"/>
      <c r="G20" s="2850"/>
      <c r="H20" s="2850"/>
      <c r="I20" s="2850"/>
      <c r="J20" s="2850"/>
      <c r="K20" s="2850">
        <f>SUM(L20:N20)</f>
        <v>0</v>
      </c>
      <c r="L20" s="2850"/>
      <c r="M20" s="2850"/>
      <c r="N20" s="2850"/>
      <c r="O20" s="2850">
        <f>SUM(P20:R20)</f>
        <v>0</v>
      </c>
      <c r="P20" s="2850"/>
      <c r="Q20" s="2850"/>
      <c r="R20" s="2850"/>
      <c r="S20" s="2850">
        <f>SUM(T20:W20)</f>
        <v>4500</v>
      </c>
      <c r="T20" s="2850"/>
      <c r="U20" s="2850"/>
      <c r="V20" s="2850">
        <v>4500</v>
      </c>
      <c r="W20" s="2851"/>
    </row>
    <row r="21" spans="1:23" s="2830" customFormat="1" ht="26.4">
      <c r="A21" s="2827" t="s">
        <v>60</v>
      </c>
      <c r="B21" s="2828" t="s">
        <v>1545</v>
      </c>
      <c r="C21" s="2827"/>
      <c r="D21" s="2827"/>
      <c r="E21" s="2827"/>
      <c r="F21" s="2827"/>
      <c r="G21" s="2829">
        <f>G22</f>
        <v>6690</v>
      </c>
      <c r="H21" s="2829">
        <f t="shared" ref="H21:W21" si="7">H22</f>
        <v>0</v>
      </c>
      <c r="I21" s="2829">
        <f t="shared" si="7"/>
        <v>0</v>
      </c>
      <c r="J21" s="2829">
        <f t="shared" si="7"/>
        <v>6690</v>
      </c>
      <c r="K21" s="2829">
        <f t="shared" si="7"/>
        <v>3126</v>
      </c>
      <c r="L21" s="2829">
        <f t="shared" si="7"/>
        <v>0</v>
      </c>
      <c r="M21" s="2829">
        <f t="shared" si="7"/>
        <v>0</v>
      </c>
      <c r="N21" s="2829">
        <f t="shared" si="7"/>
        <v>3126</v>
      </c>
      <c r="O21" s="2829">
        <f t="shared" si="7"/>
        <v>4000</v>
      </c>
      <c r="P21" s="2829">
        <f t="shared" si="7"/>
        <v>0</v>
      </c>
      <c r="Q21" s="2829">
        <f t="shared" si="7"/>
        <v>0</v>
      </c>
      <c r="R21" s="2829">
        <f t="shared" si="7"/>
        <v>4000</v>
      </c>
      <c r="S21" s="2829">
        <f t="shared" si="7"/>
        <v>2000</v>
      </c>
      <c r="T21" s="2829">
        <f t="shared" si="7"/>
        <v>0</v>
      </c>
      <c r="U21" s="2829">
        <f t="shared" si="7"/>
        <v>0</v>
      </c>
      <c r="V21" s="2829">
        <f t="shared" si="7"/>
        <v>2000</v>
      </c>
      <c r="W21" s="2829">
        <f t="shared" si="7"/>
        <v>0</v>
      </c>
    </row>
    <row r="22" spans="1:23" s="2834" customFormat="1">
      <c r="A22" s="2831"/>
      <c r="B22" s="2832" t="s">
        <v>1462</v>
      </c>
      <c r="C22" s="2831"/>
      <c r="D22" s="2831"/>
      <c r="E22" s="2831"/>
      <c r="F22" s="2831"/>
      <c r="G22" s="2833">
        <f>G23+G24</f>
        <v>6690</v>
      </c>
      <c r="H22" s="2833">
        <f t="shared" ref="H22:W22" si="8">H23+H24</f>
        <v>0</v>
      </c>
      <c r="I22" s="2833">
        <f t="shared" si="8"/>
        <v>0</v>
      </c>
      <c r="J22" s="2833">
        <f t="shared" si="8"/>
        <v>6690</v>
      </c>
      <c r="K22" s="2833">
        <f t="shared" si="8"/>
        <v>3126</v>
      </c>
      <c r="L22" s="2833">
        <f t="shared" si="8"/>
        <v>0</v>
      </c>
      <c r="M22" s="2833">
        <f t="shared" si="8"/>
        <v>0</v>
      </c>
      <c r="N22" s="2833">
        <f t="shared" si="8"/>
        <v>3126</v>
      </c>
      <c r="O22" s="2833">
        <f t="shared" si="8"/>
        <v>4000</v>
      </c>
      <c r="P22" s="2833">
        <f t="shared" si="8"/>
        <v>0</v>
      </c>
      <c r="Q22" s="2833">
        <f t="shared" si="8"/>
        <v>0</v>
      </c>
      <c r="R22" s="2833">
        <f t="shared" si="8"/>
        <v>4000</v>
      </c>
      <c r="S22" s="2833">
        <f t="shared" si="8"/>
        <v>2000</v>
      </c>
      <c r="T22" s="2833">
        <f t="shared" si="8"/>
        <v>0</v>
      </c>
      <c r="U22" s="2833">
        <f t="shared" si="8"/>
        <v>0</v>
      </c>
      <c r="V22" s="2833">
        <f t="shared" si="8"/>
        <v>2000</v>
      </c>
      <c r="W22" s="2833">
        <f t="shared" si="8"/>
        <v>0</v>
      </c>
    </row>
    <row r="23" spans="1:23" s="2839" customFormat="1">
      <c r="A23" s="2835" t="s">
        <v>200</v>
      </c>
      <c r="B23" s="2836" t="s">
        <v>1197</v>
      </c>
      <c r="C23" s="2835"/>
      <c r="D23" s="2835"/>
      <c r="E23" s="2835"/>
      <c r="F23" s="2835"/>
      <c r="G23" s="2837"/>
      <c r="H23" s="2837"/>
      <c r="I23" s="2837"/>
      <c r="J23" s="2837"/>
      <c r="K23" s="2837"/>
      <c r="L23" s="2837"/>
      <c r="M23" s="2837"/>
      <c r="N23" s="2837"/>
      <c r="O23" s="2837"/>
      <c r="P23" s="2837"/>
      <c r="Q23" s="2837"/>
      <c r="R23" s="2837"/>
      <c r="S23" s="2837"/>
      <c r="T23" s="2837"/>
      <c r="U23" s="2837"/>
      <c r="V23" s="2837"/>
      <c r="W23" s="2838"/>
    </row>
    <row r="24" spans="1:23" s="2839" customFormat="1">
      <c r="A24" s="2835" t="s">
        <v>208</v>
      </c>
      <c r="B24" s="2836" t="s">
        <v>1198</v>
      </c>
      <c r="C24" s="2835"/>
      <c r="D24" s="2835"/>
      <c r="E24" s="2835"/>
      <c r="F24" s="2835"/>
      <c r="G24" s="2837">
        <f>G25+G26</f>
        <v>6690</v>
      </c>
      <c r="H24" s="2837">
        <f t="shared" ref="H24:W24" si="9">H25+H26</f>
        <v>0</v>
      </c>
      <c r="I24" s="2837">
        <f t="shared" si="9"/>
        <v>0</v>
      </c>
      <c r="J24" s="2837">
        <f t="shared" si="9"/>
        <v>6690</v>
      </c>
      <c r="K24" s="2837">
        <f t="shared" si="9"/>
        <v>3126</v>
      </c>
      <c r="L24" s="2837">
        <f t="shared" si="9"/>
        <v>0</v>
      </c>
      <c r="M24" s="2837">
        <f t="shared" si="9"/>
        <v>0</v>
      </c>
      <c r="N24" s="2837">
        <f t="shared" si="9"/>
        <v>3126</v>
      </c>
      <c r="O24" s="2837">
        <f t="shared" si="9"/>
        <v>4000</v>
      </c>
      <c r="P24" s="2837">
        <f t="shared" si="9"/>
        <v>0</v>
      </c>
      <c r="Q24" s="2837">
        <f t="shared" si="9"/>
        <v>0</v>
      </c>
      <c r="R24" s="2837">
        <f t="shared" si="9"/>
        <v>4000</v>
      </c>
      <c r="S24" s="2837">
        <f t="shared" si="9"/>
        <v>2000</v>
      </c>
      <c r="T24" s="2837">
        <f t="shared" si="9"/>
        <v>0</v>
      </c>
      <c r="U24" s="2837">
        <f t="shared" si="9"/>
        <v>0</v>
      </c>
      <c r="V24" s="2837">
        <f t="shared" si="9"/>
        <v>2000</v>
      </c>
      <c r="W24" s="2837">
        <f t="shared" si="9"/>
        <v>0</v>
      </c>
    </row>
    <row r="25" spans="1:23" s="2844" customFormat="1" ht="52.8">
      <c r="A25" s="2840" t="s">
        <v>441</v>
      </c>
      <c r="B25" s="2841" t="s">
        <v>1540</v>
      </c>
      <c r="C25" s="2840"/>
      <c r="D25" s="2840"/>
      <c r="E25" s="2840"/>
      <c r="F25" s="2840"/>
      <c r="G25" s="2842"/>
      <c r="H25" s="2842"/>
      <c r="I25" s="2842"/>
      <c r="J25" s="2842"/>
      <c r="K25" s="2842"/>
      <c r="L25" s="2842"/>
      <c r="M25" s="2842"/>
      <c r="N25" s="2842"/>
      <c r="O25" s="2842"/>
      <c r="P25" s="2842"/>
      <c r="Q25" s="2842"/>
      <c r="R25" s="2842"/>
      <c r="S25" s="2842"/>
      <c r="T25" s="2842"/>
      <c r="U25" s="2842"/>
      <c r="V25" s="2842"/>
      <c r="W25" s="2843"/>
    </row>
    <row r="26" spans="1:23" s="2847" customFormat="1" ht="26.4">
      <c r="A26" s="2845" t="s">
        <v>463</v>
      </c>
      <c r="B26" s="2841" t="s">
        <v>1541</v>
      </c>
      <c r="C26" s="2845"/>
      <c r="D26" s="2845"/>
      <c r="E26" s="2845"/>
      <c r="F26" s="2845"/>
      <c r="G26" s="2846">
        <f>G27</f>
        <v>6690</v>
      </c>
      <c r="H26" s="2846">
        <f t="shared" ref="H26:W26" si="10">H27</f>
        <v>0</v>
      </c>
      <c r="I26" s="2846">
        <f t="shared" si="10"/>
        <v>0</v>
      </c>
      <c r="J26" s="2846">
        <f t="shared" si="10"/>
        <v>6690</v>
      </c>
      <c r="K26" s="2846">
        <f t="shared" si="10"/>
        <v>3126</v>
      </c>
      <c r="L26" s="2846">
        <f t="shared" si="10"/>
        <v>0</v>
      </c>
      <c r="M26" s="2846">
        <f t="shared" si="10"/>
        <v>0</v>
      </c>
      <c r="N26" s="2846">
        <f t="shared" si="10"/>
        <v>3126</v>
      </c>
      <c r="O26" s="2846">
        <f t="shared" si="10"/>
        <v>4000</v>
      </c>
      <c r="P26" s="2846">
        <f t="shared" si="10"/>
        <v>0</v>
      </c>
      <c r="Q26" s="2846">
        <f t="shared" si="10"/>
        <v>0</v>
      </c>
      <c r="R26" s="2846">
        <f t="shared" si="10"/>
        <v>4000</v>
      </c>
      <c r="S26" s="2846">
        <f t="shared" si="10"/>
        <v>2000</v>
      </c>
      <c r="T26" s="2846">
        <f t="shared" si="10"/>
        <v>0</v>
      </c>
      <c r="U26" s="2846">
        <f t="shared" si="10"/>
        <v>0</v>
      </c>
      <c r="V26" s="2846">
        <f t="shared" si="10"/>
        <v>2000</v>
      </c>
      <c r="W26" s="2846">
        <f t="shared" si="10"/>
        <v>0</v>
      </c>
    </row>
    <row r="27" spans="1:23" ht="52.8">
      <c r="A27" s="2848"/>
      <c r="B27" s="2849" t="s">
        <v>1546</v>
      </c>
      <c r="C27" s="2848" t="s">
        <v>36</v>
      </c>
      <c r="D27" s="2848" t="s">
        <v>1547</v>
      </c>
      <c r="E27" s="2848" t="s">
        <v>1544</v>
      </c>
      <c r="F27" s="2848" t="s">
        <v>1548</v>
      </c>
      <c r="G27" s="2850">
        <v>6690</v>
      </c>
      <c r="H27" s="2850"/>
      <c r="I27" s="2850"/>
      <c r="J27" s="2850">
        <v>6690</v>
      </c>
      <c r="K27" s="2850">
        <f>SUM(L27:N27)</f>
        <v>3126</v>
      </c>
      <c r="L27" s="2850"/>
      <c r="M27" s="2850"/>
      <c r="N27" s="2850">
        <v>3126</v>
      </c>
      <c r="O27" s="2850">
        <f>SUM(P27:R27)</f>
        <v>4000</v>
      </c>
      <c r="P27" s="2850"/>
      <c r="Q27" s="2850"/>
      <c r="R27" s="2850">
        <v>4000</v>
      </c>
      <c r="S27" s="2850">
        <f>SUM(T27:W27)</f>
        <v>2000</v>
      </c>
      <c r="T27" s="2850"/>
      <c r="U27" s="2850"/>
      <c r="V27" s="2850">
        <v>2000</v>
      </c>
      <c r="W27" s="2851"/>
    </row>
    <row r="28" spans="1:23" s="2830" customFormat="1">
      <c r="A28" s="2827" t="s">
        <v>315</v>
      </c>
      <c r="B28" s="2828" t="s">
        <v>1549</v>
      </c>
      <c r="C28" s="2827"/>
      <c r="D28" s="2827"/>
      <c r="E28" s="2827"/>
      <c r="F28" s="2827"/>
      <c r="G28" s="2829">
        <f>G29</f>
        <v>3300</v>
      </c>
      <c r="H28" s="2829">
        <f t="shared" ref="H28:W28" si="11">H29</f>
        <v>0</v>
      </c>
      <c r="I28" s="2829">
        <f t="shared" si="11"/>
        <v>0</v>
      </c>
      <c r="J28" s="2829">
        <f t="shared" si="11"/>
        <v>3300</v>
      </c>
      <c r="K28" s="2829">
        <f t="shared" si="11"/>
        <v>0</v>
      </c>
      <c r="L28" s="2829">
        <f t="shared" si="11"/>
        <v>0</v>
      </c>
      <c r="M28" s="2829">
        <f t="shared" si="11"/>
        <v>0</v>
      </c>
      <c r="N28" s="2829">
        <f t="shared" si="11"/>
        <v>0</v>
      </c>
      <c r="O28" s="2829">
        <f t="shared" si="11"/>
        <v>0</v>
      </c>
      <c r="P28" s="2829">
        <f t="shared" si="11"/>
        <v>0</v>
      </c>
      <c r="Q28" s="2829">
        <f t="shared" si="11"/>
        <v>0</v>
      </c>
      <c r="R28" s="2829">
        <f t="shared" si="11"/>
        <v>0</v>
      </c>
      <c r="S28" s="2829">
        <f t="shared" si="11"/>
        <v>3000</v>
      </c>
      <c r="T28" s="2829">
        <f t="shared" si="11"/>
        <v>0</v>
      </c>
      <c r="U28" s="2829">
        <f t="shared" si="11"/>
        <v>0</v>
      </c>
      <c r="V28" s="2829">
        <f t="shared" si="11"/>
        <v>3000</v>
      </c>
      <c r="W28" s="2829">
        <f t="shared" si="11"/>
        <v>0</v>
      </c>
    </row>
    <row r="29" spans="1:23" s="2834" customFormat="1">
      <c r="A29" s="2831"/>
      <c r="B29" s="2832" t="s">
        <v>1509</v>
      </c>
      <c r="C29" s="2831"/>
      <c r="D29" s="2831"/>
      <c r="E29" s="2831"/>
      <c r="F29" s="2831"/>
      <c r="G29" s="2833">
        <f>G30+G31</f>
        <v>3300</v>
      </c>
      <c r="H29" s="2833">
        <f t="shared" ref="H29:W29" si="12">H30+H31</f>
        <v>0</v>
      </c>
      <c r="I29" s="2833">
        <f t="shared" si="12"/>
        <v>0</v>
      </c>
      <c r="J29" s="2833">
        <f t="shared" si="12"/>
        <v>3300</v>
      </c>
      <c r="K29" s="2833">
        <f t="shared" si="12"/>
        <v>0</v>
      </c>
      <c r="L29" s="2833">
        <f t="shared" si="12"/>
        <v>0</v>
      </c>
      <c r="M29" s="2833">
        <f t="shared" si="12"/>
        <v>0</v>
      </c>
      <c r="N29" s="2833">
        <f t="shared" si="12"/>
        <v>0</v>
      </c>
      <c r="O29" s="2833">
        <f t="shared" si="12"/>
        <v>0</v>
      </c>
      <c r="P29" s="2833">
        <f t="shared" si="12"/>
        <v>0</v>
      </c>
      <c r="Q29" s="2833">
        <f t="shared" si="12"/>
        <v>0</v>
      </c>
      <c r="R29" s="2833">
        <f t="shared" si="12"/>
        <v>0</v>
      </c>
      <c r="S29" s="2833">
        <f t="shared" si="12"/>
        <v>3000</v>
      </c>
      <c r="T29" s="2833">
        <f t="shared" si="12"/>
        <v>0</v>
      </c>
      <c r="U29" s="2833">
        <f t="shared" si="12"/>
        <v>0</v>
      </c>
      <c r="V29" s="2833">
        <f t="shared" si="12"/>
        <v>3000</v>
      </c>
      <c r="W29" s="2833">
        <f t="shared" si="12"/>
        <v>0</v>
      </c>
    </row>
    <row r="30" spans="1:23" s="2839" customFormat="1">
      <c r="A30" s="2835" t="s">
        <v>200</v>
      </c>
      <c r="B30" s="2836" t="s">
        <v>1197</v>
      </c>
      <c r="C30" s="2835"/>
      <c r="D30" s="2835"/>
      <c r="E30" s="2835"/>
      <c r="F30" s="2835"/>
      <c r="G30" s="2837"/>
      <c r="H30" s="2837"/>
      <c r="I30" s="2837"/>
      <c r="J30" s="2837"/>
      <c r="K30" s="2837"/>
      <c r="L30" s="2837"/>
      <c r="M30" s="2837"/>
      <c r="N30" s="2837"/>
      <c r="O30" s="2837"/>
      <c r="P30" s="2837"/>
      <c r="Q30" s="2837"/>
      <c r="R30" s="2837"/>
      <c r="S30" s="2837"/>
      <c r="T30" s="2837"/>
      <c r="U30" s="2837"/>
      <c r="V30" s="2837"/>
      <c r="W30" s="2838"/>
    </row>
    <row r="31" spans="1:23" s="2839" customFormat="1">
      <c r="A31" s="2835" t="s">
        <v>208</v>
      </c>
      <c r="B31" s="2836" t="s">
        <v>1198</v>
      </c>
      <c r="C31" s="2835"/>
      <c r="D31" s="2835"/>
      <c r="E31" s="2835"/>
      <c r="F31" s="2835"/>
      <c r="G31" s="2837">
        <f>G32+G33</f>
        <v>3300</v>
      </c>
      <c r="H31" s="2837">
        <f t="shared" ref="H31:W31" si="13">H32+H33</f>
        <v>0</v>
      </c>
      <c r="I31" s="2837">
        <f t="shared" si="13"/>
        <v>0</v>
      </c>
      <c r="J31" s="2837">
        <f t="shared" si="13"/>
        <v>3300</v>
      </c>
      <c r="K31" s="2837">
        <f t="shared" si="13"/>
        <v>0</v>
      </c>
      <c r="L31" s="2837">
        <f t="shared" si="13"/>
        <v>0</v>
      </c>
      <c r="M31" s="2837">
        <f t="shared" si="13"/>
        <v>0</v>
      </c>
      <c r="N31" s="2837">
        <f t="shared" si="13"/>
        <v>0</v>
      </c>
      <c r="O31" s="2837">
        <f t="shared" si="13"/>
        <v>0</v>
      </c>
      <c r="P31" s="2837">
        <f t="shared" si="13"/>
        <v>0</v>
      </c>
      <c r="Q31" s="2837">
        <f t="shared" si="13"/>
        <v>0</v>
      </c>
      <c r="R31" s="2837">
        <f t="shared" si="13"/>
        <v>0</v>
      </c>
      <c r="S31" s="2837">
        <f t="shared" si="13"/>
        <v>3000</v>
      </c>
      <c r="T31" s="2837">
        <f t="shared" si="13"/>
        <v>0</v>
      </c>
      <c r="U31" s="2837">
        <f t="shared" si="13"/>
        <v>0</v>
      </c>
      <c r="V31" s="2837">
        <f t="shared" si="13"/>
        <v>3000</v>
      </c>
      <c r="W31" s="2837">
        <f t="shared" si="13"/>
        <v>0</v>
      </c>
    </row>
    <row r="32" spans="1:23" s="2844" customFormat="1" ht="52.8">
      <c r="A32" s="2840" t="s">
        <v>441</v>
      </c>
      <c r="B32" s="2841" t="s">
        <v>1540</v>
      </c>
      <c r="C32" s="2840"/>
      <c r="D32" s="2840"/>
      <c r="E32" s="2840"/>
      <c r="F32" s="2840"/>
      <c r="G32" s="2842"/>
      <c r="H32" s="2842"/>
      <c r="I32" s="2842"/>
      <c r="J32" s="2842"/>
      <c r="K32" s="2842"/>
      <c r="L32" s="2842"/>
      <c r="M32" s="2842"/>
      <c r="N32" s="2842"/>
      <c r="O32" s="2842"/>
      <c r="P32" s="2842"/>
      <c r="Q32" s="2842"/>
      <c r="R32" s="2842"/>
      <c r="S32" s="2842"/>
      <c r="T32" s="2842"/>
      <c r="U32" s="2842"/>
      <c r="V32" s="2842"/>
      <c r="W32" s="2843"/>
    </row>
    <row r="33" spans="1:23" s="2847" customFormat="1" ht="26.4">
      <c r="A33" s="2845" t="s">
        <v>463</v>
      </c>
      <c r="B33" s="2841" t="s">
        <v>1541</v>
      </c>
      <c r="C33" s="2845"/>
      <c r="D33" s="2845"/>
      <c r="E33" s="2845"/>
      <c r="F33" s="2845"/>
      <c r="G33" s="2846">
        <f>G34</f>
        <v>3300</v>
      </c>
      <c r="H33" s="2846">
        <f t="shared" ref="H33:W33" si="14">H34</f>
        <v>0</v>
      </c>
      <c r="I33" s="2846">
        <f t="shared" si="14"/>
        <v>0</v>
      </c>
      <c r="J33" s="2846">
        <f t="shared" si="14"/>
        <v>3300</v>
      </c>
      <c r="K33" s="2846">
        <f t="shared" si="14"/>
        <v>0</v>
      </c>
      <c r="L33" s="2846">
        <f t="shared" si="14"/>
        <v>0</v>
      </c>
      <c r="M33" s="2846">
        <f t="shared" si="14"/>
        <v>0</v>
      </c>
      <c r="N33" s="2846">
        <f t="shared" si="14"/>
        <v>0</v>
      </c>
      <c r="O33" s="2846">
        <f t="shared" si="14"/>
        <v>0</v>
      </c>
      <c r="P33" s="2846">
        <f t="shared" si="14"/>
        <v>0</v>
      </c>
      <c r="Q33" s="2846">
        <f t="shared" si="14"/>
        <v>0</v>
      </c>
      <c r="R33" s="2846">
        <f t="shared" si="14"/>
        <v>0</v>
      </c>
      <c r="S33" s="2846">
        <f t="shared" si="14"/>
        <v>3000</v>
      </c>
      <c r="T33" s="2846">
        <f t="shared" si="14"/>
        <v>0</v>
      </c>
      <c r="U33" s="2846">
        <f t="shared" si="14"/>
        <v>0</v>
      </c>
      <c r="V33" s="2846">
        <f t="shared" si="14"/>
        <v>3000</v>
      </c>
      <c r="W33" s="2846">
        <f t="shared" si="14"/>
        <v>0</v>
      </c>
    </row>
    <row r="34" spans="1:23" ht="26.4">
      <c r="A34" s="2848"/>
      <c r="B34" s="2849" t="s">
        <v>1550</v>
      </c>
      <c r="C34" s="2848" t="s">
        <v>41</v>
      </c>
      <c r="D34" s="2848" t="s">
        <v>1551</v>
      </c>
      <c r="E34" s="2848" t="s">
        <v>1544</v>
      </c>
      <c r="F34" s="2848"/>
      <c r="G34" s="2850">
        <v>3300</v>
      </c>
      <c r="H34" s="2850"/>
      <c r="I34" s="2850"/>
      <c r="J34" s="2850">
        <v>3300</v>
      </c>
      <c r="K34" s="2850">
        <f>SUM(L34:N34)</f>
        <v>0</v>
      </c>
      <c r="L34" s="2850"/>
      <c r="M34" s="2850"/>
      <c r="N34" s="2850"/>
      <c r="O34" s="2850">
        <f>SUM(P34:R34)</f>
        <v>0</v>
      </c>
      <c r="P34" s="2850"/>
      <c r="Q34" s="2851"/>
      <c r="R34" s="2850"/>
      <c r="S34" s="2850">
        <f>SUM(T34:W34)</f>
        <v>3000</v>
      </c>
      <c r="T34" s="2850"/>
      <c r="U34" s="2850"/>
      <c r="V34" s="2850">
        <v>3000</v>
      </c>
      <c r="W34" s="2851"/>
    </row>
    <row r="35" spans="1:23" s="2830" customFormat="1" ht="26.4">
      <c r="A35" s="2827" t="s">
        <v>317</v>
      </c>
      <c r="B35" s="2828" t="s">
        <v>1552</v>
      </c>
      <c r="C35" s="2827"/>
      <c r="D35" s="2827"/>
      <c r="E35" s="2827"/>
      <c r="F35" s="2827"/>
      <c r="G35" s="2829">
        <f>G36+G47+G53+G65+G72+G80</f>
        <v>2656699.2769999998</v>
      </c>
      <c r="H35" s="2829">
        <f t="shared" ref="H35:W35" si="15">H36+H47+H53+H65+H72+H80</f>
        <v>953798</v>
      </c>
      <c r="I35" s="2829">
        <f t="shared" si="15"/>
        <v>1107335</v>
      </c>
      <c r="J35" s="2829">
        <f t="shared" si="15"/>
        <v>595566.59600000002</v>
      </c>
      <c r="K35" s="2829">
        <f t="shared" si="15"/>
        <v>1178391</v>
      </c>
      <c r="L35" s="2829">
        <f t="shared" si="15"/>
        <v>871601</v>
      </c>
      <c r="M35" s="2829">
        <f t="shared" si="15"/>
        <v>197321</v>
      </c>
      <c r="N35" s="2829">
        <f t="shared" si="15"/>
        <v>109469</v>
      </c>
      <c r="O35" s="2829">
        <f t="shared" si="15"/>
        <v>1215618</v>
      </c>
      <c r="P35" s="2829">
        <f t="shared" si="15"/>
        <v>951038</v>
      </c>
      <c r="Q35" s="2829">
        <f t="shared" si="15"/>
        <v>140853</v>
      </c>
      <c r="R35" s="2829">
        <f t="shared" si="15"/>
        <v>123727</v>
      </c>
      <c r="S35" s="2829">
        <f t="shared" si="15"/>
        <v>313230</v>
      </c>
      <c r="T35" s="2829">
        <f t="shared" si="15"/>
        <v>0</v>
      </c>
      <c r="U35" s="2829">
        <f t="shared" si="15"/>
        <v>0</v>
      </c>
      <c r="V35" s="2829">
        <f t="shared" si="15"/>
        <v>313230</v>
      </c>
      <c r="W35" s="2829">
        <f t="shared" si="15"/>
        <v>0</v>
      </c>
    </row>
    <row r="36" spans="1:23" s="2834" customFormat="1" ht="26.4">
      <c r="A36" s="2831">
        <v>1</v>
      </c>
      <c r="B36" s="2832" t="s">
        <v>1510</v>
      </c>
      <c r="C36" s="2831"/>
      <c r="D36" s="2831"/>
      <c r="E36" s="2831"/>
      <c r="F36" s="2831"/>
      <c r="G36" s="2833">
        <f>G37+G38</f>
        <v>736591</v>
      </c>
      <c r="H36" s="2833">
        <f t="shared" ref="H36:W36" si="16">H37+H38</f>
        <v>79438</v>
      </c>
      <c r="I36" s="2833">
        <f t="shared" si="16"/>
        <v>590693</v>
      </c>
      <c r="J36" s="2833">
        <f t="shared" si="16"/>
        <v>66460</v>
      </c>
      <c r="K36" s="2833">
        <f t="shared" si="16"/>
        <v>81159</v>
      </c>
      <c r="L36" s="2833">
        <f t="shared" si="16"/>
        <v>0</v>
      </c>
      <c r="M36" s="2833">
        <f t="shared" si="16"/>
        <v>80329</v>
      </c>
      <c r="N36" s="2833">
        <f t="shared" si="16"/>
        <v>830</v>
      </c>
      <c r="O36" s="2833">
        <f t="shared" si="16"/>
        <v>111564</v>
      </c>
      <c r="P36" s="2833">
        <f t="shared" si="16"/>
        <v>79437</v>
      </c>
      <c r="Q36" s="2833">
        <f t="shared" si="16"/>
        <v>30000</v>
      </c>
      <c r="R36" s="2833">
        <f t="shared" si="16"/>
        <v>2127</v>
      </c>
      <c r="S36" s="2833">
        <f t="shared" si="16"/>
        <v>44830</v>
      </c>
      <c r="T36" s="2833">
        <f t="shared" si="16"/>
        <v>0</v>
      </c>
      <c r="U36" s="2833">
        <f t="shared" si="16"/>
        <v>0</v>
      </c>
      <c r="V36" s="2833">
        <f t="shared" si="16"/>
        <v>44830</v>
      </c>
      <c r="W36" s="2833">
        <f t="shared" si="16"/>
        <v>0</v>
      </c>
    </row>
    <row r="37" spans="1:23" s="2839" customFormat="1">
      <c r="A37" s="2835" t="s">
        <v>200</v>
      </c>
      <c r="B37" s="2836" t="s">
        <v>1197</v>
      </c>
      <c r="C37" s="2835"/>
      <c r="D37" s="2835"/>
      <c r="E37" s="2835"/>
      <c r="F37" s="2835"/>
      <c r="G37" s="2837"/>
      <c r="H37" s="2837"/>
      <c r="I37" s="2837"/>
      <c r="J37" s="2837"/>
      <c r="K37" s="2837"/>
      <c r="L37" s="2837"/>
      <c r="M37" s="2837"/>
      <c r="N37" s="2837"/>
      <c r="O37" s="2837"/>
      <c r="P37" s="2837"/>
      <c r="Q37" s="2837"/>
      <c r="R37" s="2837"/>
      <c r="S37" s="2837"/>
      <c r="T37" s="2837"/>
      <c r="U37" s="2837"/>
      <c r="V37" s="2837"/>
      <c r="W37" s="2838"/>
    </row>
    <row r="38" spans="1:23" s="2839" customFormat="1">
      <c r="A38" s="2835" t="s">
        <v>208</v>
      </c>
      <c r="B38" s="2836" t="s">
        <v>1198</v>
      </c>
      <c r="C38" s="2835"/>
      <c r="D38" s="2835"/>
      <c r="E38" s="2835"/>
      <c r="F38" s="2835"/>
      <c r="G38" s="2837">
        <f>G39+G42</f>
        <v>736591</v>
      </c>
      <c r="H38" s="2837">
        <f t="shared" ref="H38:W38" si="17">H39+H42</f>
        <v>79438</v>
      </c>
      <c r="I38" s="2837">
        <f t="shared" si="17"/>
        <v>590693</v>
      </c>
      <c r="J38" s="2837">
        <f t="shared" si="17"/>
        <v>66460</v>
      </c>
      <c r="K38" s="2837">
        <f t="shared" si="17"/>
        <v>81159</v>
      </c>
      <c r="L38" s="2837">
        <f t="shared" si="17"/>
        <v>0</v>
      </c>
      <c r="M38" s="2837">
        <f t="shared" si="17"/>
        <v>80329</v>
      </c>
      <c r="N38" s="2837">
        <f t="shared" si="17"/>
        <v>830</v>
      </c>
      <c r="O38" s="2837">
        <f t="shared" si="17"/>
        <v>111564</v>
      </c>
      <c r="P38" s="2837">
        <f t="shared" si="17"/>
        <v>79437</v>
      </c>
      <c r="Q38" s="2837">
        <f t="shared" si="17"/>
        <v>30000</v>
      </c>
      <c r="R38" s="2837">
        <f t="shared" si="17"/>
        <v>2127</v>
      </c>
      <c r="S38" s="2837">
        <f t="shared" si="17"/>
        <v>44830</v>
      </c>
      <c r="T38" s="2837">
        <f t="shared" si="17"/>
        <v>0</v>
      </c>
      <c r="U38" s="2837">
        <f t="shared" si="17"/>
        <v>0</v>
      </c>
      <c r="V38" s="2837">
        <f t="shared" si="17"/>
        <v>44830</v>
      </c>
      <c r="W38" s="2837">
        <f t="shared" si="17"/>
        <v>0</v>
      </c>
    </row>
    <row r="39" spans="1:23" s="2844" customFormat="1" ht="52.8">
      <c r="A39" s="2840" t="s">
        <v>441</v>
      </c>
      <c r="B39" s="2841" t="s">
        <v>1540</v>
      </c>
      <c r="C39" s="2840"/>
      <c r="D39" s="2840"/>
      <c r="E39" s="2840"/>
      <c r="F39" s="2840"/>
      <c r="G39" s="2842">
        <f>G40+G41</f>
        <v>284000</v>
      </c>
      <c r="H39" s="2842">
        <f t="shared" ref="H39:W39" si="18">H40+H41</f>
        <v>79438</v>
      </c>
      <c r="I39" s="2842">
        <f t="shared" si="18"/>
        <v>185500</v>
      </c>
      <c r="J39" s="2842">
        <f t="shared" si="18"/>
        <v>19062</v>
      </c>
      <c r="K39" s="2842">
        <f t="shared" si="18"/>
        <v>81159</v>
      </c>
      <c r="L39" s="2842">
        <f t="shared" si="18"/>
        <v>0</v>
      </c>
      <c r="M39" s="2842">
        <f t="shared" si="18"/>
        <v>80329</v>
      </c>
      <c r="N39" s="2842">
        <f t="shared" si="18"/>
        <v>830</v>
      </c>
      <c r="O39" s="2842">
        <f t="shared" si="18"/>
        <v>110564</v>
      </c>
      <c r="P39" s="2842">
        <f t="shared" si="18"/>
        <v>79437</v>
      </c>
      <c r="Q39" s="2842">
        <f t="shared" si="18"/>
        <v>30000</v>
      </c>
      <c r="R39" s="2842">
        <f t="shared" si="18"/>
        <v>1127</v>
      </c>
      <c r="S39" s="2842">
        <f t="shared" si="18"/>
        <v>3330</v>
      </c>
      <c r="T39" s="2842">
        <f t="shared" si="18"/>
        <v>0</v>
      </c>
      <c r="U39" s="2842">
        <f t="shared" si="18"/>
        <v>0</v>
      </c>
      <c r="V39" s="2842">
        <f t="shared" si="18"/>
        <v>3330</v>
      </c>
      <c r="W39" s="2842">
        <f t="shared" si="18"/>
        <v>0</v>
      </c>
    </row>
    <row r="40" spans="1:23" ht="105.6">
      <c r="A40" s="2848"/>
      <c r="B40" s="2849" t="s">
        <v>1553</v>
      </c>
      <c r="C40" s="2848" t="s">
        <v>1554</v>
      </c>
      <c r="D40" s="2848" t="s">
        <v>1555</v>
      </c>
      <c r="E40" s="2848" t="s">
        <v>1556</v>
      </c>
      <c r="F40" s="2848" t="s">
        <v>1557</v>
      </c>
      <c r="G40" s="2850">
        <v>94000</v>
      </c>
      <c r="H40" s="2850">
        <v>79438</v>
      </c>
      <c r="I40" s="2850"/>
      <c r="J40" s="2850">
        <v>14562</v>
      </c>
      <c r="K40" s="2850">
        <f>SUM(L40:N40)</f>
        <v>51159</v>
      </c>
      <c r="L40" s="2850"/>
      <c r="M40" s="2850">
        <v>50329</v>
      </c>
      <c r="N40" s="2850">
        <v>830</v>
      </c>
      <c r="O40" s="2850">
        <f>SUM(P40:R40)</f>
        <v>80564</v>
      </c>
      <c r="P40" s="2850">
        <v>79437</v>
      </c>
      <c r="Q40" s="2851"/>
      <c r="R40" s="2850">
        <v>1127</v>
      </c>
      <c r="S40" s="2850">
        <f>SUM(T40:W40)</f>
        <v>330</v>
      </c>
      <c r="T40" s="2850"/>
      <c r="U40" s="2850"/>
      <c r="V40" s="2850">
        <v>330</v>
      </c>
      <c r="W40" s="2851"/>
    </row>
    <row r="41" spans="1:23" ht="52.8">
      <c r="A41" s="2848"/>
      <c r="B41" s="2849" t="s">
        <v>1558</v>
      </c>
      <c r="C41" s="2848" t="s">
        <v>29</v>
      </c>
      <c r="D41" s="2848" t="s">
        <v>1559</v>
      </c>
      <c r="E41" s="2848" t="s">
        <v>1560</v>
      </c>
      <c r="F41" s="2848" t="s">
        <v>1561</v>
      </c>
      <c r="G41" s="2850">
        <v>190000</v>
      </c>
      <c r="H41" s="2850"/>
      <c r="I41" s="2850">
        <v>185500</v>
      </c>
      <c r="J41" s="2850">
        <v>4500</v>
      </c>
      <c r="K41" s="2850">
        <f>SUM(L41:N41)</f>
        <v>30000</v>
      </c>
      <c r="L41" s="2850"/>
      <c r="M41" s="2850">
        <v>30000</v>
      </c>
      <c r="N41" s="2850"/>
      <c r="O41" s="2850">
        <f>SUM(P41:R41)</f>
        <v>30000</v>
      </c>
      <c r="P41" s="2850"/>
      <c r="Q41" s="2850">
        <v>30000</v>
      </c>
      <c r="R41" s="2850"/>
      <c r="S41" s="2850">
        <f>SUM(T41:W41)</f>
        <v>3000</v>
      </c>
      <c r="T41" s="2850"/>
      <c r="U41" s="2850"/>
      <c r="V41" s="2850">
        <v>3000</v>
      </c>
      <c r="W41" s="2851"/>
    </row>
    <row r="42" spans="1:23" s="2847" customFormat="1" ht="26.4">
      <c r="A42" s="2845" t="s">
        <v>463</v>
      </c>
      <c r="B42" s="2841" t="s">
        <v>1541</v>
      </c>
      <c r="C42" s="2845"/>
      <c r="D42" s="2845"/>
      <c r="E42" s="2845"/>
      <c r="F42" s="2845"/>
      <c r="G42" s="2846">
        <f>SUM(G43:G46)</f>
        <v>452591</v>
      </c>
      <c r="H42" s="2846">
        <f t="shared" ref="H42:W42" si="19">SUM(H43:H46)</f>
        <v>0</v>
      </c>
      <c r="I42" s="2846">
        <f t="shared" si="19"/>
        <v>405193</v>
      </c>
      <c r="J42" s="2846">
        <f t="shared" si="19"/>
        <v>47398</v>
      </c>
      <c r="K42" s="2846">
        <f t="shared" si="19"/>
        <v>0</v>
      </c>
      <c r="L42" s="2846">
        <f t="shared" si="19"/>
        <v>0</v>
      </c>
      <c r="M42" s="2846">
        <f t="shared" si="19"/>
        <v>0</v>
      </c>
      <c r="N42" s="2846">
        <f t="shared" si="19"/>
        <v>0</v>
      </c>
      <c r="O42" s="2846">
        <f t="shared" si="19"/>
        <v>1000</v>
      </c>
      <c r="P42" s="2846">
        <f t="shared" si="19"/>
        <v>0</v>
      </c>
      <c r="Q42" s="2846">
        <f t="shared" si="19"/>
        <v>0</v>
      </c>
      <c r="R42" s="2846">
        <f t="shared" si="19"/>
        <v>1000</v>
      </c>
      <c r="S42" s="2846">
        <f t="shared" si="19"/>
        <v>41500</v>
      </c>
      <c r="T42" s="2846">
        <f t="shared" si="19"/>
        <v>0</v>
      </c>
      <c r="U42" s="2846">
        <f t="shared" si="19"/>
        <v>0</v>
      </c>
      <c r="V42" s="2846">
        <f t="shared" si="19"/>
        <v>41500</v>
      </c>
      <c r="W42" s="2846">
        <f t="shared" si="19"/>
        <v>0</v>
      </c>
    </row>
    <row r="43" spans="1:23" ht="66">
      <c r="A43" s="2848"/>
      <c r="B43" s="2849" t="s">
        <v>1562</v>
      </c>
      <c r="C43" s="2848" t="s">
        <v>30</v>
      </c>
      <c r="D43" s="2848" t="s">
        <v>1563</v>
      </c>
      <c r="E43" s="2848" t="s">
        <v>1544</v>
      </c>
      <c r="F43" s="2848" t="s">
        <v>1564</v>
      </c>
      <c r="G43" s="2850">
        <v>30000</v>
      </c>
      <c r="H43" s="2850"/>
      <c r="I43" s="2850"/>
      <c r="J43" s="2850">
        <v>30000</v>
      </c>
      <c r="K43" s="2850">
        <f>SUM(L43:N43)</f>
        <v>0</v>
      </c>
      <c r="L43" s="2850"/>
      <c r="M43" s="2850"/>
      <c r="N43" s="2850"/>
      <c r="O43" s="2850">
        <f>SUM(P43:R43)</f>
        <v>1000</v>
      </c>
      <c r="P43" s="2850"/>
      <c r="Q43" s="2851"/>
      <c r="R43" s="2850">
        <v>1000</v>
      </c>
      <c r="S43" s="2850">
        <f>SUM(T43:W43)</f>
        <v>25000</v>
      </c>
      <c r="T43" s="2850"/>
      <c r="U43" s="2850"/>
      <c r="V43" s="2850">
        <v>25000</v>
      </c>
      <c r="W43" s="2851"/>
    </row>
    <row r="44" spans="1:23" ht="52.8">
      <c r="A44" s="2848"/>
      <c r="B44" s="2849" t="s">
        <v>1565</v>
      </c>
      <c r="C44" s="2848" t="s">
        <v>32</v>
      </c>
      <c r="D44" s="2848" t="s">
        <v>1563</v>
      </c>
      <c r="E44" s="2848" t="s">
        <v>1544</v>
      </c>
      <c r="F44" s="2848" t="s">
        <v>1566</v>
      </c>
      <c r="G44" s="2850">
        <v>196323</v>
      </c>
      <c r="H44" s="2850"/>
      <c r="I44" s="2850">
        <v>187403</v>
      </c>
      <c r="J44" s="2850">
        <v>8920</v>
      </c>
      <c r="K44" s="2850">
        <f>SUM(L44:N44)</f>
        <v>0</v>
      </c>
      <c r="L44" s="2850"/>
      <c r="M44" s="2850"/>
      <c r="N44" s="2850"/>
      <c r="O44" s="2850">
        <f>SUM(P44:R44)</f>
        <v>0</v>
      </c>
      <c r="P44" s="2850"/>
      <c r="Q44" s="2851"/>
      <c r="R44" s="2850"/>
      <c r="S44" s="2850">
        <f>SUM(T44:W44)</f>
        <v>8500</v>
      </c>
      <c r="T44" s="2850"/>
      <c r="U44" s="2850"/>
      <c r="V44" s="2850">
        <v>8500</v>
      </c>
      <c r="W44" s="2851"/>
    </row>
    <row r="45" spans="1:23" ht="66">
      <c r="A45" s="2848"/>
      <c r="B45" s="2849" t="s">
        <v>1567</v>
      </c>
      <c r="C45" s="2848" t="s">
        <v>41</v>
      </c>
      <c r="D45" s="2848" t="s">
        <v>1563</v>
      </c>
      <c r="E45" s="2848" t="s">
        <v>1544</v>
      </c>
      <c r="F45" s="2848" t="s">
        <v>1568</v>
      </c>
      <c r="G45" s="2850">
        <v>100019</v>
      </c>
      <c r="H45" s="2850"/>
      <c r="I45" s="2850">
        <v>96419</v>
      </c>
      <c r="J45" s="2850">
        <v>3600</v>
      </c>
      <c r="K45" s="2850">
        <f>SUM(L45:N45)</f>
        <v>0</v>
      </c>
      <c r="L45" s="2850"/>
      <c r="M45" s="2850"/>
      <c r="N45" s="2850"/>
      <c r="O45" s="2850">
        <f>SUM(P45:R45)</f>
        <v>0</v>
      </c>
      <c r="P45" s="2850"/>
      <c r="Q45" s="2851"/>
      <c r="R45" s="2850"/>
      <c r="S45" s="2850">
        <f>SUM(T45:W45)</f>
        <v>3500</v>
      </c>
      <c r="T45" s="2850"/>
      <c r="U45" s="2850"/>
      <c r="V45" s="2850">
        <v>3500</v>
      </c>
      <c r="W45" s="2851"/>
    </row>
    <row r="46" spans="1:23" ht="52.8">
      <c r="A46" s="2848"/>
      <c r="B46" s="2849" t="s">
        <v>1569</v>
      </c>
      <c r="C46" s="2848" t="s">
        <v>1570</v>
      </c>
      <c r="D46" s="2848" t="s">
        <v>1563</v>
      </c>
      <c r="E46" s="2848" t="s">
        <v>1544</v>
      </c>
      <c r="F46" s="2848" t="s">
        <v>1571</v>
      </c>
      <c r="G46" s="2850">
        <v>126249</v>
      </c>
      <c r="H46" s="2850"/>
      <c r="I46" s="2850">
        <v>121371</v>
      </c>
      <c r="J46" s="2850">
        <v>4878</v>
      </c>
      <c r="K46" s="2850">
        <f>SUM(L46:N46)</f>
        <v>0</v>
      </c>
      <c r="L46" s="2850"/>
      <c r="M46" s="2850"/>
      <c r="N46" s="2850"/>
      <c r="O46" s="2850">
        <f>SUM(P46:R46)</f>
        <v>0</v>
      </c>
      <c r="P46" s="2850"/>
      <c r="Q46" s="2851"/>
      <c r="R46" s="2850"/>
      <c r="S46" s="2850">
        <f>SUM(T46:W46)</f>
        <v>4500</v>
      </c>
      <c r="T46" s="2850"/>
      <c r="U46" s="2850"/>
      <c r="V46" s="2850">
        <v>4500</v>
      </c>
      <c r="W46" s="2851"/>
    </row>
    <row r="47" spans="1:23" s="2834" customFormat="1" ht="39.6">
      <c r="A47" s="2831">
        <v>2</v>
      </c>
      <c r="B47" s="2832" t="s">
        <v>1508</v>
      </c>
      <c r="C47" s="2831"/>
      <c r="D47" s="2831"/>
      <c r="E47" s="2831"/>
      <c r="F47" s="2831"/>
      <c r="G47" s="2833">
        <f>G48+G49</f>
        <v>790.68100000000004</v>
      </c>
      <c r="H47" s="2833">
        <f t="shared" ref="H47:W47" si="20">H48+H49</f>
        <v>0</v>
      </c>
      <c r="I47" s="2833">
        <f t="shared" si="20"/>
        <v>0</v>
      </c>
      <c r="J47" s="2833">
        <f t="shared" si="20"/>
        <v>791</v>
      </c>
      <c r="K47" s="2833">
        <f t="shared" si="20"/>
        <v>0</v>
      </c>
      <c r="L47" s="2833">
        <f t="shared" si="20"/>
        <v>0</v>
      </c>
      <c r="M47" s="2833">
        <f t="shared" si="20"/>
        <v>0</v>
      </c>
      <c r="N47" s="2833">
        <f t="shared" si="20"/>
        <v>0</v>
      </c>
      <c r="O47" s="2833">
        <f t="shared" si="20"/>
        <v>0</v>
      </c>
      <c r="P47" s="2833">
        <f t="shared" si="20"/>
        <v>0</v>
      </c>
      <c r="Q47" s="2833">
        <f t="shared" si="20"/>
        <v>0</v>
      </c>
      <c r="R47" s="2833">
        <f t="shared" si="20"/>
        <v>0</v>
      </c>
      <c r="S47" s="2833">
        <f t="shared" si="20"/>
        <v>750</v>
      </c>
      <c r="T47" s="2833">
        <f t="shared" si="20"/>
        <v>0</v>
      </c>
      <c r="U47" s="2833">
        <f t="shared" si="20"/>
        <v>0</v>
      </c>
      <c r="V47" s="2833">
        <f t="shared" si="20"/>
        <v>750</v>
      </c>
      <c r="W47" s="2833">
        <f t="shared" si="20"/>
        <v>0</v>
      </c>
    </row>
    <row r="48" spans="1:23" s="2839" customFormat="1">
      <c r="A48" s="2835" t="s">
        <v>200</v>
      </c>
      <c r="B48" s="2836" t="s">
        <v>1197</v>
      </c>
      <c r="C48" s="2835"/>
      <c r="D48" s="2835"/>
      <c r="E48" s="2835"/>
      <c r="F48" s="2835"/>
      <c r="G48" s="2837"/>
      <c r="H48" s="2837"/>
      <c r="I48" s="2837"/>
      <c r="J48" s="2837"/>
      <c r="K48" s="2837"/>
      <c r="L48" s="2837"/>
      <c r="M48" s="2837"/>
      <c r="N48" s="2837"/>
      <c r="O48" s="2837"/>
      <c r="P48" s="2837"/>
      <c r="Q48" s="2837"/>
      <c r="R48" s="2837"/>
      <c r="S48" s="2837"/>
      <c r="T48" s="2837"/>
      <c r="U48" s="2837"/>
      <c r="V48" s="2837"/>
      <c r="W48" s="2838"/>
    </row>
    <row r="49" spans="1:23" s="2839" customFormat="1">
      <c r="A49" s="2835" t="s">
        <v>208</v>
      </c>
      <c r="B49" s="2836" t="s">
        <v>1198</v>
      </c>
      <c r="C49" s="2835"/>
      <c r="D49" s="2835"/>
      <c r="E49" s="2835"/>
      <c r="F49" s="2835"/>
      <c r="G49" s="2837">
        <f>G50+G51</f>
        <v>790.68100000000004</v>
      </c>
      <c r="H49" s="2837">
        <f t="shared" ref="H49:W49" si="21">H50+H51</f>
        <v>0</v>
      </c>
      <c r="I49" s="2837">
        <f t="shared" si="21"/>
        <v>0</v>
      </c>
      <c r="J49" s="2837">
        <f t="shared" si="21"/>
        <v>791</v>
      </c>
      <c r="K49" s="2837">
        <f t="shared" si="21"/>
        <v>0</v>
      </c>
      <c r="L49" s="2837">
        <f t="shared" si="21"/>
        <v>0</v>
      </c>
      <c r="M49" s="2837">
        <f t="shared" si="21"/>
        <v>0</v>
      </c>
      <c r="N49" s="2837">
        <f t="shared" si="21"/>
        <v>0</v>
      </c>
      <c r="O49" s="2837">
        <f t="shared" si="21"/>
        <v>0</v>
      </c>
      <c r="P49" s="2837">
        <f t="shared" si="21"/>
        <v>0</v>
      </c>
      <c r="Q49" s="2837">
        <f t="shared" si="21"/>
        <v>0</v>
      </c>
      <c r="R49" s="2837">
        <f t="shared" si="21"/>
        <v>0</v>
      </c>
      <c r="S49" s="2837">
        <f t="shared" si="21"/>
        <v>750</v>
      </c>
      <c r="T49" s="2837">
        <f t="shared" si="21"/>
        <v>0</v>
      </c>
      <c r="U49" s="2837">
        <f t="shared" si="21"/>
        <v>0</v>
      </c>
      <c r="V49" s="2837">
        <f t="shared" si="21"/>
        <v>750</v>
      </c>
      <c r="W49" s="2837">
        <f t="shared" si="21"/>
        <v>0</v>
      </c>
    </row>
    <row r="50" spans="1:23" s="2844" customFormat="1" ht="52.8">
      <c r="A50" s="2840" t="s">
        <v>441</v>
      </c>
      <c r="B50" s="2841" t="s">
        <v>1540</v>
      </c>
      <c r="C50" s="2840"/>
      <c r="D50" s="2840"/>
      <c r="E50" s="2840"/>
      <c r="F50" s="2840"/>
      <c r="G50" s="2842"/>
      <c r="H50" s="2842"/>
      <c r="I50" s="2842"/>
      <c r="J50" s="2842"/>
      <c r="K50" s="2842"/>
      <c r="L50" s="2842"/>
      <c r="M50" s="2842"/>
      <c r="N50" s="2842"/>
      <c r="O50" s="2842"/>
      <c r="P50" s="2842"/>
      <c r="Q50" s="2842"/>
      <c r="R50" s="2842"/>
      <c r="S50" s="2842"/>
      <c r="T50" s="2842"/>
      <c r="U50" s="2842"/>
      <c r="V50" s="2842"/>
      <c r="W50" s="2843"/>
    </row>
    <row r="51" spans="1:23" s="2847" customFormat="1" ht="26.4">
      <c r="A51" s="2845" t="s">
        <v>463</v>
      </c>
      <c r="B51" s="2841" t="s">
        <v>1541</v>
      </c>
      <c r="C51" s="2845"/>
      <c r="D51" s="2845"/>
      <c r="E51" s="2845"/>
      <c r="F51" s="2845"/>
      <c r="G51" s="2846">
        <f>G52</f>
        <v>790.68100000000004</v>
      </c>
      <c r="H51" s="2846">
        <f t="shared" ref="H51:W51" si="22">H52</f>
        <v>0</v>
      </c>
      <c r="I51" s="2846">
        <f t="shared" si="22"/>
        <v>0</v>
      </c>
      <c r="J51" s="2846">
        <f t="shared" si="22"/>
        <v>791</v>
      </c>
      <c r="K51" s="2846">
        <f t="shared" si="22"/>
        <v>0</v>
      </c>
      <c r="L51" s="2846">
        <f t="shared" si="22"/>
        <v>0</v>
      </c>
      <c r="M51" s="2846">
        <f t="shared" si="22"/>
        <v>0</v>
      </c>
      <c r="N51" s="2846">
        <f t="shared" si="22"/>
        <v>0</v>
      </c>
      <c r="O51" s="2846">
        <f t="shared" si="22"/>
        <v>0</v>
      </c>
      <c r="P51" s="2846">
        <f t="shared" si="22"/>
        <v>0</v>
      </c>
      <c r="Q51" s="2846">
        <f t="shared" si="22"/>
        <v>0</v>
      </c>
      <c r="R51" s="2846">
        <f t="shared" si="22"/>
        <v>0</v>
      </c>
      <c r="S51" s="2846">
        <f t="shared" si="22"/>
        <v>750</v>
      </c>
      <c r="T51" s="2846">
        <f t="shared" si="22"/>
        <v>0</v>
      </c>
      <c r="U51" s="2846">
        <f t="shared" si="22"/>
        <v>0</v>
      </c>
      <c r="V51" s="2846">
        <f t="shared" si="22"/>
        <v>750</v>
      </c>
      <c r="W51" s="2846">
        <f t="shared" si="22"/>
        <v>0</v>
      </c>
    </row>
    <row r="52" spans="1:23" ht="52.8">
      <c r="A52" s="2848"/>
      <c r="B52" s="2849" t="s">
        <v>1572</v>
      </c>
      <c r="C52" s="2848" t="s">
        <v>41</v>
      </c>
      <c r="D52" s="2848" t="s">
        <v>1573</v>
      </c>
      <c r="E52" s="2848" t="s">
        <v>1574</v>
      </c>
      <c r="F52" s="2848" t="s">
        <v>1575</v>
      </c>
      <c r="G52" s="2850">
        <v>790.68100000000004</v>
      </c>
      <c r="H52" s="2850"/>
      <c r="I52" s="2850"/>
      <c r="J52" s="2850">
        <v>791</v>
      </c>
      <c r="K52" s="2850">
        <f>SUM(L52:N52)</f>
        <v>0</v>
      </c>
      <c r="L52" s="2850"/>
      <c r="M52" s="2850"/>
      <c r="N52" s="2850"/>
      <c r="O52" s="2850">
        <f>SUM(P52:R52)</f>
        <v>0</v>
      </c>
      <c r="P52" s="2850"/>
      <c r="Q52" s="2850"/>
      <c r="R52" s="2850"/>
      <c r="S52" s="2850">
        <f>SUM(T52:W52)</f>
        <v>750</v>
      </c>
      <c r="T52" s="2850"/>
      <c r="U52" s="2850"/>
      <c r="V52" s="2850">
        <v>750</v>
      </c>
      <c r="W52" s="2851"/>
    </row>
    <row r="53" spans="1:23" s="2834" customFormat="1">
      <c r="A53" s="2831">
        <v>3</v>
      </c>
      <c r="B53" s="2832" t="s">
        <v>1512</v>
      </c>
      <c r="C53" s="2831"/>
      <c r="D53" s="2831"/>
      <c r="E53" s="2831"/>
      <c r="F53" s="2831"/>
      <c r="G53" s="2833">
        <f>G54+G55</f>
        <v>603975.35</v>
      </c>
      <c r="H53" s="2833">
        <f t="shared" ref="H53:V53" si="23">H54+H55</f>
        <v>0</v>
      </c>
      <c r="I53" s="2833">
        <f t="shared" si="23"/>
        <v>317150</v>
      </c>
      <c r="J53" s="2833">
        <f t="shared" si="23"/>
        <v>286825.34999999998</v>
      </c>
      <c r="K53" s="2833">
        <f t="shared" si="23"/>
        <v>84753</v>
      </c>
      <c r="L53" s="2833">
        <f t="shared" si="23"/>
        <v>0</v>
      </c>
      <c r="M53" s="2833">
        <f t="shared" si="23"/>
        <v>0</v>
      </c>
      <c r="N53" s="2833">
        <f t="shared" si="23"/>
        <v>84753</v>
      </c>
      <c r="O53" s="2833">
        <f t="shared" si="23"/>
        <v>93000</v>
      </c>
      <c r="P53" s="2833">
        <f t="shared" si="23"/>
        <v>0</v>
      </c>
      <c r="Q53" s="2833">
        <f t="shared" si="23"/>
        <v>0</v>
      </c>
      <c r="R53" s="2833">
        <f t="shared" si="23"/>
        <v>93000</v>
      </c>
      <c r="S53" s="2833">
        <f t="shared" si="23"/>
        <v>98680</v>
      </c>
      <c r="T53" s="2833">
        <f t="shared" si="23"/>
        <v>0</v>
      </c>
      <c r="U53" s="2833">
        <f t="shared" si="23"/>
        <v>0</v>
      </c>
      <c r="V53" s="2833">
        <f t="shared" si="23"/>
        <v>98680</v>
      </c>
      <c r="W53" s="2833">
        <f>W54+W55</f>
        <v>0</v>
      </c>
    </row>
    <row r="54" spans="1:23" s="2839" customFormat="1">
      <c r="A54" s="2835" t="s">
        <v>200</v>
      </c>
      <c r="B54" s="2836" t="s">
        <v>1197</v>
      </c>
      <c r="C54" s="2835"/>
      <c r="D54" s="2835"/>
      <c r="E54" s="2835"/>
      <c r="F54" s="2835"/>
      <c r="G54" s="2837"/>
      <c r="H54" s="2837"/>
      <c r="I54" s="2837"/>
      <c r="J54" s="2837"/>
      <c r="K54" s="2837"/>
      <c r="L54" s="2837"/>
      <c r="M54" s="2837"/>
      <c r="N54" s="2837"/>
      <c r="O54" s="2837"/>
      <c r="P54" s="2837"/>
      <c r="Q54" s="2837"/>
      <c r="R54" s="2837"/>
      <c r="S54" s="2837"/>
      <c r="T54" s="2837"/>
      <c r="U54" s="2837"/>
      <c r="V54" s="2837"/>
      <c r="W54" s="2838"/>
    </row>
    <row r="55" spans="1:23" s="2839" customFormat="1">
      <c r="A55" s="2835" t="s">
        <v>208</v>
      </c>
      <c r="B55" s="2836" t="s">
        <v>1198</v>
      </c>
      <c r="C55" s="2835"/>
      <c r="D55" s="2835"/>
      <c r="E55" s="2835"/>
      <c r="F55" s="2835"/>
      <c r="G55" s="2837">
        <f>G56+G58</f>
        <v>603975.35</v>
      </c>
      <c r="H55" s="2837">
        <f t="shared" ref="H55:W55" si="24">H56+H58</f>
        <v>0</v>
      </c>
      <c r="I55" s="2837">
        <f t="shared" si="24"/>
        <v>317150</v>
      </c>
      <c r="J55" s="2837">
        <f t="shared" si="24"/>
        <v>286825.34999999998</v>
      </c>
      <c r="K55" s="2837">
        <f t="shared" si="24"/>
        <v>84753</v>
      </c>
      <c r="L55" s="2837">
        <f t="shared" si="24"/>
        <v>0</v>
      </c>
      <c r="M55" s="2837">
        <f t="shared" si="24"/>
        <v>0</v>
      </c>
      <c r="N55" s="2837">
        <f t="shared" si="24"/>
        <v>84753</v>
      </c>
      <c r="O55" s="2837">
        <f t="shared" si="24"/>
        <v>93000</v>
      </c>
      <c r="P55" s="2837">
        <f t="shared" si="24"/>
        <v>0</v>
      </c>
      <c r="Q55" s="2837">
        <f t="shared" si="24"/>
        <v>0</v>
      </c>
      <c r="R55" s="2837">
        <f t="shared" si="24"/>
        <v>93000</v>
      </c>
      <c r="S55" s="2837">
        <f t="shared" si="24"/>
        <v>98680</v>
      </c>
      <c r="T55" s="2837">
        <f t="shared" si="24"/>
        <v>0</v>
      </c>
      <c r="U55" s="2837">
        <f t="shared" si="24"/>
        <v>0</v>
      </c>
      <c r="V55" s="2837">
        <f t="shared" si="24"/>
        <v>98680</v>
      </c>
      <c r="W55" s="2837">
        <f t="shared" si="24"/>
        <v>0</v>
      </c>
    </row>
    <row r="56" spans="1:23" s="2844" customFormat="1" ht="52.8">
      <c r="A56" s="2840" t="s">
        <v>441</v>
      </c>
      <c r="B56" s="2841" t="s">
        <v>1540</v>
      </c>
      <c r="C56" s="2840"/>
      <c r="D56" s="2840"/>
      <c r="E56" s="2840"/>
      <c r="F56" s="2840"/>
      <c r="G56" s="2842">
        <f>G57</f>
        <v>362150</v>
      </c>
      <c r="H56" s="2842">
        <f t="shared" ref="H56:W56" si="25">H57</f>
        <v>0</v>
      </c>
      <c r="I56" s="2842">
        <f t="shared" si="25"/>
        <v>317150</v>
      </c>
      <c r="J56" s="2842">
        <f t="shared" si="25"/>
        <v>45000</v>
      </c>
      <c r="K56" s="2842">
        <f t="shared" si="25"/>
        <v>0</v>
      </c>
      <c r="L56" s="2842">
        <f t="shared" si="25"/>
        <v>0</v>
      </c>
      <c r="M56" s="2842">
        <f t="shared" si="25"/>
        <v>0</v>
      </c>
      <c r="N56" s="2842">
        <f t="shared" si="25"/>
        <v>0</v>
      </c>
      <c r="O56" s="2842">
        <f t="shared" si="25"/>
        <v>0</v>
      </c>
      <c r="P56" s="2842">
        <f t="shared" si="25"/>
        <v>0</v>
      </c>
      <c r="Q56" s="2842">
        <f t="shared" si="25"/>
        <v>0</v>
      </c>
      <c r="R56" s="2842">
        <f t="shared" si="25"/>
        <v>0</v>
      </c>
      <c r="S56" s="2842">
        <f t="shared" si="25"/>
        <v>28880</v>
      </c>
      <c r="T56" s="2842">
        <f t="shared" si="25"/>
        <v>0</v>
      </c>
      <c r="U56" s="2842">
        <f t="shared" si="25"/>
        <v>0</v>
      </c>
      <c r="V56" s="2842">
        <f t="shared" si="25"/>
        <v>28880</v>
      </c>
      <c r="W56" s="2842">
        <f t="shared" si="25"/>
        <v>0</v>
      </c>
    </row>
    <row r="57" spans="1:23" ht="79.2">
      <c r="A57" s="2848"/>
      <c r="B57" s="2849" t="s">
        <v>1576</v>
      </c>
      <c r="C57" s="2848" t="s">
        <v>1577</v>
      </c>
      <c r="D57" s="2848" t="s">
        <v>1578</v>
      </c>
      <c r="E57" s="2848" t="s">
        <v>1579</v>
      </c>
      <c r="F57" s="2848" t="s">
        <v>1580</v>
      </c>
      <c r="G57" s="2850">
        <v>362150</v>
      </c>
      <c r="H57" s="2850"/>
      <c r="I57" s="2850">
        <v>317150</v>
      </c>
      <c r="J57" s="2850">
        <v>45000</v>
      </c>
      <c r="K57" s="2850">
        <f>SUM(L57:N57)</f>
        <v>0</v>
      </c>
      <c r="L57" s="2850"/>
      <c r="M57" s="2850"/>
      <c r="N57" s="2850"/>
      <c r="O57" s="2850">
        <f>SUM(P57:R57)</f>
        <v>0</v>
      </c>
      <c r="P57" s="2850"/>
      <c r="Q57" s="2850"/>
      <c r="R57" s="2850"/>
      <c r="S57" s="2850">
        <f>SUM(T57:W57)</f>
        <v>28880</v>
      </c>
      <c r="T57" s="2850"/>
      <c r="U57" s="2850"/>
      <c r="V57" s="2850">
        <v>28880</v>
      </c>
      <c r="W57" s="2851"/>
    </row>
    <row r="58" spans="1:23" s="2847" customFormat="1" ht="26.4">
      <c r="A58" s="2845" t="s">
        <v>463</v>
      </c>
      <c r="B58" s="2841" t="s">
        <v>1541</v>
      </c>
      <c r="C58" s="2845"/>
      <c r="D58" s="2845"/>
      <c r="E58" s="2845"/>
      <c r="F58" s="2845"/>
      <c r="G58" s="2846">
        <f>SUM(G59:G64)</f>
        <v>241825.35</v>
      </c>
      <c r="H58" s="2846">
        <f t="shared" ref="H58:W58" si="26">SUM(H59:H64)</f>
        <v>0</v>
      </c>
      <c r="I58" s="2846">
        <f t="shared" si="26"/>
        <v>0</v>
      </c>
      <c r="J58" s="2846">
        <f t="shared" si="26"/>
        <v>241825.35</v>
      </c>
      <c r="K58" s="2846">
        <f t="shared" si="26"/>
        <v>84753</v>
      </c>
      <c r="L58" s="2846">
        <f t="shared" si="26"/>
        <v>0</v>
      </c>
      <c r="M58" s="2846">
        <f t="shared" si="26"/>
        <v>0</v>
      </c>
      <c r="N58" s="2846">
        <f t="shared" si="26"/>
        <v>84753</v>
      </c>
      <c r="O58" s="2846">
        <f t="shared" si="26"/>
        <v>93000</v>
      </c>
      <c r="P58" s="2846">
        <f t="shared" si="26"/>
        <v>0</v>
      </c>
      <c r="Q58" s="2846">
        <f t="shared" si="26"/>
        <v>0</v>
      </c>
      <c r="R58" s="2846">
        <f t="shared" si="26"/>
        <v>93000</v>
      </c>
      <c r="S58" s="2846">
        <f t="shared" si="26"/>
        <v>69800</v>
      </c>
      <c r="T58" s="2846">
        <f t="shared" si="26"/>
        <v>0</v>
      </c>
      <c r="U58" s="2846">
        <f t="shared" si="26"/>
        <v>0</v>
      </c>
      <c r="V58" s="2846">
        <f t="shared" si="26"/>
        <v>69800</v>
      </c>
      <c r="W58" s="2846">
        <f t="shared" si="26"/>
        <v>0</v>
      </c>
    </row>
    <row r="59" spans="1:23" ht="105.6">
      <c r="A59" s="2848"/>
      <c r="B59" s="2849" t="s">
        <v>1581</v>
      </c>
      <c r="C59" s="2848" t="s">
        <v>30</v>
      </c>
      <c r="D59" s="2848" t="s">
        <v>1547</v>
      </c>
      <c r="E59" s="2848" t="s">
        <v>1582</v>
      </c>
      <c r="F59" s="2848" t="s">
        <v>1583</v>
      </c>
      <c r="G59" s="2850">
        <v>36045.131000000001</v>
      </c>
      <c r="H59" s="2850"/>
      <c r="I59" s="2850"/>
      <c r="J59" s="2850">
        <v>36045.131000000001</v>
      </c>
      <c r="K59" s="2850">
        <f t="shared" ref="K59:K64" si="27">SUM(L59:N59)</f>
        <v>18121</v>
      </c>
      <c r="L59" s="2850"/>
      <c r="M59" s="2850"/>
      <c r="N59" s="2850">
        <v>18121</v>
      </c>
      <c r="O59" s="2850">
        <f t="shared" ref="O59:O64" si="28">SUM(P59:R59)</f>
        <v>22000</v>
      </c>
      <c r="P59" s="2850"/>
      <c r="Q59" s="2850"/>
      <c r="R59" s="2850">
        <v>22000</v>
      </c>
      <c r="S59" s="2850">
        <f t="shared" ref="S59:S64" si="29">SUM(T59:W59)</f>
        <v>6000</v>
      </c>
      <c r="T59" s="2850"/>
      <c r="U59" s="2850"/>
      <c r="V59" s="2850">
        <v>6000</v>
      </c>
      <c r="W59" s="2851"/>
    </row>
    <row r="60" spans="1:23" ht="105.6">
      <c r="A60" s="2848"/>
      <c r="B60" s="2849" t="s">
        <v>1584</v>
      </c>
      <c r="C60" s="2848" t="s">
        <v>30</v>
      </c>
      <c r="D60" s="2848" t="s">
        <v>1543</v>
      </c>
      <c r="E60" s="2848" t="s">
        <v>1582</v>
      </c>
      <c r="F60" s="2848" t="s">
        <v>1585</v>
      </c>
      <c r="G60" s="2850">
        <v>39044.218999999997</v>
      </c>
      <c r="H60" s="2850"/>
      <c r="I60" s="2850"/>
      <c r="J60" s="2850">
        <v>39044.218999999997</v>
      </c>
      <c r="K60" s="2850">
        <f t="shared" si="27"/>
        <v>16632</v>
      </c>
      <c r="L60" s="2850"/>
      <c r="M60" s="2850"/>
      <c r="N60" s="2850">
        <v>16632</v>
      </c>
      <c r="O60" s="2850">
        <f t="shared" si="28"/>
        <v>21000</v>
      </c>
      <c r="P60" s="2850"/>
      <c r="Q60" s="2850"/>
      <c r="R60" s="2850">
        <v>21000</v>
      </c>
      <c r="S60" s="2850">
        <f t="shared" si="29"/>
        <v>5000</v>
      </c>
      <c r="T60" s="2850"/>
      <c r="U60" s="2850"/>
      <c r="V60" s="2850">
        <v>5000</v>
      </c>
      <c r="W60" s="2851"/>
    </row>
    <row r="61" spans="1:23" ht="79.2">
      <c r="A61" s="2848"/>
      <c r="B61" s="2849" t="s">
        <v>1586</v>
      </c>
      <c r="C61" s="2848" t="s">
        <v>36</v>
      </c>
      <c r="D61" s="2848" t="s">
        <v>1543</v>
      </c>
      <c r="E61" s="2848" t="s">
        <v>1582</v>
      </c>
      <c r="F61" s="2848" t="s">
        <v>1587</v>
      </c>
      <c r="G61" s="2850">
        <v>90000</v>
      </c>
      <c r="H61" s="2850"/>
      <c r="I61" s="2850"/>
      <c r="J61" s="2850">
        <v>90000</v>
      </c>
      <c r="K61" s="2850">
        <f t="shared" si="27"/>
        <v>50000</v>
      </c>
      <c r="L61" s="2850"/>
      <c r="M61" s="2850"/>
      <c r="N61" s="2850">
        <v>50000</v>
      </c>
      <c r="O61" s="2850">
        <f t="shared" si="28"/>
        <v>50000</v>
      </c>
      <c r="P61" s="2850"/>
      <c r="Q61" s="2850"/>
      <c r="R61" s="2850">
        <v>50000</v>
      </c>
      <c r="S61" s="2850">
        <f t="shared" si="29"/>
        <v>10000</v>
      </c>
      <c r="T61" s="2850"/>
      <c r="U61" s="2850"/>
      <c r="V61" s="2850">
        <v>10000</v>
      </c>
      <c r="W61" s="2851"/>
    </row>
    <row r="62" spans="1:23" ht="52.8">
      <c r="A62" s="2848"/>
      <c r="B62" s="2849" t="s">
        <v>1588</v>
      </c>
      <c r="C62" s="2848" t="s">
        <v>1589</v>
      </c>
      <c r="D62" s="2848" t="s">
        <v>1590</v>
      </c>
      <c r="E62" s="2848" t="s">
        <v>1544</v>
      </c>
      <c r="F62" s="2848" t="s">
        <v>1591</v>
      </c>
      <c r="G62" s="2850">
        <v>17750</v>
      </c>
      <c r="H62" s="2850"/>
      <c r="I62" s="2850"/>
      <c r="J62" s="2850">
        <v>17750</v>
      </c>
      <c r="K62" s="2850">
        <f t="shared" si="27"/>
        <v>0</v>
      </c>
      <c r="L62" s="2850"/>
      <c r="M62" s="2850"/>
      <c r="N62" s="2850"/>
      <c r="O62" s="2850">
        <f t="shared" si="28"/>
        <v>0</v>
      </c>
      <c r="P62" s="2850"/>
      <c r="Q62" s="2850"/>
      <c r="R62" s="2850"/>
      <c r="S62" s="2850">
        <f t="shared" si="29"/>
        <v>5400</v>
      </c>
      <c r="T62" s="2850"/>
      <c r="U62" s="2850"/>
      <c r="V62" s="2850">
        <v>5400</v>
      </c>
      <c r="W62" s="2851"/>
    </row>
    <row r="63" spans="1:23" ht="52.8">
      <c r="A63" s="2848"/>
      <c r="B63" s="2849" t="s">
        <v>1592</v>
      </c>
      <c r="C63" s="2848" t="s">
        <v>1589</v>
      </c>
      <c r="D63" s="2848" t="s">
        <v>1590</v>
      </c>
      <c r="E63" s="2848" t="s">
        <v>1544</v>
      </c>
      <c r="F63" s="2848" t="s">
        <v>1593</v>
      </c>
      <c r="G63" s="2850">
        <v>17250</v>
      </c>
      <c r="H63" s="2850"/>
      <c r="I63" s="2850"/>
      <c r="J63" s="2850">
        <v>17250</v>
      </c>
      <c r="K63" s="2850">
        <f t="shared" si="27"/>
        <v>0</v>
      </c>
      <c r="L63" s="2850"/>
      <c r="M63" s="2850"/>
      <c r="N63" s="2850"/>
      <c r="O63" s="2850">
        <f t="shared" si="28"/>
        <v>0</v>
      </c>
      <c r="P63" s="2850"/>
      <c r="Q63" s="2850"/>
      <c r="R63" s="2850"/>
      <c r="S63" s="2850">
        <f t="shared" si="29"/>
        <v>5400</v>
      </c>
      <c r="T63" s="2850"/>
      <c r="U63" s="2850"/>
      <c r="V63" s="2850">
        <v>5400</v>
      </c>
      <c r="W63" s="2851"/>
    </row>
    <row r="64" spans="1:23" ht="52.8">
      <c r="A64" s="2848"/>
      <c r="B64" s="2849" t="s">
        <v>1594</v>
      </c>
      <c r="C64" s="2848" t="s">
        <v>32</v>
      </c>
      <c r="D64" s="2848" t="s">
        <v>1595</v>
      </c>
      <c r="E64" s="2848" t="s">
        <v>1544</v>
      </c>
      <c r="F64" s="2848" t="s">
        <v>1596</v>
      </c>
      <c r="G64" s="2850">
        <v>41736</v>
      </c>
      <c r="H64" s="2850"/>
      <c r="I64" s="2850"/>
      <c r="J64" s="2850">
        <v>41736</v>
      </c>
      <c r="K64" s="2850">
        <f t="shared" si="27"/>
        <v>0</v>
      </c>
      <c r="L64" s="2850"/>
      <c r="M64" s="2850"/>
      <c r="N64" s="2850"/>
      <c r="O64" s="2850">
        <f t="shared" si="28"/>
        <v>0</v>
      </c>
      <c r="P64" s="2850"/>
      <c r="Q64" s="2850"/>
      <c r="R64" s="2850"/>
      <c r="S64" s="2850">
        <f t="shared" si="29"/>
        <v>38000</v>
      </c>
      <c r="T64" s="2850"/>
      <c r="U64" s="2850"/>
      <c r="V64" s="2850">
        <v>38000</v>
      </c>
      <c r="W64" s="2851"/>
    </row>
    <row r="65" spans="1:23" s="2834" customFormat="1">
      <c r="A65" s="2831">
        <v>4</v>
      </c>
      <c r="B65" s="2832" t="s">
        <v>1528</v>
      </c>
      <c r="C65" s="2831"/>
      <c r="D65" s="2831"/>
      <c r="E65" s="2831"/>
      <c r="F65" s="2831"/>
      <c r="G65" s="2833">
        <f>G66+G67</f>
        <v>1145918</v>
      </c>
      <c r="H65" s="2833">
        <f t="shared" ref="H65:W65" si="30">H66+H67</f>
        <v>874360</v>
      </c>
      <c r="I65" s="2833">
        <f t="shared" si="30"/>
        <v>199492</v>
      </c>
      <c r="J65" s="2833">
        <f t="shared" si="30"/>
        <v>72066</v>
      </c>
      <c r="K65" s="2833">
        <f t="shared" si="30"/>
        <v>988593</v>
      </c>
      <c r="L65" s="2833">
        <f t="shared" si="30"/>
        <v>871601</v>
      </c>
      <c r="M65" s="2833">
        <f t="shared" si="30"/>
        <v>116992</v>
      </c>
      <c r="N65" s="2833">
        <f t="shared" si="30"/>
        <v>0</v>
      </c>
      <c r="O65" s="2833">
        <f t="shared" si="30"/>
        <v>982454</v>
      </c>
      <c r="P65" s="2833">
        <f t="shared" si="30"/>
        <v>871601</v>
      </c>
      <c r="Q65" s="2833">
        <f t="shared" si="30"/>
        <v>110853</v>
      </c>
      <c r="R65" s="2833">
        <f t="shared" si="30"/>
        <v>0</v>
      </c>
      <c r="S65" s="2833">
        <f t="shared" si="30"/>
        <v>46600</v>
      </c>
      <c r="T65" s="2833">
        <f t="shared" si="30"/>
        <v>0</v>
      </c>
      <c r="U65" s="2833">
        <f t="shared" si="30"/>
        <v>0</v>
      </c>
      <c r="V65" s="2833">
        <f t="shared" si="30"/>
        <v>46600</v>
      </c>
      <c r="W65" s="2833">
        <f t="shared" si="30"/>
        <v>0</v>
      </c>
    </row>
    <row r="66" spans="1:23" s="2839" customFormat="1">
      <c r="A66" s="2835" t="s">
        <v>200</v>
      </c>
      <c r="B66" s="2836" t="s">
        <v>1197</v>
      </c>
      <c r="C66" s="2835"/>
      <c r="D66" s="2835"/>
      <c r="E66" s="2835"/>
      <c r="F66" s="2835"/>
      <c r="G66" s="2837"/>
      <c r="H66" s="2837"/>
      <c r="I66" s="2837"/>
      <c r="J66" s="2837"/>
      <c r="K66" s="2837"/>
      <c r="L66" s="2837"/>
      <c r="M66" s="2837"/>
      <c r="N66" s="2837"/>
      <c r="O66" s="2837"/>
      <c r="P66" s="2837"/>
      <c r="Q66" s="2837"/>
      <c r="R66" s="2837"/>
      <c r="S66" s="2837"/>
      <c r="T66" s="2837"/>
      <c r="U66" s="2837"/>
      <c r="V66" s="2837"/>
      <c r="W66" s="2838"/>
    </row>
    <row r="67" spans="1:23" s="2839" customFormat="1">
      <c r="A67" s="2835" t="s">
        <v>208</v>
      </c>
      <c r="B67" s="2836" t="s">
        <v>1198</v>
      </c>
      <c r="C67" s="2835"/>
      <c r="D67" s="2835"/>
      <c r="E67" s="2835"/>
      <c r="F67" s="2835"/>
      <c r="G67" s="2837">
        <f>G68+G70</f>
        <v>1145918</v>
      </c>
      <c r="H67" s="2837">
        <f t="shared" ref="H67:W67" si="31">H68+H70</f>
        <v>874360</v>
      </c>
      <c r="I67" s="2837">
        <f t="shared" si="31"/>
        <v>199492</v>
      </c>
      <c r="J67" s="2837">
        <f t="shared" si="31"/>
        <v>72066</v>
      </c>
      <c r="K67" s="2837">
        <f t="shared" si="31"/>
        <v>988593</v>
      </c>
      <c r="L67" s="2837">
        <f t="shared" si="31"/>
        <v>871601</v>
      </c>
      <c r="M67" s="2837">
        <f t="shared" si="31"/>
        <v>116992</v>
      </c>
      <c r="N67" s="2837">
        <f t="shared" si="31"/>
        <v>0</v>
      </c>
      <c r="O67" s="2837">
        <f t="shared" si="31"/>
        <v>982454</v>
      </c>
      <c r="P67" s="2837">
        <f t="shared" si="31"/>
        <v>871601</v>
      </c>
      <c r="Q67" s="2837">
        <f t="shared" si="31"/>
        <v>110853</v>
      </c>
      <c r="R67" s="2837">
        <f t="shared" si="31"/>
        <v>0</v>
      </c>
      <c r="S67" s="2837">
        <f t="shared" si="31"/>
        <v>46600</v>
      </c>
      <c r="T67" s="2837">
        <f t="shared" si="31"/>
        <v>0</v>
      </c>
      <c r="U67" s="2837">
        <f t="shared" si="31"/>
        <v>0</v>
      </c>
      <c r="V67" s="2837">
        <f t="shared" si="31"/>
        <v>46600</v>
      </c>
      <c r="W67" s="2837">
        <f t="shared" si="31"/>
        <v>0</v>
      </c>
    </row>
    <row r="68" spans="1:23" s="2844" customFormat="1" ht="52.8">
      <c r="A68" s="2840" t="s">
        <v>441</v>
      </c>
      <c r="B68" s="2841" t="s">
        <v>1540</v>
      </c>
      <c r="C68" s="2840"/>
      <c r="D68" s="2840"/>
      <c r="E68" s="2840"/>
      <c r="F68" s="2840"/>
      <c r="G68" s="2842">
        <f>G69</f>
        <v>1096018</v>
      </c>
      <c r="H68" s="2842">
        <f t="shared" ref="H68:W68" si="32">H69</f>
        <v>874360</v>
      </c>
      <c r="I68" s="2842">
        <f t="shared" si="32"/>
        <v>199492</v>
      </c>
      <c r="J68" s="2842">
        <f t="shared" si="32"/>
        <v>22166</v>
      </c>
      <c r="K68" s="2842">
        <f t="shared" si="32"/>
        <v>988593</v>
      </c>
      <c r="L68" s="2842">
        <f t="shared" si="32"/>
        <v>871601</v>
      </c>
      <c r="M68" s="2842">
        <f t="shared" si="32"/>
        <v>116992</v>
      </c>
      <c r="N68" s="2842">
        <f t="shared" si="32"/>
        <v>0</v>
      </c>
      <c r="O68" s="2842">
        <f t="shared" si="32"/>
        <v>982454</v>
      </c>
      <c r="P68" s="2842">
        <f t="shared" si="32"/>
        <v>871601</v>
      </c>
      <c r="Q68" s="2842">
        <f t="shared" si="32"/>
        <v>110853</v>
      </c>
      <c r="R68" s="2842">
        <f t="shared" si="32"/>
        <v>0</v>
      </c>
      <c r="S68" s="2842">
        <f t="shared" si="32"/>
        <v>4600</v>
      </c>
      <c r="T68" s="2842">
        <f t="shared" si="32"/>
        <v>0</v>
      </c>
      <c r="U68" s="2842">
        <f t="shared" si="32"/>
        <v>0</v>
      </c>
      <c r="V68" s="2842">
        <f t="shared" si="32"/>
        <v>4600</v>
      </c>
      <c r="W68" s="2842">
        <f t="shared" si="32"/>
        <v>0</v>
      </c>
    </row>
    <row r="69" spans="1:23" ht="171.6">
      <c r="A69" s="2848"/>
      <c r="B69" s="2849" t="s">
        <v>1597</v>
      </c>
      <c r="C69" s="2848" t="s">
        <v>41</v>
      </c>
      <c r="D69" s="2848" t="s">
        <v>1598</v>
      </c>
      <c r="E69" s="2848" t="s">
        <v>1599</v>
      </c>
      <c r="F69" s="2848" t="s">
        <v>1600</v>
      </c>
      <c r="G69" s="2850">
        <v>1096018</v>
      </c>
      <c r="H69" s="2850">
        <v>874360</v>
      </c>
      <c r="I69" s="2850">
        <v>199492</v>
      </c>
      <c r="J69" s="2850">
        <v>22166</v>
      </c>
      <c r="K69" s="2850">
        <f>SUM(L69:N69)</f>
        <v>988593</v>
      </c>
      <c r="L69" s="2852">
        <f>865692+5909</f>
        <v>871601</v>
      </c>
      <c r="M69" s="2852">
        <f>110853+6139</f>
        <v>116992</v>
      </c>
      <c r="N69" s="2850"/>
      <c r="O69" s="2850">
        <f>SUM(P69:R69)</f>
        <v>982454</v>
      </c>
      <c r="P69" s="2852">
        <f>865692+5909</f>
        <v>871601</v>
      </c>
      <c r="Q69" s="2852">
        <v>110853</v>
      </c>
      <c r="R69" s="2850"/>
      <c r="S69" s="2850">
        <f>SUM(T69:W69)</f>
        <v>4600</v>
      </c>
      <c r="T69" s="2850"/>
      <c r="U69" s="2850"/>
      <c r="V69" s="2850">
        <v>4600</v>
      </c>
      <c r="W69" s="2851"/>
    </row>
    <row r="70" spans="1:23" s="2847" customFormat="1" ht="26.4">
      <c r="A70" s="2845" t="s">
        <v>463</v>
      </c>
      <c r="B70" s="2841" t="s">
        <v>1541</v>
      </c>
      <c r="C70" s="2845"/>
      <c r="D70" s="2845"/>
      <c r="E70" s="2845"/>
      <c r="F70" s="2845"/>
      <c r="G70" s="2846">
        <f>G71</f>
        <v>49900</v>
      </c>
      <c r="H70" s="2846">
        <f t="shared" ref="H70:W70" si="33">H71</f>
        <v>0</v>
      </c>
      <c r="I70" s="2846">
        <f t="shared" si="33"/>
        <v>0</v>
      </c>
      <c r="J70" s="2846">
        <f t="shared" si="33"/>
        <v>49900</v>
      </c>
      <c r="K70" s="2846">
        <f t="shared" si="33"/>
        <v>0</v>
      </c>
      <c r="L70" s="2846">
        <f t="shared" si="33"/>
        <v>0</v>
      </c>
      <c r="M70" s="2846">
        <f t="shared" si="33"/>
        <v>0</v>
      </c>
      <c r="N70" s="2846">
        <f t="shared" si="33"/>
        <v>0</v>
      </c>
      <c r="O70" s="2846">
        <f t="shared" si="33"/>
        <v>0</v>
      </c>
      <c r="P70" s="2846">
        <f t="shared" si="33"/>
        <v>0</v>
      </c>
      <c r="Q70" s="2846">
        <f t="shared" si="33"/>
        <v>0</v>
      </c>
      <c r="R70" s="2846">
        <f t="shared" si="33"/>
        <v>0</v>
      </c>
      <c r="S70" s="2846">
        <f t="shared" si="33"/>
        <v>42000</v>
      </c>
      <c r="T70" s="2846">
        <f t="shared" si="33"/>
        <v>0</v>
      </c>
      <c r="U70" s="2846">
        <f t="shared" si="33"/>
        <v>0</v>
      </c>
      <c r="V70" s="2846">
        <f t="shared" si="33"/>
        <v>42000</v>
      </c>
      <c r="W70" s="2846">
        <f t="shared" si="33"/>
        <v>0</v>
      </c>
    </row>
    <row r="71" spans="1:23" ht="52.8">
      <c r="A71" s="2848"/>
      <c r="B71" s="2849" t="s">
        <v>1601</v>
      </c>
      <c r="C71" s="2848" t="s">
        <v>41</v>
      </c>
      <c r="D71" s="2848" t="s">
        <v>1602</v>
      </c>
      <c r="E71" s="2848" t="s">
        <v>1544</v>
      </c>
      <c r="F71" s="2848"/>
      <c r="G71" s="2850">
        <v>49900</v>
      </c>
      <c r="H71" s="2850"/>
      <c r="I71" s="2850"/>
      <c r="J71" s="2850">
        <v>49900</v>
      </c>
      <c r="K71" s="2850">
        <f>SUM(L71:N71)</f>
        <v>0</v>
      </c>
      <c r="L71" s="2850"/>
      <c r="M71" s="2850"/>
      <c r="N71" s="2850"/>
      <c r="O71" s="2850">
        <f>SUM(P71:R71)</f>
        <v>0</v>
      </c>
      <c r="P71" s="2850"/>
      <c r="Q71" s="2850"/>
      <c r="R71" s="2850"/>
      <c r="S71" s="2850">
        <f>SUM(T71:W71)</f>
        <v>42000</v>
      </c>
      <c r="T71" s="2850"/>
      <c r="U71" s="2850"/>
      <c r="V71" s="2850">
        <v>42000</v>
      </c>
      <c r="W71" s="2851"/>
    </row>
    <row r="72" spans="1:23" s="2834" customFormat="1">
      <c r="A72" s="2831">
        <v>5</v>
      </c>
      <c r="B72" s="2832" t="s">
        <v>1524</v>
      </c>
      <c r="C72" s="2831"/>
      <c r="D72" s="2831"/>
      <c r="E72" s="2831"/>
      <c r="F72" s="2831"/>
      <c r="G72" s="2833">
        <f>G73+G74</f>
        <v>108453.246</v>
      </c>
      <c r="H72" s="2833">
        <f t="shared" ref="H72:W72" si="34">H73+H74</f>
        <v>0</v>
      </c>
      <c r="I72" s="2833">
        <f t="shared" si="34"/>
        <v>0</v>
      </c>
      <c r="J72" s="2833">
        <f t="shared" si="34"/>
        <v>108453.246</v>
      </c>
      <c r="K72" s="2833">
        <f t="shared" si="34"/>
        <v>16267</v>
      </c>
      <c r="L72" s="2833">
        <f t="shared" si="34"/>
        <v>0</v>
      </c>
      <c r="M72" s="2833">
        <f t="shared" si="34"/>
        <v>0</v>
      </c>
      <c r="N72" s="2833">
        <f t="shared" si="34"/>
        <v>16267</v>
      </c>
      <c r="O72" s="2833">
        <f t="shared" si="34"/>
        <v>18000</v>
      </c>
      <c r="P72" s="2833">
        <f t="shared" si="34"/>
        <v>0</v>
      </c>
      <c r="Q72" s="2833">
        <f t="shared" si="34"/>
        <v>0</v>
      </c>
      <c r="R72" s="2833">
        <f t="shared" si="34"/>
        <v>18000</v>
      </c>
      <c r="S72" s="2833">
        <f t="shared" si="34"/>
        <v>72370</v>
      </c>
      <c r="T72" s="2833">
        <f t="shared" si="34"/>
        <v>0</v>
      </c>
      <c r="U72" s="2833">
        <f t="shared" si="34"/>
        <v>0</v>
      </c>
      <c r="V72" s="2833">
        <f t="shared" si="34"/>
        <v>72370</v>
      </c>
      <c r="W72" s="2833">
        <f t="shared" si="34"/>
        <v>0</v>
      </c>
    </row>
    <row r="73" spans="1:23" s="2839" customFormat="1">
      <c r="A73" s="2835" t="s">
        <v>200</v>
      </c>
      <c r="B73" s="2836" t="s">
        <v>1197</v>
      </c>
      <c r="C73" s="2835"/>
      <c r="D73" s="2835"/>
      <c r="E73" s="2835"/>
      <c r="F73" s="2835"/>
      <c r="G73" s="2837"/>
      <c r="H73" s="2837"/>
      <c r="I73" s="2837"/>
      <c r="J73" s="2837"/>
      <c r="K73" s="2837"/>
      <c r="L73" s="2837"/>
      <c r="M73" s="2837"/>
      <c r="N73" s="2837"/>
      <c r="O73" s="2837"/>
      <c r="P73" s="2837"/>
      <c r="Q73" s="2837"/>
      <c r="R73" s="2837"/>
      <c r="S73" s="2837"/>
      <c r="T73" s="2837"/>
      <c r="U73" s="2837"/>
      <c r="V73" s="2837"/>
      <c r="W73" s="2838"/>
    </row>
    <row r="74" spans="1:23" s="2839" customFormat="1">
      <c r="A74" s="2835" t="s">
        <v>208</v>
      </c>
      <c r="B74" s="2836" t="s">
        <v>1198</v>
      </c>
      <c r="C74" s="2835"/>
      <c r="D74" s="2835"/>
      <c r="E74" s="2835"/>
      <c r="F74" s="2835"/>
      <c r="G74" s="2837">
        <f>G75+G76</f>
        <v>108453.246</v>
      </c>
      <c r="H74" s="2837">
        <f t="shared" ref="H74:W74" si="35">H75+H76</f>
        <v>0</v>
      </c>
      <c r="I74" s="2837">
        <f t="shared" si="35"/>
        <v>0</v>
      </c>
      <c r="J74" s="2837">
        <f t="shared" si="35"/>
        <v>108453.246</v>
      </c>
      <c r="K74" s="2837">
        <f t="shared" si="35"/>
        <v>16267</v>
      </c>
      <c r="L74" s="2837">
        <f t="shared" si="35"/>
        <v>0</v>
      </c>
      <c r="M74" s="2837">
        <f t="shared" si="35"/>
        <v>0</v>
      </c>
      <c r="N74" s="2837">
        <f t="shared" si="35"/>
        <v>16267</v>
      </c>
      <c r="O74" s="2837">
        <f t="shared" si="35"/>
        <v>18000</v>
      </c>
      <c r="P74" s="2837">
        <f t="shared" si="35"/>
        <v>0</v>
      </c>
      <c r="Q74" s="2837">
        <f t="shared" si="35"/>
        <v>0</v>
      </c>
      <c r="R74" s="2837">
        <f t="shared" si="35"/>
        <v>18000</v>
      </c>
      <c r="S74" s="2837">
        <f t="shared" si="35"/>
        <v>72370</v>
      </c>
      <c r="T74" s="2837">
        <f t="shared" si="35"/>
        <v>0</v>
      </c>
      <c r="U74" s="2837">
        <f t="shared" si="35"/>
        <v>0</v>
      </c>
      <c r="V74" s="2837">
        <f t="shared" si="35"/>
        <v>72370</v>
      </c>
      <c r="W74" s="2837">
        <f t="shared" si="35"/>
        <v>0</v>
      </c>
    </row>
    <row r="75" spans="1:23" s="2844" customFormat="1" ht="52.8">
      <c r="A75" s="2840" t="s">
        <v>441</v>
      </c>
      <c r="B75" s="2841" t="s">
        <v>1540</v>
      </c>
      <c r="C75" s="2840"/>
      <c r="D75" s="2840"/>
      <c r="E75" s="2840"/>
      <c r="F75" s="2840"/>
      <c r="G75" s="2842"/>
      <c r="H75" s="2842"/>
      <c r="I75" s="2842"/>
      <c r="J75" s="2842"/>
      <c r="K75" s="2842"/>
      <c r="L75" s="2842"/>
      <c r="M75" s="2842"/>
      <c r="N75" s="2842"/>
      <c r="O75" s="2842"/>
      <c r="P75" s="2842"/>
      <c r="Q75" s="2842"/>
      <c r="R75" s="2842"/>
      <c r="S75" s="2842"/>
      <c r="T75" s="2842"/>
      <c r="U75" s="2842"/>
      <c r="V75" s="2842"/>
      <c r="W75" s="2843"/>
    </row>
    <row r="76" spans="1:23" s="2847" customFormat="1" ht="26.4">
      <c r="A76" s="2845" t="s">
        <v>463</v>
      </c>
      <c r="B76" s="2841" t="s">
        <v>1541</v>
      </c>
      <c r="C76" s="2845"/>
      <c r="D76" s="2845"/>
      <c r="E76" s="2845"/>
      <c r="F76" s="2845"/>
      <c r="G76" s="2846">
        <f>SUM(G77:G79)</f>
        <v>108453.246</v>
      </c>
      <c r="H76" s="2846">
        <f t="shared" ref="H76:W76" si="36">SUM(H77:H79)</f>
        <v>0</v>
      </c>
      <c r="I76" s="2846">
        <f t="shared" si="36"/>
        <v>0</v>
      </c>
      <c r="J76" s="2846">
        <f t="shared" si="36"/>
        <v>108453.246</v>
      </c>
      <c r="K76" s="2846">
        <f t="shared" si="36"/>
        <v>16267</v>
      </c>
      <c r="L76" s="2846">
        <f t="shared" si="36"/>
        <v>0</v>
      </c>
      <c r="M76" s="2846">
        <f t="shared" si="36"/>
        <v>0</v>
      </c>
      <c r="N76" s="2846">
        <f t="shared" si="36"/>
        <v>16267</v>
      </c>
      <c r="O76" s="2846">
        <f t="shared" si="36"/>
        <v>18000</v>
      </c>
      <c r="P76" s="2846">
        <f t="shared" si="36"/>
        <v>0</v>
      </c>
      <c r="Q76" s="2846">
        <f t="shared" si="36"/>
        <v>0</v>
      </c>
      <c r="R76" s="2846">
        <f t="shared" si="36"/>
        <v>18000</v>
      </c>
      <c r="S76" s="2846">
        <f t="shared" si="36"/>
        <v>72370</v>
      </c>
      <c r="T76" s="2846">
        <f t="shared" si="36"/>
        <v>0</v>
      </c>
      <c r="U76" s="2846">
        <f t="shared" si="36"/>
        <v>0</v>
      </c>
      <c r="V76" s="2846">
        <f t="shared" si="36"/>
        <v>72370</v>
      </c>
      <c r="W76" s="2846">
        <f t="shared" si="36"/>
        <v>0</v>
      </c>
    </row>
    <row r="77" spans="1:23" ht="52.8">
      <c r="A77" s="2848"/>
      <c r="B77" s="2849" t="s">
        <v>1603</v>
      </c>
      <c r="C77" s="2848" t="s">
        <v>1604</v>
      </c>
      <c r="D77" s="2848" t="s">
        <v>1547</v>
      </c>
      <c r="E77" s="2848" t="s">
        <v>1544</v>
      </c>
      <c r="F77" s="2848" t="s">
        <v>1605</v>
      </c>
      <c r="G77" s="2850">
        <v>8166</v>
      </c>
      <c r="H77" s="2850"/>
      <c r="I77" s="2850"/>
      <c r="J77" s="2850">
        <v>8166</v>
      </c>
      <c r="K77" s="2850">
        <f>SUM(L77:N77)</f>
        <v>4813</v>
      </c>
      <c r="L77" s="2850"/>
      <c r="M77" s="2850"/>
      <c r="N77" s="2850">
        <v>4813</v>
      </c>
      <c r="O77" s="2850">
        <f>SUM(P77:R77)</f>
        <v>5000</v>
      </c>
      <c r="P77" s="2850"/>
      <c r="Q77" s="2850"/>
      <c r="R77" s="2850">
        <v>5000</v>
      </c>
      <c r="S77" s="2850">
        <f>SUM(T77:W77)</f>
        <v>2600</v>
      </c>
      <c r="T77" s="2850"/>
      <c r="U77" s="2850"/>
      <c r="V77" s="2850">
        <v>2600</v>
      </c>
      <c r="W77" s="2851"/>
    </row>
    <row r="78" spans="1:23" ht="52.8">
      <c r="A78" s="2848"/>
      <c r="B78" s="2849" t="s">
        <v>1606</v>
      </c>
      <c r="C78" s="2848" t="s">
        <v>1607</v>
      </c>
      <c r="D78" s="2848" t="s">
        <v>1547</v>
      </c>
      <c r="E78" s="2848" t="s">
        <v>1582</v>
      </c>
      <c r="F78" s="2848" t="s">
        <v>1608</v>
      </c>
      <c r="G78" s="2850">
        <v>25687.245999999999</v>
      </c>
      <c r="H78" s="2850"/>
      <c r="I78" s="2850"/>
      <c r="J78" s="2850">
        <v>25687.245999999999</v>
      </c>
      <c r="K78" s="2850">
        <f>SUM(L78:N78)</f>
        <v>11454</v>
      </c>
      <c r="L78" s="2850"/>
      <c r="M78" s="2850"/>
      <c r="N78" s="2850">
        <v>11454</v>
      </c>
      <c r="O78" s="2850">
        <f>SUM(P78:R78)</f>
        <v>13000</v>
      </c>
      <c r="P78" s="2850"/>
      <c r="Q78" s="2850"/>
      <c r="R78" s="2850">
        <v>13000</v>
      </c>
      <c r="S78" s="2850">
        <f>SUM(T78:W78)</f>
        <v>10000</v>
      </c>
      <c r="T78" s="2850"/>
      <c r="U78" s="2850"/>
      <c r="V78" s="2850">
        <v>10000</v>
      </c>
      <c r="W78" s="2851"/>
    </row>
    <row r="79" spans="1:23" ht="39.6">
      <c r="A79" s="2848"/>
      <c r="B79" s="2849" t="s">
        <v>1609</v>
      </c>
      <c r="C79" s="2848" t="s">
        <v>1607</v>
      </c>
      <c r="D79" s="2848" t="s">
        <v>1610</v>
      </c>
      <c r="E79" s="2848" t="s">
        <v>1544</v>
      </c>
      <c r="F79" s="2848"/>
      <c r="G79" s="2850">
        <v>74600</v>
      </c>
      <c r="H79" s="2850"/>
      <c r="I79" s="2850"/>
      <c r="J79" s="2850">
        <v>74600</v>
      </c>
      <c r="K79" s="2850">
        <f>SUM(L79:N79)</f>
        <v>0</v>
      </c>
      <c r="L79" s="2850"/>
      <c r="M79" s="2850"/>
      <c r="N79" s="2850"/>
      <c r="O79" s="2850">
        <f>SUM(P79:R79)</f>
        <v>0</v>
      </c>
      <c r="P79" s="2850"/>
      <c r="Q79" s="2850"/>
      <c r="R79" s="2850"/>
      <c r="S79" s="2850">
        <f>SUM(T79:W79)</f>
        <v>59770</v>
      </c>
      <c r="T79" s="2850"/>
      <c r="U79" s="2850"/>
      <c r="V79" s="2850">
        <v>59770</v>
      </c>
      <c r="W79" s="2851"/>
    </row>
    <row r="80" spans="1:23" s="2834" customFormat="1">
      <c r="A80" s="2831">
        <v>6</v>
      </c>
      <c r="B80" s="2832" t="s">
        <v>1521</v>
      </c>
      <c r="C80" s="2831"/>
      <c r="D80" s="2831"/>
      <c r="E80" s="2831"/>
      <c r="F80" s="2831"/>
      <c r="G80" s="2833">
        <f>G81+G82</f>
        <v>60971</v>
      </c>
      <c r="H80" s="2833">
        <f t="shared" ref="H80:W80" si="37">H81+H82</f>
        <v>0</v>
      </c>
      <c r="I80" s="2833">
        <f t="shared" si="37"/>
        <v>0</v>
      </c>
      <c r="J80" s="2833">
        <f t="shared" si="37"/>
        <v>60971</v>
      </c>
      <c r="K80" s="2833">
        <f t="shared" si="37"/>
        <v>7619</v>
      </c>
      <c r="L80" s="2833">
        <f t="shared" si="37"/>
        <v>0</v>
      </c>
      <c r="M80" s="2833">
        <f t="shared" si="37"/>
        <v>0</v>
      </c>
      <c r="N80" s="2833">
        <f t="shared" si="37"/>
        <v>7619</v>
      </c>
      <c r="O80" s="2833">
        <f t="shared" si="37"/>
        <v>10600</v>
      </c>
      <c r="P80" s="2833">
        <f t="shared" si="37"/>
        <v>0</v>
      </c>
      <c r="Q80" s="2833">
        <f t="shared" si="37"/>
        <v>0</v>
      </c>
      <c r="R80" s="2833">
        <f t="shared" si="37"/>
        <v>10600</v>
      </c>
      <c r="S80" s="2833">
        <f t="shared" si="37"/>
        <v>50000</v>
      </c>
      <c r="T80" s="2833">
        <f t="shared" si="37"/>
        <v>0</v>
      </c>
      <c r="U80" s="2833">
        <f t="shared" si="37"/>
        <v>0</v>
      </c>
      <c r="V80" s="2833">
        <f t="shared" si="37"/>
        <v>50000</v>
      </c>
      <c r="W80" s="2833">
        <f t="shared" si="37"/>
        <v>0</v>
      </c>
    </row>
    <row r="81" spans="1:23" s="2839" customFormat="1">
      <c r="A81" s="2835" t="s">
        <v>200</v>
      </c>
      <c r="B81" s="2836" t="s">
        <v>1197</v>
      </c>
      <c r="C81" s="2835"/>
      <c r="D81" s="2835"/>
      <c r="E81" s="2835"/>
      <c r="F81" s="2835"/>
      <c r="G81" s="2837"/>
      <c r="H81" s="2837"/>
      <c r="I81" s="2837"/>
      <c r="J81" s="2837"/>
      <c r="K81" s="2837"/>
      <c r="L81" s="2837"/>
      <c r="M81" s="2837"/>
      <c r="N81" s="2837"/>
      <c r="O81" s="2837"/>
      <c r="P81" s="2837"/>
      <c r="Q81" s="2837"/>
      <c r="R81" s="2837"/>
      <c r="S81" s="2837"/>
      <c r="T81" s="2837"/>
      <c r="U81" s="2837"/>
      <c r="V81" s="2837"/>
      <c r="W81" s="2838"/>
    </row>
    <row r="82" spans="1:23" s="2839" customFormat="1">
      <c r="A82" s="2835" t="s">
        <v>208</v>
      </c>
      <c r="B82" s="2836" t="s">
        <v>1198</v>
      </c>
      <c r="C82" s="2835"/>
      <c r="D82" s="2835"/>
      <c r="E82" s="2835"/>
      <c r="F82" s="2835"/>
      <c r="G82" s="2837">
        <f>G83+G84</f>
        <v>60971</v>
      </c>
      <c r="H82" s="2837">
        <f t="shared" ref="H82:W82" si="38">H83+H84</f>
        <v>0</v>
      </c>
      <c r="I82" s="2837">
        <f t="shared" si="38"/>
        <v>0</v>
      </c>
      <c r="J82" s="2837">
        <f t="shared" si="38"/>
        <v>60971</v>
      </c>
      <c r="K82" s="2837">
        <f t="shared" si="38"/>
        <v>7619</v>
      </c>
      <c r="L82" s="2837">
        <f t="shared" si="38"/>
        <v>0</v>
      </c>
      <c r="M82" s="2837">
        <f t="shared" si="38"/>
        <v>0</v>
      </c>
      <c r="N82" s="2837">
        <f t="shared" si="38"/>
        <v>7619</v>
      </c>
      <c r="O82" s="2837">
        <f t="shared" si="38"/>
        <v>10600</v>
      </c>
      <c r="P82" s="2837">
        <f t="shared" si="38"/>
        <v>0</v>
      </c>
      <c r="Q82" s="2837">
        <f t="shared" si="38"/>
        <v>0</v>
      </c>
      <c r="R82" s="2837">
        <f t="shared" si="38"/>
        <v>10600</v>
      </c>
      <c r="S82" s="2837">
        <f t="shared" si="38"/>
        <v>50000</v>
      </c>
      <c r="T82" s="2837">
        <f t="shared" si="38"/>
        <v>0</v>
      </c>
      <c r="U82" s="2837">
        <f t="shared" si="38"/>
        <v>0</v>
      </c>
      <c r="V82" s="2837">
        <f t="shared" si="38"/>
        <v>50000</v>
      </c>
      <c r="W82" s="2837">
        <f t="shared" si="38"/>
        <v>0</v>
      </c>
    </row>
    <row r="83" spans="1:23" s="2844" customFormat="1" ht="52.8">
      <c r="A83" s="2840" t="s">
        <v>441</v>
      </c>
      <c r="B83" s="2841" t="s">
        <v>1540</v>
      </c>
      <c r="C83" s="2840"/>
      <c r="D83" s="2840"/>
      <c r="E83" s="2840"/>
      <c r="F83" s="2840"/>
      <c r="G83" s="2842"/>
      <c r="H83" s="2842"/>
      <c r="I83" s="2842"/>
      <c r="J83" s="2842"/>
      <c r="K83" s="2842"/>
      <c r="L83" s="2842"/>
      <c r="M83" s="2842"/>
      <c r="N83" s="2842"/>
      <c r="O83" s="2842"/>
      <c r="P83" s="2842"/>
      <c r="Q83" s="2842"/>
      <c r="R83" s="2842"/>
      <c r="S83" s="2842"/>
      <c r="T83" s="2842"/>
      <c r="U83" s="2842"/>
      <c r="V83" s="2842"/>
      <c r="W83" s="2843"/>
    </row>
    <row r="84" spans="1:23" s="2847" customFormat="1" ht="26.4">
      <c r="A84" s="2845" t="s">
        <v>463</v>
      </c>
      <c r="B84" s="2841" t="s">
        <v>1541</v>
      </c>
      <c r="C84" s="2845"/>
      <c r="D84" s="2845"/>
      <c r="E84" s="2845"/>
      <c r="F84" s="2845"/>
      <c r="G84" s="2846">
        <f>G85+G86</f>
        <v>60971</v>
      </c>
      <c r="H84" s="2846">
        <f t="shared" ref="H84:W84" si="39">H85+H86</f>
        <v>0</v>
      </c>
      <c r="I84" s="2846">
        <f t="shared" si="39"/>
        <v>0</v>
      </c>
      <c r="J84" s="2846">
        <f t="shared" si="39"/>
        <v>60971</v>
      </c>
      <c r="K84" s="2846">
        <f t="shared" si="39"/>
        <v>7619</v>
      </c>
      <c r="L84" s="2846">
        <f t="shared" si="39"/>
        <v>0</v>
      </c>
      <c r="M84" s="2846">
        <f t="shared" si="39"/>
        <v>0</v>
      </c>
      <c r="N84" s="2846">
        <f t="shared" si="39"/>
        <v>7619</v>
      </c>
      <c r="O84" s="2846">
        <f t="shared" si="39"/>
        <v>10600</v>
      </c>
      <c r="P84" s="2846">
        <f t="shared" si="39"/>
        <v>0</v>
      </c>
      <c r="Q84" s="2846">
        <f t="shared" si="39"/>
        <v>0</v>
      </c>
      <c r="R84" s="2846">
        <f t="shared" si="39"/>
        <v>10600</v>
      </c>
      <c r="S84" s="2846">
        <f t="shared" si="39"/>
        <v>50000</v>
      </c>
      <c r="T84" s="2846">
        <f t="shared" si="39"/>
        <v>0</v>
      </c>
      <c r="U84" s="2846">
        <f t="shared" si="39"/>
        <v>0</v>
      </c>
      <c r="V84" s="2846">
        <f t="shared" si="39"/>
        <v>50000</v>
      </c>
      <c r="W84" s="2846">
        <f t="shared" si="39"/>
        <v>0</v>
      </c>
    </row>
    <row r="85" spans="1:23" ht="39.6">
      <c r="A85" s="2848"/>
      <c r="B85" s="2849" t="s">
        <v>1611</v>
      </c>
      <c r="C85" s="2848" t="s">
        <v>1612</v>
      </c>
      <c r="D85" s="2848" t="s">
        <v>1590</v>
      </c>
      <c r="E85" s="2848" t="s">
        <v>1544</v>
      </c>
      <c r="F85" s="2848" t="s">
        <v>1613</v>
      </c>
      <c r="G85" s="2850">
        <v>31000</v>
      </c>
      <c r="H85" s="2850"/>
      <c r="I85" s="2850"/>
      <c r="J85" s="2850">
        <v>31000</v>
      </c>
      <c r="K85" s="2850">
        <f>SUM(L85:N85)</f>
        <v>0</v>
      </c>
      <c r="L85" s="2850"/>
      <c r="M85" s="2850"/>
      <c r="N85" s="2850"/>
      <c r="O85" s="2850">
        <f>SUM(P85:R85)</f>
        <v>600</v>
      </c>
      <c r="P85" s="2850"/>
      <c r="Q85" s="2850"/>
      <c r="R85" s="2850">
        <v>600</v>
      </c>
      <c r="S85" s="2850">
        <f>SUM(T85:W85)</f>
        <v>25000</v>
      </c>
      <c r="T85" s="2850"/>
      <c r="U85" s="2850"/>
      <c r="V85" s="2850">
        <v>25000</v>
      </c>
      <c r="W85" s="2851"/>
    </row>
    <row r="86" spans="1:23" ht="52.8">
      <c r="A86" s="2848"/>
      <c r="B86" s="2849" t="s">
        <v>1614</v>
      </c>
      <c r="C86" s="2848" t="s">
        <v>1612</v>
      </c>
      <c r="D86" s="2848" t="s">
        <v>1595</v>
      </c>
      <c r="E86" s="2848" t="s">
        <v>1615</v>
      </c>
      <c r="F86" s="2848" t="s">
        <v>1616</v>
      </c>
      <c r="G86" s="2850">
        <v>29971</v>
      </c>
      <c r="H86" s="2850"/>
      <c r="I86" s="2850"/>
      <c r="J86" s="2850">
        <v>29971</v>
      </c>
      <c r="K86" s="2850">
        <f>SUM(L86:N86)</f>
        <v>7619</v>
      </c>
      <c r="L86" s="2850"/>
      <c r="M86" s="2850"/>
      <c r="N86" s="2850">
        <v>7619</v>
      </c>
      <c r="O86" s="2850">
        <f>SUM(P86:R86)</f>
        <v>10000</v>
      </c>
      <c r="P86" s="2850"/>
      <c r="Q86" s="2850"/>
      <c r="R86" s="2850">
        <v>10000</v>
      </c>
      <c r="S86" s="2850">
        <f>SUM(T86:W86)</f>
        <v>25000</v>
      </c>
      <c r="T86" s="2850"/>
      <c r="U86" s="2850"/>
      <c r="V86" s="2850">
        <v>25000</v>
      </c>
      <c r="W86" s="2851"/>
    </row>
    <row r="87" spans="1:23" s="2830" customFormat="1" ht="26.4">
      <c r="A87" s="2827" t="s">
        <v>319</v>
      </c>
      <c r="B87" s="2828" t="s">
        <v>1617</v>
      </c>
      <c r="C87" s="2827"/>
      <c r="D87" s="2827"/>
      <c r="E87" s="2827"/>
      <c r="F87" s="2827"/>
      <c r="G87" s="2829">
        <f>G88+G96+G102+G108+G115+G121</f>
        <v>326822.65912299999</v>
      </c>
      <c r="H87" s="2829">
        <f t="shared" ref="H87:W87" si="40">H88+H96+H102+H108+H115+H121</f>
        <v>0</v>
      </c>
      <c r="I87" s="2829">
        <f t="shared" si="40"/>
        <v>190000</v>
      </c>
      <c r="J87" s="2829">
        <f t="shared" si="40"/>
        <v>136822.277</v>
      </c>
      <c r="K87" s="2829">
        <f t="shared" si="40"/>
        <v>83609</v>
      </c>
      <c r="L87" s="2829">
        <f t="shared" si="40"/>
        <v>0</v>
      </c>
      <c r="M87" s="2829">
        <f t="shared" si="40"/>
        <v>48882</v>
      </c>
      <c r="N87" s="2829">
        <f t="shared" si="40"/>
        <v>34727</v>
      </c>
      <c r="O87" s="2829">
        <f t="shared" si="40"/>
        <v>125186</v>
      </c>
      <c r="P87" s="2829">
        <f t="shared" si="40"/>
        <v>0</v>
      </c>
      <c r="Q87" s="2829">
        <f t="shared" si="40"/>
        <v>68000</v>
      </c>
      <c r="R87" s="2829">
        <f t="shared" si="40"/>
        <v>57186</v>
      </c>
      <c r="S87" s="2829">
        <f t="shared" si="40"/>
        <v>102660</v>
      </c>
      <c r="T87" s="2829">
        <f t="shared" si="40"/>
        <v>0</v>
      </c>
      <c r="U87" s="2829">
        <f t="shared" si="40"/>
        <v>0</v>
      </c>
      <c r="V87" s="2829">
        <f t="shared" si="40"/>
        <v>102660</v>
      </c>
      <c r="W87" s="2829">
        <f t="shared" si="40"/>
        <v>0</v>
      </c>
    </row>
    <row r="88" spans="1:23" s="2834" customFormat="1" ht="26.4">
      <c r="A88" s="2831">
        <v>1</v>
      </c>
      <c r="B88" s="2832" t="s">
        <v>1515</v>
      </c>
      <c r="C88" s="2831"/>
      <c r="D88" s="2831"/>
      <c r="E88" s="2831"/>
      <c r="F88" s="2831"/>
      <c r="G88" s="2833">
        <f>G89+G90</f>
        <v>75756.277000000002</v>
      </c>
      <c r="H88" s="2833">
        <f t="shared" ref="H88:W88" si="41">H89+H90</f>
        <v>0</v>
      </c>
      <c r="I88" s="2833">
        <f t="shared" si="41"/>
        <v>30000</v>
      </c>
      <c r="J88" s="2833">
        <f t="shared" si="41"/>
        <v>45756.277000000002</v>
      </c>
      <c r="K88" s="2833">
        <f t="shared" si="41"/>
        <v>11303</v>
      </c>
      <c r="L88" s="2833">
        <f t="shared" si="41"/>
        <v>0</v>
      </c>
      <c r="M88" s="2833">
        <f t="shared" si="41"/>
        <v>341</v>
      </c>
      <c r="N88" s="2833">
        <f t="shared" si="41"/>
        <v>10962</v>
      </c>
      <c r="O88" s="2833">
        <f t="shared" si="41"/>
        <v>12100</v>
      </c>
      <c r="P88" s="2833">
        <f t="shared" si="41"/>
        <v>0</v>
      </c>
      <c r="Q88" s="2833">
        <f t="shared" si="41"/>
        <v>0</v>
      </c>
      <c r="R88" s="2833">
        <f t="shared" si="41"/>
        <v>12100</v>
      </c>
      <c r="S88" s="2833">
        <f t="shared" si="41"/>
        <v>27400</v>
      </c>
      <c r="T88" s="2833">
        <f t="shared" si="41"/>
        <v>0</v>
      </c>
      <c r="U88" s="2833">
        <f t="shared" si="41"/>
        <v>0</v>
      </c>
      <c r="V88" s="2833">
        <f t="shared" si="41"/>
        <v>27400</v>
      </c>
      <c r="W88" s="2833">
        <f t="shared" si="41"/>
        <v>0</v>
      </c>
    </row>
    <row r="89" spans="1:23" s="2839" customFormat="1">
      <c r="A89" s="2835" t="s">
        <v>200</v>
      </c>
      <c r="B89" s="2836" t="s">
        <v>1197</v>
      </c>
      <c r="C89" s="2835"/>
      <c r="D89" s="2835"/>
      <c r="E89" s="2835"/>
      <c r="F89" s="2835"/>
      <c r="G89" s="2837"/>
      <c r="H89" s="2837"/>
      <c r="I89" s="2837"/>
      <c r="J89" s="2837"/>
      <c r="K89" s="2837"/>
      <c r="L89" s="2837"/>
      <c r="M89" s="2837"/>
      <c r="N89" s="2837"/>
      <c r="O89" s="2837"/>
      <c r="P89" s="2837"/>
      <c r="Q89" s="2837"/>
      <c r="R89" s="2837"/>
      <c r="S89" s="2837"/>
      <c r="T89" s="2837"/>
      <c r="U89" s="2837"/>
      <c r="V89" s="2837"/>
      <c r="W89" s="2838"/>
    </row>
    <row r="90" spans="1:23" s="2839" customFormat="1">
      <c r="A90" s="2835" t="s">
        <v>208</v>
      </c>
      <c r="B90" s="2836" t="s">
        <v>1198</v>
      </c>
      <c r="C90" s="2835"/>
      <c r="D90" s="2835"/>
      <c r="E90" s="2835"/>
      <c r="F90" s="2835"/>
      <c r="G90" s="2837">
        <f>G91+G92</f>
        <v>75756.277000000002</v>
      </c>
      <c r="H90" s="2837">
        <f t="shared" ref="H90:W90" si="42">H91+H92</f>
        <v>0</v>
      </c>
      <c r="I90" s="2837">
        <f t="shared" si="42"/>
        <v>30000</v>
      </c>
      <c r="J90" s="2837">
        <f t="shared" si="42"/>
        <v>45756.277000000002</v>
      </c>
      <c r="K90" s="2837">
        <f t="shared" si="42"/>
        <v>11303</v>
      </c>
      <c r="L90" s="2837">
        <f t="shared" si="42"/>
        <v>0</v>
      </c>
      <c r="M90" s="2837">
        <f t="shared" si="42"/>
        <v>341</v>
      </c>
      <c r="N90" s="2837">
        <f t="shared" si="42"/>
        <v>10962</v>
      </c>
      <c r="O90" s="2837">
        <f t="shared" si="42"/>
        <v>12100</v>
      </c>
      <c r="P90" s="2837">
        <f t="shared" si="42"/>
        <v>0</v>
      </c>
      <c r="Q90" s="2837">
        <f t="shared" si="42"/>
        <v>0</v>
      </c>
      <c r="R90" s="2837">
        <f t="shared" si="42"/>
        <v>12100</v>
      </c>
      <c r="S90" s="2837">
        <f t="shared" si="42"/>
        <v>27400</v>
      </c>
      <c r="T90" s="2837">
        <f t="shared" si="42"/>
        <v>0</v>
      </c>
      <c r="U90" s="2837">
        <f t="shared" si="42"/>
        <v>0</v>
      </c>
      <c r="V90" s="2837">
        <f t="shared" si="42"/>
        <v>27400</v>
      </c>
      <c r="W90" s="2837">
        <f t="shared" si="42"/>
        <v>0</v>
      </c>
    </row>
    <row r="91" spans="1:23" s="2844" customFormat="1" ht="52.8">
      <c r="A91" s="2840" t="s">
        <v>441</v>
      </c>
      <c r="B91" s="2841" t="s">
        <v>1540</v>
      </c>
      <c r="C91" s="2840"/>
      <c r="D91" s="2840"/>
      <c r="E91" s="2840"/>
      <c r="F91" s="2840"/>
      <c r="G91" s="2842"/>
      <c r="H91" s="2842"/>
      <c r="I91" s="2842"/>
      <c r="J91" s="2842"/>
      <c r="K91" s="2842"/>
      <c r="L91" s="2842"/>
      <c r="M91" s="2842"/>
      <c r="N91" s="2842"/>
      <c r="O91" s="2842"/>
      <c r="P91" s="2842"/>
      <c r="Q91" s="2842"/>
      <c r="R91" s="2842"/>
      <c r="S91" s="2842"/>
      <c r="T91" s="2842"/>
      <c r="U91" s="2842"/>
      <c r="V91" s="2842"/>
      <c r="W91" s="2843"/>
    </row>
    <row r="92" spans="1:23" s="2847" customFormat="1" ht="26.4">
      <c r="A92" s="2845" t="s">
        <v>463</v>
      </c>
      <c r="B92" s="2841" t="s">
        <v>1541</v>
      </c>
      <c r="C92" s="2845"/>
      <c r="D92" s="2845"/>
      <c r="E92" s="2845"/>
      <c r="F92" s="2845"/>
      <c r="G92" s="2846">
        <f>G93+G94+G95</f>
        <v>75756.277000000002</v>
      </c>
      <c r="H92" s="2846">
        <f t="shared" ref="H92:W92" si="43">H93+H94+H95</f>
        <v>0</v>
      </c>
      <c r="I92" s="2846">
        <f t="shared" si="43"/>
        <v>30000</v>
      </c>
      <c r="J92" s="2846">
        <f t="shared" si="43"/>
        <v>45756.277000000002</v>
      </c>
      <c r="K92" s="2846">
        <f t="shared" si="43"/>
        <v>11303</v>
      </c>
      <c r="L92" s="2846">
        <f t="shared" si="43"/>
        <v>0</v>
      </c>
      <c r="M92" s="2846">
        <f t="shared" si="43"/>
        <v>341</v>
      </c>
      <c r="N92" s="2846">
        <f t="shared" si="43"/>
        <v>10962</v>
      </c>
      <c r="O92" s="2846">
        <f t="shared" si="43"/>
        <v>12100</v>
      </c>
      <c r="P92" s="2846">
        <f t="shared" si="43"/>
        <v>0</v>
      </c>
      <c r="Q92" s="2846">
        <f t="shared" si="43"/>
        <v>0</v>
      </c>
      <c r="R92" s="2846">
        <f t="shared" si="43"/>
        <v>12100</v>
      </c>
      <c r="S92" s="2846">
        <f t="shared" si="43"/>
        <v>27400</v>
      </c>
      <c r="T92" s="2846">
        <f t="shared" si="43"/>
        <v>0</v>
      </c>
      <c r="U92" s="2846">
        <f t="shared" si="43"/>
        <v>0</v>
      </c>
      <c r="V92" s="2846">
        <f t="shared" si="43"/>
        <v>27400</v>
      </c>
      <c r="W92" s="2846">
        <f t="shared" si="43"/>
        <v>0</v>
      </c>
    </row>
    <row r="93" spans="1:23" s="2854" customFormat="1" ht="92.4">
      <c r="A93" s="2848"/>
      <c r="B93" s="2849" t="s">
        <v>1618</v>
      </c>
      <c r="C93" s="2848" t="s">
        <v>1619</v>
      </c>
      <c r="D93" s="2848" t="s">
        <v>1551</v>
      </c>
      <c r="E93" s="2848" t="s">
        <v>1620</v>
      </c>
      <c r="F93" s="2848" t="s">
        <v>1621</v>
      </c>
      <c r="G93" s="2850">
        <v>47803</v>
      </c>
      <c r="H93" s="2850"/>
      <c r="I93" s="2850">
        <v>30000</v>
      </c>
      <c r="J93" s="2850">
        <v>17803</v>
      </c>
      <c r="K93" s="2850">
        <f>SUM(L93:N93)</f>
        <v>11303</v>
      </c>
      <c r="L93" s="2850"/>
      <c r="M93" s="2850">
        <v>341</v>
      </c>
      <c r="N93" s="2850">
        <v>10962</v>
      </c>
      <c r="O93" s="2850">
        <f>SUM(P93:R93)</f>
        <v>11100</v>
      </c>
      <c r="P93" s="2850"/>
      <c r="Q93" s="2850"/>
      <c r="R93" s="2850">
        <v>11100</v>
      </c>
      <c r="S93" s="2850">
        <f>SUM(T93:W93)</f>
        <v>1900</v>
      </c>
      <c r="T93" s="2850"/>
      <c r="U93" s="2850"/>
      <c r="V93" s="2850">
        <v>1900</v>
      </c>
      <c r="W93" s="2853"/>
    </row>
    <row r="94" spans="1:23" s="2854" customFormat="1" ht="79.2">
      <c r="A94" s="2848"/>
      <c r="B94" s="2849" t="s">
        <v>1622</v>
      </c>
      <c r="C94" s="2848" t="s">
        <v>1623</v>
      </c>
      <c r="D94" s="2848" t="s">
        <v>1624</v>
      </c>
      <c r="E94" s="2848" t="s">
        <v>1574</v>
      </c>
      <c r="F94" s="2848" t="s">
        <v>1625</v>
      </c>
      <c r="G94" s="2850">
        <v>12984.277</v>
      </c>
      <c r="H94" s="2850"/>
      <c r="I94" s="2850"/>
      <c r="J94" s="2850">
        <v>12984.277</v>
      </c>
      <c r="K94" s="2850">
        <f>SUM(L94:N94)</f>
        <v>0</v>
      </c>
      <c r="L94" s="2850"/>
      <c r="M94" s="2850"/>
      <c r="N94" s="2850"/>
      <c r="O94" s="2850">
        <f>SUM(P94:R94)</f>
        <v>500</v>
      </c>
      <c r="P94" s="2850"/>
      <c r="Q94" s="2850"/>
      <c r="R94" s="2850">
        <v>500</v>
      </c>
      <c r="S94" s="2850">
        <f>SUM(T94:W94)</f>
        <v>11500</v>
      </c>
      <c r="T94" s="2850"/>
      <c r="U94" s="2850"/>
      <c r="V94" s="2850">
        <v>11500</v>
      </c>
      <c r="W94" s="2853"/>
    </row>
    <row r="95" spans="1:23" s="2854" customFormat="1" ht="66">
      <c r="A95" s="2848"/>
      <c r="B95" s="2849" t="s">
        <v>1626</v>
      </c>
      <c r="C95" s="2848" t="s">
        <v>1623</v>
      </c>
      <c r="D95" s="2848" t="s">
        <v>1627</v>
      </c>
      <c r="E95" s="2848" t="s">
        <v>1544</v>
      </c>
      <c r="F95" s="2848" t="s">
        <v>1628</v>
      </c>
      <c r="G95" s="2850">
        <v>14969</v>
      </c>
      <c r="H95" s="2850"/>
      <c r="I95" s="2850"/>
      <c r="J95" s="2850">
        <v>14969</v>
      </c>
      <c r="K95" s="2850">
        <f>SUM(L95:N95)</f>
        <v>0</v>
      </c>
      <c r="L95" s="2850"/>
      <c r="M95" s="2850"/>
      <c r="N95" s="2850"/>
      <c r="O95" s="2850">
        <f>SUM(P95:R95)</f>
        <v>500</v>
      </c>
      <c r="P95" s="2850"/>
      <c r="Q95" s="2850"/>
      <c r="R95" s="2850">
        <v>500</v>
      </c>
      <c r="S95" s="2850">
        <f>SUM(T95:W95)</f>
        <v>14000</v>
      </c>
      <c r="T95" s="2850"/>
      <c r="U95" s="2850"/>
      <c r="V95" s="2850">
        <v>14000</v>
      </c>
      <c r="W95" s="2853"/>
    </row>
    <row r="96" spans="1:23" s="2834" customFormat="1">
      <c r="A96" s="2831">
        <v>2</v>
      </c>
      <c r="B96" s="2832" t="s">
        <v>1518</v>
      </c>
      <c r="C96" s="2831"/>
      <c r="D96" s="2831"/>
      <c r="E96" s="2831"/>
      <c r="F96" s="2831"/>
      <c r="G96" s="2833">
        <f>G97+G98</f>
        <v>22500</v>
      </c>
      <c r="H96" s="2833">
        <f t="shared" ref="H96:W96" si="44">H97+H98</f>
        <v>0</v>
      </c>
      <c r="I96" s="2833">
        <f t="shared" si="44"/>
        <v>0</v>
      </c>
      <c r="J96" s="2833">
        <f t="shared" si="44"/>
        <v>22500</v>
      </c>
      <c r="K96" s="2833">
        <f t="shared" si="44"/>
        <v>8558</v>
      </c>
      <c r="L96" s="2833">
        <f t="shared" si="44"/>
        <v>0</v>
      </c>
      <c r="M96" s="2833">
        <f t="shared" si="44"/>
        <v>0</v>
      </c>
      <c r="N96" s="2833">
        <f t="shared" si="44"/>
        <v>8558</v>
      </c>
      <c r="O96" s="2833">
        <f t="shared" si="44"/>
        <v>17000</v>
      </c>
      <c r="P96" s="2833">
        <f t="shared" si="44"/>
        <v>0</v>
      </c>
      <c r="Q96" s="2833">
        <f t="shared" si="44"/>
        <v>0</v>
      </c>
      <c r="R96" s="2833">
        <f t="shared" si="44"/>
        <v>17000</v>
      </c>
      <c r="S96" s="2833">
        <f t="shared" si="44"/>
        <v>3000</v>
      </c>
      <c r="T96" s="2833">
        <f t="shared" si="44"/>
        <v>0</v>
      </c>
      <c r="U96" s="2833">
        <f t="shared" si="44"/>
        <v>0</v>
      </c>
      <c r="V96" s="2833">
        <f t="shared" si="44"/>
        <v>3000</v>
      </c>
      <c r="W96" s="2833">
        <f t="shared" si="44"/>
        <v>0</v>
      </c>
    </row>
    <row r="97" spans="1:23" s="2839" customFormat="1">
      <c r="A97" s="2835" t="s">
        <v>200</v>
      </c>
      <c r="B97" s="2836" t="s">
        <v>1197</v>
      </c>
      <c r="C97" s="2835"/>
      <c r="D97" s="2835"/>
      <c r="E97" s="2835"/>
      <c r="F97" s="2835"/>
      <c r="G97" s="2837"/>
      <c r="H97" s="2837"/>
      <c r="I97" s="2837"/>
      <c r="J97" s="2837"/>
      <c r="K97" s="2837"/>
      <c r="L97" s="2837"/>
      <c r="M97" s="2837"/>
      <c r="N97" s="2837"/>
      <c r="O97" s="2837"/>
      <c r="P97" s="2837"/>
      <c r="Q97" s="2837"/>
      <c r="R97" s="2837"/>
      <c r="S97" s="2837"/>
      <c r="T97" s="2837"/>
      <c r="U97" s="2837"/>
      <c r="V97" s="2837"/>
      <c r="W97" s="2838"/>
    </row>
    <row r="98" spans="1:23" s="2839" customFormat="1">
      <c r="A98" s="2835" t="s">
        <v>208</v>
      </c>
      <c r="B98" s="2836" t="s">
        <v>1198</v>
      </c>
      <c r="C98" s="2835"/>
      <c r="D98" s="2835"/>
      <c r="E98" s="2835"/>
      <c r="F98" s="2835"/>
      <c r="G98" s="2837">
        <f>G99+G100</f>
        <v>22500</v>
      </c>
      <c r="H98" s="2837">
        <f t="shared" ref="H98:W98" si="45">H99+H100</f>
        <v>0</v>
      </c>
      <c r="I98" s="2837">
        <f t="shared" si="45"/>
        <v>0</v>
      </c>
      <c r="J98" s="2837">
        <f t="shared" si="45"/>
        <v>22500</v>
      </c>
      <c r="K98" s="2837">
        <f t="shared" si="45"/>
        <v>8558</v>
      </c>
      <c r="L98" s="2837">
        <f t="shared" si="45"/>
        <v>0</v>
      </c>
      <c r="M98" s="2837">
        <f t="shared" si="45"/>
        <v>0</v>
      </c>
      <c r="N98" s="2837">
        <f t="shared" si="45"/>
        <v>8558</v>
      </c>
      <c r="O98" s="2837">
        <f t="shared" si="45"/>
        <v>17000</v>
      </c>
      <c r="P98" s="2837">
        <f t="shared" si="45"/>
        <v>0</v>
      </c>
      <c r="Q98" s="2837">
        <f t="shared" si="45"/>
        <v>0</v>
      </c>
      <c r="R98" s="2837">
        <f t="shared" si="45"/>
        <v>17000</v>
      </c>
      <c r="S98" s="2837">
        <f t="shared" si="45"/>
        <v>3000</v>
      </c>
      <c r="T98" s="2837">
        <f t="shared" si="45"/>
        <v>0</v>
      </c>
      <c r="U98" s="2837">
        <f t="shared" si="45"/>
        <v>0</v>
      </c>
      <c r="V98" s="2837">
        <f t="shared" si="45"/>
        <v>3000</v>
      </c>
      <c r="W98" s="2837">
        <f t="shared" si="45"/>
        <v>0</v>
      </c>
    </row>
    <row r="99" spans="1:23" s="2844" customFormat="1" ht="52.8">
      <c r="A99" s="2840" t="s">
        <v>441</v>
      </c>
      <c r="B99" s="2841" t="s">
        <v>1540</v>
      </c>
      <c r="C99" s="2840"/>
      <c r="D99" s="2840"/>
      <c r="E99" s="2840"/>
      <c r="F99" s="2840"/>
      <c r="G99" s="2842"/>
      <c r="H99" s="2842"/>
      <c r="I99" s="2842"/>
      <c r="J99" s="2842"/>
      <c r="K99" s="2842"/>
      <c r="L99" s="2842"/>
      <c r="M99" s="2842"/>
      <c r="N99" s="2842"/>
      <c r="O99" s="2842"/>
      <c r="P99" s="2842"/>
      <c r="Q99" s="2842"/>
      <c r="R99" s="2842"/>
      <c r="S99" s="2842"/>
      <c r="T99" s="2842"/>
      <c r="U99" s="2842"/>
      <c r="V99" s="2842"/>
      <c r="W99" s="2843"/>
    </row>
    <row r="100" spans="1:23" s="2847" customFormat="1" ht="26.4">
      <c r="A100" s="2845" t="s">
        <v>463</v>
      </c>
      <c r="B100" s="2841" t="s">
        <v>1541</v>
      </c>
      <c r="C100" s="2845"/>
      <c r="D100" s="2845"/>
      <c r="E100" s="2845"/>
      <c r="F100" s="2845"/>
      <c r="G100" s="2846">
        <f>G101</f>
        <v>22500</v>
      </c>
      <c r="H100" s="2846">
        <f t="shared" ref="H100:W100" si="46">H101</f>
        <v>0</v>
      </c>
      <c r="I100" s="2846">
        <f t="shared" si="46"/>
        <v>0</v>
      </c>
      <c r="J100" s="2846">
        <f t="shared" si="46"/>
        <v>22500</v>
      </c>
      <c r="K100" s="2846">
        <f t="shared" si="46"/>
        <v>8558</v>
      </c>
      <c r="L100" s="2846">
        <f t="shared" si="46"/>
        <v>0</v>
      </c>
      <c r="M100" s="2846">
        <f t="shared" si="46"/>
        <v>0</v>
      </c>
      <c r="N100" s="2846">
        <f t="shared" si="46"/>
        <v>8558</v>
      </c>
      <c r="O100" s="2846">
        <f t="shared" si="46"/>
        <v>17000</v>
      </c>
      <c r="P100" s="2846">
        <f t="shared" si="46"/>
        <v>0</v>
      </c>
      <c r="Q100" s="2846">
        <f t="shared" si="46"/>
        <v>0</v>
      </c>
      <c r="R100" s="2846">
        <f t="shared" si="46"/>
        <v>17000</v>
      </c>
      <c r="S100" s="2846">
        <f t="shared" si="46"/>
        <v>3000</v>
      </c>
      <c r="T100" s="2846">
        <f t="shared" si="46"/>
        <v>0</v>
      </c>
      <c r="U100" s="2846">
        <f t="shared" si="46"/>
        <v>0</v>
      </c>
      <c r="V100" s="2846">
        <f t="shared" si="46"/>
        <v>3000</v>
      </c>
      <c r="W100" s="2846">
        <f t="shared" si="46"/>
        <v>0</v>
      </c>
    </row>
    <row r="101" spans="1:23" s="2854" customFormat="1" ht="105.6">
      <c r="A101" s="2848"/>
      <c r="B101" s="2849" t="s">
        <v>1629</v>
      </c>
      <c r="C101" s="2848" t="s">
        <v>1623</v>
      </c>
      <c r="D101" s="2848" t="s">
        <v>1624</v>
      </c>
      <c r="E101" s="2848"/>
      <c r="F101" s="2848" t="s">
        <v>1630</v>
      </c>
      <c r="G101" s="2850">
        <v>22500</v>
      </c>
      <c r="H101" s="2850"/>
      <c r="I101" s="2850"/>
      <c r="J101" s="2850">
        <v>22500</v>
      </c>
      <c r="K101" s="2850">
        <f>SUM(L101:N101)</f>
        <v>8558</v>
      </c>
      <c r="L101" s="2850"/>
      <c r="M101" s="2850"/>
      <c r="N101" s="2850">
        <v>8558</v>
      </c>
      <c r="O101" s="2850">
        <f>SUM(P101:R101)</f>
        <v>17000</v>
      </c>
      <c r="P101" s="2850"/>
      <c r="Q101" s="2850"/>
      <c r="R101" s="2850">
        <v>17000</v>
      </c>
      <c r="S101" s="2850">
        <f>SUM(T101:W101)</f>
        <v>3000</v>
      </c>
      <c r="T101" s="2850"/>
      <c r="U101" s="2850"/>
      <c r="V101" s="2850">
        <v>3000</v>
      </c>
      <c r="W101" s="2853"/>
    </row>
    <row r="102" spans="1:23" s="2834" customFormat="1" ht="26.4">
      <c r="A102" s="2831">
        <v>3</v>
      </c>
      <c r="B102" s="2832" t="s">
        <v>1631</v>
      </c>
      <c r="C102" s="2831"/>
      <c r="D102" s="2831"/>
      <c r="E102" s="2831"/>
      <c r="F102" s="2831"/>
      <c r="G102" s="2833">
        <f>G103+G104</f>
        <v>6363.3821230000003</v>
      </c>
      <c r="H102" s="2833">
        <f t="shared" ref="H102:W102" si="47">H103+H104</f>
        <v>0</v>
      </c>
      <c r="I102" s="2833">
        <f t="shared" si="47"/>
        <v>0</v>
      </c>
      <c r="J102" s="2833">
        <f t="shared" si="47"/>
        <v>6363</v>
      </c>
      <c r="K102" s="2833">
        <f t="shared" si="47"/>
        <v>2476</v>
      </c>
      <c r="L102" s="2833">
        <f t="shared" si="47"/>
        <v>0</v>
      </c>
      <c r="M102" s="2833">
        <f t="shared" si="47"/>
        <v>0</v>
      </c>
      <c r="N102" s="2833">
        <f t="shared" si="47"/>
        <v>2476</v>
      </c>
      <c r="O102" s="2833">
        <f t="shared" si="47"/>
        <v>2500</v>
      </c>
      <c r="P102" s="2833">
        <f t="shared" si="47"/>
        <v>0</v>
      </c>
      <c r="Q102" s="2833">
        <f t="shared" si="47"/>
        <v>0</v>
      </c>
      <c r="R102" s="2833">
        <f t="shared" si="47"/>
        <v>2500</v>
      </c>
      <c r="S102" s="2833">
        <f t="shared" si="47"/>
        <v>5500</v>
      </c>
      <c r="T102" s="2833">
        <f t="shared" si="47"/>
        <v>0</v>
      </c>
      <c r="U102" s="2833">
        <f t="shared" si="47"/>
        <v>0</v>
      </c>
      <c r="V102" s="2833">
        <f t="shared" si="47"/>
        <v>5500</v>
      </c>
      <c r="W102" s="2833">
        <f t="shared" si="47"/>
        <v>0</v>
      </c>
    </row>
    <row r="103" spans="1:23" s="2839" customFormat="1">
      <c r="A103" s="2835" t="s">
        <v>200</v>
      </c>
      <c r="B103" s="2836" t="s">
        <v>1197</v>
      </c>
      <c r="C103" s="2835"/>
      <c r="D103" s="2835"/>
      <c r="E103" s="2835"/>
      <c r="F103" s="2835"/>
      <c r="G103" s="2837"/>
      <c r="H103" s="2837"/>
      <c r="I103" s="2837"/>
      <c r="J103" s="2837"/>
      <c r="K103" s="2837"/>
      <c r="L103" s="2837"/>
      <c r="M103" s="2837"/>
      <c r="N103" s="2837"/>
      <c r="O103" s="2837"/>
      <c r="P103" s="2837"/>
      <c r="Q103" s="2837"/>
      <c r="R103" s="2837"/>
      <c r="S103" s="2837"/>
      <c r="T103" s="2837"/>
      <c r="U103" s="2837"/>
      <c r="V103" s="2837"/>
      <c r="W103" s="2838"/>
    </row>
    <row r="104" spans="1:23" s="2839" customFormat="1">
      <c r="A104" s="2835" t="s">
        <v>208</v>
      </c>
      <c r="B104" s="2836" t="s">
        <v>1198</v>
      </c>
      <c r="C104" s="2835"/>
      <c r="D104" s="2835"/>
      <c r="E104" s="2835"/>
      <c r="F104" s="2835"/>
      <c r="G104" s="2837">
        <f>G105+G106</f>
        <v>6363.3821230000003</v>
      </c>
      <c r="H104" s="2837">
        <f t="shared" ref="H104:W104" si="48">H105+H106</f>
        <v>0</v>
      </c>
      <c r="I104" s="2837">
        <f t="shared" si="48"/>
        <v>0</v>
      </c>
      <c r="J104" s="2837">
        <f t="shared" si="48"/>
        <v>6363</v>
      </c>
      <c r="K104" s="2837">
        <f t="shared" si="48"/>
        <v>2476</v>
      </c>
      <c r="L104" s="2837">
        <f t="shared" si="48"/>
        <v>0</v>
      </c>
      <c r="M104" s="2837">
        <f t="shared" si="48"/>
        <v>0</v>
      </c>
      <c r="N104" s="2837">
        <f t="shared" si="48"/>
        <v>2476</v>
      </c>
      <c r="O104" s="2837">
        <f t="shared" si="48"/>
        <v>2500</v>
      </c>
      <c r="P104" s="2837">
        <f t="shared" si="48"/>
        <v>0</v>
      </c>
      <c r="Q104" s="2837">
        <f t="shared" si="48"/>
        <v>0</v>
      </c>
      <c r="R104" s="2837">
        <f t="shared" si="48"/>
        <v>2500</v>
      </c>
      <c r="S104" s="2837">
        <f t="shared" si="48"/>
        <v>5500</v>
      </c>
      <c r="T104" s="2837">
        <f t="shared" si="48"/>
        <v>0</v>
      </c>
      <c r="U104" s="2837">
        <f t="shared" si="48"/>
        <v>0</v>
      </c>
      <c r="V104" s="2837">
        <f t="shared" si="48"/>
        <v>5500</v>
      </c>
      <c r="W104" s="2837">
        <f t="shared" si="48"/>
        <v>0</v>
      </c>
    </row>
    <row r="105" spans="1:23" s="2844" customFormat="1" ht="52.8">
      <c r="A105" s="2840" t="s">
        <v>441</v>
      </c>
      <c r="B105" s="2841" t="s">
        <v>1540</v>
      </c>
      <c r="C105" s="2840"/>
      <c r="D105" s="2840"/>
      <c r="E105" s="2840"/>
      <c r="F105" s="2840"/>
      <c r="G105" s="2842"/>
      <c r="H105" s="2842"/>
      <c r="I105" s="2842"/>
      <c r="J105" s="2842"/>
      <c r="K105" s="2842"/>
      <c r="L105" s="2842"/>
      <c r="M105" s="2842"/>
      <c r="N105" s="2842"/>
      <c r="O105" s="2842"/>
      <c r="P105" s="2842"/>
      <c r="Q105" s="2842"/>
      <c r="R105" s="2842"/>
      <c r="S105" s="2842"/>
      <c r="T105" s="2842"/>
      <c r="U105" s="2842"/>
      <c r="V105" s="2842"/>
      <c r="W105" s="2843"/>
    </row>
    <row r="106" spans="1:23" s="2847" customFormat="1" ht="26.4">
      <c r="A106" s="2845" t="s">
        <v>463</v>
      </c>
      <c r="B106" s="2841" t="s">
        <v>1541</v>
      </c>
      <c r="C106" s="2845"/>
      <c r="D106" s="2845"/>
      <c r="E106" s="2845"/>
      <c r="F106" s="2845"/>
      <c r="G106" s="2846">
        <f>G107</f>
        <v>6363.3821230000003</v>
      </c>
      <c r="H106" s="2846">
        <f t="shared" ref="H106:W106" si="49">H107</f>
        <v>0</v>
      </c>
      <c r="I106" s="2846">
        <f t="shared" si="49"/>
        <v>0</v>
      </c>
      <c r="J106" s="2846">
        <f t="shared" si="49"/>
        <v>6363</v>
      </c>
      <c r="K106" s="2846">
        <f t="shared" si="49"/>
        <v>2476</v>
      </c>
      <c r="L106" s="2846">
        <f t="shared" si="49"/>
        <v>0</v>
      </c>
      <c r="M106" s="2846">
        <f t="shared" si="49"/>
        <v>0</v>
      </c>
      <c r="N106" s="2846">
        <f t="shared" si="49"/>
        <v>2476</v>
      </c>
      <c r="O106" s="2846">
        <f t="shared" si="49"/>
        <v>2500</v>
      </c>
      <c r="P106" s="2846">
        <f t="shared" si="49"/>
        <v>0</v>
      </c>
      <c r="Q106" s="2846">
        <f t="shared" si="49"/>
        <v>0</v>
      </c>
      <c r="R106" s="2846">
        <f t="shared" si="49"/>
        <v>2500</v>
      </c>
      <c r="S106" s="2846">
        <f t="shared" si="49"/>
        <v>5500</v>
      </c>
      <c r="T106" s="2846">
        <f t="shared" si="49"/>
        <v>0</v>
      </c>
      <c r="U106" s="2846">
        <f t="shared" si="49"/>
        <v>0</v>
      </c>
      <c r="V106" s="2846">
        <f t="shared" si="49"/>
        <v>5500</v>
      </c>
      <c r="W106" s="2846">
        <f t="shared" si="49"/>
        <v>0</v>
      </c>
    </row>
    <row r="107" spans="1:23" s="2854" customFormat="1" ht="39.6">
      <c r="A107" s="2848"/>
      <c r="B107" s="2849" t="s">
        <v>1632</v>
      </c>
      <c r="C107" s="2848" t="s">
        <v>1623</v>
      </c>
      <c r="D107" s="2848" t="s">
        <v>1551</v>
      </c>
      <c r="E107" s="2848" t="s">
        <v>1544</v>
      </c>
      <c r="F107" s="2848"/>
      <c r="G107" s="2850">
        <v>6363.3821230000003</v>
      </c>
      <c r="H107" s="2850"/>
      <c r="I107" s="2850"/>
      <c r="J107" s="2850">
        <v>6363</v>
      </c>
      <c r="K107" s="2850">
        <f>SUM(L107:N107)</f>
        <v>2476</v>
      </c>
      <c r="L107" s="2850"/>
      <c r="M107" s="2850"/>
      <c r="N107" s="2850">
        <v>2476</v>
      </c>
      <c r="O107" s="2850">
        <f>SUM(P107:R107)</f>
        <v>2500</v>
      </c>
      <c r="P107" s="2850"/>
      <c r="Q107" s="2850"/>
      <c r="R107" s="2850">
        <v>2500</v>
      </c>
      <c r="S107" s="2850">
        <f>SUM(T107:W107)</f>
        <v>5500</v>
      </c>
      <c r="T107" s="2850"/>
      <c r="U107" s="2850"/>
      <c r="V107" s="2850">
        <v>5500</v>
      </c>
      <c r="W107" s="2853"/>
    </row>
    <row r="108" spans="1:23" s="2834" customFormat="1">
      <c r="A108" s="2831">
        <v>4</v>
      </c>
      <c r="B108" s="2832" t="s">
        <v>1525</v>
      </c>
      <c r="C108" s="2831"/>
      <c r="D108" s="2831"/>
      <c r="E108" s="2831"/>
      <c r="F108" s="2831"/>
      <c r="G108" s="2833">
        <f>G109+G110</f>
        <v>201161</v>
      </c>
      <c r="H108" s="2833">
        <f t="shared" ref="H108:W108" si="50">H109+H110</f>
        <v>0</v>
      </c>
      <c r="I108" s="2833">
        <f t="shared" si="50"/>
        <v>160000</v>
      </c>
      <c r="J108" s="2833">
        <f t="shared" si="50"/>
        <v>41161</v>
      </c>
      <c r="K108" s="2833">
        <f t="shared" si="50"/>
        <v>61272</v>
      </c>
      <c r="L108" s="2833">
        <f t="shared" si="50"/>
        <v>0</v>
      </c>
      <c r="M108" s="2833">
        <f t="shared" si="50"/>
        <v>48541</v>
      </c>
      <c r="N108" s="2833">
        <f t="shared" si="50"/>
        <v>12731</v>
      </c>
      <c r="O108" s="2833">
        <f t="shared" si="50"/>
        <v>93586</v>
      </c>
      <c r="P108" s="2833">
        <f t="shared" si="50"/>
        <v>0</v>
      </c>
      <c r="Q108" s="2833">
        <f t="shared" si="50"/>
        <v>68000</v>
      </c>
      <c r="R108" s="2833">
        <f t="shared" si="50"/>
        <v>25586</v>
      </c>
      <c r="S108" s="2833">
        <f t="shared" si="50"/>
        <v>53000</v>
      </c>
      <c r="T108" s="2833">
        <f t="shared" si="50"/>
        <v>0</v>
      </c>
      <c r="U108" s="2833">
        <f t="shared" si="50"/>
        <v>0</v>
      </c>
      <c r="V108" s="2833">
        <f t="shared" si="50"/>
        <v>53000</v>
      </c>
      <c r="W108" s="2833">
        <f t="shared" si="50"/>
        <v>0</v>
      </c>
    </row>
    <row r="109" spans="1:23" s="2839" customFormat="1">
      <c r="A109" s="2835" t="s">
        <v>200</v>
      </c>
      <c r="B109" s="2836" t="s">
        <v>1197</v>
      </c>
      <c r="C109" s="2835"/>
      <c r="D109" s="2835"/>
      <c r="E109" s="2835"/>
      <c r="F109" s="2835"/>
      <c r="G109" s="2837"/>
      <c r="H109" s="2837"/>
      <c r="I109" s="2837"/>
      <c r="J109" s="2837"/>
      <c r="K109" s="2837"/>
      <c r="L109" s="2837"/>
      <c r="M109" s="2837"/>
      <c r="N109" s="2837"/>
      <c r="O109" s="2837"/>
      <c r="P109" s="2837"/>
      <c r="Q109" s="2837"/>
      <c r="R109" s="2837"/>
      <c r="S109" s="2837"/>
      <c r="T109" s="2837"/>
      <c r="U109" s="2837"/>
      <c r="V109" s="2837"/>
      <c r="W109" s="2838"/>
    </row>
    <row r="110" spans="1:23" s="2839" customFormat="1">
      <c r="A110" s="2835" t="s">
        <v>208</v>
      </c>
      <c r="B110" s="2836" t="s">
        <v>1198</v>
      </c>
      <c r="C110" s="2835"/>
      <c r="D110" s="2835"/>
      <c r="E110" s="2835"/>
      <c r="F110" s="2835"/>
      <c r="G110" s="2837">
        <f>G111+G112</f>
        <v>201161</v>
      </c>
      <c r="H110" s="2837">
        <f t="shared" ref="H110:W110" si="51">H111+H112</f>
        <v>0</v>
      </c>
      <c r="I110" s="2837">
        <f t="shared" si="51"/>
        <v>160000</v>
      </c>
      <c r="J110" s="2837">
        <f t="shared" si="51"/>
        <v>41161</v>
      </c>
      <c r="K110" s="2837">
        <f t="shared" si="51"/>
        <v>61272</v>
      </c>
      <c r="L110" s="2837">
        <f t="shared" si="51"/>
        <v>0</v>
      </c>
      <c r="M110" s="2837">
        <f t="shared" si="51"/>
        <v>48541</v>
      </c>
      <c r="N110" s="2837">
        <f t="shared" si="51"/>
        <v>12731</v>
      </c>
      <c r="O110" s="2837">
        <f t="shared" si="51"/>
        <v>93586</v>
      </c>
      <c r="P110" s="2837">
        <f t="shared" si="51"/>
        <v>0</v>
      </c>
      <c r="Q110" s="2837">
        <f t="shared" si="51"/>
        <v>68000</v>
      </c>
      <c r="R110" s="2837">
        <f t="shared" si="51"/>
        <v>25586</v>
      </c>
      <c r="S110" s="2837">
        <f t="shared" si="51"/>
        <v>53000</v>
      </c>
      <c r="T110" s="2837">
        <f t="shared" si="51"/>
        <v>0</v>
      </c>
      <c r="U110" s="2837">
        <f t="shared" si="51"/>
        <v>0</v>
      </c>
      <c r="V110" s="2837">
        <f t="shared" si="51"/>
        <v>53000</v>
      </c>
      <c r="W110" s="2837">
        <f t="shared" si="51"/>
        <v>0</v>
      </c>
    </row>
    <row r="111" spans="1:23" s="2844" customFormat="1" ht="52.8">
      <c r="A111" s="2840" t="s">
        <v>441</v>
      </c>
      <c r="B111" s="2841" t="s">
        <v>1540</v>
      </c>
      <c r="C111" s="2840"/>
      <c r="D111" s="2840"/>
      <c r="E111" s="2840"/>
      <c r="F111" s="2840"/>
      <c r="G111" s="2842"/>
      <c r="H111" s="2842"/>
      <c r="I111" s="2842"/>
      <c r="J111" s="2842"/>
      <c r="K111" s="2842"/>
      <c r="L111" s="2842"/>
      <c r="M111" s="2842"/>
      <c r="N111" s="2842"/>
      <c r="O111" s="2842"/>
      <c r="P111" s="2842"/>
      <c r="Q111" s="2842"/>
      <c r="R111" s="2842"/>
      <c r="S111" s="2842"/>
      <c r="T111" s="2842"/>
      <c r="U111" s="2842"/>
      <c r="V111" s="2842"/>
      <c r="W111" s="2843"/>
    </row>
    <row r="112" spans="1:23" s="2847" customFormat="1" ht="26.4">
      <c r="A112" s="2845" t="s">
        <v>463</v>
      </c>
      <c r="B112" s="2841" t="s">
        <v>1541</v>
      </c>
      <c r="C112" s="2845"/>
      <c r="D112" s="2845"/>
      <c r="E112" s="2845"/>
      <c r="F112" s="2845"/>
      <c r="G112" s="2846">
        <f>G113+G114</f>
        <v>201161</v>
      </c>
      <c r="H112" s="2846">
        <f t="shared" ref="H112:W112" si="52">H113+H114</f>
        <v>0</v>
      </c>
      <c r="I112" s="2846">
        <f t="shared" si="52"/>
        <v>160000</v>
      </c>
      <c r="J112" s="2846">
        <f t="shared" si="52"/>
        <v>41161</v>
      </c>
      <c r="K112" s="2846">
        <f t="shared" si="52"/>
        <v>61272</v>
      </c>
      <c r="L112" s="2846">
        <f t="shared" si="52"/>
        <v>0</v>
      </c>
      <c r="M112" s="2846">
        <f t="shared" si="52"/>
        <v>48541</v>
      </c>
      <c r="N112" s="2846">
        <f t="shared" si="52"/>
        <v>12731</v>
      </c>
      <c r="O112" s="2846">
        <f t="shared" si="52"/>
        <v>93586</v>
      </c>
      <c r="P112" s="2846">
        <f t="shared" si="52"/>
        <v>0</v>
      </c>
      <c r="Q112" s="2846">
        <f t="shared" si="52"/>
        <v>68000</v>
      </c>
      <c r="R112" s="2846">
        <f t="shared" si="52"/>
        <v>25586</v>
      </c>
      <c r="S112" s="2846">
        <f t="shared" si="52"/>
        <v>53000</v>
      </c>
      <c r="T112" s="2846">
        <f t="shared" si="52"/>
        <v>0</v>
      </c>
      <c r="U112" s="2846">
        <f t="shared" si="52"/>
        <v>0</v>
      </c>
      <c r="V112" s="2846">
        <f t="shared" si="52"/>
        <v>53000</v>
      </c>
      <c r="W112" s="2846">
        <f t="shared" si="52"/>
        <v>0</v>
      </c>
    </row>
    <row r="113" spans="1:23" s="2854" customFormat="1" ht="39.6">
      <c r="A113" s="2848"/>
      <c r="B113" s="2849" t="s">
        <v>1633</v>
      </c>
      <c r="C113" s="2848" t="s">
        <v>32</v>
      </c>
      <c r="D113" s="2848" t="s">
        <v>1634</v>
      </c>
      <c r="E113" s="2848" t="s">
        <v>1635</v>
      </c>
      <c r="F113" s="2848" t="s">
        <v>1636</v>
      </c>
      <c r="G113" s="2850">
        <v>99981</v>
      </c>
      <c r="H113" s="2850"/>
      <c r="I113" s="2850">
        <v>80000</v>
      </c>
      <c r="J113" s="2850">
        <v>19981</v>
      </c>
      <c r="K113" s="2850">
        <f>SUM(L113:N113)</f>
        <v>44321</v>
      </c>
      <c r="L113" s="2850"/>
      <c r="M113" s="2850">
        <v>35000</v>
      </c>
      <c r="N113" s="2850">
        <v>9321</v>
      </c>
      <c r="O113" s="2850">
        <f>SUM(P113:R113)</f>
        <v>50112</v>
      </c>
      <c r="P113" s="2850"/>
      <c r="Q113" s="2850">
        <v>35000</v>
      </c>
      <c r="R113" s="2850">
        <v>15112</v>
      </c>
      <c r="S113" s="2850">
        <f>SUM(T113:W113)</f>
        <v>30000</v>
      </c>
      <c r="T113" s="2850"/>
      <c r="U113" s="2850"/>
      <c r="V113" s="2850">
        <v>30000</v>
      </c>
      <c r="W113" s="2853"/>
    </row>
    <row r="114" spans="1:23" s="2854" customFormat="1" ht="39.6">
      <c r="A114" s="2848"/>
      <c r="B114" s="2849" t="s">
        <v>1637</v>
      </c>
      <c r="C114" s="2848" t="s">
        <v>32</v>
      </c>
      <c r="D114" s="2848" t="s">
        <v>1638</v>
      </c>
      <c r="E114" s="2848" t="s">
        <v>1635</v>
      </c>
      <c r="F114" s="2848" t="s">
        <v>1639</v>
      </c>
      <c r="G114" s="2850">
        <v>101180</v>
      </c>
      <c r="H114" s="2850"/>
      <c r="I114" s="2850">
        <v>80000</v>
      </c>
      <c r="J114" s="2850">
        <v>21180</v>
      </c>
      <c r="K114" s="2850">
        <f>SUM(L114:N114)</f>
        <v>16951</v>
      </c>
      <c r="L114" s="2850"/>
      <c r="M114" s="2850">
        <v>13541</v>
      </c>
      <c r="N114" s="2850">
        <v>3410</v>
      </c>
      <c r="O114" s="2850">
        <f>SUM(P114:R114)</f>
        <v>43474</v>
      </c>
      <c r="P114" s="2850"/>
      <c r="Q114" s="2850">
        <v>33000</v>
      </c>
      <c r="R114" s="2850">
        <v>10474</v>
      </c>
      <c r="S114" s="2850">
        <f>SUM(T114:W114)</f>
        <v>23000</v>
      </c>
      <c r="T114" s="2850"/>
      <c r="U114" s="2850"/>
      <c r="V114" s="2850">
        <v>23000</v>
      </c>
      <c r="W114" s="2853"/>
    </row>
    <row r="115" spans="1:23" s="2834" customFormat="1">
      <c r="A115" s="2831">
        <v>5</v>
      </c>
      <c r="B115" s="2832" t="s">
        <v>1522</v>
      </c>
      <c r="C115" s="2831"/>
      <c r="D115" s="2831"/>
      <c r="E115" s="2831"/>
      <c r="F115" s="2831"/>
      <c r="G115" s="2833">
        <f>G116+G117</f>
        <v>6300</v>
      </c>
      <c r="H115" s="2833">
        <f t="shared" ref="H115:W115" si="53">H116+H117</f>
        <v>0</v>
      </c>
      <c r="I115" s="2833">
        <f t="shared" si="53"/>
        <v>0</v>
      </c>
      <c r="J115" s="2833">
        <f t="shared" si="53"/>
        <v>6300</v>
      </c>
      <c r="K115" s="2833">
        <f t="shared" si="53"/>
        <v>0</v>
      </c>
      <c r="L115" s="2833">
        <f t="shared" si="53"/>
        <v>0</v>
      </c>
      <c r="M115" s="2833">
        <f t="shared" si="53"/>
        <v>0</v>
      </c>
      <c r="N115" s="2833">
        <f t="shared" si="53"/>
        <v>0</v>
      </c>
      <c r="O115" s="2833">
        <f t="shared" si="53"/>
        <v>0</v>
      </c>
      <c r="P115" s="2833">
        <f t="shared" si="53"/>
        <v>0</v>
      </c>
      <c r="Q115" s="2833">
        <f t="shared" si="53"/>
        <v>0</v>
      </c>
      <c r="R115" s="2833">
        <f t="shared" si="53"/>
        <v>0</v>
      </c>
      <c r="S115" s="2833">
        <f t="shared" si="53"/>
        <v>3000</v>
      </c>
      <c r="T115" s="2833">
        <f t="shared" si="53"/>
        <v>0</v>
      </c>
      <c r="U115" s="2833">
        <f t="shared" si="53"/>
        <v>0</v>
      </c>
      <c r="V115" s="2833">
        <f t="shared" si="53"/>
        <v>3000</v>
      </c>
      <c r="W115" s="2833">
        <f t="shared" si="53"/>
        <v>0</v>
      </c>
    </row>
    <row r="116" spans="1:23" s="2839" customFormat="1">
      <c r="A116" s="2835" t="s">
        <v>200</v>
      </c>
      <c r="B116" s="2836" t="s">
        <v>1197</v>
      </c>
      <c r="C116" s="2835"/>
      <c r="D116" s="2835"/>
      <c r="E116" s="2835"/>
      <c r="F116" s="2835"/>
      <c r="G116" s="2837"/>
      <c r="H116" s="2837"/>
      <c r="I116" s="2837"/>
      <c r="J116" s="2837"/>
      <c r="K116" s="2837"/>
      <c r="L116" s="2837"/>
      <c r="M116" s="2837"/>
      <c r="N116" s="2837"/>
      <c r="O116" s="2837"/>
      <c r="P116" s="2837"/>
      <c r="Q116" s="2837"/>
      <c r="R116" s="2837"/>
      <c r="S116" s="2837"/>
      <c r="T116" s="2837"/>
      <c r="U116" s="2837"/>
      <c r="V116" s="2837"/>
      <c r="W116" s="2838"/>
    </row>
    <row r="117" spans="1:23" s="2839" customFormat="1">
      <c r="A117" s="2835" t="s">
        <v>208</v>
      </c>
      <c r="B117" s="2836" t="s">
        <v>1198</v>
      </c>
      <c r="C117" s="2835"/>
      <c r="D117" s="2835"/>
      <c r="E117" s="2835"/>
      <c r="F117" s="2835"/>
      <c r="G117" s="2837">
        <f>G118+G119</f>
        <v>6300</v>
      </c>
      <c r="H117" s="2837">
        <f t="shared" ref="H117:W117" si="54">H118+H119</f>
        <v>0</v>
      </c>
      <c r="I117" s="2837">
        <f t="shared" si="54"/>
        <v>0</v>
      </c>
      <c r="J117" s="2837">
        <f t="shared" si="54"/>
        <v>6300</v>
      </c>
      <c r="K117" s="2837">
        <f t="shared" si="54"/>
        <v>0</v>
      </c>
      <c r="L117" s="2837">
        <f t="shared" si="54"/>
        <v>0</v>
      </c>
      <c r="M117" s="2837">
        <f t="shared" si="54"/>
        <v>0</v>
      </c>
      <c r="N117" s="2837">
        <f t="shared" si="54"/>
        <v>0</v>
      </c>
      <c r="O117" s="2837">
        <f t="shared" si="54"/>
        <v>0</v>
      </c>
      <c r="P117" s="2837">
        <f t="shared" si="54"/>
        <v>0</v>
      </c>
      <c r="Q117" s="2837">
        <f t="shared" si="54"/>
        <v>0</v>
      </c>
      <c r="R117" s="2837">
        <f t="shared" si="54"/>
        <v>0</v>
      </c>
      <c r="S117" s="2837">
        <f t="shared" si="54"/>
        <v>3000</v>
      </c>
      <c r="T117" s="2837">
        <f t="shared" si="54"/>
        <v>0</v>
      </c>
      <c r="U117" s="2837">
        <f t="shared" si="54"/>
        <v>0</v>
      </c>
      <c r="V117" s="2837">
        <f t="shared" si="54"/>
        <v>3000</v>
      </c>
      <c r="W117" s="2837">
        <f t="shared" si="54"/>
        <v>0</v>
      </c>
    </row>
    <row r="118" spans="1:23" s="2844" customFormat="1" ht="52.8">
      <c r="A118" s="2840" t="s">
        <v>441</v>
      </c>
      <c r="B118" s="2841" t="s">
        <v>1540</v>
      </c>
      <c r="C118" s="2840"/>
      <c r="D118" s="2840"/>
      <c r="E118" s="2840"/>
      <c r="F118" s="2840"/>
      <c r="G118" s="2842"/>
      <c r="H118" s="2842"/>
      <c r="I118" s="2842"/>
      <c r="J118" s="2842"/>
      <c r="K118" s="2842"/>
      <c r="L118" s="2842"/>
      <c r="M118" s="2842"/>
      <c r="N118" s="2842"/>
      <c r="O118" s="2842"/>
      <c r="P118" s="2842"/>
      <c r="Q118" s="2842"/>
      <c r="R118" s="2842"/>
      <c r="S118" s="2842"/>
      <c r="T118" s="2842"/>
      <c r="U118" s="2842"/>
      <c r="V118" s="2842"/>
      <c r="W118" s="2843"/>
    </row>
    <row r="119" spans="1:23" s="2847" customFormat="1" ht="26.4">
      <c r="A119" s="2845" t="s">
        <v>463</v>
      </c>
      <c r="B119" s="2841" t="s">
        <v>1541</v>
      </c>
      <c r="C119" s="2845"/>
      <c r="D119" s="2845"/>
      <c r="E119" s="2845"/>
      <c r="F119" s="2845"/>
      <c r="G119" s="2846">
        <f>G120</f>
        <v>6300</v>
      </c>
      <c r="H119" s="2846">
        <f t="shared" ref="H119:W119" si="55">H120</f>
        <v>0</v>
      </c>
      <c r="I119" s="2846">
        <f t="shared" si="55"/>
        <v>0</v>
      </c>
      <c r="J119" s="2846">
        <f t="shared" si="55"/>
        <v>6300</v>
      </c>
      <c r="K119" s="2846">
        <f t="shared" si="55"/>
        <v>0</v>
      </c>
      <c r="L119" s="2846">
        <f t="shared" si="55"/>
        <v>0</v>
      </c>
      <c r="M119" s="2846">
        <f t="shared" si="55"/>
        <v>0</v>
      </c>
      <c r="N119" s="2846">
        <f t="shared" si="55"/>
        <v>0</v>
      </c>
      <c r="O119" s="2846">
        <f t="shared" si="55"/>
        <v>0</v>
      </c>
      <c r="P119" s="2846">
        <f t="shared" si="55"/>
        <v>0</v>
      </c>
      <c r="Q119" s="2846">
        <f t="shared" si="55"/>
        <v>0</v>
      </c>
      <c r="R119" s="2846">
        <f t="shared" si="55"/>
        <v>0</v>
      </c>
      <c r="S119" s="2846">
        <f t="shared" si="55"/>
        <v>3000</v>
      </c>
      <c r="T119" s="2846">
        <f t="shared" si="55"/>
        <v>0</v>
      </c>
      <c r="U119" s="2846">
        <f t="shared" si="55"/>
        <v>0</v>
      </c>
      <c r="V119" s="2846">
        <f t="shared" si="55"/>
        <v>3000</v>
      </c>
      <c r="W119" s="2846">
        <f t="shared" si="55"/>
        <v>0</v>
      </c>
    </row>
    <row r="120" spans="1:23" s="2854" customFormat="1" ht="26.4">
      <c r="A120" s="2848"/>
      <c r="B120" s="2849" t="s">
        <v>1640</v>
      </c>
      <c r="C120" s="2848" t="s">
        <v>29</v>
      </c>
      <c r="D120" s="2848" t="s">
        <v>1547</v>
      </c>
      <c r="E120" s="2848" t="s">
        <v>1544</v>
      </c>
      <c r="F120" s="2848"/>
      <c r="G120" s="2850">
        <v>6300</v>
      </c>
      <c r="H120" s="2850"/>
      <c r="I120" s="2850"/>
      <c r="J120" s="2850">
        <v>6300</v>
      </c>
      <c r="K120" s="2850">
        <f>SUM(L120:N120)</f>
        <v>0</v>
      </c>
      <c r="L120" s="2850"/>
      <c r="M120" s="2850"/>
      <c r="N120" s="2850"/>
      <c r="O120" s="2850">
        <f>SUM(P120:R120)</f>
        <v>0</v>
      </c>
      <c r="P120" s="2850"/>
      <c r="Q120" s="2850"/>
      <c r="R120" s="2850"/>
      <c r="S120" s="2850">
        <f>SUM(T120:W120)</f>
        <v>3000</v>
      </c>
      <c r="T120" s="2850"/>
      <c r="U120" s="2850"/>
      <c r="V120" s="2850">
        <v>3000</v>
      </c>
      <c r="W120" s="2853"/>
    </row>
    <row r="121" spans="1:23" s="2834" customFormat="1">
      <c r="A121" s="2831">
        <v>6</v>
      </c>
      <c r="B121" s="2832" t="s">
        <v>1527</v>
      </c>
      <c r="C121" s="2831"/>
      <c r="D121" s="2831"/>
      <c r="E121" s="2831"/>
      <c r="F121" s="2831"/>
      <c r="G121" s="2833">
        <f>G122+G123</f>
        <v>14742</v>
      </c>
      <c r="H121" s="2833">
        <f t="shared" ref="H121:W121" si="56">H122+H123</f>
        <v>0</v>
      </c>
      <c r="I121" s="2833">
        <f t="shared" si="56"/>
        <v>0</v>
      </c>
      <c r="J121" s="2833">
        <f t="shared" si="56"/>
        <v>14742</v>
      </c>
      <c r="K121" s="2833">
        <f t="shared" si="56"/>
        <v>0</v>
      </c>
      <c r="L121" s="2833">
        <f t="shared" si="56"/>
        <v>0</v>
      </c>
      <c r="M121" s="2833">
        <f t="shared" si="56"/>
        <v>0</v>
      </c>
      <c r="N121" s="2833">
        <f t="shared" si="56"/>
        <v>0</v>
      </c>
      <c r="O121" s="2833">
        <f t="shared" si="56"/>
        <v>0</v>
      </c>
      <c r="P121" s="2833">
        <f t="shared" si="56"/>
        <v>0</v>
      </c>
      <c r="Q121" s="2833">
        <f t="shared" si="56"/>
        <v>0</v>
      </c>
      <c r="R121" s="2833">
        <f t="shared" si="56"/>
        <v>0</v>
      </c>
      <c r="S121" s="2833">
        <f t="shared" si="56"/>
        <v>10760</v>
      </c>
      <c r="T121" s="2833">
        <f t="shared" si="56"/>
        <v>0</v>
      </c>
      <c r="U121" s="2833">
        <f t="shared" si="56"/>
        <v>0</v>
      </c>
      <c r="V121" s="2833">
        <f t="shared" si="56"/>
        <v>10760</v>
      </c>
      <c r="W121" s="2833">
        <f t="shared" si="56"/>
        <v>0</v>
      </c>
    </row>
    <row r="122" spans="1:23" s="2839" customFormat="1">
      <c r="A122" s="2835" t="s">
        <v>200</v>
      </c>
      <c r="B122" s="2836" t="s">
        <v>1197</v>
      </c>
      <c r="C122" s="2835"/>
      <c r="D122" s="2835"/>
      <c r="E122" s="2835"/>
      <c r="F122" s="2835"/>
      <c r="G122" s="2837"/>
      <c r="H122" s="2837"/>
      <c r="I122" s="2837"/>
      <c r="J122" s="2837"/>
      <c r="K122" s="2837"/>
      <c r="L122" s="2837"/>
      <c r="M122" s="2837"/>
      <c r="N122" s="2837"/>
      <c r="O122" s="2837"/>
      <c r="P122" s="2837"/>
      <c r="Q122" s="2837"/>
      <c r="R122" s="2837"/>
      <c r="S122" s="2837"/>
      <c r="T122" s="2837"/>
      <c r="U122" s="2837"/>
      <c r="V122" s="2837"/>
      <c r="W122" s="2838"/>
    </row>
    <row r="123" spans="1:23" s="2839" customFormat="1">
      <c r="A123" s="2835" t="s">
        <v>208</v>
      </c>
      <c r="B123" s="2836" t="s">
        <v>1198</v>
      </c>
      <c r="C123" s="2835"/>
      <c r="D123" s="2835"/>
      <c r="E123" s="2835"/>
      <c r="F123" s="2835"/>
      <c r="G123" s="2837">
        <f>G124+G125</f>
        <v>14742</v>
      </c>
      <c r="H123" s="2837">
        <f t="shared" ref="H123:W123" si="57">H124+H125</f>
        <v>0</v>
      </c>
      <c r="I123" s="2837">
        <f t="shared" si="57"/>
        <v>0</v>
      </c>
      <c r="J123" s="2837">
        <f t="shared" si="57"/>
        <v>14742</v>
      </c>
      <c r="K123" s="2837">
        <f t="shared" si="57"/>
        <v>0</v>
      </c>
      <c r="L123" s="2837">
        <f t="shared" si="57"/>
        <v>0</v>
      </c>
      <c r="M123" s="2837">
        <f t="shared" si="57"/>
        <v>0</v>
      </c>
      <c r="N123" s="2837">
        <f t="shared" si="57"/>
        <v>0</v>
      </c>
      <c r="O123" s="2837">
        <f t="shared" si="57"/>
        <v>0</v>
      </c>
      <c r="P123" s="2837">
        <f t="shared" si="57"/>
        <v>0</v>
      </c>
      <c r="Q123" s="2837">
        <f t="shared" si="57"/>
        <v>0</v>
      </c>
      <c r="R123" s="2837">
        <f t="shared" si="57"/>
        <v>0</v>
      </c>
      <c r="S123" s="2837">
        <f t="shared" si="57"/>
        <v>10760</v>
      </c>
      <c r="T123" s="2837">
        <f t="shared" si="57"/>
        <v>0</v>
      </c>
      <c r="U123" s="2837">
        <f t="shared" si="57"/>
        <v>0</v>
      </c>
      <c r="V123" s="2837">
        <f t="shared" si="57"/>
        <v>10760</v>
      </c>
      <c r="W123" s="2837">
        <f t="shared" si="57"/>
        <v>0</v>
      </c>
    </row>
    <row r="124" spans="1:23" s="2844" customFormat="1" ht="52.8">
      <c r="A124" s="2840" t="s">
        <v>441</v>
      </c>
      <c r="B124" s="2841" t="s">
        <v>1540</v>
      </c>
      <c r="C124" s="2840"/>
      <c r="D124" s="2840"/>
      <c r="E124" s="2840"/>
      <c r="F124" s="2840"/>
      <c r="G124" s="2842"/>
      <c r="H124" s="2842"/>
      <c r="I124" s="2842"/>
      <c r="J124" s="2842"/>
      <c r="K124" s="2842"/>
      <c r="L124" s="2842"/>
      <c r="M124" s="2842"/>
      <c r="N124" s="2842"/>
      <c r="O124" s="2842"/>
      <c r="P124" s="2842"/>
      <c r="Q124" s="2842"/>
      <c r="R124" s="2842"/>
      <c r="S124" s="2842"/>
      <c r="T124" s="2842"/>
      <c r="U124" s="2842"/>
      <c r="V124" s="2842"/>
      <c r="W124" s="2843"/>
    </row>
    <row r="125" spans="1:23" s="2847" customFormat="1" ht="26.4">
      <c r="A125" s="2845" t="s">
        <v>463</v>
      </c>
      <c r="B125" s="2841" t="s">
        <v>1541</v>
      </c>
      <c r="C125" s="2845"/>
      <c r="D125" s="2845"/>
      <c r="E125" s="2845"/>
      <c r="F125" s="2845"/>
      <c r="G125" s="2846">
        <f>G126</f>
        <v>14742</v>
      </c>
      <c r="H125" s="2846">
        <f t="shared" ref="H125:W125" si="58">H126</f>
        <v>0</v>
      </c>
      <c r="I125" s="2846">
        <f t="shared" si="58"/>
        <v>0</v>
      </c>
      <c r="J125" s="2846">
        <f t="shared" si="58"/>
        <v>14742</v>
      </c>
      <c r="K125" s="2846">
        <f t="shared" si="58"/>
        <v>0</v>
      </c>
      <c r="L125" s="2846">
        <f t="shared" si="58"/>
        <v>0</v>
      </c>
      <c r="M125" s="2846">
        <f t="shared" si="58"/>
        <v>0</v>
      </c>
      <c r="N125" s="2846">
        <f t="shared" si="58"/>
        <v>0</v>
      </c>
      <c r="O125" s="2846">
        <f t="shared" si="58"/>
        <v>0</v>
      </c>
      <c r="P125" s="2846">
        <f t="shared" si="58"/>
        <v>0</v>
      </c>
      <c r="Q125" s="2846">
        <f t="shared" si="58"/>
        <v>0</v>
      </c>
      <c r="R125" s="2846">
        <f t="shared" si="58"/>
        <v>0</v>
      </c>
      <c r="S125" s="2846">
        <f t="shared" si="58"/>
        <v>10760</v>
      </c>
      <c r="T125" s="2846">
        <f t="shared" si="58"/>
        <v>0</v>
      </c>
      <c r="U125" s="2846">
        <f t="shared" si="58"/>
        <v>0</v>
      </c>
      <c r="V125" s="2846">
        <f t="shared" si="58"/>
        <v>10760</v>
      </c>
      <c r="W125" s="2846">
        <f t="shared" si="58"/>
        <v>0</v>
      </c>
    </row>
    <row r="126" spans="1:23" s="2854" customFormat="1" ht="39.6">
      <c r="A126" s="2848"/>
      <c r="B126" s="2849" t="s">
        <v>1641</v>
      </c>
      <c r="C126" s="2848" t="s">
        <v>36</v>
      </c>
      <c r="D126" s="2848" t="s">
        <v>1547</v>
      </c>
      <c r="E126" s="2848" t="s">
        <v>1544</v>
      </c>
      <c r="F126" s="2848"/>
      <c r="G126" s="2850">
        <v>14742</v>
      </c>
      <c r="H126" s="2850"/>
      <c r="I126" s="2850"/>
      <c r="J126" s="2850">
        <v>14742</v>
      </c>
      <c r="K126" s="2850">
        <f>SUM(L126:N126)</f>
        <v>0</v>
      </c>
      <c r="L126" s="2850"/>
      <c r="M126" s="2850"/>
      <c r="N126" s="2850"/>
      <c r="O126" s="2850">
        <f>SUM(P126:R126)</f>
        <v>0</v>
      </c>
      <c r="P126" s="2850"/>
      <c r="Q126" s="2850"/>
      <c r="R126" s="2850"/>
      <c r="S126" s="2850">
        <f>SUM(T126:W126)</f>
        <v>10760</v>
      </c>
      <c r="T126" s="2850"/>
      <c r="U126" s="2850"/>
      <c r="V126" s="2850">
        <v>10760</v>
      </c>
      <c r="W126" s="2853"/>
    </row>
    <row r="127" spans="1:23" s="2830" customFormat="1">
      <c r="A127" s="2827" t="s">
        <v>321</v>
      </c>
      <c r="B127" s="2828" t="s">
        <v>1642</v>
      </c>
      <c r="C127" s="2827"/>
      <c r="D127" s="2827"/>
      <c r="E127" s="2827"/>
      <c r="F127" s="2827"/>
      <c r="G127" s="2829">
        <f>G128</f>
        <v>64523.048009999999</v>
      </c>
      <c r="H127" s="2829">
        <f t="shared" ref="H127:W127" si="59">H128</f>
        <v>47307</v>
      </c>
      <c r="I127" s="2829">
        <f t="shared" si="59"/>
        <v>0</v>
      </c>
      <c r="J127" s="2829">
        <f t="shared" si="59"/>
        <v>17216</v>
      </c>
      <c r="K127" s="2829">
        <f t="shared" si="59"/>
        <v>500</v>
      </c>
      <c r="L127" s="2829">
        <f t="shared" si="59"/>
        <v>0</v>
      </c>
      <c r="M127" s="2829">
        <f t="shared" si="59"/>
        <v>0</v>
      </c>
      <c r="N127" s="2829">
        <f t="shared" si="59"/>
        <v>500</v>
      </c>
      <c r="O127" s="2829">
        <f t="shared" si="59"/>
        <v>5789</v>
      </c>
      <c r="P127" s="2829">
        <f t="shared" si="59"/>
        <v>0</v>
      </c>
      <c r="Q127" s="2829">
        <f t="shared" si="59"/>
        <v>3189</v>
      </c>
      <c r="R127" s="2829">
        <f t="shared" si="59"/>
        <v>2600</v>
      </c>
      <c r="S127" s="2829">
        <f t="shared" si="59"/>
        <v>4100</v>
      </c>
      <c r="T127" s="2829">
        <f t="shared" si="59"/>
        <v>0</v>
      </c>
      <c r="U127" s="2829">
        <f t="shared" si="59"/>
        <v>0</v>
      </c>
      <c r="V127" s="2829">
        <f t="shared" si="59"/>
        <v>4100</v>
      </c>
      <c r="W127" s="2829">
        <f t="shared" si="59"/>
        <v>0</v>
      </c>
    </row>
    <row r="128" spans="1:23" s="2834" customFormat="1">
      <c r="A128" s="2831"/>
      <c r="B128" s="2832" t="s">
        <v>1511</v>
      </c>
      <c r="C128" s="2831"/>
      <c r="D128" s="2831"/>
      <c r="E128" s="2831"/>
      <c r="F128" s="2831"/>
      <c r="G128" s="2833">
        <f>G129+G130</f>
        <v>64523.048009999999</v>
      </c>
      <c r="H128" s="2833">
        <f t="shared" ref="H128:W128" si="60">H129+H130</f>
        <v>47307</v>
      </c>
      <c r="I128" s="2833">
        <f t="shared" si="60"/>
        <v>0</v>
      </c>
      <c r="J128" s="2833">
        <f t="shared" si="60"/>
        <v>17216</v>
      </c>
      <c r="K128" s="2833">
        <f t="shared" si="60"/>
        <v>500</v>
      </c>
      <c r="L128" s="2833">
        <f t="shared" si="60"/>
        <v>0</v>
      </c>
      <c r="M128" s="2833">
        <f t="shared" si="60"/>
        <v>0</v>
      </c>
      <c r="N128" s="2833">
        <f t="shared" si="60"/>
        <v>500</v>
      </c>
      <c r="O128" s="2833">
        <f t="shared" si="60"/>
        <v>5789</v>
      </c>
      <c r="P128" s="2833">
        <f t="shared" si="60"/>
        <v>0</v>
      </c>
      <c r="Q128" s="2833">
        <f t="shared" si="60"/>
        <v>3189</v>
      </c>
      <c r="R128" s="2833">
        <f t="shared" si="60"/>
        <v>2600</v>
      </c>
      <c r="S128" s="2833">
        <f t="shared" si="60"/>
        <v>4100</v>
      </c>
      <c r="T128" s="2833">
        <f t="shared" si="60"/>
        <v>0</v>
      </c>
      <c r="U128" s="2833">
        <f t="shared" si="60"/>
        <v>0</v>
      </c>
      <c r="V128" s="2833">
        <f t="shared" si="60"/>
        <v>4100</v>
      </c>
      <c r="W128" s="2833">
        <f t="shared" si="60"/>
        <v>0</v>
      </c>
    </row>
    <row r="129" spans="1:23" s="2839" customFormat="1">
      <c r="A129" s="2835" t="s">
        <v>200</v>
      </c>
      <c r="B129" s="2836" t="s">
        <v>1197</v>
      </c>
      <c r="C129" s="2835"/>
      <c r="D129" s="2835"/>
      <c r="E129" s="2835"/>
      <c r="F129" s="2835"/>
      <c r="G129" s="2837"/>
      <c r="H129" s="2837"/>
      <c r="I129" s="2837"/>
      <c r="J129" s="2837"/>
      <c r="K129" s="2837"/>
      <c r="L129" s="2837"/>
      <c r="M129" s="2837"/>
      <c r="N129" s="2837"/>
      <c r="O129" s="2837"/>
      <c r="P129" s="2837"/>
      <c r="Q129" s="2837"/>
      <c r="R129" s="2837"/>
      <c r="S129" s="2837"/>
      <c r="T129" s="2837"/>
      <c r="U129" s="2837"/>
      <c r="V129" s="2837"/>
      <c r="W129" s="2838"/>
    </row>
    <row r="130" spans="1:23" s="2839" customFormat="1">
      <c r="A130" s="2835" t="s">
        <v>208</v>
      </c>
      <c r="B130" s="2836" t="s">
        <v>1198</v>
      </c>
      <c r="C130" s="2835"/>
      <c r="D130" s="2835"/>
      <c r="E130" s="2835"/>
      <c r="F130" s="2835"/>
      <c r="G130" s="2837">
        <f>G131+G132</f>
        <v>64523.048009999999</v>
      </c>
      <c r="H130" s="2837">
        <f t="shared" ref="H130:W130" si="61">H131+H132</f>
        <v>47307</v>
      </c>
      <c r="I130" s="2837">
        <f t="shared" si="61"/>
        <v>0</v>
      </c>
      <c r="J130" s="2837">
        <f t="shared" si="61"/>
        <v>17216</v>
      </c>
      <c r="K130" s="2837">
        <f t="shared" si="61"/>
        <v>500</v>
      </c>
      <c r="L130" s="2837">
        <f t="shared" si="61"/>
        <v>0</v>
      </c>
      <c r="M130" s="2837">
        <f t="shared" si="61"/>
        <v>0</v>
      </c>
      <c r="N130" s="2837">
        <f t="shared" si="61"/>
        <v>500</v>
      </c>
      <c r="O130" s="2837">
        <f t="shared" si="61"/>
        <v>5789</v>
      </c>
      <c r="P130" s="2837">
        <f t="shared" si="61"/>
        <v>0</v>
      </c>
      <c r="Q130" s="2837">
        <f t="shared" si="61"/>
        <v>3189</v>
      </c>
      <c r="R130" s="2837">
        <f t="shared" si="61"/>
        <v>2600</v>
      </c>
      <c r="S130" s="2837">
        <f t="shared" si="61"/>
        <v>4100</v>
      </c>
      <c r="T130" s="2837">
        <f t="shared" si="61"/>
        <v>0</v>
      </c>
      <c r="U130" s="2837">
        <f t="shared" si="61"/>
        <v>0</v>
      </c>
      <c r="V130" s="2837">
        <f t="shared" si="61"/>
        <v>4100</v>
      </c>
      <c r="W130" s="2837">
        <f t="shared" si="61"/>
        <v>0</v>
      </c>
    </row>
    <row r="131" spans="1:23" s="2844" customFormat="1" ht="52.8">
      <c r="A131" s="2840" t="s">
        <v>441</v>
      </c>
      <c r="B131" s="2841" t="s">
        <v>1540</v>
      </c>
      <c r="C131" s="2840"/>
      <c r="D131" s="2840"/>
      <c r="E131" s="2840"/>
      <c r="F131" s="2840"/>
      <c r="G131" s="2842"/>
      <c r="H131" s="2842"/>
      <c r="I131" s="2842"/>
      <c r="J131" s="2842"/>
      <c r="K131" s="2842"/>
      <c r="L131" s="2842"/>
      <c r="M131" s="2842"/>
      <c r="N131" s="2842"/>
      <c r="O131" s="2842"/>
      <c r="P131" s="2842"/>
      <c r="Q131" s="2842"/>
      <c r="R131" s="2842"/>
      <c r="S131" s="2842"/>
      <c r="T131" s="2842"/>
      <c r="U131" s="2842"/>
      <c r="V131" s="2842"/>
      <c r="W131" s="2843"/>
    </row>
    <row r="132" spans="1:23" s="2847" customFormat="1" ht="26.4">
      <c r="A132" s="2845" t="s">
        <v>463</v>
      </c>
      <c r="B132" s="2841" t="s">
        <v>1541</v>
      </c>
      <c r="C132" s="2845"/>
      <c r="D132" s="2845"/>
      <c r="E132" s="2845"/>
      <c r="F132" s="2845"/>
      <c r="G132" s="2846">
        <f>G133</f>
        <v>64523.048009999999</v>
      </c>
      <c r="H132" s="2846">
        <f t="shared" ref="H132:W132" si="62">H133</f>
        <v>47307</v>
      </c>
      <c r="I132" s="2846">
        <f t="shared" si="62"/>
        <v>0</v>
      </c>
      <c r="J132" s="2846">
        <f t="shared" si="62"/>
        <v>17216</v>
      </c>
      <c r="K132" s="2846">
        <f t="shared" si="62"/>
        <v>500</v>
      </c>
      <c r="L132" s="2846">
        <f t="shared" si="62"/>
        <v>0</v>
      </c>
      <c r="M132" s="2846">
        <f t="shared" si="62"/>
        <v>0</v>
      </c>
      <c r="N132" s="2846">
        <f t="shared" si="62"/>
        <v>500</v>
      </c>
      <c r="O132" s="2846">
        <f t="shared" si="62"/>
        <v>5789</v>
      </c>
      <c r="P132" s="2846">
        <f t="shared" si="62"/>
        <v>0</v>
      </c>
      <c r="Q132" s="2846">
        <f t="shared" si="62"/>
        <v>3189</v>
      </c>
      <c r="R132" s="2846">
        <f t="shared" si="62"/>
        <v>2600</v>
      </c>
      <c r="S132" s="2846">
        <f t="shared" si="62"/>
        <v>4100</v>
      </c>
      <c r="T132" s="2846">
        <f t="shared" si="62"/>
        <v>0</v>
      </c>
      <c r="U132" s="2846">
        <f t="shared" si="62"/>
        <v>0</v>
      </c>
      <c r="V132" s="2846">
        <f t="shared" si="62"/>
        <v>4100</v>
      </c>
      <c r="W132" s="2846">
        <f t="shared" si="62"/>
        <v>0</v>
      </c>
    </row>
    <row r="133" spans="1:23" ht="118.8">
      <c r="A133" s="2848"/>
      <c r="B133" s="2849" t="s">
        <v>1643</v>
      </c>
      <c r="C133" s="2848" t="s">
        <v>1623</v>
      </c>
      <c r="D133" s="2848" t="s">
        <v>1644</v>
      </c>
      <c r="E133" s="2848" t="s">
        <v>1645</v>
      </c>
      <c r="F133" s="2848" t="s">
        <v>1646</v>
      </c>
      <c r="G133" s="2850">
        <v>64523.048009999999</v>
      </c>
      <c r="H133" s="2850">
        <v>47307</v>
      </c>
      <c r="I133" s="2850"/>
      <c r="J133" s="2850">
        <v>17216</v>
      </c>
      <c r="K133" s="2850">
        <f>SUM(L133:N133)</f>
        <v>500</v>
      </c>
      <c r="L133" s="2850"/>
      <c r="M133" s="2850"/>
      <c r="N133" s="2850">
        <v>500</v>
      </c>
      <c r="O133" s="2850">
        <f>SUM(P133:R133)</f>
        <v>5789</v>
      </c>
      <c r="P133" s="2850"/>
      <c r="Q133" s="2850">
        <v>3189</v>
      </c>
      <c r="R133" s="2850">
        <v>2600</v>
      </c>
      <c r="S133" s="2850">
        <f>SUM(T133:W133)</f>
        <v>4100</v>
      </c>
      <c r="T133" s="2850"/>
      <c r="U133" s="2850"/>
      <c r="V133" s="2850">
        <v>4100</v>
      </c>
      <c r="W133" s="2851"/>
    </row>
    <row r="134" spans="1:23" s="2830" customFormat="1">
      <c r="A134" s="2827" t="s">
        <v>579</v>
      </c>
      <c r="B134" s="2828" t="s">
        <v>1503</v>
      </c>
      <c r="C134" s="2827"/>
      <c r="D134" s="2827"/>
      <c r="E134" s="2827"/>
      <c r="F134" s="2827"/>
      <c r="G134" s="2829">
        <f>G135+G136</f>
        <v>0</v>
      </c>
      <c r="H134" s="2829">
        <f t="shared" ref="H134:W134" si="63">H135+H136</f>
        <v>0</v>
      </c>
      <c r="I134" s="2829">
        <f t="shared" si="63"/>
        <v>0</v>
      </c>
      <c r="J134" s="2829">
        <f t="shared" si="63"/>
        <v>0</v>
      </c>
      <c r="K134" s="2829">
        <f t="shared" si="63"/>
        <v>0</v>
      </c>
      <c r="L134" s="2829">
        <f t="shared" si="63"/>
        <v>0</v>
      </c>
      <c r="M134" s="2829">
        <f t="shared" si="63"/>
        <v>0</v>
      </c>
      <c r="N134" s="2829">
        <f t="shared" si="63"/>
        <v>0</v>
      </c>
      <c r="O134" s="2829">
        <f t="shared" si="63"/>
        <v>0</v>
      </c>
      <c r="P134" s="2829">
        <f t="shared" si="63"/>
        <v>0</v>
      </c>
      <c r="Q134" s="2829">
        <f t="shared" si="63"/>
        <v>0</v>
      </c>
      <c r="R134" s="2829">
        <f t="shared" si="63"/>
        <v>0</v>
      </c>
      <c r="S134" s="2829">
        <f t="shared" si="63"/>
        <v>26100</v>
      </c>
      <c r="T134" s="2829">
        <f t="shared" si="63"/>
        <v>0</v>
      </c>
      <c r="U134" s="2829">
        <f t="shared" si="63"/>
        <v>0</v>
      </c>
      <c r="V134" s="2829">
        <f t="shared" si="63"/>
        <v>26100</v>
      </c>
      <c r="W134" s="2829">
        <f t="shared" si="63"/>
        <v>0</v>
      </c>
    </row>
    <row r="135" spans="1:23" s="2854" customFormat="1">
      <c r="A135" s="2848"/>
      <c r="B135" s="2849" t="s">
        <v>1197</v>
      </c>
      <c r="C135" s="2848"/>
      <c r="D135" s="2848"/>
      <c r="E135" s="2848"/>
      <c r="F135" s="2848"/>
      <c r="G135" s="2850"/>
      <c r="H135" s="2850"/>
      <c r="I135" s="2850"/>
      <c r="J135" s="2850"/>
      <c r="K135" s="2850">
        <f>SUM(L135:N135)</f>
        <v>0</v>
      </c>
      <c r="L135" s="2850"/>
      <c r="M135" s="2850"/>
      <c r="N135" s="2850"/>
      <c r="O135" s="2850">
        <f>SUM(P135:R135)</f>
        <v>0</v>
      </c>
      <c r="P135" s="2850"/>
      <c r="Q135" s="2850"/>
      <c r="R135" s="2850"/>
      <c r="S135" s="2850">
        <f>SUM(T135:W135)</f>
        <v>15000</v>
      </c>
      <c r="T135" s="2850"/>
      <c r="U135" s="2850"/>
      <c r="V135" s="2850">
        <v>15000</v>
      </c>
      <c r="W135" s="2850"/>
    </row>
    <row r="136" spans="1:23" s="2854" customFormat="1" ht="39.6">
      <c r="A136" s="2848"/>
      <c r="B136" s="2849" t="s">
        <v>1647</v>
      </c>
      <c r="C136" s="2848"/>
      <c r="D136" s="2848"/>
      <c r="E136" s="2848"/>
      <c r="F136" s="2848"/>
      <c r="G136" s="2850"/>
      <c r="H136" s="2850"/>
      <c r="I136" s="2850"/>
      <c r="J136" s="2850"/>
      <c r="K136" s="2850">
        <f>SUM(L136:N136)</f>
        <v>0</v>
      </c>
      <c r="L136" s="2850"/>
      <c r="M136" s="2850"/>
      <c r="N136" s="2850"/>
      <c r="O136" s="2850">
        <f>SUM(P136:R136)</f>
        <v>0</v>
      </c>
      <c r="P136" s="2850"/>
      <c r="Q136" s="2850"/>
      <c r="R136" s="2850"/>
      <c r="S136" s="2850">
        <f>SUM(T136:W136)</f>
        <v>11100</v>
      </c>
      <c r="T136" s="2850"/>
      <c r="U136" s="2850"/>
      <c r="V136" s="2850">
        <v>11100</v>
      </c>
      <c r="W136" s="2850"/>
    </row>
    <row r="137" spans="1:23" s="2830" customFormat="1" ht="26.4">
      <c r="A137" s="2827" t="s">
        <v>1222</v>
      </c>
      <c r="B137" s="2828" t="s">
        <v>1648</v>
      </c>
      <c r="C137" s="2827"/>
      <c r="D137" s="2827"/>
      <c r="E137" s="2827"/>
      <c r="F137" s="2827"/>
      <c r="G137" s="2829">
        <f>G138+G139+G140+G141</f>
        <v>0</v>
      </c>
      <c r="H137" s="2829">
        <f t="shared" ref="H137:W137" si="64">H138+H139+H140+H141</f>
        <v>0</v>
      </c>
      <c r="I137" s="2829">
        <f t="shared" si="64"/>
        <v>0</v>
      </c>
      <c r="J137" s="2829">
        <f t="shared" si="64"/>
        <v>0</v>
      </c>
      <c r="K137" s="2829">
        <f t="shared" si="64"/>
        <v>0</v>
      </c>
      <c r="L137" s="2829">
        <f t="shared" si="64"/>
        <v>0</v>
      </c>
      <c r="M137" s="2829">
        <f t="shared" si="64"/>
        <v>0</v>
      </c>
      <c r="N137" s="2829">
        <f t="shared" si="64"/>
        <v>0</v>
      </c>
      <c r="O137" s="2829">
        <f t="shared" si="64"/>
        <v>0</v>
      </c>
      <c r="P137" s="2829">
        <f t="shared" si="64"/>
        <v>0</v>
      </c>
      <c r="Q137" s="2829">
        <f t="shared" si="64"/>
        <v>0</v>
      </c>
      <c r="R137" s="2829">
        <f t="shared" si="64"/>
        <v>0</v>
      </c>
      <c r="S137" s="2829">
        <f t="shared" si="64"/>
        <v>43600</v>
      </c>
      <c r="T137" s="2829">
        <f t="shared" si="64"/>
        <v>0</v>
      </c>
      <c r="U137" s="2829">
        <f t="shared" si="64"/>
        <v>0</v>
      </c>
      <c r="V137" s="2829">
        <f t="shared" si="64"/>
        <v>43600</v>
      </c>
      <c r="W137" s="2829">
        <f t="shared" si="64"/>
        <v>0</v>
      </c>
    </row>
    <row r="138" spans="1:23" ht="26.4">
      <c r="A138" s="2848"/>
      <c r="B138" s="2849" t="s">
        <v>1649</v>
      </c>
      <c r="C138" s="2848"/>
      <c r="D138" s="2848"/>
      <c r="E138" s="2848"/>
      <c r="F138" s="2848"/>
      <c r="G138" s="2850"/>
      <c r="H138" s="2850"/>
      <c r="I138" s="2850"/>
      <c r="J138" s="2850"/>
      <c r="K138" s="2850">
        <f>SUM(L138:N138)</f>
        <v>0</v>
      </c>
      <c r="L138" s="2850"/>
      <c r="M138" s="2850"/>
      <c r="N138" s="2850"/>
      <c r="O138" s="2850">
        <f>SUM(P138:R138)</f>
        <v>0</v>
      </c>
      <c r="P138" s="2850"/>
      <c r="Q138" s="2850"/>
      <c r="R138" s="2850"/>
      <c r="S138" s="2850">
        <f>SUM(T138:W138)</f>
        <v>0</v>
      </c>
      <c r="T138" s="2850"/>
      <c r="U138" s="2850"/>
      <c r="V138" s="2850"/>
      <c r="W138" s="2851"/>
    </row>
    <row r="139" spans="1:23" ht="26.4">
      <c r="A139" s="2848"/>
      <c r="B139" s="2849" t="s">
        <v>1650</v>
      </c>
      <c r="C139" s="2848"/>
      <c r="D139" s="2848"/>
      <c r="E139" s="2848"/>
      <c r="F139" s="2848"/>
      <c r="G139" s="2850"/>
      <c r="H139" s="2850"/>
      <c r="I139" s="2850"/>
      <c r="J139" s="2850"/>
      <c r="K139" s="2850">
        <f>SUM(L139:N139)</f>
        <v>0</v>
      </c>
      <c r="L139" s="2850"/>
      <c r="M139" s="2850"/>
      <c r="N139" s="2850"/>
      <c r="O139" s="2850">
        <f>SUM(P139:R139)</f>
        <v>0</v>
      </c>
      <c r="P139" s="2850"/>
      <c r="Q139" s="2850"/>
      <c r="R139" s="2850"/>
      <c r="S139" s="2850">
        <f>SUM(T139:W139)</f>
        <v>26160</v>
      </c>
      <c r="T139" s="2850"/>
      <c r="U139" s="2850"/>
      <c r="V139" s="2850">
        <v>26160</v>
      </c>
      <c r="W139" s="2851"/>
    </row>
    <row r="140" spans="1:23" ht="26.4">
      <c r="A140" s="2848"/>
      <c r="B140" s="2849" t="s">
        <v>1651</v>
      </c>
      <c r="C140" s="2848"/>
      <c r="D140" s="2848"/>
      <c r="E140" s="2848"/>
      <c r="F140" s="2848"/>
      <c r="G140" s="2850"/>
      <c r="H140" s="2850"/>
      <c r="I140" s="2850"/>
      <c r="J140" s="2850"/>
      <c r="K140" s="2850">
        <f>SUM(L140:N140)</f>
        <v>0</v>
      </c>
      <c r="L140" s="2850"/>
      <c r="M140" s="2850"/>
      <c r="N140" s="2850"/>
      <c r="O140" s="2850">
        <f>SUM(P140:R140)</f>
        <v>0</v>
      </c>
      <c r="P140" s="2850"/>
      <c r="Q140" s="2850"/>
      <c r="R140" s="2850"/>
      <c r="S140" s="2850">
        <f>SUM(T140:W140)</f>
        <v>17440</v>
      </c>
      <c r="T140" s="2850"/>
      <c r="U140" s="2850"/>
      <c r="V140" s="2850">
        <v>17440</v>
      </c>
      <c r="W140" s="2851"/>
    </row>
    <row r="141" spans="1:23" ht="39.6" hidden="1">
      <c r="A141" s="2848"/>
      <c r="B141" s="2849" t="s">
        <v>1652</v>
      </c>
      <c r="C141" s="2848"/>
      <c r="D141" s="2848"/>
      <c r="E141" s="2848"/>
      <c r="F141" s="2848"/>
      <c r="G141" s="2850"/>
      <c r="H141" s="2850"/>
      <c r="I141" s="2850"/>
      <c r="J141" s="2850"/>
      <c r="K141" s="2850">
        <f>SUM(L141:N141)</f>
        <v>0</v>
      </c>
      <c r="L141" s="2850"/>
      <c r="M141" s="2850"/>
      <c r="N141" s="2850"/>
      <c r="O141" s="2850">
        <f>SUM(P141:R141)</f>
        <v>0</v>
      </c>
      <c r="P141" s="2850"/>
      <c r="Q141" s="2850"/>
      <c r="R141" s="2850"/>
      <c r="S141" s="2850">
        <f>SUM(T141:W141)</f>
        <v>0</v>
      </c>
      <c r="T141" s="2850"/>
      <c r="U141" s="2850"/>
      <c r="V141" s="2850"/>
      <c r="W141" s="2851"/>
    </row>
    <row r="142" spans="1:23" s="2839" customFormat="1" ht="26.4">
      <c r="A142" s="2835" t="s">
        <v>1910</v>
      </c>
      <c r="B142" s="2836" t="s">
        <v>1911</v>
      </c>
      <c r="C142" s="2835"/>
      <c r="D142" s="2835"/>
      <c r="E142" s="2835"/>
      <c r="F142" s="2835"/>
      <c r="G142" s="2837"/>
      <c r="H142" s="2837"/>
      <c r="I142" s="2837"/>
      <c r="J142" s="2837"/>
      <c r="K142" s="2837"/>
      <c r="L142" s="2837"/>
      <c r="M142" s="2837"/>
      <c r="N142" s="2837"/>
      <c r="O142" s="2837"/>
      <c r="P142" s="2837"/>
      <c r="Q142" s="2837"/>
      <c r="R142" s="2837"/>
      <c r="S142" s="2837">
        <f>S143+S153+S163+S164</f>
        <v>254595</v>
      </c>
      <c r="T142" s="2837">
        <f>T143+T153+T163+T164</f>
        <v>0</v>
      </c>
      <c r="U142" s="2837">
        <f>U143+U153+U163+U164</f>
        <v>0</v>
      </c>
      <c r="V142" s="2837">
        <f>V143+V153+V163+V164</f>
        <v>254595</v>
      </c>
      <c r="W142" s="2837">
        <f>W143+W153+W163+W164</f>
        <v>0</v>
      </c>
    </row>
    <row r="143" spans="1:23" s="2839" customFormat="1" ht="52.8">
      <c r="A143" s="2879" t="s">
        <v>54</v>
      </c>
      <c r="B143" s="2880" t="s">
        <v>1912</v>
      </c>
      <c r="C143" s="2835"/>
      <c r="D143" s="2835"/>
      <c r="E143" s="2835"/>
      <c r="F143" s="2835"/>
      <c r="G143" s="2837"/>
      <c r="H143" s="2837"/>
      <c r="I143" s="2837"/>
      <c r="J143" s="2837"/>
      <c r="K143" s="2837"/>
      <c r="L143" s="2837"/>
      <c r="M143" s="2837"/>
      <c r="N143" s="2837"/>
      <c r="O143" s="2837"/>
      <c r="P143" s="2837"/>
      <c r="Q143" s="2837"/>
      <c r="R143" s="2837"/>
      <c r="S143" s="2837">
        <f>SUM(S144:S152)</f>
        <v>158075</v>
      </c>
      <c r="T143" s="2837">
        <f t="shared" ref="T143:W143" si="65">SUM(T144:T152)</f>
        <v>0</v>
      </c>
      <c r="U143" s="2837">
        <f t="shared" si="65"/>
        <v>0</v>
      </c>
      <c r="V143" s="2837">
        <f t="shared" si="65"/>
        <v>158075</v>
      </c>
      <c r="W143" s="2837">
        <f t="shared" si="65"/>
        <v>0</v>
      </c>
    </row>
    <row r="144" spans="1:23">
      <c r="A144" s="2881">
        <v>1</v>
      </c>
      <c r="B144" s="2882" t="s">
        <v>95</v>
      </c>
      <c r="C144" s="2848"/>
      <c r="D144" s="2848"/>
      <c r="E144" s="2848"/>
      <c r="F144" s="2848"/>
      <c r="G144" s="2850"/>
      <c r="H144" s="2850"/>
      <c r="I144" s="2850"/>
      <c r="J144" s="2850"/>
      <c r="K144" s="2850"/>
      <c r="L144" s="2850"/>
      <c r="M144" s="2850"/>
      <c r="N144" s="2850"/>
      <c r="O144" s="2850"/>
      <c r="P144" s="2850"/>
      <c r="Q144" s="2850"/>
      <c r="R144" s="2850"/>
      <c r="S144" s="2850">
        <f t="shared" ref="S144:S184" si="66">SUM(T144:W144)</f>
        <v>17365</v>
      </c>
      <c r="T144" s="2850"/>
      <c r="U144" s="2851"/>
      <c r="V144" s="2850">
        <v>17365</v>
      </c>
      <c r="W144" s="2851"/>
    </row>
    <row r="145" spans="1:23">
      <c r="A145" s="2881">
        <v>2</v>
      </c>
      <c r="B145" s="2882" t="s">
        <v>96</v>
      </c>
      <c r="C145" s="2848"/>
      <c r="D145" s="2848"/>
      <c r="E145" s="2848"/>
      <c r="F145" s="2848"/>
      <c r="G145" s="2850"/>
      <c r="H145" s="2850"/>
      <c r="I145" s="2850"/>
      <c r="J145" s="2850"/>
      <c r="K145" s="2850"/>
      <c r="L145" s="2850"/>
      <c r="M145" s="2850"/>
      <c r="N145" s="2850"/>
      <c r="O145" s="2850"/>
      <c r="P145" s="2850"/>
      <c r="Q145" s="2850"/>
      <c r="R145" s="2850"/>
      <c r="S145" s="2850">
        <f t="shared" si="66"/>
        <v>12810</v>
      </c>
      <c r="T145" s="2850"/>
      <c r="U145" s="2851"/>
      <c r="V145" s="2850">
        <v>12810</v>
      </c>
      <c r="W145" s="2851"/>
    </row>
    <row r="146" spans="1:23">
      <c r="A146" s="2881">
        <v>3</v>
      </c>
      <c r="B146" s="2882" t="s">
        <v>100</v>
      </c>
      <c r="C146" s="2848"/>
      <c r="D146" s="2848"/>
      <c r="E146" s="2848"/>
      <c r="F146" s="2848"/>
      <c r="G146" s="2850"/>
      <c r="H146" s="2850"/>
      <c r="I146" s="2850"/>
      <c r="J146" s="2850"/>
      <c r="K146" s="2850"/>
      <c r="L146" s="2850"/>
      <c r="M146" s="2850"/>
      <c r="N146" s="2850"/>
      <c r="O146" s="2850"/>
      <c r="P146" s="2850"/>
      <c r="Q146" s="2850"/>
      <c r="R146" s="2850"/>
      <c r="S146" s="2850">
        <f t="shared" si="66"/>
        <v>19310</v>
      </c>
      <c r="T146" s="2850"/>
      <c r="U146" s="2851"/>
      <c r="V146" s="2850">
        <v>19310</v>
      </c>
      <c r="W146" s="2851"/>
    </row>
    <row r="147" spans="1:23">
      <c r="A147" s="2881">
        <v>4</v>
      </c>
      <c r="B147" s="2882" t="s">
        <v>101</v>
      </c>
      <c r="C147" s="2848"/>
      <c r="D147" s="2848"/>
      <c r="E147" s="2848"/>
      <c r="F147" s="2848"/>
      <c r="G147" s="2850"/>
      <c r="H147" s="2850"/>
      <c r="I147" s="2850"/>
      <c r="J147" s="2850"/>
      <c r="K147" s="2850"/>
      <c r="L147" s="2850"/>
      <c r="M147" s="2850"/>
      <c r="N147" s="2850"/>
      <c r="O147" s="2850"/>
      <c r="P147" s="2850"/>
      <c r="Q147" s="2850"/>
      <c r="R147" s="2850"/>
      <c r="S147" s="2850">
        <f t="shared" si="66"/>
        <v>22535</v>
      </c>
      <c r="T147" s="2850"/>
      <c r="U147" s="2851"/>
      <c r="V147" s="2850">
        <v>22535</v>
      </c>
      <c r="W147" s="2851"/>
    </row>
    <row r="148" spans="1:23">
      <c r="A148" s="2881">
        <v>5</v>
      </c>
      <c r="B148" s="2882" t="s">
        <v>98</v>
      </c>
      <c r="C148" s="2848"/>
      <c r="D148" s="2848"/>
      <c r="E148" s="2848"/>
      <c r="F148" s="2848"/>
      <c r="G148" s="2850"/>
      <c r="H148" s="2850"/>
      <c r="I148" s="2850"/>
      <c r="J148" s="2850"/>
      <c r="K148" s="2850"/>
      <c r="L148" s="2850"/>
      <c r="M148" s="2850"/>
      <c r="N148" s="2850"/>
      <c r="O148" s="2850"/>
      <c r="P148" s="2850"/>
      <c r="Q148" s="2850"/>
      <c r="R148" s="2850"/>
      <c r="S148" s="2850">
        <f t="shared" si="66"/>
        <v>22535</v>
      </c>
      <c r="T148" s="2850"/>
      <c r="U148" s="2851"/>
      <c r="V148" s="2850">
        <v>22535</v>
      </c>
      <c r="W148" s="2851"/>
    </row>
    <row r="149" spans="1:23">
      <c r="A149" s="2881">
        <v>6</v>
      </c>
      <c r="B149" s="2882" t="s">
        <v>99</v>
      </c>
      <c r="C149" s="2848"/>
      <c r="D149" s="2848"/>
      <c r="E149" s="2848"/>
      <c r="F149" s="2848"/>
      <c r="G149" s="2850"/>
      <c r="H149" s="2850"/>
      <c r="I149" s="2850"/>
      <c r="J149" s="2850"/>
      <c r="K149" s="2850"/>
      <c r="L149" s="2850"/>
      <c r="M149" s="2850"/>
      <c r="N149" s="2850"/>
      <c r="O149" s="2850"/>
      <c r="P149" s="2850"/>
      <c r="Q149" s="2850"/>
      <c r="R149" s="2850"/>
      <c r="S149" s="2850">
        <f t="shared" si="66"/>
        <v>11955</v>
      </c>
      <c r="T149" s="2850"/>
      <c r="U149" s="2851"/>
      <c r="V149" s="2850">
        <v>11955</v>
      </c>
      <c r="W149" s="2851"/>
    </row>
    <row r="150" spans="1:23">
      <c r="A150" s="2881">
        <v>7</v>
      </c>
      <c r="B150" s="2882" t="s">
        <v>97</v>
      </c>
      <c r="C150" s="2848"/>
      <c r="D150" s="2848"/>
      <c r="E150" s="2848"/>
      <c r="F150" s="2848"/>
      <c r="G150" s="2850"/>
      <c r="H150" s="2850"/>
      <c r="I150" s="2850"/>
      <c r="J150" s="2850"/>
      <c r="K150" s="2850"/>
      <c r="L150" s="2850"/>
      <c r="M150" s="2850"/>
      <c r="N150" s="2850"/>
      <c r="O150" s="2850"/>
      <c r="P150" s="2850"/>
      <c r="Q150" s="2850"/>
      <c r="R150" s="2850"/>
      <c r="S150" s="2850">
        <f t="shared" si="66"/>
        <v>15890</v>
      </c>
      <c r="T150" s="2850"/>
      <c r="U150" s="2851"/>
      <c r="V150" s="2850">
        <v>15890</v>
      </c>
      <c r="W150" s="2851"/>
    </row>
    <row r="151" spans="1:23">
      <c r="A151" s="2881">
        <v>8</v>
      </c>
      <c r="B151" s="2882" t="s">
        <v>36</v>
      </c>
      <c r="C151" s="2848"/>
      <c r="D151" s="2848"/>
      <c r="E151" s="2848"/>
      <c r="F151" s="2848"/>
      <c r="G151" s="2850"/>
      <c r="H151" s="2850"/>
      <c r="I151" s="2850"/>
      <c r="J151" s="2850"/>
      <c r="K151" s="2850"/>
      <c r="L151" s="2850"/>
      <c r="M151" s="2850"/>
      <c r="N151" s="2850"/>
      <c r="O151" s="2850"/>
      <c r="P151" s="2850"/>
      <c r="Q151" s="2850"/>
      <c r="R151" s="2850"/>
      <c r="S151" s="2850">
        <f t="shared" si="66"/>
        <v>11955</v>
      </c>
      <c r="T151" s="2850"/>
      <c r="U151" s="2851"/>
      <c r="V151" s="2850">
        <v>11955</v>
      </c>
      <c r="W151" s="2851"/>
    </row>
    <row r="152" spans="1:23">
      <c r="A152" s="2881">
        <v>9</v>
      </c>
      <c r="B152" s="2882" t="s">
        <v>28</v>
      </c>
      <c r="C152" s="2848"/>
      <c r="D152" s="2848"/>
      <c r="E152" s="2848"/>
      <c r="F152" s="2848"/>
      <c r="G152" s="2850"/>
      <c r="H152" s="2850"/>
      <c r="I152" s="2850"/>
      <c r="J152" s="2850"/>
      <c r="K152" s="2850"/>
      <c r="L152" s="2850"/>
      <c r="M152" s="2850"/>
      <c r="N152" s="2850"/>
      <c r="O152" s="2850"/>
      <c r="P152" s="2850"/>
      <c r="Q152" s="2850"/>
      <c r="R152" s="2850"/>
      <c r="S152" s="2850">
        <f t="shared" si="66"/>
        <v>23720</v>
      </c>
      <c r="T152" s="2850"/>
      <c r="U152" s="2851"/>
      <c r="V152" s="2850">
        <v>23720</v>
      </c>
      <c r="W152" s="2851"/>
    </row>
    <row r="153" spans="1:23" ht="52.8">
      <c r="A153" s="2883" t="s">
        <v>60</v>
      </c>
      <c r="B153" s="2884" t="s">
        <v>1913</v>
      </c>
      <c r="C153" s="2848"/>
      <c r="D153" s="2848"/>
      <c r="E153" s="2848"/>
      <c r="F153" s="2848"/>
      <c r="G153" s="2850"/>
      <c r="H153" s="2850"/>
      <c r="I153" s="2850"/>
      <c r="J153" s="2850"/>
      <c r="K153" s="2850"/>
      <c r="L153" s="2850"/>
      <c r="M153" s="2850"/>
      <c r="N153" s="2850"/>
      <c r="O153" s="2850"/>
      <c r="P153" s="2850"/>
      <c r="Q153" s="2850"/>
      <c r="R153" s="2850"/>
      <c r="S153" s="2837">
        <f>SUM(S154:S162)</f>
        <v>42000</v>
      </c>
      <c r="T153" s="2837">
        <f t="shared" ref="T153:W153" si="67">SUM(T154:T162)</f>
        <v>0</v>
      </c>
      <c r="U153" s="2837">
        <f t="shared" si="67"/>
        <v>0</v>
      </c>
      <c r="V153" s="2837">
        <f t="shared" si="67"/>
        <v>42000</v>
      </c>
      <c r="W153" s="2837">
        <f t="shared" si="67"/>
        <v>0</v>
      </c>
    </row>
    <row r="154" spans="1:23">
      <c r="A154" s="2885">
        <v>1</v>
      </c>
      <c r="B154" s="2886" t="s">
        <v>95</v>
      </c>
      <c r="C154" s="2848"/>
      <c r="D154" s="2848"/>
      <c r="E154" s="2848"/>
      <c r="F154" s="2848"/>
      <c r="G154" s="2850"/>
      <c r="H154" s="2850"/>
      <c r="I154" s="2850"/>
      <c r="J154" s="2850"/>
      <c r="K154" s="2850"/>
      <c r="L154" s="2850"/>
      <c r="M154" s="2850"/>
      <c r="N154" s="2850"/>
      <c r="O154" s="2850"/>
      <c r="P154" s="2850"/>
      <c r="Q154" s="2850"/>
      <c r="R154" s="2850"/>
      <c r="S154" s="2850">
        <f t="shared" si="66"/>
        <v>5000</v>
      </c>
      <c r="T154" s="2850"/>
      <c r="U154" s="2850"/>
      <c r="V154" s="2850">
        <v>5000</v>
      </c>
      <c r="W154" s="2851"/>
    </row>
    <row r="155" spans="1:23">
      <c r="A155" s="2885">
        <v>2</v>
      </c>
      <c r="B155" s="2886" t="s">
        <v>96</v>
      </c>
      <c r="C155" s="2848"/>
      <c r="D155" s="2848"/>
      <c r="E155" s="2848"/>
      <c r="F155" s="2848"/>
      <c r="G155" s="2850"/>
      <c r="H155" s="2850"/>
      <c r="I155" s="2850"/>
      <c r="J155" s="2850"/>
      <c r="K155" s="2850"/>
      <c r="L155" s="2850"/>
      <c r="M155" s="2850"/>
      <c r="N155" s="2850"/>
      <c r="O155" s="2850"/>
      <c r="P155" s="2850"/>
      <c r="Q155" s="2850"/>
      <c r="R155" s="2850"/>
      <c r="S155" s="2850">
        <f t="shared" si="66"/>
        <v>5000</v>
      </c>
      <c r="T155" s="2850"/>
      <c r="U155" s="2850"/>
      <c r="V155" s="2850">
        <v>5000</v>
      </c>
      <c r="W155" s="2851"/>
    </row>
    <row r="156" spans="1:23">
      <c r="A156" s="2885">
        <v>3</v>
      </c>
      <c r="B156" s="2886" t="s">
        <v>97</v>
      </c>
      <c r="C156" s="2848"/>
      <c r="D156" s="2848"/>
      <c r="E156" s="2848"/>
      <c r="F156" s="2848"/>
      <c r="G156" s="2850"/>
      <c r="H156" s="2850"/>
      <c r="I156" s="2850"/>
      <c r="J156" s="2850"/>
      <c r="K156" s="2850"/>
      <c r="L156" s="2850"/>
      <c r="M156" s="2850"/>
      <c r="N156" s="2850"/>
      <c r="O156" s="2850"/>
      <c r="P156" s="2850"/>
      <c r="Q156" s="2850"/>
      <c r="R156" s="2850"/>
      <c r="S156" s="2850">
        <f t="shared" si="66"/>
        <v>5000</v>
      </c>
      <c r="T156" s="2850"/>
      <c r="U156" s="2850"/>
      <c r="V156" s="2850">
        <v>5000</v>
      </c>
      <c r="W156" s="2851"/>
    </row>
    <row r="157" spans="1:23">
      <c r="A157" s="2885">
        <v>4</v>
      </c>
      <c r="B157" s="2886" t="s">
        <v>98</v>
      </c>
      <c r="C157" s="2848"/>
      <c r="D157" s="2848"/>
      <c r="E157" s="2848"/>
      <c r="F157" s="2848"/>
      <c r="G157" s="2850"/>
      <c r="H157" s="2850"/>
      <c r="I157" s="2850"/>
      <c r="J157" s="2850"/>
      <c r="K157" s="2850"/>
      <c r="L157" s="2850"/>
      <c r="M157" s="2850"/>
      <c r="N157" s="2850"/>
      <c r="O157" s="2850"/>
      <c r="P157" s="2850"/>
      <c r="Q157" s="2850"/>
      <c r="R157" s="2850"/>
      <c r="S157" s="2850">
        <f t="shared" si="66"/>
        <v>5000</v>
      </c>
      <c r="T157" s="2850"/>
      <c r="U157" s="2850"/>
      <c r="V157" s="2850">
        <v>5000</v>
      </c>
      <c r="W157" s="2851"/>
    </row>
    <row r="158" spans="1:23">
      <c r="A158" s="2885">
        <v>5</v>
      </c>
      <c r="B158" s="2886" t="s">
        <v>99</v>
      </c>
      <c r="C158" s="2848"/>
      <c r="D158" s="2848"/>
      <c r="E158" s="2848"/>
      <c r="F158" s="2848"/>
      <c r="G158" s="2850"/>
      <c r="H158" s="2850"/>
      <c r="I158" s="2850"/>
      <c r="J158" s="2850"/>
      <c r="K158" s="2850"/>
      <c r="L158" s="2850"/>
      <c r="M158" s="2850"/>
      <c r="N158" s="2850"/>
      <c r="O158" s="2850"/>
      <c r="P158" s="2850"/>
      <c r="Q158" s="2850"/>
      <c r="R158" s="2850"/>
      <c r="S158" s="2850">
        <f t="shared" si="66"/>
        <v>5000</v>
      </c>
      <c r="T158" s="2850"/>
      <c r="U158" s="2850"/>
      <c r="V158" s="2850">
        <v>5000</v>
      </c>
      <c r="W158" s="2851"/>
    </row>
    <row r="159" spans="1:23">
      <c r="A159" s="2885">
        <v>6</v>
      </c>
      <c r="B159" s="2886" t="s">
        <v>100</v>
      </c>
      <c r="C159" s="2848"/>
      <c r="D159" s="2848"/>
      <c r="E159" s="2848"/>
      <c r="F159" s="2848"/>
      <c r="G159" s="2850"/>
      <c r="H159" s="2850"/>
      <c r="I159" s="2850"/>
      <c r="J159" s="2850"/>
      <c r="K159" s="2850"/>
      <c r="L159" s="2850"/>
      <c r="M159" s="2850"/>
      <c r="N159" s="2850"/>
      <c r="O159" s="2850"/>
      <c r="P159" s="2850"/>
      <c r="Q159" s="2850"/>
      <c r="R159" s="2850"/>
      <c r="S159" s="2850">
        <f t="shared" si="66"/>
        <v>5000</v>
      </c>
      <c r="T159" s="2850"/>
      <c r="U159" s="2850"/>
      <c r="V159" s="2850">
        <v>5000</v>
      </c>
      <c r="W159" s="2851"/>
    </row>
    <row r="160" spans="1:23">
      <c r="A160" s="2885">
        <v>7</v>
      </c>
      <c r="B160" s="2886" t="s">
        <v>101</v>
      </c>
      <c r="C160" s="2848"/>
      <c r="D160" s="2848"/>
      <c r="E160" s="2848"/>
      <c r="F160" s="2848"/>
      <c r="G160" s="2850"/>
      <c r="H160" s="2850"/>
      <c r="I160" s="2850"/>
      <c r="J160" s="2850"/>
      <c r="K160" s="2850"/>
      <c r="L160" s="2850"/>
      <c r="M160" s="2850"/>
      <c r="N160" s="2850"/>
      <c r="O160" s="2850"/>
      <c r="P160" s="2850"/>
      <c r="Q160" s="2850"/>
      <c r="R160" s="2850"/>
      <c r="S160" s="2850">
        <f t="shared" si="66"/>
        <v>5000</v>
      </c>
      <c r="T160" s="2850"/>
      <c r="U160" s="2850"/>
      <c r="V160" s="2850">
        <v>5000</v>
      </c>
      <c r="W160" s="2851"/>
    </row>
    <row r="161" spans="1:23">
      <c r="A161" s="2885">
        <v>8</v>
      </c>
      <c r="B161" s="2886" t="s">
        <v>36</v>
      </c>
      <c r="C161" s="2848"/>
      <c r="D161" s="2848"/>
      <c r="E161" s="2848"/>
      <c r="F161" s="2848"/>
      <c r="G161" s="2850"/>
      <c r="H161" s="2850"/>
      <c r="I161" s="2850"/>
      <c r="J161" s="2850"/>
      <c r="K161" s="2850"/>
      <c r="L161" s="2850"/>
      <c r="M161" s="2850"/>
      <c r="N161" s="2850"/>
      <c r="O161" s="2850"/>
      <c r="P161" s="2850"/>
      <c r="Q161" s="2850"/>
      <c r="R161" s="2850"/>
      <c r="S161" s="2850">
        <f t="shared" si="66"/>
        <v>5000</v>
      </c>
      <c r="T161" s="2850"/>
      <c r="U161" s="2850"/>
      <c r="V161" s="2850">
        <v>5000</v>
      </c>
      <c r="W161" s="2851"/>
    </row>
    <row r="162" spans="1:23">
      <c r="A162" s="2885">
        <v>9</v>
      </c>
      <c r="B162" s="2886" t="s">
        <v>28</v>
      </c>
      <c r="C162" s="2848"/>
      <c r="D162" s="2848"/>
      <c r="E162" s="2848"/>
      <c r="F162" s="2848"/>
      <c r="G162" s="2850"/>
      <c r="H162" s="2850"/>
      <c r="I162" s="2850"/>
      <c r="J162" s="2850"/>
      <c r="K162" s="2850"/>
      <c r="L162" s="2850"/>
      <c r="M162" s="2850"/>
      <c r="N162" s="2850"/>
      <c r="O162" s="2850"/>
      <c r="P162" s="2850"/>
      <c r="Q162" s="2850"/>
      <c r="R162" s="2850"/>
      <c r="S162" s="2850">
        <f t="shared" si="66"/>
        <v>2000</v>
      </c>
      <c r="T162" s="2850"/>
      <c r="U162" s="2850"/>
      <c r="V162" s="2850">
        <v>2000</v>
      </c>
      <c r="W162" s="2851"/>
    </row>
    <row r="163" spans="1:23" ht="66">
      <c r="A163" s="2879" t="s">
        <v>315</v>
      </c>
      <c r="B163" s="2887" t="s">
        <v>1914</v>
      </c>
      <c r="C163" s="2848"/>
      <c r="D163" s="2848"/>
      <c r="E163" s="2848"/>
      <c r="F163" s="2848"/>
      <c r="G163" s="2850"/>
      <c r="H163" s="2850"/>
      <c r="I163" s="2850"/>
      <c r="J163" s="2850"/>
      <c r="K163" s="2850"/>
      <c r="L163" s="2850"/>
      <c r="M163" s="2850"/>
      <c r="N163" s="2850"/>
      <c r="O163" s="2850"/>
      <c r="P163" s="2850"/>
      <c r="Q163" s="2850"/>
      <c r="R163" s="2850"/>
      <c r="S163" s="2837">
        <f t="shared" si="66"/>
        <v>7000</v>
      </c>
      <c r="T163" s="2837"/>
      <c r="U163" s="2837"/>
      <c r="V163" s="2837">
        <v>7000</v>
      </c>
      <c r="W163" s="2851"/>
    </row>
    <row r="164" spans="1:23" ht="52.8">
      <c r="A164" s="2879" t="s">
        <v>317</v>
      </c>
      <c r="B164" s="2887" t="s">
        <v>1915</v>
      </c>
      <c r="C164" s="2848"/>
      <c r="D164" s="2848"/>
      <c r="E164" s="2848"/>
      <c r="F164" s="2848"/>
      <c r="G164" s="2850"/>
      <c r="H164" s="2850"/>
      <c r="I164" s="2850"/>
      <c r="J164" s="2850"/>
      <c r="K164" s="2850"/>
      <c r="L164" s="2850"/>
      <c r="M164" s="2850"/>
      <c r="N164" s="2850"/>
      <c r="O164" s="2850"/>
      <c r="P164" s="2850"/>
      <c r="Q164" s="2850"/>
      <c r="R164" s="2850"/>
      <c r="S164" s="2837">
        <f>S165+S175+S185</f>
        <v>47520</v>
      </c>
      <c r="T164" s="2837">
        <f>T165+T175+T185</f>
        <v>0</v>
      </c>
      <c r="U164" s="2837">
        <f>U165+U175+U185</f>
        <v>0</v>
      </c>
      <c r="V164" s="2837">
        <f>V165+V175+V185</f>
        <v>47520</v>
      </c>
      <c r="W164" s="2837">
        <f>W165+W175+W185</f>
        <v>0</v>
      </c>
    </row>
    <row r="165" spans="1:23" ht="26.4">
      <c r="A165" s="2888" t="s">
        <v>1916</v>
      </c>
      <c r="B165" s="2887" t="s">
        <v>1917</v>
      </c>
      <c r="C165" s="2848"/>
      <c r="D165" s="2848"/>
      <c r="E165" s="2848"/>
      <c r="F165" s="2848"/>
      <c r="G165" s="2850"/>
      <c r="H165" s="2850"/>
      <c r="I165" s="2850"/>
      <c r="J165" s="2850"/>
      <c r="K165" s="2850"/>
      <c r="L165" s="2850"/>
      <c r="M165" s="2850"/>
      <c r="N165" s="2850"/>
      <c r="O165" s="2850"/>
      <c r="P165" s="2850"/>
      <c r="Q165" s="2850"/>
      <c r="R165" s="2850"/>
      <c r="S165" s="2837">
        <f>SUM(S166:S174)</f>
        <v>21120</v>
      </c>
      <c r="T165" s="2837">
        <f t="shared" ref="T165:W165" si="68">SUM(T166:T174)</f>
        <v>0</v>
      </c>
      <c r="U165" s="2837">
        <f t="shared" si="68"/>
        <v>0</v>
      </c>
      <c r="V165" s="2837">
        <f t="shared" si="68"/>
        <v>21120</v>
      </c>
      <c r="W165" s="2837">
        <f t="shared" si="68"/>
        <v>0</v>
      </c>
    </row>
    <row r="166" spans="1:23">
      <c r="A166" s="2881">
        <v>1</v>
      </c>
      <c r="B166" s="2882" t="s">
        <v>95</v>
      </c>
      <c r="C166" s="2848"/>
      <c r="D166" s="2848"/>
      <c r="E166" s="2848"/>
      <c r="F166" s="2848"/>
      <c r="G166" s="2850"/>
      <c r="H166" s="2850"/>
      <c r="I166" s="2850"/>
      <c r="J166" s="2850"/>
      <c r="K166" s="2850"/>
      <c r="L166" s="2850"/>
      <c r="M166" s="2850"/>
      <c r="N166" s="2850"/>
      <c r="O166" s="2850"/>
      <c r="P166" s="2850"/>
      <c r="Q166" s="2850"/>
      <c r="R166" s="2850"/>
      <c r="S166" s="2850">
        <f t="shared" si="66"/>
        <v>1600</v>
      </c>
      <c r="T166" s="2850"/>
      <c r="U166" s="2850"/>
      <c r="V166" s="2850">
        <v>1600</v>
      </c>
      <c r="W166" s="2851"/>
    </row>
    <row r="167" spans="1:23">
      <c r="A167" s="2881">
        <v>2</v>
      </c>
      <c r="B167" s="2882" t="s">
        <v>1466</v>
      </c>
      <c r="C167" s="2848"/>
      <c r="D167" s="2848"/>
      <c r="E167" s="2848"/>
      <c r="F167" s="2848"/>
      <c r="G167" s="2850"/>
      <c r="H167" s="2850"/>
      <c r="I167" s="2850"/>
      <c r="J167" s="2850"/>
      <c r="K167" s="2850"/>
      <c r="L167" s="2850"/>
      <c r="M167" s="2850"/>
      <c r="N167" s="2850"/>
      <c r="O167" s="2850"/>
      <c r="P167" s="2850"/>
      <c r="Q167" s="2850"/>
      <c r="R167" s="2850"/>
      <c r="S167" s="2850">
        <f t="shared" si="66"/>
        <v>1000</v>
      </c>
      <c r="T167" s="2850"/>
      <c r="U167" s="2850"/>
      <c r="V167" s="2850">
        <v>1000</v>
      </c>
      <c r="W167" s="2851"/>
    </row>
    <row r="168" spans="1:23">
      <c r="A168" s="2881">
        <v>3</v>
      </c>
      <c r="B168" s="2882" t="s">
        <v>100</v>
      </c>
      <c r="C168" s="2848"/>
      <c r="D168" s="2848"/>
      <c r="E168" s="2848"/>
      <c r="F168" s="2848"/>
      <c r="G168" s="2850"/>
      <c r="H168" s="2850"/>
      <c r="I168" s="2850"/>
      <c r="J168" s="2850"/>
      <c r="K168" s="2850"/>
      <c r="L168" s="2850"/>
      <c r="M168" s="2850"/>
      <c r="N168" s="2850"/>
      <c r="O168" s="2850"/>
      <c r="P168" s="2850"/>
      <c r="Q168" s="2850"/>
      <c r="R168" s="2850"/>
      <c r="S168" s="2850">
        <f t="shared" si="66"/>
        <v>1400</v>
      </c>
      <c r="T168" s="2850"/>
      <c r="U168" s="2850"/>
      <c r="V168" s="2850">
        <v>1400</v>
      </c>
      <c r="W168" s="2851"/>
    </row>
    <row r="169" spans="1:23">
      <c r="A169" s="2881">
        <v>4</v>
      </c>
      <c r="B169" s="2882" t="s">
        <v>101</v>
      </c>
      <c r="C169" s="2848"/>
      <c r="D169" s="2848"/>
      <c r="E169" s="2848"/>
      <c r="F169" s="2848"/>
      <c r="G169" s="2850"/>
      <c r="H169" s="2850"/>
      <c r="I169" s="2850"/>
      <c r="J169" s="2850"/>
      <c r="K169" s="2850"/>
      <c r="L169" s="2850"/>
      <c r="M169" s="2850"/>
      <c r="N169" s="2850"/>
      <c r="O169" s="2850"/>
      <c r="P169" s="2850"/>
      <c r="Q169" s="2850"/>
      <c r="R169" s="2850"/>
      <c r="S169" s="2850">
        <f t="shared" si="66"/>
        <v>1000</v>
      </c>
      <c r="T169" s="2850"/>
      <c r="U169" s="2850"/>
      <c r="V169" s="2850">
        <v>1000</v>
      </c>
      <c r="W169" s="2851"/>
    </row>
    <row r="170" spans="1:23">
      <c r="A170" s="2881">
        <v>5</v>
      </c>
      <c r="B170" s="2882" t="s">
        <v>98</v>
      </c>
      <c r="C170" s="2848"/>
      <c r="D170" s="2848"/>
      <c r="E170" s="2848"/>
      <c r="F170" s="2848"/>
      <c r="G170" s="2850"/>
      <c r="H170" s="2850"/>
      <c r="I170" s="2850"/>
      <c r="J170" s="2850"/>
      <c r="K170" s="2850"/>
      <c r="L170" s="2850"/>
      <c r="M170" s="2850"/>
      <c r="N170" s="2850"/>
      <c r="O170" s="2850"/>
      <c r="P170" s="2850"/>
      <c r="Q170" s="2850"/>
      <c r="R170" s="2850"/>
      <c r="S170" s="2850">
        <f t="shared" si="66"/>
        <v>1800</v>
      </c>
      <c r="T170" s="2850"/>
      <c r="U170" s="2850"/>
      <c r="V170" s="2850">
        <v>1800</v>
      </c>
      <c r="W170" s="2851"/>
    </row>
    <row r="171" spans="1:23">
      <c r="A171" s="2881">
        <v>6</v>
      </c>
      <c r="B171" s="2882" t="s">
        <v>99</v>
      </c>
      <c r="C171" s="2848"/>
      <c r="D171" s="2848"/>
      <c r="E171" s="2848"/>
      <c r="F171" s="2848"/>
      <c r="G171" s="2850"/>
      <c r="H171" s="2850"/>
      <c r="I171" s="2850"/>
      <c r="J171" s="2850"/>
      <c r="K171" s="2850"/>
      <c r="L171" s="2850"/>
      <c r="M171" s="2850"/>
      <c r="N171" s="2850"/>
      <c r="O171" s="2850"/>
      <c r="P171" s="2850"/>
      <c r="Q171" s="2850"/>
      <c r="R171" s="2850"/>
      <c r="S171" s="2850">
        <f t="shared" si="66"/>
        <v>240</v>
      </c>
      <c r="T171" s="2850"/>
      <c r="U171" s="2850"/>
      <c r="V171" s="2850">
        <v>240</v>
      </c>
      <c r="W171" s="2851"/>
    </row>
    <row r="172" spans="1:23">
      <c r="A172" s="2881">
        <v>7</v>
      </c>
      <c r="B172" s="2882" t="s">
        <v>97</v>
      </c>
      <c r="C172" s="2848"/>
      <c r="D172" s="2848"/>
      <c r="E172" s="2848"/>
      <c r="F172" s="2848"/>
      <c r="G172" s="2850"/>
      <c r="H172" s="2850"/>
      <c r="I172" s="2850"/>
      <c r="J172" s="2850"/>
      <c r="K172" s="2850"/>
      <c r="L172" s="2850"/>
      <c r="M172" s="2850"/>
      <c r="N172" s="2850"/>
      <c r="O172" s="2850"/>
      <c r="P172" s="2850"/>
      <c r="Q172" s="2850"/>
      <c r="R172" s="2850"/>
      <c r="S172" s="2850">
        <f t="shared" si="66"/>
        <v>680</v>
      </c>
      <c r="T172" s="2850"/>
      <c r="U172" s="2850"/>
      <c r="V172" s="2850">
        <v>680</v>
      </c>
      <c r="W172" s="2851"/>
    </row>
    <row r="173" spans="1:23">
      <c r="A173" s="2881">
        <v>8</v>
      </c>
      <c r="B173" s="2882" t="s">
        <v>36</v>
      </c>
      <c r="C173" s="2848"/>
      <c r="D173" s="2848"/>
      <c r="E173" s="2848"/>
      <c r="F173" s="2848"/>
      <c r="G173" s="2850"/>
      <c r="H173" s="2850"/>
      <c r="I173" s="2850"/>
      <c r="J173" s="2850"/>
      <c r="K173" s="2850"/>
      <c r="L173" s="2850"/>
      <c r="M173" s="2850"/>
      <c r="N173" s="2850"/>
      <c r="O173" s="2850"/>
      <c r="P173" s="2850"/>
      <c r="Q173" s="2850"/>
      <c r="R173" s="2850"/>
      <c r="S173" s="2850">
        <f t="shared" si="66"/>
        <v>1400</v>
      </c>
      <c r="T173" s="2850"/>
      <c r="U173" s="2850"/>
      <c r="V173" s="2850">
        <v>1400</v>
      </c>
      <c r="W173" s="2851"/>
    </row>
    <row r="174" spans="1:23">
      <c r="A174" s="2881">
        <v>9</v>
      </c>
      <c r="B174" s="2882" t="s">
        <v>28</v>
      </c>
      <c r="C174" s="2848"/>
      <c r="D174" s="2848"/>
      <c r="E174" s="2848"/>
      <c r="F174" s="2848"/>
      <c r="G174" s="2850"/>
      <c r="H174" s="2850"/>
      <c r="I174" s="2850"/>
      <c r="J174" s="2850"/>
      <c r="K174" s="2850"/>
      <c r="L174" s="2850"/>
      <c r="M174" s="2850"/>
      <c r="N174" s="2850"/>
      <c r="O174" s="2850"/>
      <c r="P174" s="2850"/>
      <c r="Q174" s="2850"/>
      <c r="R174" s="2850"/>
      <c r="S174" s="2850">
        <f t="shared" si="66"/>
        <v>12000</v>
      </c>
      <c r="T174" s="2850"/>
      <c r="U174" s="2850"/>
      <c r="V174" s="2850">
        <v>12000</v>
      </c>
      <c r="W174" s="2851"/>
    </row>
    <row r="175" spans="1:23" ht="26.4">
      <c r="A175" s="2888" t="s">
        <v>1918</v>
      </c>
      <c r="B175" s="2889" t="s">
        <v>1919</v>
      </c>
      <c r="C175" s="2848"/>
      <c r="D175" s="2848"/>
      <c r="E175" s="2848"/>
      <c r="F175" s="2848"/>
      <c r="G175" s="2850"/>
      <c r="H175" s="2850"/>
      <c r="I175" s="2850"/>
      <c r="J175" s="2850"/>
      <c r="K175" s="2850"/>
      <c r="L175" s="2850"/>
      <c r="M175" s="2850"/>
      <c r="N175" s="2850"/>
      <c r="O175" s="2850"/>
      <c r="P175" s="2850"/>
      <c r="Q175" s="2850"/>
      <c r="R175" s="2850"/>
      <c r="S175" s="2837">
        <f>SUM(S176:S184)</f>
        <v>15840</v>
      </c>
      <c r="T175" s="2837">
        <f t="shared" ref="T175:W175" si="69">SUM(T176:T184)</f>
        <v>0</v>
      </c>
      <c r="U175" s="2837">
        <f t="shared" si="69"/>
        <v>0</v>
      </c>
      <c r="V175" s="2837">
        <f t="shared" si="69"/>
        <v>15840</v>
      </c>
      <c r="W175" s="2837">
        <f t="shared" si="69"/>
        <v>0</v>
      </c>
    </row>
    <row r="176" spans="1:23">
      <c r="A176" s="2881">
        <v>1</v>
      </c>
      <c r="B176" s="2882" t="s">
        <v>95</v>
      </c>
      <c r="C176" s="2848"/>
      <c r="D176" s="2848"/>
      <c r="E176" s="2848"/>
      <c r="F176" s="2848"/>
      <c r="G176" s="2850"/>
      <c r="H176" s="2850"/>
      <c r="I176" s="2850"/>
      <c r="J176" s="2850"/>
      <c r="K176" s="2850"/>
      <c r="L176" s="2850"/>
      <c r="M176" s="2850"/>
      <c r="N176" s="2850"/>
      <c r="O176" s="2850"/>
      <c r="P176" s="2850"/>
      <c r="Q176" s="2850"/>
      <c r="R176" s="2850"/>
      <c r="S176" s="2850">
        <f t="shared" si="66"/>
        <v>1200</v>
      </c>
      <c r="T176" s="2850"/>
      <c r="U176" s="2850"/>
      <c r="V176" s="2850">
        <v>1200</v>
      </c>
      <c r="W176" s="2851"/>
    </row>
    <row r="177" spans="1:23">
      <c r="A177" s="2881">
        <v>2</v>
      </c>
      <c r="B177" s="2882" t="s">
        <v>1466</v>
      </c>
      <c r="C177" s="2848"/>
      <c r="D177" s="2848"/>
      <c r="E177" s="2848"/>
      <c r="F177" s="2848"/>
      <c r="G177" s="2850"/>
      <c r="H177" s="2850"/>
      <c r="I177" s="2850"/>
      <c r="J177" s="2850"/>
      <c r="K177" s="2850"/>
      <c r="L177" s="2850"/>
      <c r="M177" s="2850"/>
      <c r="N177" s="2850"/>
      <c r="O177" s="2850"/>
      <c r="P177" s="2850"/>
      <c r="Q177" s="2850"/>
      <c r="R177" s="2850"/>
      <c r="S177" s="2850">
        <f t="shared" si="66"/>
        <v>750</v>
      </c>
      <c r="T177" s="2850"/>
      <c r="U177" s="2850"/>
      <c r="V177" s="2850">
        <v>750</v>
      </c>
      <c r="W177" s="2851"/>
    </row>
    <row r="178" spans="1:23">
      <c r="A178" s="2881">
        <v>3</v>
      </c>
      <c r="B178" s="2882" t="s">
        <v>100</v>
      </c>
      <c r="C178" s="2848"/>
      <c r="D178" s="2848"/>
      <c r="E178" s="2848"/>
      <c r="F178" s="2848"/>
      <c r="G178" s="2850"/>
      <c r="H178" s="2850"/>
      <c r="I178" s="2850"/>
      <c r="J178" s="2850"/>
      <c r="K178" s="2850"/>
      <c r="L178" s="2850"/>
      <c r="M178" s="2850"/>
      <c r="N178" s="2850"/>
      <c r="O178" s="2850"/>
      <c r="P178" s="2850"/>
      <c r="Q178" s="2850"/>
      <c r="R178" s="2850"/>
      <c r="S178" s="2850">
        <f t="shared" si="66"/>
        <v>1050</v>
      </c>
      <c r="T178" s="2850"/>
      <c r="U178" s="2850"/>
      <c r="V178" s="2850">
        <v>1050</v>
      </c>
      <c r="W178" s="2851"/>
    </row>
    <row r="179" spans="1:23">
      <c r="A179" s="2881">
        <v>4</v>
      </c>
      <c r="B179" s="2882" t="s">
        <v>101</v>
      </c>
      <c r="C179" s="2848"/>
      <c r="D179" s="2848"/>
      <c r="E179" s="2848"/>
      <c r="F179" s="2848"/>
      <c r="G179" s="2850"/>
      <c r="H179" s="2850"/>
      <c r="I179" s="2850"/>
      <c r="J179" s="2850"/>
      <c r="K179" s="2850"/>
      <c r="L179" s="2850"/>
      <c r="M179" s="2850"/>
      <c r="N179" s="2850"/>
      <c r="O179" s="2850"/>
      <c r="P179" s="2850"/>
      <c r="Q179" s="2850"/>
      <c r="R179" s="2850"/>
      <c r="S179" s="2850">
        <f t="shared" si="66"/>
        <v>750</v>
      </c>
      <c r="T179" s="2850"/>
      <c r="U179" s="2850"/>
      <c r="V179" s="2850">
        <v>750</v>
      </c>
      <c r="W179" s="2851"/>
    </row>
    <row r="180" spans="1:23">
      <c r="A180" s="2881">
        <v>5</v>
      </c>
      <c r="B180" s="2882" t="s">
        <v>98</v>
      </c>
      <c r="C180" s="2848"/>
      <c r="D180" s="2848"/>
      <c r="E180" s="2848"/>
      <c r="F180" s="2848"/>
      <c r="G180" s="2850"/>
      <c r="H180" s="2850"/>
      <c r="I180" s="2850"/>
      <c r="J180" s="2850"/>
      <c r="K180" s="2850"/>
      <c r="L180" s="2850"/>
      <c r="M180" s="2850"/>
      <c r="N180" s="2850"/>
      <c r="O180" s="2850"/>
      <c r="P180" s="2850"/>
      <c r="Q180" s="2850"/>
      <c r="R180" s="2850"/>
      <c r="S180" s="2850">
        <f t="shared" si="66"/>
        <v>1350</v>
      </c>
      <c r="T180" s="2850"/>
      <c r="U180" s="2850"/>
      <c r="V180" s="2850">
        <v>1350</v>
      </c>
      <c r="W180" s="2851"/>
    </row>
    <row r="181" spans="1:23">
      <c r="A181" s="2881">
        <v>6</v>
      </c>
      <c r="B181" s="2882" t="s">
        <v>99</v>
      </c>
      <c r="C181" s="2848"/>
      <c r="D181" s="2848"/>
      <c r="E181" s="2848"/>
      <c r="F181" s="2848"/>
      <c r="G181" s="2850"/>
      <c r="H181" s="2850"/>
      <c r="I181" s="2850"/>
      <c r="J181" s="2850"/>
      <c r="K181" s="2850"/>
      <c r="L181" s="2850"/>
      <c r="M181" s="2850"/>
      <c r="N181" s="2850"/>
      <c r="O181" s="2850"/>
      <c r="P181" s="2850"/>
      <c r="Q181" s="2850"/>
      <c r="R181" s="2850"/>
      <c r="S181" s="2850">
        <f t="shared" si="66"/>
        <v>180</v>
      </c>
      <c r="T181" s="2850"/>
      <c r="U181" s="2850"/>
      <c r="V181" s="2850">
        <v>180</v>
      </c>
      <c r="W181" s="2851"/>
    </row>
    <row r="182" spans="1:23">
      <c r="A182" s="2881">
        <v>7</v>
      </c>
      <c r="B182" s="2882" t="s">
        <v>97</v>
      </c>
      <c r="C182" s="2848"/>
      <c r="D182" s="2848"/>
      <c r="E182" s="2848"/>
      <c r="F182" s="2848"/>
      <c r="G182" s="2850"/>
      <c r="H182" s="2850"/>
      <c r="I182" s="2850"/>
      <c r="J182" s="2850"/>
      <c r="K182" s="2850"/>
      <c r="L182" s="2850"/>
      <c r="M182" s="2850"/>
      <c r="N182" s="2850"/>
      <c r="O182" s="2850"/>
      <c r="P182" s="2850"/>
      <c r="Q182" s="2850"/>
      <c r="R182" s="2850"/>
      <c r="S182" s="2850">
        <f t="shared" si="66"/>
        <v>510</v>
      </c>
      <c r="T182" s="2850"/>
      <c r="U182" s="2850"/>
      <c r="V182" s="2850">
        <v>510</v>
      </c>
      <c r="W182" s="2851"/>
    </row>
    <row r="183" spans="1:23">
      <c r="A183" s="2881">
        <v>8</v>
      </c>
      <c r="B183" s="2882" t="s">
        <v>36</v>
      </c>
      <c r="C183" s="2848"/>
      <c r="D183" s="2848"/>
      <c r="E183" s="2848"/>
      <c r="F183" s="2848"/>
      <c r="G183" s="2850"/>
      <c r="H183" s="2850"/>
      <c r="I183" s="2850"/>
      <c r="J183" s="2850"/>
      <c r="K183" s="2850"/>
      <c r="L183" s="2850"/>
      <c r="M183" s="2850"/>
      <c r="N183" s="2850"/>
      <c r="O183" s="2850"/>
      <c r="P183" s="2850"/>
      <c r="Q183" s="2850"/>
      <c r="R183" s="2850"/>
      <c r="S183" s="2850">
        <f t="shared" si="66"/>
        <v>1050</v>
      </c>
      <c r="T183" s="2850"/>
      <c r="U183" s="2850"/>
      <c r="V183" s="2850">
        <v>1050</v>
      </c>
      <c r="W183" s="2851"/>
    </row>
    <row r="184" spans="1:23">
      <c r="A184" s="2881">
        <v>9</v>
      </c>
      <c r="B184" s="2882" t="s">
        <v>28</v>
      </c>
      <c r="C184" s="2848"/>
      <c r="D184" s="2848"/>
      <c r="E184" s="2848"/>
      <c r="F184" s="2848"/>
      <c r="G184" s="2850"/>
      <c r="H184" s="2850"/>
      <c r="I184" s="2850"/>
      <c r="J184" s="2850"/>
      <c r="K184" s="2850"/>
      <c r="L184" s="2850"/>
      <c r="M184" s="2850"/>
      <c r="N184" s="2850"/>
      <c r="O184" s="2850"/>
      <c r="P184" s="2850"/>
      <c r="Q184" s="2850"/>
      <c r="R184" s="2850"/>
      <c r="S184" s="2850">
        <f t="shared" si="66"/>
        <v>9000</v>
      </c>
      <c r="T184" s="2850"/>
      <c r="U184" s="2850"/>
      <c r="V184" s="2850">
        <v>9000</v>
      </c>
      <c r="W184" s="2851"/>
    </row>
    <row r="185" spans="1:23" ht="26.4">
      <c r="A185" s="2888" t="s">
        <v>1920</v>
      </c>
      <c r="B185" s="2889" t="s">
        <v>1921</v>
      </c>
      <c r="C185" s="2848"/>
      <c r="D185" s="2848"/>
      <c r="E185" s="2848"/>
      <c r="F185" s="2848"/>
      <c r="G185" s="2850"/>
      <c r="H185" s="2850"/>
      <c r="I185" s="2850"/>
      <c r="J185" s="2850"/>
      <c r="K185" s="2850"/>
      <c r="L185" s="2850"/>
      <c r="M185" s="2850"/>
      <c r="N185" s="2850"/>
      <c r="O185" s="2850"/>
      <c r="P185" s="2850"/>
      <c r="Q185" s="2850"/>
      <c r="R185" s="2850"/>
      <c r="S185" s="2837">
        <f>SUM(S186:S194)</f>
        <v>10560</v>
      </c>
      <c r="T185" s="2837">
        <f t="shared" ref="T185:W185" si="70">SUM(T186:T194)</f>
        <v>0</v>
      </c>
      <c r="U185" s="2837">
        <f t="shared" si="70"/>
        <v>0</v>
      </c>
      <c r="V185" s="2837">
        <f t="shared" si="70"/>
        <v>10560</v>
      </c>
      <c r="W185" s="2837">
        <f t="shared" si="70"/>
        <v>0</v>
      </c>
    </row>
    <row r="186" spans="1:23">
      <c r="A186" s="2881">
        <v>1</v>
      </c>
      <c r="B186" s="2882" t="s">
        <v>95</v>
      </c>
      <c r="C186" s="2848"/>
      <c r="D186" s="2848"/>
      <c r="E186" s="2848"/>
      <c r="F186" s="2848"/>
      <c r="G186" s="2850"/>
      <c r="H186" s="2850"/>
      <c r="I186" s="2850"/>
      <c r="J186" s="2850"/>
      <c r="K186" s="2850"/>
      <c r="L186" s="2850"/>
      <c r="M186" s="2850"/>
      <c r="N186" s="2850"/>
      <c r="O186" s="2850"/>
      <c r="P186" s="2850"/>
      <c r="Q186" s="2850"/>
      <c r="R186" s="2850"/>
      <c r="S186" s="2850">
        <f t="shared" ref="S186:S194" si="71">SUM(T186:W186)</f>
        <v>800</v>
      </c>
      <c r="T186" s="2850"/>
      <c r="U186" s="2850"/>
      <c r="V186" s="2850">
        <v>800</v>
      </c>
      <c r="W186" s="2851"/>
    </row>
    <row r="187" spans="1:23">
      <c r="A187" s="2881">
        <v>2</v>
      </c>
      <c r="B187" s="2882" t="s">
        <v>1466</v>
      </c>
      <c r="C187" s="2848"/>
      <c r="D187" s="2848"/>
      <c r="E187" s="2848"/>
      <c r="F187" s="2848"/>
      <c r="G187" s="2850"/>
      <c r="H187" s="2850"/>
      <c r="I187" s="2850"/>
      <c r="J187" s="2850"/>
      <c r="K187" s="2850"/>
      <c r="L187" s="2850"/>
      <c r="M187" s="2850"/>
      <c r="N187" s="2850"/>
      <c r="O187" s="2850"/>
      <c r="P187" s="2850"/>
      <c r="Q187" s="2850"/>
      <c r="R187" s="2850"/>
      <c r="S187" s="2850">
        <f t="shared" si="71"/>
        <v>500</v>
      </c>
      <c r="T187" s="2850"/>
      <c r="U187" s="2850"/>
      <c r="V187" s="2850">
        <v>500</v>
      </c>
      <c r="W187" s="2851"/>
    </row>
    <row r="188" spans="1:23">
      <c r="A188" s="2881">
        <v>3</v>
      </c>
      <c r="B188" s="2882" t="s">
        <v>100</v>
      </c>
      <c r="C188" s="2848"/>
      <c r="D188" s="2848"/>
      <c r="E188" s="2848"/>
      <c r="F188" s="2848"/>
      <c r="G188" s="2850"/>
      <c r="H188" s="2850"/>
      <c r="I188" s="2850"/>
      <c r="J188" s="2850"/>
      <c r="K188" s="2850"/>
      <c r="L188" s="2850"/>
      <c r="M188" s="2850"/>
      <c r="N188" s="2850"/>
      <c r="O188" s="2850"/>
      <c r="P188" s="2850"/>
      <c r="Q188" s="2850"/>
      <c r="R188" s="2850"/>
      <c r="S188" s="2850">
        <f t="shared" si="71"/>
        <v>700</v>
      </c>
      <c r="T188" s="2850"/>
      <c r="U188" s="2850"/>
      <c r="V188" s="2850">
        <v>700</v>
      </c>
      <c r="W188" s="2851"/>
    </row>
    <row r="189" spans="1:23">
      <c r="A189" s="2881">
        <v>4</v>
      </c>
      <c r="B189" s="2882" t="s">
        <v>101</v>
      </c>
      <c r="C189" s="2848"/>
      <c r="D189" s="2848"/>
      <c r="E189" s="2848"/>
      <c r="F189" s="2848"/>
      <c r="G189" s="2850"/>
      <c r="H189" s="2850"/>
      <c r="I189" s="2850"/>
      <c r="J189" s="2850"/>
      <c r="K189" s="2850"/>
      <c r="L189" s="2850"/>
      <c r="M189" s="2850"/>
      <c r="N189" s="2850"/>
      <c r="O189" s="2850"/>
      <c r="P189" s="2850"/>
      <c r="Q189" s="2850"/>
      <c r="R189" s="2850"/>
      <c r="S189" s="2850">
        <f t="shared" si="71"/>
        <v>500</v>
      </c>
      <c r="T189" s="2850"/>
      <c r="U189" s="2850"/>
      <c r="V189" s="2850">
        <v>500</v>
      </c>
      <c r="W189" s="2851"/>
    </row>
    <row r="190" spans="1:23">
      <c r="A190" s="2881">
        <v>5</v>
      </c>
      <c r="B190" s="2882" t="s">
        <v>98</v>
      </c>
      <c r="C190" s="2848"/>
      <c r="D190" s="2848"/>
      <c r="E190" s="2848"/>
      <c r="F190" s="2848"/>
      <c r="G190" s="2850"/>
      <c r="H190" s="2850"/>
      <c r="I190" s="2850"/>
      <c r="J190" s="2850"/>
      <c r="K190" s="2850"/>
      <c r="L190" s="2850"/>
      <c r="M190" s="2850"/>
      <c r="N190" s="2850"/>
      <c r="O190" s="2850"/>
      <c r="P190" s="2850"/>
      <c r="Q190" s="2850"/>
      <c r="R190" s="2850"/>
      <c r="S190" s="2850">
        <f t="shared" si="71"/>
        <v>900</v>
      </c>
      <c r="T190" s="2850"/>
      <c r="U190" s="2850"/>
      <c r="V190" s="2850">
        <v>900</v>
      </c>
      <c r="W190" s="2851"/>
    </row>
    <row r="191" spans="1:23">
      <c r="A191" s="2881">
        <v>6</v>
      </c>
      <c r="B191" s="2882" t="s">
        <v>99</v>
      </c>
      <c r="C191" s="2848"/>
      <c r="D191" s="2848"/>
      <c r="E191" s="2848"/>
      <c r="F191" s="2848"/>
      <c r="G191" s="2850"/>
      <c r="H191" s="2850"/>
      <c r="I191" s="2850"/>
      <c r="J191" s="2850"/>
      <c r="K191" s="2850"/>
      <c r="L191" s="2850"/>
      <c r="M191" s="2850"/>
      <c r="N191" s="2850"/>
      <c r="O191" s="2850"/>
      <c r="P191" s="2850"/>
      <c r="Q191" s="2850"/>
      <c r="R191" s="2850"/>
      <c r="S191" s="2850">
        <f t="shared" si="71"/>
        <v>120</v>
      </c>
      <c r="T191" s="2850"/>
      <c r="U191" s="2850"/>
      <c r="V191" s="2850">
        <v>120</v>
      </c>
      <c r="W191" s="2851"/>
    </row>
    <row r="192" spans="1:23">
      <c r="A192" s="2881">
        <v>7</v>
      </c>
      <c r="B192" s="2882" t="s">
        <v>97</v>
      </c>
      <c r="C192" s="2848"/>
      <c r="D192" s="2848"/>
      <c r="E192" s="2848"/>
      <c r="F192" s="2848"/>
      <c r="G192" s="2850"/>
      <c r="H192" s="2850"/>
      <c r="I192" s="2850"/>
      <c r="J192" s="2850"/>
      <c r="K192" s="2850"/>
      <c r="L192" s="2850"/>
      <c r="M192" s="2850"/>
      <c r="N192" s="2850"/>
      <c r="O192" s="2850"/>
      <c r="P192" s="2850"/>
      <c r="Q192" s="2850"/>
      <c r="R192" s="2850"/>
      <c r="S192" s="2850">
        <f t="shared" si="71"/>
        <v>340</v>
      </c>
      <c r="T192" s="2850"/>
      <c r="U192" s="2850"/>
      <c r="V192" s="2850">
        <v>340</v>
      </c>
      <c r="W192" s="2851"/>
    </row>
    <row r="193" spans="1:23">
      <c r="A193" s="2881">
        <v>8</v>
      </c>
      <c r="B193" s="2882" t="s">
        <v>36</v>
      </c>
      <c r="C193" s="2848"/>
      <c r="D193" s="2848"/>
      <c r="E193" s="2848"/>
      <c r="F193" s="2848"/>
      <c r="G193" s="2850"/>
      <c r="H193" s="2850"/>
      <c r="I193" s="2850"/>
      <c r="J193" s="2850"/>
      <c r="K193" s="2850"/>
      <c r="L193" s="2850"/>
      <c r="M193" s="2850"/>
      <c r="N193" s="2850"/>
      <c r="O193" s="2850"/>
      <c r="P193" s="2850"/>
      <c r="Q193" s="2850"/>
      <c r="R193" s="2850"/>
      <c r="S193" s="2850">
        <f t="shared" si="71"/>
        <v>700</v>
      </c>
      <c r="T193" s="2850"/>
      <c r="U193" s="2850"/>
      <c r="V193" s="2850">
        <v>700</v>
      </c>
      <c r="W193" s="2851"/>
    </row>
    <row r="194" spans="1:23">
      <c r="A194" s="2881">
        <v>9</v>
      </c>
      <c r="B194" s="2882" t="s">
        <v>28</v>
      </c>
      <c r="C194" s="2848"/>
      <c r="D194" s="2848"/>
      <c r="E194" s="2848"/>
      <c r="F194" s="2848"/>
      <c r="G194" s="2850"/>
      <c r="H194" s="2850"/>
      <c r="I194" s="2850"/>
      <c r="J194" s="2850"/>
      <c r="K194" s="2850"/>
      <c r="L194" s="2850"/>
      <c r="M194" s="2850"/>
      <c r="N194" s="2850"/>
      <c r="O194" s="2850"/>
      <c r="P194" s="2850"/>
      <c r="Q194" s="2850"/>
      <c r="R194" s="2850"/>
      <c r="S194" s="2850">
        <f t="shared" si="71"/>
        <v>6000</v>
      </c>
      <c r="T194" s="2850"/>
      <c r="U194" s="2850"/>
      <c r="V194" s="2850">
        <v>6000</v>
      </c>
      <c r="W194" s="2851"/>
    </row>
    <row r="195" spans="1:23">
      <c r="A195" s="2881"/>
      <c r="B195" s="2882"/>
      <c r="C195" s="2848"/>
      <c r="D195" s="2848"/>
      <c r="E195" s="2848"/>
      <c r="F195" s="2848"/>
      <c r="G195" s="2850"/>
      <c r="H195" s="2850"/>
      <c r="I195" s="2850"/>
      <c r="J195" s="2850"/>
      <c r="K195" s="2850"/>
      <c r="L195" s="2850"/>
      <c r="M195" s="2850"/>
      <c r="N195" s="2850"/>
      <c r="O195" s="2850"/>
      <c r="P195" s="2850"/>
      <c r="Q195" s="2850"/>
      <c r="R195" s="2850"/>
      <c r="S195" s="2850"/>
      <c r="T195" s="2850"/>
      <c r="U195" s="2850"/>
      <c r="V195" s="2850"/>
      <c r="W195" s="2851"/>
    </row>
    <row r="196" spans="1:23" s="2839" customFormat="1" ht="26.4">
      <c r="A196" s="2856" t="s">
        <v>81</v>
      </c>
      <c r="B196" s="2857" t="s">
        <v>1653</v>
      </c>
      <c r="C196" s="2856"/>
      <c r="D196" s="2856"/>
      <c r="E196" s="2856"/>
      <c r="F196" s="2856"/>
      <c r="G196" s="2858">
        <f>G197+G423</f>
        <v>3059364</v>
      </c>
      <c r="H196" s="2858">
        <f t="shared" ref="H196:W196" si="72">H197+H423</f>
        <v>0</v>
      </c>
      <c r="I196" s="2858">
        <f t="shared" si="72"/>
        <v>876043</v>
      </c>
      <c r="J196" s="2858">
        <f t="shared" si="72"/>
        <v>2183321</v>
      </c>
      <c r="K196" s="2858">
        <f t="shared" si="72"/>
        <v>543103</v>
      </c>
      <c r="L196" s="2858">
        <f t="shared" si="72"/>
        <v>0</v>
      </c>
      <c r="M196" s="2858">
        <f t="shared" si="72"/>
        <v>214716</v>
      </c>
      <c r="N196" s="2858">
        <f t="shared" si="72"/>
        <v>328387</v>
      </c>
      <c r="O196" s="2858">
        <f t="shared" si="72"/>
        <v>699825</v>
      </c>
      <c r="P196" s="2858">
        <f t="shared" si="72"/>
        <v>0</v>
      </c>
      <c r="Q196" s="2858">
        <f t="shared" si="72"/>
        <v>209406</v>
      </c>
      <c r="R196" s="2858">
        <f t="shared" si="72"/>
        <v>490419</v>
      </c>
      <c r="S196" s="2858">
        <f t="shared" si="72"/>
        <v>960000</v>
      </c>
      <c r="T196" s="2858">
        <f t="shared" si="72"/>
        <v>0</v>
      </c>
      <c r="U196" s="2858">
        <f t="shared" si="72"/>
        <v>0</v>
      </c>
      <c r="V196" s="2858">
        <f t="shared" si="72"/>
        <v>0</v>
      </c>
      <c r="W196" s="2858">
        <f t="shared" si="72"/>
        <v>960000</v>
      </c>
    </row>
    <row r="197" spans="1:23" s="2839" customFormat="1">
      <c r="A197" s="2856" t="s">
        <v>1922</v>
      </c>
      <c r="B197" s="2857" t="s">
        <v>1909</v>
      </c>
      <c r="C197" s="2856"/>
      <c r="D197" s="2856"/>
      <c r="E197" s="2856"/>
      <c r="F197" s="2856"/>
      <c r="G197" s="2858">
        <f>G198+G308+G330+G338+G345+G352+G359+G407+G414+G421</f>
        <v>3059364</v>
      </c>
      <c r="H197" s="2858">
        <f t="shared" ref="H197:W197" si="73">H198+H308+H330+H338+H345+H352+H359+H407+H414+H421</f>
        <v>0</v>
      </c>
      <c r="I197" s="2858">
        <f t="shared" si="73"/>
        <v>876043</v>
      </c>
      <c r="J197" s="2858">
        <f t="shared" si="73"/>
        <v>2183321</v>
      </c>
      <c r="K197" s="2858">
        <f t="shared" si="73"/>
        <v>543103</v>
      </c>
      <c r="L197" s="2858">
        <f t="shared" si="73"/>
        <v>0</v>
      </c>
      <c r="M197" s="2858">
        <f t="shared" si="73"/>
        <v>214716</v>
      </c>
      <c r="N197" s="2858">
        <f t="shared" si="73"/>
        <v>328387</v>
      </c>
      <c r="O197" s="2858">
        <f t="shared" si="73"/>
        <v>699825</v>
      </c>
      <c r="P197" s="2858">
        <f t="shared" si="73"/>
        <v>0</v>
      </c>
      <c r="Q197" s="2858">
        <f t="shared" si="73"/>
        <v>209406</v>
      </c>
      <c r="R197" s="2858">
        <f t="shared" si="73"/>
        <v>490419</v>
      </c>
      <c r="S197" s="2858">
        <f t="shared" si="73"/>
        <v>799500</v>
      </c>
      <c r="T197" s="2858">
        <f t="shared" si="73"/>
        <v>0</v>
      </c>
      <c r="U197" s="2858">
        <f t="shared" si="73"/>
        <v>0</v>
      </c>
      <c r="V197" s="2858">
        <f t="shared" si="73"/>
        <v>0</v>
      </c>
      <c r="W197" s="2858">
        <f t="shared" si="73"/>
        <v>799500</v>
      </c>
    </row>
    <row r="198" spans="1:23" ht="26.4">
      <c r="A198" s="2827" t="s">
        <v>54</v>
      </c>
      <c r="B198" s="2828" t="s">
        <v>1654</v>
      </c>
      <c r="C198" s="2859"/>
      <c r="D198" s="2859"/>
      <c r="E198" s="2859"/>
      <c r="F198" s="2859"/>
      <c r="G198" s="2858">
        <f t="shared" ref="G198:W198" si="74">G199+G226+G232+G241+G250+G259+G268+G276+G284+G292+G299+G307</f>
        <v>685841</v>
      </c>
      <c r="H198" s="2858">
        <f t="shared" si="74"/>
        <v>0</v>
      </c>
      <c r="I198" s="2858">
        <f t="shared" si="74"/>
        <v>120000</v>
      </c>
      <c r="J198" s="2858">
        <f t="shared" si="74"/>
        <v>565841</v>
      </c>
      <c r="K198" s="2858">
        <f t="shared" si="74"/>
        <v>141685</v>
      </c>
      <c r="L198" s="2858">
        <f t="shared" si="74"/>
        <v>0</v>
      </c>
      <c r="M198" s="2858">
        <f t="shared" si="74"/>
        <v>58263</v>
      </c>
      <c r="N198" s="2858">
        <f t="shared" si="74"/>
        <v>83422</v>
      </c>
      <c r="O198" s="2858">
        <f t="shared" si="74"/>
        <v>169660</v>
      </c>
      <c r="P198" s="2858">
        <f t="shared" si="74"/>
        <v>0</v>
      </c>
      <c r="Q198" s="2858">
        <f t="shared" si="74"/>
        <v>108000</v>
      </c>
      <c r="R198" s="2858">
        <f t="shared" si="74"/>
        <v>61660</v>
      </c>
      <c r="S198" s="2858">
        <f t="shared" si="74"/>
        <v>297025</v>
      </c>
      <c r="T198" s="2858">
        <f t="shared" si="74"/>
        <v>0</v>
      </c>
      <c r="U198" s="2858">
        <f t="shared" si="74"/>
        <v>0</v>
      </c>
      <c r="V198" s="2858">
        <f t="shared" si="74"/>
        <v>0</v>
      </c>
      <c r="W198" s="2858">
        <f t="shared" si="74"/>
        <v>297025</v>
      </c>
    </row>
    <row r="199" spans="1:23" s="2834" customFormat="1">
      <c r="A199" s="2831">
        <v>1</v>
      </c>
      <c r="B199" s="2832" t="s">
        <v>621</v>
      </c>
      <c r="C199" s="2831"/>
      <c r="D199" s="2831"/>
      <c r="E199" s="2831"/>
      <c r="F199" s="2831"/>
      <c r="G199" s="2833">
        <f>G201</f>
        <v>282423</v>
      </c>
      <c r="H199" s="2833">
        <f t="shared" ref="H199:W199" si="75">H201</f>
        <v>0</v>
      </c>
      <c r="I199" s="2833">
        <f t="shared" si="75"/>
        <v>120000</v>
      </c>
      <c r="J199" s="2833">
        <f t="shared" si="75"/>
        <v>162423</v>
      </c>
      <c r="K199" s="2833">
        <f t="shared" si="75"/>
        <v>84222</v>
      </c>
      <c r="L199" s="2833">
        <f t="shared" si="75"/>
        <v>0</v>
      </c>
      <c r="M199" s="2833">
        <f t="shared" si="75"/>
        <v>58263</v>
      </c>
      <c r="N199" s="2833">
        <f t="shared" si="75"/>
        <v>25959</v>
      </c>
      <c r="O199" s="2833">
        <f t="shared" si="75"/>
        <v>133150</v>
      </c>
      <c r="P199" s="2833">
        <f t="shared" si="75"/>
        <v>0</v>
      </c>
      <c r="Q199" s="2833">
        <f t="shared" si="75"/>
        <v>108000</v>
      </c>
      <c r="R199" s="2833">
        <f t="shared" si="75"/>
        <v>25150</v>
      </c>
      <c r="S199" s="2833">
        <f t="shared" si="75"/>
        <v>86700</v>
      </c>
      <c r="T199" s="2833">
        <f t="shared" si="75"/>
        <v>0</v>
      </c>
      <c r="U199" s="2833">
        <f t="shared" si="75"/>
        <v>0</v>
      </c>
      <c r="V199" s="2833">
        <f t="shared" si="75"/>
        <v>0</v>
      </c>
      <c r="W199" s="2833">
        <f t="shared" si="75"/>
        <v>86700</v>
      </c>
    </row>
    <row r="200" spans="1:23" s="2839" customFormat="1">
      <c r="A200" s="2835" t="s">
        <v>200</v>
      </c>
      <c r="B200" s="2836" t="s">
        <v>1197</v>
      </c>
      <c r="C200" s="2835"/>
      <c r="D200" s="2835"/>
      <c r="E200" s="2835"/>
      <c r="F200" s="2835"/>
      <c r="G200" s="2837"/>
      <c r="H200" s="2837"/>
      <c r="I200" s="2837"/>
      <c r="J200" s="2837"/>
      <c r="K200" s="2837"/>
      <c r="L200" s="2837"/>
      <c r="M200" s="2837"/>
      <c r="N200" s="2837"/>
      <c r="O200" s="2837"/>
      <c r="P200" s="2837"/>
      <c r="Q200" s="2837"/>
      <c r="R200" s="2837"/>
      <c r="S200" s="2837"/>
      <c r="T200" s="2837"/>
      <c r="U200" s="2837"/>
      <c r="V200" s="2837"/>
      <c r="W200" s="2838"/>
    </row>
    <row r="201" spans="1:23" s="2839" customFormat="1">
      <c r="A201" s="2835" t="s">
        <v>208</v>
      </c>
      <c r="B201" s="2836" t="s">
        <v>1198</v>
      </c>
      <c r="C201" s="2835"/>
      <c r="D201" s="2835"/>
      <c r="E201" s="2835"/>
      <c r="F201" s="2835"/>
      <c r="G201" s="2837">
        <f>G202+G203</f>
        <v>282423</v>
      </c>
      <c r="H201" s="2837">
        <f t="shared" ref="H201:W201" si="76">H202+H203</f>
        <v>0</v>
      </c>
      <c r="I201" s="2837">
        <f t="shared" si="76"/>
        <v>120000</v>
      </c>
      <c r="J201" s="2837">
        <f t="shared" si="76"/>
        <v>162423</v>
      </c>
      <c r="K201" s="2837">
        <f t="shared" si="76"/>
        <v>84222</v>
      </c>
      <c r="L201" s="2837">
        <f t="shared" si="76"/>
        <v>0</v>
      </c>
      <c r="M201" s="2837">
        <f t="shared" si="76"/>
        <v>58263</v>
      </c>
      <c r="N201" s="2837">
        <f t="shared" si="76"/>
        <v>25959</v>
      </c>
      <c r="O201" s="2837">
        <f t="shared" si="76"/>
        <v>133150</v>
      </c>
      <c r="P201" s="2837">
        <f t="shared" si="76"/>
        <v>0</v>
      </c>
      <c r="Q201" s="2837">
        <f t="shared" si="76"/>
        <v>108000</v>
      </c>
      <c r="R201" s="2837">
        <f t="shared" si="76"/>
        <v>25150</v>
      </c>
      <c r="S201" s="2837">
        <f t="shared" si="76"/>
        <v>86700</v>
      </c>
      <c r="T201" s="2837">
        <f t="shared" si="76"/>
        <v>0</v>
      </c>
      <c r="U201" s="2837">
        <f t="shared" si="76"/>
        <v>0</v>
      </c>
      <c r="V201" s="2837">
        <f t="shared" si="76"/>
        <v>0</v>
      </c>
      <c r="W201" s="2837">
        <f t="shared" si="76"/>
        <v>86700</v>
      </c>
    </row>
    <row r="202" spans="1:23" s="2844" customFormat="1" ht="52.8">
      <c r="A202" s="2840" t="s">
        <v>441</v>
      </c>
      <c r="B202" s="2841" t="s">
        <v>1540</v>
      </c>
      <c r="C202" s="2840"/>
      <c r="D202" s="2840"/>
      <c r="E202" s="2840"/>
      <c r="F202" s="2840"/>
      <c r="G202" s="2842"/>
      <c r="H202" s="2842"/>
      <c r="I202" s="2842"/>
      <c r="J202" s="2842"/>
      <c r="K202" s="2842"/>
      <c r="L202" s="2842"/>
      <c r="M202" s="2842"/>
      <c r="N202" s="2842"/>
      <c r="O202" s="2842"/>
      <c r="P202" s="2842"/>
      <c r="Q202" s="2842"/>
      <c r="R202" s="2842"/>
      <c r="S202" s="2842"/>
      <c r="T202" s="2842"/>
      <c r="U202" s="2842"/>
      <c r="V202" s="2842"/>
      <c r="W202" s="2843"/>
    </row>
    <row r="203" spans="1:23" s="2847" customFormat="1" ht="26.4">
      <c r="A203" s="2845" t="s">
        <v>463</v>
      </c>
      <c r="B203" s="2841" t="s">
        <v>1541</v>
      </c>
      <c r="C203" s="2845"/>
      <c r="D203" s="2845"/>
      <c r="E203" s="2845"/>
      <c r="F203" s="2845"/>
      <c r="G203" s="2846">
        <f>SUM(G204:G225)</f>
        <v>282423</v>
      </c>
      <c r="H203" s="2846">
        <f t="shared" ref="H203:W203" si="77">SUM(H204:H225)</f>
        <v>0</v>
      </c>
      <c r="I203" s="2846">
        <f t="shared" si="77"/>
        <v>120000</v>
      </c>
      <c r="J203" s="2846">
        <f t="shared" si="77"/>
        <v>162423</v>
      </c>
      <c r="K203" s="2846">
        <f t="shared" si="77"/>
        <v>84222</v>
      </c>
      <c r="L203" s="2846">
        <f t="shared" si="77"/>
        <v>0</v>
      </c>
      <c r="M203" s="2846">
        <f t="shared" si="77"/>
        <v>58263</v>
      </c>
      <c r="N203" s="2846">
        <f t="shared" si="77"/>
        <v>25959</v>
      </c>
      <c r="O203" s="2846">
        <f t="shared" si="77"/>
        <v>133150</v>
      </c>
      <c r="P203" s="2846">
        <f t="shared" si="77"/>
        <v>0</v>
      </c>
      <c r="Q203" s="2846">
        <f t="shared" si="77"/>
        <v>108000</v>
      </c>
      <c r="R203" s="2846">
        <f t="shared" si="77"/>
        <v>25150</v>
      </c>
      <c r="S203" s="2846">
        <f t="shared" si="77"/>
        <v>86700</v>
      </c>
      <c r="T203" s="2846">
        <f t="shared" si="77"/>
        <v>0</v>
      </c>
      <c r="U203" s="2846">
        <f t="shared" si="77"/>
        <v>0</v>
      </c>
      <c r="V203" s="2846">
        <f t="shared" si="77"/>
        <v>0</v>
      </c>
      <c r="W203" s="2846">
        <f t="shared" si="77"/>
        <v>86700</v>
      </c>
    </row>
    <row r="204" spans="1:23" ht="52.8">
      <c r="A204" s="2848"/>
      <c r="B204" s="2849" t="s">
        <v>1655</v>
      </c>
      <c r="C204" s="2848" t="s">
        <v>31</v>
      </c>
      <c r="D204" s="2848" t="s">
        <v>1547</v>
      </c>
      <c r="E204" s="2848" t="s">
        <v>1656</v>
      </c>
      <c r="F204" s="2848" t="s">
        <v>1657</v>
      </c>
      <c r="G204" s="2850">
        <v>21492</v>
      </c>
      <c r="H204" s="2850"/>
      <c r="I204" s="2850"/>
      <c r="J204" s="2850">
        <v>21492</v>
      </c>
      <c r="K204" s="2850">
        <f t="shared" ref="K204:K211" si="78">SUM(L204:N204)</f>
        <v>14570</v>
      </c>
      <c r="L204" s="2850"/>
      <c r="M204" s="2850"/>
      <c r="N204" s="2850">
        <v>14570</v>
      </c>
      <c r="O204" s="2850">
        <f t="shared" ref="O204:O211" si="79">SUM(P204:R204)</f>
        <v>7000</v>
      </c>
      <c r="P204" s="2850"/>
      <c r="Q204" s="2850"/>
      <c r="R204" s="2850">
        <v>7000</v>
      </c>
      <c r="S204" s="2850">
        <f t="shared" ref="S204:S211" si="80">SUM(T204:W204)</f>
        <v>11000</v>
      </c>
      <c r="T204" s="2850"/>
      <c r="U204" s="2850"/>
      <c r="V204" s="2850"/>
      <c r="W204" s="2855">
        <v>11000</v>
      </c>
    </row>
    <row r="205" spans="1:23" ht="92.4">
      <c r="A205" s="2859"/>
      <c r="B205" s="2860" t="s">
        <v>1658</v>
      </c>
      <c r="C205" s="2859" t="s">
        <v>1659</v>
      </c>
      <c r="D205" s="2859" t="s">
        <v>1660</v>
      </c>
      <c r="E205" s="2859" t="s">
        <v>1661</v>
      </c>
      <c r="F205" s="2859" t="s">
        <v>1662</v>
      </c>
      <c r="G205" s="2855">
        <v>137000</v>
      </c>
      <c r="H205" s="2855"/>
      <c r="I205" s="2855">
        <v>120000</v>
      </c>
      <c r="J205" s="2855">
        <v>17000</v>
      </c>
      <c r="K205" s="2850">
        <f t="shared" si="78"/>
        <v>58963</v>
      </c>
      <c r="L205" s="2855"/>
      <c r="M205" s="2855">
        <v>58263</v>
      </c>
      <c r="N205" s="2855">
        <v>700</v>
      </c>
      <c r="O205" s="2850">
        <f t="shared" si="79"/>
        <v>108700</v>
      </c>
      <c r="P205" s="2855"/>
      <c r="Q205" s="2855">
        <v>108000</v>
      </c>
      <c r="R205" s="2855">
        <v>700</v>
      </c>
      <c r="S205" s="2850">
        <f t="shared" si="80"/>
        <v>10000</v>
      </c>
      <c r="T205" s="2855"/>
      <c r="U205" s="2855"/>
      <c r="V205" s="2855"/>
      <c r="W205" s="2855">
        <v>10000</v>
      </c>
    </row>
    <row r="206" spans="1:23" ht="26.4">
      <c r="A206" s="2859"/>
      <c r="B206" s="2860" t="s">
        <v>1663</v>
      </c>
      <c r="C206" s="2859" t="s">
        <v>32</v>
      </c>
      <c r="D206" s="2859" t="s">
        <v>1664</v>
      </c>
      <c r="E206" s="2859" t="s">
        <v>1665</v>
      </c>
      <c r="F206" s="2859"/>
      <c r="G206" s="2855">
        <v>22000</v>
      </c>
      <c r="H206" s="2855"/>
      <c r="I206" s="2855"/>
      <c r="J206" s="2855">
        <v>22000</v>
      </c>
      <c r="K206" s="2850">
        <f t="shared" si="78"/>
        <v>330</v>
      </c>
      <c r="L206" s="2855"/>
      <c r="M206" s="2855"/>
      <c r="N206" s="2855">
        <v>330</v>
      </c>
      <c r="O206" s="2850">
        <f t="shared" si="79"/>
        <v>500</v>
      </c>
      <c r="P206" s="2855"/>
      <c r="Q206" s="2855"/>
      <c r="R206" s="2855">
        <v>500</v>
      </c>
      <c r="S206" s="2850">
        <f t="shared" si="80"/>
        <v>9000</v>
      </c>
      <c r="T206" s="2855"/>
      <c r="U206" s="2855"/>
      <c r="V206" s="2855"/>
      <c r="W206" s="2855">
        <v>9000</v>
      </c>
    </row>
    <row r="207" spans="1:23" ht="52.8">
      <c r="A207" s="2859"/>
      <c r="B207" s="2860" t="s">
        <v>1666</v>
      </c>
      <c r="C207" s="2859" t="s">
        <v>31</v>
      </c>
      <c r="D207" s="2859" t="s">
        <v>1664</v>
      </c>
      <c r="E207" s="2859" t="s">
        <v>1665</v>
      </c>
      <c r="F207" s="2859" t="s">
        <v>1667</v>
      </c>
      <c r="G207" s="2855">
        <v>22000</v>
      </c>
      <c r="H207" s="2855"/>
      <c r="I207" s="2855"/>
      <c r="J207" s="2855">
        <v>22000</v>
      </c>
      <c r="K207" s="2850">
        <f t="shared" si="78"/>
        <v>259</v>
      </c>
      <c r="L207" s="2855"/>
      <c r="M207" s="2855"/>
      <c r="N207" s="2855">
        <v>259</v>
      </c>
      <c r="O207" s="2850">
        <f t="shared" si="79"/>
        <v>500</v>
      </c>
      <c r="P207" s="2855"/>
      <c r="Q207" s="2855"/>
      <c r="R207" s="2855">
        <v>500</v>
      </c>
      <c r="S207" s="2850">
        <f t="shared" si="80"/>
        <v>9000</v>
      </c>
      <c r="T207" s="2855"/>
      <c r="U207" s="2855"/>
      <c r="V207" s="2855"/>
      <c r="W207" s="2855">
        <v>9000</v>
      </c>
    </row>
    <row r="208" spans="1:23" ht="26.4">
      <c r="A208" s="2859"/>
      <c r="B208" s="2860" t="s">
        <v>1668</v>
      </c>
      <c r="C208" s="2859" t="s">
        <v>1607</v>
      </c>
      <c r="D208" s="2859" t="s">
        <v>1664</v>
      </c>
      <c r="E208" s="2859" t="s">
        <v>1669</v>
      </c>
      <c r="F208" s="2859"/>
      <c r="G208" s="2855">
        <v>1500</v>
      </c>
      <c r="H208" s="2855"/>
      <c r="I208" s="2855"/>
      <c r="J208" s="2855">
        <v>1500</v>
      </c>
      <c r="K208" s="2850">
        <f t="shared" si="78"/>
        <v>0</v>
      </c>
      <c r="L208" s="2855"/>
      <c r="M208" s="2855"/>
      <c r="N208" s="2855"/>
      <c r="O208" s="2850">
        <f t="shared" si="79"/>
        <v>0</v>
      </c>
      <c r="P208" s="2855"/>
      <c r="Q208" s="2855"/>
      <c r="R208" s="2855"/>
      <c r="S208" s="2850">
        <f t="shared" si="80"/>
        <v>1450</v>
      </c>
      <c r="T208" s="2855"/>
      <c r="U208" s="2855"/>
      <c r="V208" s="2855"/>
      <c r="W208" s="2855">
        <v>1450</v>
      </c>
    </row>
    <row r="209" spans="1:23" ht="26.4">
      <c r="A209" s="2859"/>
      <c r="B209" s="2860" t="s">
        <v>1670</v>
      </c>
      <c r="C209" s="2859" t="s">
        <v>1607</v>
      </c>
      <c r="D209" s="2859" t="s">
        <v>1664</v>
      </c>
      <c r="E209" s="2859" t="s">
        <v>1669</v>
      </c>
      <c r="F209" s="2859"/>
      <c r="G209" s="2855">
        <v>1300</v>
      </c>
      <c r="H209" s="2855"/>
      <c r="I209" s="2855"/>
      <c r="J209" s="2855">
        <v>1300</v>
      </c>
      <c r="K209" s="2850">
        <f t="shared" si="78"/>
        <v>0</v>
      </c>
      <c r="L209" s="2855"/>
      <c r="M209" s="2855"/>
      <c r="N209" s="2855"/>
      <c r="O209" s="2850">
        <f t="shared" si="79"/>
        <v>0</v>
      </c>
      <c r="P209" s="2855"/>
      <c r="Q209" s="2855"/>
      <c r="R209" s="2855"/>
      <c r="S209" s="2850">
        <f t="shared" si="80"/>
        <v>1300</v>
      </c>
      <c r="T209" s="2855"/>
      <c r="U209" s="2855"/>
      <c r="V209" s="2855"/>
      <c r="W209" s="2855">
        <v>1300</v>
      </c>
    </row>
    <row r="210" spans="1:23" ht="26.4">
      <c r="A210" s="2859"/>
      <c r="B210" s="2860" t="s">
        <v>1671</v>
      </c>
      <c r="C210" s="2859" t="s">
        <v>1612</v>
      </c>
      <c r="D210" s="2859" t="s">
        <v>1664</v>
      </c>
      <c r="E210" s="2859" t="s">
        <v>1544</v>
      </c>
      <c r="F210" s="2859"/>
      <c r="G210" s="2855">
        <v>6997</v>
      </c>
      <c r="H210" s="2855"/>
      <c r="I210" s="2855"/>
      <c r="J210" s="2855">
        <v>6997</v>
      </c>
      <c r="K210" s="2850">
        <f t="shared" si="78"/>
        <v>0</v>
      </c>
      <c r="L210" s="2855"/>
      <c r="M210" s="2855"/>
      <c r="N210" s="2855"/>
      <c r="O210" s="2850">
        <f t="shared" si="79"/>
        <v>350</v>
      </c>
      <c r="P210" s="2855"/>
      <c r="Q210" s="2855"/>
      <c r="R210" s="2855">
        <v>350</v>
      </c>
      <c r="S210" s="2850">
        <f t="shared" si="80"/>
        <v>6000</v>
      </c>
      <c r="T210" s="2855"/>
      <c r="U210" s="2855"/>
      <c r="V210" s="2855"/>
      <c r="W210" s="2855">
        <v>6000</v>
      </c>
    </row>
    <row r="211" spans="1:23" ht="26.4">
      <c r="A211" s="2859"/>
      <c r="B211" s="2860" t="s">
        <v>1672</v>
      </c>
      <c r="C211" s="2859" t="s">
        <v>30</v>
      </c>
      <c r="D211" s="2859" t="s">
        <v>1664</v>
      </c>
      <c r="E211" s="2859" t="s">
        <v>1544</v>
      </c>
      <c r="F211" s="2859"/>
      <c r="G211" s="2855">
        <v>7000</v>
      </c>
      <c r="H211" s="2855"/>
      <c r="I211" s="2855"/>
      <c r="J211" s="2855">
        <v>7000</v>
      </c>
      <c r="K211" s="2850">
        <f t="shared" si="78"/>
        <v>0</v>
      </c>
      <c r="L211" s="2855"/>
      <c r="M211" s="2855"/>
      <c r="N211" s="2855"/>
      <c r="O211" s="2850">
        <f t="shared" si="79"/>
        <v>350</v>
      </c>
      <c r="P211" s="2855"/>
      <c r="Q211" s="2855"/>
      <c r="R211" s="2855">
        <v>350</v>
      </c>
      <c r="S211" s="2850">
        <f t="shared" si="80"/>
        <v>6000</v>
      </c>
      <c r="T211" s="2855"/>
      <c r="U211" s="2855"/>
      <c r="V211" s="2855"/>
      <c r="W211" s="2855">
        <v>6000</v>
      </c>
    </row>
    <row r="212" spans="1:23" s="2865" customFormat="1" ht="39.6">
      <c r="A212" s="2861"/>
      <c r="B212" s="2862" t="s">
        <v>1673</v>
      </c>
      <c r="C212" s="2861"/>
      <c r="D212" s="2861"/>
      <c r="E212" s="2861"/>
      <c r="F212" s="2861"/>
      <c r="G212" s="2863"/>
      <c r="H212" s="2863"/>
      <c r="I212" s="2863"/>
      <c r="J212" s="2863"/>
      <c r="K212" s="2864"/>
      <c r="L212" s="2863"/>
      <c r="M212" s="2863"/>
      <c r="N212" s="2863"/>
      <c r="O212" s="2864"/>
      <c r="P212" s="2863"/>
      <c r="Q212" s="2863"/>
      <c r="R212" s="2863"/>
      <c r="S212" s="2864"/>
      <c r="T212" s="2863"/>
      <c r="U212" s="2863"/>
      <c r="V212" s="2863"/>
      <c r="W212" s="2863"/>
    </row>
    <row r="213" spans="1:23" ht="52.8">
      <c r="A213" s="2859"/>
      <c r="B213" s="2860" t="s">
        <v>1674</v>
      </c>
      <c r="C213" s="2859" t="s">
        <v>1612</v>
      </c>
      <c r="D213" s="2859" t="s">
        <v>1675</v>
      </c>
      <c r="E213" s="2859" t="s">
        <v>1656</v>
      </c>
      <c r="F213" s="2859" t="s">
        <v>1676</v>
      </c>
      <c r="G213" s="2855">
        <v>3862</v>
      </c>
      <c r="H213" s="2855"/>
      <c r="I213" s="2855"/>
      <c r="J213" s="2855">
        <v>3862</v>
      </c>
      <c r="K213" s="2850">
        <f>SUM(L213:N213)</f>
        <v>1657</v>
      </c>
      <c r="L213" s="2855"/>
      <c r="M213" s="2855"/>
      <c r="N213" s="2855">
        <v>1657</v>
      </c>
      <c r="O213" s="2850">
        <f>SUM(P213:R213)</f>
        <v>2500</v>
      </c>
      <c r="P213" s="2855"/>
      <c r="Q213" s="2855"/>
      <c r="R213" s="2855">
        <v>2500</v>
      </c>
      <c r="S213" s="2850">
        <f>SUM(T213:W213)</f>
        <v>550</v>
      </c>
      <c r="T213" s="2855"/>
      <c r="U213" s="2855"/>
      <c r="V213" s="2855"/>
      <c r="W213" s="2855">
        <v>550</v>
      </c>
    </row>
    <row r="214" spans="1:23" ht="52.8">
      <c r="A214" s="2859"/>
      <c r="B214" s="2860" t="s">
        <v>1677</v>
      </c>
      <c r="C214" s="2859" t="s">
        <v>32</v>
      </c>
      <c r="D214" s="2859" t="s">
        <v>1675</v>
      </c>
      <c r="E214" s="2859" t="s">
        <v>1656</v>
      </c>
      <c r="F214" s="2859" t="s">
        <v>1678</v>
      </c>
      <c r="G214" s="2855">
        <v>3946</v>
      </c>
      <c r="H214" s="2855"/>
      <c r="I214" s="2855"/>
      <c r="J214" s="2855">
        <v>3946</v>
      </c>
      <c r="K214" s="2850">
        <f>SUM(L214:N214)</f>
        <v>1597</v>
      </c>
      <c r="L214" s="2855"/>
      <c r="M214" s="2855"/>
      <c r="N214" s="2855">
        <v>1597</v>
      </c>
      <c r="O214" s="2850">
        <f>SUM(P214:R214)</f>
        <v>2500</v>
      </c>
      <c r="P214" s="2855"/>
      <c r="Q214" s="2855"/>
      <c r="R214" s="2855">
        <v>2500</v>
      </c>
      <c r="S214" s="2850">
        <f>SUM(T214:W214)</f>
        <v>1000</v>
      </c>
      <c r="T214" s="2855"/>
      <c r="U214" s="2855"/>
      <c r="V214" s="2855"/>
      <c r="W214" s="2855">
        <v>1000</v>
      </c>
    </row>
    <row r="215" spans="1:23" ht="52.8">
      <c r="A215" s="2859"/>
      <c r="B215" s="2860" t="s">
        <v>1679</v>
      </c>
      <c r="C215" s="2859" t="s">
        <v>35</v>
      </c>
      <c r="D215" s="2859" t="s">
        <v>1675</v>
      </c>
      <c r="E215" s="2859" t="s">
        <v>1656</v>
      </c>
      <c r="F215" s="2859" t="s">
        <v>1680</v>
      </c>
      <c r="G215" s="2855">
        <v>9177</v>
      </c>
      <c r="H215" s="2855"/>
      <c r="I215" s="2855"/>
      <c r="J215" s="2855">
        <v>9177</v>
      </c>
      <c r="K215" s="2850">
        <f>SUM(L215:N215)</f>
        <v>4154</v>
      </c>
      <c r="L215" s="2855"/>
      <c r="M215" s="2855"/>
      <c r="N215" s="2855">
        <v>4154</v>
      </c>
      <c r="O215" s="2850">
        <f>SUM(P215:R215)</f>
        <v>5000</v>
      </c>
      <c r="P215" s="2855"/>
      <c r="Q215" s="2855"/>
      <c r="R215" s="2855">
        <v>5000</v>
      </c>
      <c r="S215" s="2850">
        <f>SUM(T215:W215)</f>
        <v>2500</v>
      </c>
      <c r="T215" s="2855"/>
      <c r="U215" s="2855"/>
      <c r="V215" s="2855"/>
      <c r="W215" s="2855">
        <v>2500</v>
      </c>
    </row>
    <row r="216" spans="1:23" ht="52.8">
      <c r="A216" s="2859"/>
      <c r="B216" s="2860" t="s">
        <v>1681</v>
      </c>
      <c r="C216" s="2859" t="s">
        <v>1682</v>
      </c>
      <c r="D216" s="2859" t="s">
        <v>1675</v>
      </c>
      <c r="E216" s="2859" t="s">
        <v>1656</v>
      </c>
      <c r="F216" s="2859" t="s">
        <v>1683</v>
      </c>
      <c r="G216" s="2855">
        <v>6459</v>
      </c>
      <c r="H216" s="2855"/>
      <c r="I216" s="2855"/>
      <c r="J216" s="2855">
        <v>6459</v>
      </c>
      <c r="K216" s="2850">
        <f>SUM(L216:N216)</f>
        <v>2692</v>
      </c>
      <c r="L216" s="2855"/>
      <c r="M216" s="2855"/>
      <c r="N216" s="2855">
        <v>2692</v>
      </c>
      <c r="O216" s="2850">
        <f>SUM(P216:R216)</f>
        <v>4500</v>
      </c>
      <c r="P216" s="2855"/>
      <c r="Q216" s="2855"/>
      <c r="R216" s="2855">
        <v>4500</v>
      </c>
      <c r="S216" s="2850">
        <f>SUM(T216:W216)</f>
        <v>1300</v>
      </c>
      <c r="T216" s="2855"/>
      <c r="U216" s="2855"/>
      <c r="V216" s="2855"/>
      <c r="W216" s="2855">
        <v>1300</v>
      </c>
    </row>
    <row r="217" spans="1:23" s="2865" customFormat="1" ht="39.6">
      <c r="A217" s="2861"/>
      <c r="B217" s="2862" t="s">
        <v>1684</v>
      </c>
      <c r="C217" s="2861"/>
      <c r="D217" s="2861"/>
      <c r="E217" s="2861"/>
      <c r="F217" s="2861"/>
      <c r="G217" s="2863"/>
      <c r="H217" s="2863"/>
      <c r="I217" s="2863"/>
      <c r="J217" s="2863"/>
      <c r="K217" s="2864"/>
      <c r="L217" s="2863"/>
      <c r="M217" s="2863"/>
      <c r="N217" s="2863"/>
      <c r="O217" s="2864"/>
      <c r="P217" s="2863"/>
      <c r="Q217" s="2863"/>
      <c r="R217" s="2863"/>
      <c r="S217" s="2864"/>
      <c r="T217" s="2863"/>
      <c r="U217" s="2863"/>
      <c r="V217" s="2863"/>
      <c r="W217" s="2863"/>
    </row>
    <row r="218" spans="1:23" ht="39.6">
      <c r="A218" s="2859"/>
      <c r="B218" s="2860" t="s">
        <v>1685</v>
      </c>
      <c r="C218" s="2859" t="s">
        <v>41</v>
      </c>
      <c r="D218" s="2859" t="s">
        <v>1664</v>
      </c>
      <c r="E218" s="2859" t="s">
        <v>1544</v>
      </c>
      <c r="F218" s="2859"/>
      <c r="G218" s="2855">
        <v>12518</v>
      </c>
      <c r="H218" s="2855"/>
      <c r="I218" s="2855"/>
      <c r="J218" s="2855">
        <v>12518</v>
      </c>
      <c r="K218" s="2850">
        <f t="shared" ref="K218:K225" si="81">SUM(L218:N218)</f>
        <v>0</v>
      </c>
      <c r="L218" s="2855"/>
      <c r="M218" s="2855"/>
      <c r="N218" s="2855"/>
      <c r="O218" s="2850">
        <f t="shared" ref="O218:O225" si="82">SUM(P218:R218)</f>
        <v>0</v>
      </c>
      <c r="P218" s="2855"/>
      <c r="Q218" s="2855"/>
      <c r="R218" s="2855"/>
      <c r="S218" s="2850">
        <f t="shared" ref="S218:S225" si="83">SUM(T218:W218)</f>
        <v>7000</v>
      </c>
      <c r="T218" s="2855"/>
      <c r="U218" s="2855"/>
      <c r="V218" s="2855"/>
      <c r="W218" s="2855">
        <v>7000</v>
      </c>
    </row>
    <row r="219" spans="1:23" ht="39.6">
      <c r="A219" s="2859"/>
      <c r="B219" s="2860" t="s">
        <v>1686</v>
      </c>
      <c r="C219" s="2859" t="s">
        <v>35</v>
      </c>
      <c r="D219" s="2859" t="s">
        <v>1664</v>
      </c>
      <c r="E219" s="2859" t="s">
        <v>1544</v>
      </c>
      <c r="F219" s="2859"/>
      <c r="G219" s="2855">
        <v>5250</v>
      </c>
      <c r="H219" s="2855"/>
      <c r="I219" s="2855"/>
      <c r="J219" s="2855">
        <v>5250</v>
      </c>
      <c r="K219" s="2850">
        <f t="shared" si="81"/>
        <v>0</v>
      </c>
      <c r="L219" s="2855"/>
      <c r="M219" s="2855"/>
      <c r="N219" s="2855"/>
      <c r="O219" s="2850">
        <f t="shared" si="82"/>
        <v>250</v>
      </c>
      <c r="P219" s="2855"/>
      <c r="Q219" s="2855"/>
      <c r="R219" s="2855">
        <v>250</v>
      </c>
      <c r="S219" s="2850">
        <f t="shared" si="83"/>
        <v>4000</v>
      </c>
      <c r="T219" s="2855"/>
      <c r="U219" s="2855"/>
      <c r="V219" s="2855"/>
      <c r="W219" s="2855">
        <v>4000</v>
      </c>
    </row>
    <row r="220" spans="1:23" ht="39.6">
      <c r="A220" s="2859"/>
      <c r="B220" s="2860" t="s">
        <v>1687</v>
      </c>
      <c r="C220" s="2859" t="s">
        <v>35</v>
      </c>
      <c r="D220" s="2859" t="s">
        <v>1664</v>
      </c>
      <c r="E220" s="2859" t="s">
        <v>1544</v>
      </c>
      <c r="F220" s="2859"/>
      <c r="G220" s="2855">
        <v>5250</v>
      </c>
      <c r="H220" s="2855"/>
      <c r="I220" s="2855"/>
      <c r="J220" s="2855">
        <v>5250</v>
      </c>
      <c r="K220" s="2850">
        <f t="shared" si="81"/>
        <v>0</v>
      </c>
      <c r="L220" s="2855"/>
      <c r="M220" s="2855"/>
      <c r="N220" s="2855"/>
      <c r="O220" s="2850">
        <f t="shared" si="82"/>
        <v>250</v>
      </c>
      <c r="P220" s="2855"/>
      <c r="Q220" s="2855"/>
      <c r="R220" s="2855">
        <v>250</v>
      </c>
      <c r="S220" s="2850">
        <f t="shared" si="83"/>
        <v>4000</v>
      </c>
      <c r="T220" s="2855"/>
      <c r="U220" s="2855"/>
      <c r="V220" s="2855"/>
      <c r="W220" s="2855">
        <v>4000</v>
      </c>
    </row>
    <row r="221" spans="1:23" ht="52.8">
      <c r="A221" s="2859"/>
      <c r="B221" s="2860" t="s">
        <v>1688</v>
      </c>
      <c r="C221" s="2859" t="s">
        <v>30</v>
      </c>
      <c r="D221" s="2859" t="s">
        <v>1664</v>
      </c>
      <c r="E221" s="2859" t="s">
        <v>1544</v>
      </c>
      <c r="F221" s="2859" t="s">
        <v>1689</v>
      </c>
      <c r="G221" s="2855">
        <v>4192</v>
      </c>
      <c r="H221" s="2855"/>
      <c r="I221" s="2855"/>
      <c r="J221" s="2855">
        <v>4192</v>
      </c>
      <c r="K221" s="2850">
        <f t="shared" si="81"/>
        <v>0</v>
      </c>
      <c r="L221" s="2855"/>
      <c r="M221" s="2855"/>
      <c r="N221" s="2855"/>
      <c r="O221" s="2850">
        <f t="shared" si="82"/>
        <v>250</v>
      </c>
      <c r="P221" s="2855"/>
      <c r="Q221" s="2855"/>
      <c r="R221" s="2855">
        <v>250</v>
      </c>
      <c r="S221" s="2850">
        <f t="shared" si="83"/>
        <v>3000</v>
      </c>
      <c r="T221" s="2855"/>
      <c r="U221" s="2855"/>
      <c r="V221" s="2855"/>
      <c r="W221" s="2855">
        <v>3000</v>
      </c>
    </row>
    <row r="222" spans="1:23" ht="52.8">
      <c r="A222" s="2859"/>
      <c r="B222" s="2860" t="s">
        <v>1690</v>
      </c>
      <c r="C222" s="2859" t="s">
        <v>30</v>
      </c>
      <c r="D222" s="2859" t="s">
        <v>1664</v>
      </c>
      <c r="E222" s="2859" t="s">
        <v>1544</v>
      </c>
      <c r="F222" s="2859" t="s">
        <v>1691</v>
      </c>
      <c r="G222" s="2855">
        <v>4090</v>
      </c>
      <c r="H222" s="2855"/>
      <c r="I222" s="2855"/>
      <c r="J222" s="2855">
        <v>4090</v>
      </c>
      <c r="K222" s="2850">
        <f t="shared" si="81"/>
        <v>0</v>
      </c>
      <c r="L222" s="2855"/>
      <c r="M222" s="2855"/>
      <c r="N222" s="2855"/>
      <c r="O222" s="2850">
        <f t="shared" si="82"/>
        <v>250</v>
      </c>
      <c r="P222" s="2855"/>
      <c r="Q222" s="2855"/>
      <c r="R222" s="2855">
        <v>250</v>
      </c>
      <c r="S222" s="2850">
        <f t="shared" si="83"/>
        <v>3000</v>
      </c>
      <c r="T222" s="2855"/>
      <c r="U222" s="2855"/>
      <c r="V222" s="2855"/>
      <c r="W222" s="2855">
        <v>3000</v>
      </c>
    </row>
    <row r="223" spans="1:23" ht="52.8">
      <c r="A223" s="2859"/>
      <c r="B223" s="2860" t="s">
        <v>1692</v>
      </c>
      <c r="C223" s="2859" t="s">
        <v>30</v>
      </c>
      <c r="D223" s="2859" t="s">
        <v>1664</v>
      </c>
      <c r="E223" s="2859" t="s">
        <v>1544</v>
      </c>
      <c r="F223" s="2859" t="s">
        <v>1693</v>
      </c>
      <c r="G223" s="2855">
        <v>4199</v>
      </c>
      <c r="H223" s="2855"/>
      <c r="I223" s="2855"/>
      <c r="J223" s="2855">
        <v>4199</v>
      </c>
      <c r="K223" s="2850">
        <f t="shared" si="81"/>
        <v>0</v>
      </c>
      <c r="L223" s="2855"/>
      <c r="M223" s="2855"/>
      <c r="N223" s="2855"/>
      <c r="O223" s="2850">
        <f t="shared" si="82"/>
        <v>250</v>
      </c>
      <c r="P223" s="2855"/>
      <c r="Q223" s="2855"/>
      <c r="R223" s="2855">
        <v>250</v>
      </c>
      <c r="S223" s="2850">
        <f t="shared" si="83"/>
        <v>3000</v>
      </c>
      <c r="T223" s="2855"/>
      <c r="U223" s="2855"/>
      <c r="V223" s="2855"/>
      <c r="W223" s="2855">
        <v>3000</v>
      </c>
    </row>
    <row r="224" spans="1:23" ht="39.6">
      <c r="A224" s="2859"/>
      <c r="B224" s="2860" t="s">
        <v>1694</v>
      </c>
      <c r="C224" s="2859" t="s">
        <v>1612</v>
      </c>
      <c r="D224" s="2859" t="s">
        <v>1664</v>
      </c>
      <c r="E224" s="2859" t="s">
        <v>1544</v>
      </c>
      <c r="F224" s="2859"/>
      <c r="G224" s="2855">
        <v>2091</v>
      </c>
      <c r="H224" s="2855"/>
      <c r="I224" s="2855"/>
      <c r="J224" s="2855">
        <v>2091</v>
      </c>
      <c r="K224" s="2850">
        <f t="shared" si="81"/>
        <v>0</v>
      </c>
      <c r="L224" s="2855"/>
      <c r="M224" s="2855"/>
      <c r="N224" s="2855"/>
      <c r="O224" s="2850">
        <f t="shared" si="82"/>
        <v>0</v>
      </c>
      <c r="P224" s="2855"/>
      <c r="Q224" s="2855"/>
      <c r="R224" s="2855"/>
      <c r="S224" s="2850">
        <f t="shared" si="83"/>
        <v>1800</v>
      </c>
      <c r="T224" s="2855"/>
      <c r="U224" s="2855"/>
      <c r="V224" s="2855"/>
      <c r="W224" s="2855">
        <v>1800</v>
      </c>
    </row>
    <row r="225" spans="1:23" ht="52.8">
      <c r="A225" s="2859"/>
      <c r="B225" s="2860" t="s">
        <v>1695</v>
      </c>
      <c r="C225" s="2859" t="s">
        <v>1612</v>
      </c>
      <c r="D225" s="2859" t="s">
        <v>1664</v>
      </c>
      <c r="E225" s="2859" t="s">
        <v>1544</v>
      </c>
      <c r="F225" s="2859" t="s">
        <v>1696</v>
      </c>
      <c r="G225" s="2855">
        <v>2100</v>
      </c>
      <c r="H225" s="2855"/>
      <c r="I225" s="2855"/>
      <c r="J225" s="2855">
        <v>2100</v>
      </c>
      <c r="K225" s="2850">
        <f t="shared" si="81"/>
        <v>0</v>
      </c>
      <c r="L225" s="2855"/>
      <c r="M225" s="2855"/>
      <c r="N225" s="2855"/>
      <c r="O225" s="2850">
        <f t="shared" si="82"/>
        <v>0</v>
      </c>
      <c r="P225" s="2855"/>
      <c r="Q225" s="2855"/>
      <c r="R225" s="2855"/>
      <c r="S225" s="2850">
        <f t="shared" si="83"/>
        <v>1800</v>
      </c>
      <c r="T225" s="2855"/>
      <c r="U225" s="2855"/>
      <c r="V225" s="2855"/>
      <c r="W225" s="2855">
        <v>1800</v>
      </c>
    </row>
    <row r="226" spans="1:23" s="2834" customFormat="1" ht="26.4">
      <c r="A226" s="2831">
        <v>2</v>
      </c>
      <c r="B226" s="2832" t="s">
        <v>1697</v>
      </c>
      <c r="C226" s="2831"/>
      <c r="D226" s="2831"/>
      <c r="E226" s="2831"/>
      <c r="F226" s="2831"/>
      <c r="G226" s="2833">
        <f>G228</f>
        <v>5400</v>
      </c>
      <c r="H226" s="2833">
        <f t="shared" ref="H226:W226" si="84">H228</f>
        <v>0</v>
      </c>
      <c r="I226" s="2833">
        <f t="shared" si="84"/>
        <v>0</v>
      </c>
      <c r="J226" s="2833">
        <f t="shared" si="84"/>
        <v>5400</v>
      </c>
      <c r="K226" s="2833">
        <f t="shared" si="84"/>
        <v>878</v>
      </c>
      <c r="L226" s="2833">
        <f t="shared" si="84"/>
        <v>0</v>
      </c>
      <c r="M226" s="2833">
        <f t="shared" si="84"/>
        <v>0</v>
      </c>
      <c r="N226" s="2833">
        <f t="shared" si="84"/>
        <v>878</v>
      </c>
      <c r="O226" s="2833">
        <f t="shared" si="84"/>
        <v>1000</v>
      </c>
      <c r="P226" s="2833">
        <f t="shared" si="84"/>
        <v>0</v>
      </c>
      <c r="Q226" s="2833">
        <f t="shared" si="84"/>
        <v>0</v>
      </c>
      <c r="R226" s="2833">
        <f t="shared" si="84"/>
        <v>1000</v>
      </c>
      <c r="S226" s="2833">
        <f t="shared" si="84"/>
        <v>5000</v>
      </c>
      <c r="T226" s="2833">
        <f t="shared" si="84"/>
        <v>0</v>
      </c>
      <c r="U226" s="2833">
        <f t="shared" si="84"/>
        <v>0</v>
      </c>
      <c r="V226" s="2833">
        <f t="shared" si="84"/>
        <v>0</v>
      </c>
      <c r="W226" s="2833">
        <f t="shared" si="84"/>
        <v>5000</v>
      </c>
    </row>
    <row r="227" spans="1:23" s="2839" customFormat="1">
      <c r="A227" s="2835" t="s">
        <v>200</v>
      </c>
      <c r="B227" s="2836" t="s">
        <v>1197</v>
      </c>
      <c r="C227" s="2835"/>
      <c r="D227" s="2835"/>
      <c r="E227" s="2835"/>
      <c r="F227" s="2835"/>
      <c r="G227" s="2837"/>
      <c r="H227" s="2837"/>
      <c r="I227" s="2837"/>
      <c r="J227" s="2837"/>
      <c r="K227" s="2837"/>
      <c r="L227" s="2837"/>
      <c r="M227" s="2837"/>
      <c r="N227" s="2837"/>
      <c r="O227" s="2837"/>
      <c r="P227" s="2837"/>
      <c r="Q227" s="2837"/>
      <c r="R227" s="2837"/>
      <c r="S227" s="2837"/>
      <c r="T227" s="2837"/>
      <c r="U227" s="2837"/>
      <c r="V227" s="2837"/>
      <c r="W227" s="2838"/>
    </row>
    <row r="228" spans="1:23" s="2839" customFormat="1">
      <c r="A228" s="2835" t="s">
        <v>208</v>
      </c>
      <c r="B228" s="2836" t="s">
        <v>1198</v>
      </c>
      <c r="C228" s="2835"/>
      <c r="D228" s="2835"/>
      <c r="E228" s="2835"/>
      <c r="F228" s="2835"/>
      <c r="G228" s="2837">
        <f>G230</f>
        <v>5400</v>
      </c>
      <c r="H228" s="2837">
        <f t="shared" ref="H228:W228" si="85">H230</f>
        <v>0</v>
      </c>
      <c r="I228" s="2837">
        <f t="shared" si="85"/>
        <v>0</v>
      </c>
      <c r="J228" s="2837">
        <f t="shared" si="85"/>
        <v>5400</v>
      </c>
      <c r="K228" s="2837">
        <f t="shared" si="85"/>
        <v>878</v>
      </c>
      <c r="L228" s="2837">
        <f t="shared" si="85"/>
        <v>0</v>
      </c>
      <c r="M228" s="2837">
        <f t="shared" si="85"/>
        <v>0</v>
      </c>
      <c r="N228" s="2837">
        <f t="shared" si="85"/>
        <v>878</v>
      </c>
      <c r="O228" s="2837">
        <f t="shared" si="85"/>
        <v>1000</v>
      </c>
      <c r="P228" s="2837">
        <f t="shared" si="85"/>
        <v>0</v>
      </c>
      <c r="Q228" s="2837">
        <f t="shared" si="85"/>
        <v>0</v>
      </c>
      <c r="R228" s="2837">
        <f t="shared" si="85"/>
        <v>1000</v>
      </c>
      <c r="S228" s="2837">
        <f t="shared" si="85"/>
        <v>5000</v>
      </c>
      <c r="T228" s="2837">
        <f t="shared" si="85"/>
        <v>0</v>
      </c>
      <c r="U228" s="2837">
        <f t="shared" si="85"/>
        <v>0</v>
      </c>
      <c r="V228" s="2837">
        <f t="shared" si="85"/>
        <v>0</v>
      </c>
      <c r="W228" s="2837">
        <f t="shared" si="85"/>
        <v>5000</v>
      </c>
    </row>
    <row r="229" spans="1:23" s="2844" customFormat="1" ht="52.8">
      <c r="A229" s="2840" t="s">
        <v>441</v>
      </c>
      <c r="B229" s="2841" t="s">
        <v>1540</v>
      </c>
      <c r="C229" s="2840"/>
      <c r="D229" s="2840"/>
      <c r="E229" s="2840"/>
      <c r="F229" s="2840"/>
      <c r="G229" s="2842"/>
      <c r="H229" s="2842"/>
      <c r="I229" s="2842"/>
      <c r="J229" s="2842"/>
      <c r="K229" s="2842"/>
      <c r="L229" s="2842"/>
      <c r="M229" s="2842"/>
      <c r="N229" s="2842"/>
      <c r="O229" s="2842"/>
      <c r="P229" s="2842"/>
      <c r="Q229" s="2842"/>
      <c r="R229" s="2842"/>
      <c r="S229" s="2842"/>
      <c r="T229" s="2842"/>
      <c r="U229" s="2842"/>
      <c r="V229" s="2842"/>
      <c r="W229" s="2843"/>
    </row>
    <row r="230" spans="1:23" s="2847" customFormat="1" ht="26.4">
      <c r="A230" s="2845" t="s">
        <v>463</v>
      </c>
      <c r="B230" s="2841" t="s">
        <v>1541</v>
      </c>
      <c r="C230" s="2845"/>
      <c r="D230" s="2845"/>
      <c r="E230" s="2845"/>
      <c r="F230" s="2845"/>
      <c r="G230" s="2846">
        <f>G231</f>
        <v>5400</v>
      </c>
      <c r="H230" s="2846">
        <f t="shared" ref="H230:W230" si="86">H231</f>
        <v>0</v>
      </c>
      <c r="I230" s="2846">
        <f t="shared" si="86"/>
        <v>0</v>
      </c>
      <c r="J230" s="2846">
        <f t="shared" si="86"/>
        <v>5400</v>
      </c>
      <c r="K230" s="2846">
        <f t="shared" si="86"/>
        <v>878</v>
      </c>
      <c r="L230" s="2846">
        <f t="shared" si="86"/>
        <v>0</v>
      </c>
      <c r="M230" s="2846">
        <f t="shared" si="86"/>
        <v>0</v>
      </c>
      <c r="N230" s="2846">
        <f t="shared" si="86"/>
        <v>878</v>
      </c>
      <c r="O230" s="2846">
        <f t="shared" si="86"/>
        <v>1000</v>
      </c>
      <c r="P230" s="2846">
        <f t="shared" si="86"/>
        <v>0</v>
      </c>
      <c r="Q230" s="2846">
        <f t="shared" si="86"/>
        <v>0</v>
      </c>
      <c r="R230" s="2846">
        <f t="shared" si="86"/>
        <v>1000</v>
      </c>
      <c r="S230" s="2846">
        <f t="shared" si="86"/>
        <v>5000</v>
      </c>
      <c r="T230" s="2846">
        <f t="shared" si="86"/>
        <v>0</v>
      </c>
      <c r="U230" s="2846">
        <f t="shared" si="86"/>
        <v>0</v>
      </c>
      <c r="V230" s="2846">
        <f t="shared" si="86"/>
        <v>0</v>
      </c>
      <c r="W230" s="2846">
        <f t="shared" si="86"/>
        <v>5000</v>
      </c>
    </row>
    <row r="231" spans="1:23" s="2868" customFormat="1" ht="39.6">
      <c r="A231" s="2866"/>
      <c r="B231" s="2849" t="s">
        <v>1698</v>
      </c>
      <c r="C231" s="2866" t="s">
        <v>41</v>
      </c>
      <c r="D231" s="2866" t="s">
        <v>1699</v>
      </c>
      <c r="E231" s="2866" t="s">
        <v>1544</v>
      </c>
      <c r="F231" s="2866" t="s">
        <v>1700</v>
      </c>
      <c r="G231" s="2867">
        <v>5400</v>
      </c>
      <c r="H231" s="2867"/>
      <c r="I231" s="2867"/>
      <c r="J231" s="2867">
        <v>5400</v>
      </c>
      <c r="K231" s="2850">
        <f>SUM(L231:N231)</f>
        <v>878</v>
      </c>
      <c r="L231" s="2867"/>
      <c r="M231" s="2867"/>
      <c r="N231" s="2867">
        <v>878</v>
      </c>
      <c r="O231" s="2850">
        <f>SUM(P231:R231)</f>
        <v>1000</v>
      </c>
      <c r="P231" s="2867"/>
      <c r="Q231" s="2867"/>
      <c r="R231" s="2867">
        <v>1000</v>
      </c>
      <c r="S231" s="2850">
        <f>SUM(T231:W231)</f>
        <v>5000</v>
      </c>
      <c r="T231" s="2867"/>
      <c r="U231" s="2867"/>
      <c r="V231" s="2867"/>
      <c r="W231" s="2867">
        <v>5000</v>
      </c>
    </row>
    <row r="232" spans="1:23" s="2834" customFormat="1">
      <c r="A232" s="2831">
        <v>3</v>
      </c>
      <c r="B232" s="2832" t="s">
        <v>1524</v>
      </c>
      <c r="C232" s="2831"/>
      <c r="D232" s="2831"/>
      <c r="E232" s="2831"/>
      <c r="F232" s="2831"/>
      <c r="G232" s="2833">
        <f>G234</f>
        <v>45010</v>
      </c>
      <c r="H232" s="2833">
        <f t="shared" ref="H232:W232" si="87">H234</f>
        <v>0</v>
      </c>
      <c r="I232" s="2833">
        <f t="shared" si="87"/>
        <v>0</v>
      </c>
      <c r="J232" s="2833">
        <f t="shared" si="87"/>
        <v>45010</v>
      </c>
      <c r="K232" s="2833">
        <f t="shared" si="87"/>
        <v>10758</v>
      </c>
      <c r="L232" s="2833">
        <f t="shared" si="87"/>
        <v>0</v>
      </c>
      <c r="M232" s="2833">
        <f t="shared" si="87"/>
        <v>0</v>
      </c>
      <c r="N232" s="2833">
        <f t="shared" si="87"/>
        <v>10758</v>
      </c>
      <c r="O232" s="2833">
        <f t="shared" si="87"/>
        <v>7400</v>
      </c>
      <c r="P232" s="2833">
        <f t="shared" si="87"/>
        <v>0</v>
      </c>
      <c r="Q232" s="2833">
        <f t="shared" si="87"/>
        <v>0</v>
      </c>
      <c r="R232" s="2833">
        <f t="shared" si="87"/>
        <v>7400</v>
      </c>
      <c r="S232" s="2833">
        <f t="shared" si="87"/>
        <v>20125</v>
      </c>
      <c r="T232" s="2833">
        <f t="shared" si="87"/>
        <v>0</v>
      </c>
      <c r="U232" s="2833">
        <f t="shared" si="87"/>
        <v>0</v>
      </c>
      <c r="V232" s="2833">
        <f t="shared" si="87"/>
        <v>0</v>
      </c>
      <c r="W232" s="2833">
        <f t="shared" si="87"/>
        <v>20125</v>
      </c>
    </row>
    <row r="233" spans="1:23" s="2839" customFormat="1">
      <c r="A233" s="2835" t="s">
        <v>200</v>
      </c>
      <c r="B233" s="2836" t="s">
        <v>1197</v>
      </c>
      <c r="C233" s="2835"/>
      <c r="D233" s="2835"/>
      <c r="E233" s="2835"/>
      <c r="F233" s="2835"/>
      <c r="G233" s="2837"/>
      <c r="H233" s="2837"/>
      <c r="I233" s="2837"/>
      <c r="J233" s="2837"/>
      <c r="K233" s="2837"/>
      <c r="L233" s="2837"/>
      <c r="M233" s="2837"/>
      <c r="N233" s="2837"/>
      <c r="O233" s="2837"/>
      <c r="P233" s="2837"/>
      <c r="Q233" s="2837"/>
      <c r="R233" s="2837"/>
      <c r="S233" s="2837"/>
      <c r="T233" s="2837"/>
      <c r="U233" s="2837"/>
      <c r="V233" s="2837"/>
      <c r="W233" s="2838"/>
    </row>
    <row r="234" spans="1:23" s="2839" customFormat="1">
      <c r="A234" s="2835" t="s">
        <v>208</v>
      </c>
      <c r="B234" s="2836" t="s">
        <v>1198</v>
      </c>
      <c r="C234" s="2835"/>
      <c r="D234" s="2835"/>
      <c r="E234" s="2835"/>
      <c r="F234" s="2835"/>
      <c r="G234" s="2837">
        <f>G236</f>
        <v>45010</v>
      </c>
      <c r="H234" s="2837">
        <f t="shared" ref="H234:W234" si="88">H236</f>
        <v>0</v>
      </c>
      <c r="I234" s="2837">
        <f t="shared" si="88"/>
        <v>0</v>
      </c>
      <c r="J234" s="2837">
        <f t="shared" si="88"/>
        <v>45010</v>
      </c>
      <c r="K234" s="2837">
        <f t="shared" si="88"/>
        <v>10758</v>
      </c>
      <c r="L234" s="2837">
        <f t="shared" si="88"/>
        <v>0</v>
      </c>
      <c r="M234" s="2837">
        <f t="shared" si="88"/>
        <v>0</v>
      </c>
      <c r="N234" s="2837">
        <f t="shared" si="88"/>
        <v>10758</v>
      </c>
      <c r="O234" s="2837">
        <f t="shared" si="88"/>
        <v>7400</v>
      </c>
      <c r="P234" s="2837">
        <f t="shared" si="88"/>
        <v>0</v>
      </c>
      <c r="Q234" s="2837">
        <f t="shared" si="88"/>
        <v>0</v>
      </c>
      <c r="R234" s="2837">
        <f t="shared" si="88"/>
        <v>7400</v>
      </c>
      <c r="S234" s="2837">
        <f t="shared" si="88"/>
        <v>20125</v>
      </c>
      <c r="T234" s="2837">
        <f t="shared" si="88"/>
        <v>0</v>
      </c>
      <c r="U234" s="2837">
        <f t="shared" si="88"/>
        <v>0</v>
      </c>
      <c r="V234" s="2837">
        <f t="shared" si="88"/>
        <v>0</v>
      </c>
      <c r="W234" s="2837">
        <f t="shared" si="88"/>
        <v>20125</v>
      </c>
    </row>
    <row r="235" spans="1:23" s="2844" customFormat="1" ht="52.8">
      <c r="A235" s="2840" t="s">
        <v>441</v>
      </c>
      <c r="B235" s="2841" t="s">
        <v>1540</v>
      </c>
      <c r="C235" s="2840"/>
      <c r="D235" s="2840"/>
      <c r="E235" s="2840"/>
      <c r="F235" s="2840"/>
      <c r="G235" s="2842"/>
      <c r="H235" s="2842"/>
      <c r="I235" s="2842"/>
      <c r="J235" s="2842"/>
      <c r="K235" s="2842"/>
      <c r="L235" s="2842"/>
      <c r="M235" s="2842"/>
      <c r="N235" s="2842"/>
      <c r="O235" s="2842"/>
      <c r="P235" s="2842"/>
      <c r="Q235" s="2842"/>
      <c r="R235" s="2842"/>
      <c r="S235" s="2842"/>
      <c r="T235" s="2842"/>
      <c r="U235" s="2842"/>
      <c r="V235" s="2842"/>
      <c r="W235" s="2843"/>
    </row>
    <row r="236" spans="1:23" s="2847" customFormat="1" ht="26.4">
      <c r="A236" s="2845" t="s">
        <v>463</v>
      </c>
      <c r="B236" s="2841" t="s">
        <v>1541</v>
      </c>
      <c r="C236" s="2845"/>
      <c r="D236" s="2845"/>
      <c r="E236" s="2845"/>
      <c r="F236" s="2845"/>
      <c r="G236" s="2846">
        <f>SUM(G237:G240)</f>
        <v>45010</v>
      </c>
      <c r="H236" s="2846">
        <f t="shared" ref="H236:W236" si="89">SUM(H237:H240)</f>
        <v>0</v>
      </c>
      <c r="I236" s="2846">
        <f t="shared" si="89"/>
        <v>0</v>
      </c>
      <c r="J236" s="2846">
        <f t="shared" si="89"/>
        <v>45010</v>
      </c>
      <c r="K236" s="2846">
        <f t="shared" si="89"/>
        <v>10758</v>
      </c>
      <c r="L236" s="2846">
        <f t="shared" si="89"/>
        <v>0</v>
      </c>
      <c r="M236" s="2846">
        <f t="shared" si="89"/>
        <v>0</v>
      </c>
      <c r="N236" s="2846">
        <f t="shared" si="89"/>
        <v>10758</v>
      </c>
      <c r="O236" s="2846">
        <f t="shared" si="89"/>
        <v>7400</v>
      </c>
      <c r="P236" s="2846">
        <f t="shared" si="89"/>
        <v>0</v>
      </c>
      <c r="Q236" s="2846">
        <f t="shared" si="89"/>
        <v>0</v>
      </c>
      <c r="R236" s="2846">
        <f t="shared" si="89"/>
        <v>7400</v>
      </c>
      <c r="S236" s="2846">
        <f t="shared" si="89"/>
        <v>20125</v>
      </c>
      <c r="T236" s="2846">
        <f t="shared" si="89"/>
        <v>0</v>
      </c>
      <c r="U236" s="2846">
        <f t="shared" si="89"/>
        <v>0</v>
      </c>
      <c r="V236" s="2846">
        <f t="shared" si="89"/>
        <v>0</v>
      </c>
      <c r="W236" s="2846">
        <f t="shared" si="89"/>
        <v>20125</v>
      </c>
    </row>
    <row r="237" spans="1:23" ht="52.8">
      <c r="A237" s="2859"/>
      <c r="B237" s="2860" t="s">
        <v>1701</v>
      </c>
      <c r="C237" s="2859" t="s">
        <v>1607</v>
      </c>
      <c r="D237" s="2859" t="s">
        <v>1664</v>
      </c>
      <c r="E237" s="2859" t="s">
        <v>1620</v>
      </c>
      <c r="F237" s="2859" t="s">
        <v>1702</v>
      </c>
      <c r="G237" s="2855">
        <v>13384</v>
      </c>
      <c r="H237" s="2855"/>
      <c r="I237" s="2855"/>
      <c r="J237" s="2855">
        <v>13384</v>
      </c>
      <c r="K237" s="2850">
        <f>SUM(L237:N237)</f>
        <v>10758</v>
      </c>
      <c r="L237" s="2855"/>
      <c r="M237" s="2855"/>
      <c r="N237" s="2855">
        <v>10758</v>
      </c>
      <c r="O237" s="2850">
        <f>SUM(P237:R237)</f>
        <v>6500</v>
      </c>
      <c r="P237" s="2855"/>
      <c r="Q237" s="2855"/>
      <c r="R237" s="2855">
        <v>6500</v>
      </c>
      <c r="S237" s="2850">
        <f>SUM(T237:W237)</f>
        <v>4325</v>
      </c>
      <c r="T237" s="2855"/>
      <c r="U237" s="2855"/>
      <c r="V237" s="2855"/>
      <c r="W237" s="2855">
        <v>4325</v>
      </c>
    </row>
    <row r="238" spans="1:23" ht="52.8">
      <c r="A238" s="2859"/>
      <c r="B238" s="2860" t="s">
        <v>1703</v>
      </c>
      <c r="C238" s="2859" t="s">
        <v>1607</v>
      </c>
      <c r="D238" s="2859" t="s">
        <v>1664</v>
      </c>
      <c r="E238" s="2859" t="s">
        <v>1544</v>
      </c>
      <c r="F238" s="2859" t="s">
        <v>1704</v>
      </c>
      <c r="G238" s="2855">
        <v>11361</v>
      </c>
      <c r="H238" s="2855"/>
      <c r="I238" s="2855"/>
      <c r="J238" s="2855">
        <v>11361</v>
      </c>
      <c r="K238" s="2850">
        <f>SUM(L238:N238)</f>
        <v>0</v>
      </c>
      <c r="L238" s="2855"/>
      <c r="M238" s="2855"/>
      <c r="N238" s="2855"/>
      <c r="O238" s="2850">
        <f>SUM(P238:R238)</f>
        <v>300</v>
      </c>
      <c r="P238" s="2855"/>
      <c r="Q238" s="2855"/>
      <c r="R238" s="2855">
        <v>300</v>
      </c>
      <c r="S238" s="2850">
        <f>SUM(T238:W238)</f>
        <v>6000</v>
      </c>
      <c r="T238" s="2855"/>
      <c r="U238" s="2855"/>
      <c r="V238" s="2855"/>
      <c r="W238" s="2855">
        <v>6000</v>
      </c>
    </row>
    <row r="239" spans="1:23" ht="52.8">
      <c r="A239" s="2859"/>
      <c r="B239" s="2860" t="s">
        <v>1705</v>
      </c>
      <c r="C239" s="2859" t="s">
        <v>1607</v>
      </c>
      <c r="D239" s="2859" t="s">
        <v>1664</v>
      </c>
      <c r="E239" s="2859" t="s">
        <v>1544</v>
      </c>
      <c r="F239" s="2859" t="s">
        <v>1706</v>
      </c>
      <c r="G239" s="2855">
        <v>17850</v>
      </c>
      <c r="H239" s="2855"/>
      <c r="I239" s="2855"/>
      <c r="J239" s="2855">
        <v>17850</v>
      </c>
      <c r="K239" s="2850">
        <f>SUM(L239:N239)</f>
        <v>0</v>
      </c>
      <c r="L239" s="2855"/>
      <c r="M239" s="2855"/>
      <c r="N239" s="2855"/>
      <c r="O239" s="2850">
        <f>SUM(P239:R239)</f>
        <v>600</v>
      </c>
      <c r="P239" s="2855"/>
      <c r="Q239" s="2855"/>
      <c r="R239" s="2855">
        <v>600</v>
      </c>
      <c r="S239" s="2850">
        <f>SUM(T239:W239)</f>
        <v>7500</v>
      </c>
      <c r="T239" s="2855"/>
      <c r="U239" s="2855"/>
      <c r="V239" s="2855"/>
      <c r="W239" s="2855">
        <v>7500</v>
      </c>
    </row>
    <row r="240" spans="1:23" ht="52.8">
      <c r="A240" s="2859"/>
      <c r="B240" s="2860" t="s">
        <v>1707</v>
      </c>
      <c r="C240" s="2859" t="s">
        <v>1607</v>
      </c>
      <c r="D240" s="2859" t="s">
        <v>1708</v>
      </c>
      <c r="E240" s="2859" t="s">
        <v>1544</v>
      </c>
      <c r="F240" s="2859" t="s">
        <v>1709</v>
      </c>
      <c r="G240" s="2855">
        <v>2415</v>
      </c>
      <c r="H240" s="2855"/>
      <c r="I240" s="2855"/>
      <c r="J240" s="2855">
        <v>2415</v>
      </c>
      <c r="K240" s="2850">
        <f>SUM(L240:N240)</f>
        <v>0</v>
      </c>
      <c r="L240" s="2855"/>
      <c r="M240" s="2855"/>
      <c r="N240" s="2855"/>
      <c r="O240" s="2850">
        <f>SUM(P240:R240)</f>
        <v>0</v>
      </c>
      <c r="P240" s="2855"/>
      <c r="Q240" s="2855"/>
      <c r="R240" s="2855"/>
      <c r="S240" s="2850">
        <f>SUM(T240:W240)</f>
        <v>2300</v>
      </c>
      <c r="T240" s="2855"/>
      <c r="U240" s="2855"/>
      <c r="V240" s="2855"/>
      <c r="W240" s="2855">
        <v>2300</v>
      </c>
    </row>
    <row r="241" spans="1:23" s="2834" customFormat="1">
      <c r="A241" s="2831">
        <v>4</v>
      </c>
      <c r="B241" s="2832" t="s">
        <v>1520</v>
      </c>
      <c r="C241" s="2831"/>
      <c r="D241" s="2831"/>
      <c r="E241" s="2831"/>
      <c r="F241" s="2831"/>
      <c r="G241" s="2833">
        <f>G243</f>
        <v>46808</v>
      </c>
      <c r="H241" s="2833">
        <f t="shared" ref="H241:W241" si="90">H243</f>
        <v>0</v>
      </c>
      <c r="I241" s="2833">
        <f t="shared" si="90"/>
        <v>0</v>
      </c>
      <c r="J241" s="2833">
        <f t="shared" si="90"/>
        <v>46808</v>
      </c>
      <c r="K241" s="2833">
        <f t="shared" si="90"/>
        <v>8947</v>
      </c>
      <c r="L241" s="2833">
        <f t="shared" si="90"/>
        <v>0</v>
      </c>
      <c r="M241" s="2833">
        <f t="shared" si="90"/>
        <v>0</v>
      </c>
      <c r="N241" s="2833">
        <f t="shared" si="90"/>
        <v>8947</v>
      </c>
      <c r="O241" s="2833">
        <f t="shared" si="90"/>
        <v>2100</v>
      </c>
      <c r="P241" s="2833">
        <f t="shared" si="90"/>
        <v>0</v>
      </c>
      <c r="Q241" s="2833">
        <f t="shared" si="90"/>
        <v>0</v>
      </c>
      <c r="R241" s="2833">
        <f t="shared" si="90"/>
        <v>2100</v>
      </c>
      <c r="S241" s="2833">
        <f t="shared" si="90"/>
        <v>25500</v>
      </c>
      <c r="T241" s="2833">
        <f t="shared" si="90"/>
        <v>0</v>
      </c>
      <c r="U241" s="2833">
        <f t="shared" si="90"/>
        <v>0</v>
      </c>
      <c r="V241" s="2833">
        <f t="shared" si="90"/>
        <v>0</v>
      </c>
      <c r="W241" s="2833">
        <f t="shared" si="90"/>
        <v>25500</v>
      </c>
    </row>
    <row r="242" spans="1:23" s="2839" customFormat="1">
      <c r="A242" s="2835" t="s">
        <v>200</v>
      </c>
      <c r="B242" s="2836" t="s">
        <v>1197</v>
      </c>
      <c r="C242" s="2835"/>
      <c r="D242" s="2835"/>
      <c r="E242" s="2835"/>
      <c r="F242" s="2835"/>
      <c r="G242" s="2837"/>
      <c r="H242" s="2837"/>
      <c r="I242" s="2837"/>
      <c r="J242" s="2837"/>
      <c r="K242" s="2837"/>
      <c r="L242" s="2837"/>
      <c r="M242" s="2837"/>
      <c r="N242" s="2837"/>
      <c r="O242" s="2837"/>
      <c r="P242" s="2837"/>
      <c r="Q242" s="2837"/>
      <c r="R242" s="2837"/>
      <c r="S242" s="2837"/>
      <c r="T242" s="2837"/>
      <c r="U242" s="2837"/>
      <c r="V242" s="2837"/>
      <c r="W242" s="2838"/>
    </row>
    <row r="243" spans="1:23" s="2839" customFormat="1">
      <c r="A243" s="2835" t="s">
        <v>208</v>
      </c>
      <c r="B243" s="2836" t="s">
        <v>1198</v>
      </c>
      <c r="C243" s="2835"/>
      <c r="D243" s="2835"/>
      <c r="E243" s="2835"/>
      <c r="F243" s="2835"/>
      <c r="G243" s="2837">
        <f>G245</f>
        <v>46808</v>
      </c>
      <c r="H243" s="2837">
        <f t="shared" ref="H243:W243" si="91">H245</f>
        <v>0</v>
      </c>
      <c r="I243" s="2837">
        <f t="shared" si="91"/>
        <v>0</v>
      </c>
      <c r="J243" s="2837">
        <f t="shared" si="91"/>
        <v>46808</v>
      </c>
      <c r="K243" s="2837">
        <f t="shared" si="91"/>
        <v>8947</v>
      </c>
      <c r="L243" s="2837">
        <f t="shared" si="91"/>
        <v>0</v>
      </c>
      <c r="M243" s="2837">
        <f t="shared" si="91"/>
        <v>0</v>
      </c>
      <c r="N243" s="2837">
        <f t="shared" si="91"/>
        <v>8947</v>
      </c>
      <c r="O243" s="2837">
        <f t="shared" si="91"/>
        <v>2100</v>
      </c>
      <c r="P243" s="2837">
        <f t="shared" si="91"/>
        <v>0</v>
      </c>
      <c r="Q243" s="2837">
        <f t="shared" si="91"/>
        <v>0</v>
      </c>
      <c r="R243" s="2837">
        <f t="shared" si="91"/>
        <v>2100</v>
      </c>
      <c r="S243" s="2837">
        <f t="shared" si="91"/>
        <v>25500</v>
      </c>
      <c r="T243" s="2837">
        <f t="shared" si="91"/>
        <v>0</v>
      </c>
      <c r="U243" s="2837">
        <f t="shared" si="91"/>
        <v>0</v>
      </c>
      <c r="V243" s="2837">
        <f t="shared" si="91"/>
        <v>0</v>
      </c>
      <c r="W243" s="2837">
        <f t="shared" si="91"/>
        <v>25500</v>
      </c>
    </row>
    <row r="244" spans="1:23" s="2844" customFormat="1" ht="52.8">
      <c r="A244" s="2840" t="s">
        <v>441</v>
      </c>
      <c r="B244" s="2841" t="s">
        <v>1540</v>
      </c>
      <c r="C244" s="2840"/>
      <c r="D244" s="2840"/>
      <c r="E244" s="2840"/>
      <c r="F244" s="2840"/>
      <c r="G244" s="2842"/>
      <c r="H244" s="2842"/>
      <c r="I244" s="2842"/>
      <c r="J244" s="2842"/>
      <c r="K244" s="2842"/>
      <c r="L244" s="2842"/>
      <c r="M244" s="2842"/>
      <c r="N244" s="2842"/>
      <c r="O244" s="2842"/>
      <c r="P244" s="2842"/>
      <c r="Q244" s="2842"/>
      <c r="R244" s="2842"/>
      <c r="S244" s="2842"/>
      <c r="T244" s="2842"/>
      <c r="U244" s="2842"/>
      <c r="V244" s="2842"/>
      <c r="W244" s="2843"/>
    </row>
    <row r="245" spans="1:23" s="2847" customFormat="1" ht="26.4">
      <c r="A245" s="2845" t="s">
        <v>463</v>
      </c>
      <c r="B245" s="2841" t="s">
        <v>1541</v>
      </c>
      <c r="C245" s="2845"/>
      <c r="D245" s="2845"/>
      <c r="E245" s="2845"/>
      <c r="F245" s="2845"/>
      <c r="G245" s="2846">
        <f>SUM(G246:G249)</f>
        <v>46808</v>
      </c>
      <c r="H245" s="2846">
        <f t="shared" ref="H245:W245" si="92">SUM(H246:H249)</f>
        <v>0</v>
      </c>
      <c r="I245" s="2846">
        <f t="shared" si="92"/>
        <v>0</v>
      </c>
      <c r="J245" s="2846">
        <f t="shared" si="92"/>
        <v>46808</v>
      </c>
      <c r="K245" s="2846">
        <f t="shared" si="92"/>
        <v>8947</v>
      </c>
      <c r="L245" s="2846">
        <f t="shared" si="92"/>
        <v>0</v>
      </c>
      <c r="M245" s="2846">
        <f t="shared" si="92"/>
        <v>0</v>
      </c>
      <c r="N245" s="2846">
        <f t="shared" si="92"/>
        <v>8947</v>
      </c>
      <c r="O245" s="2846">
        <f t="shared" si="92"/>
        <v>2100</v>
      </c>
      <c r="P245" s="2846">
        <f t="shared" si="92"/>
        <v>0</v>
      </c>
      <c r="Q245" s="2846">
        <f t="shared" si="92"/>
        <v>0</v>
      </c>
      <c r="R245" s="2846">
        <f t="shared" si="92"/>
        <v>2100</v>
      </c>
      <c r="S245" s="2846">
        <f t="shared" si="92"/>
        <v>25500</v>
      </c>
      <c r="T245" s="2846">
        <f t="shared" si="92"/>
        <v>0</v>
      </c>
      <c r="U245" s="2846">
        <f t="shared" si="92"/>
        <v>0</v>
      </c>
      <c r="V245" s="2846">
        <f t="shared" si="92"/>
        <v>0</v>
      </c>
      <c r="W245" s="2846">
        <f t="shared" si="92"/>
        <v>25500</v>
      </c>
    </row>
    <row r="246" spans="1:23" ht="79.2">
      <c r="A246" s="2848"/>
      <c r="B246" s="2849" t="s">
        <v>1710</v>
      </c>
      <c r="C246" s="2848" t="s">
        <v>31</v>
      </c>
      <c r="D246" s="2848" t="s">
        <v>1664</v>
      </c>
      <c r="E246" s="2848" t="s">
        <v>1656</v>
      </c>
      <c r="F246" s="2848" t="s">
        <v>1711</v>
      </c>
      <c r="G246" s="2850">
        <v>19615</v>
      </c>
      <c r="H246" s="2850"/>
      <c r="I246" s="2850"/>
      <c r="J246" s="2850">
        <v>19615</v>
      </c>
      <c r="K246" s="2850">
        <f>SUM(L246:N246)</f>
        <v>8947</v>
      </c>
      <c r="L246" s="2850"/>
      <c r="M246" s="2850"/>
      <c r="N246" s="2850">
        <v>8947</v>
      </c>
      <c r="O246" s="2850">
        <f>SUM(P246:R246)</f>
        <v>1000</v>
      </c>
      <c r="P246" s="2850"/>
      <c r="Q246" s="2850"/>
      <c r="R246" s="2850">
        <v>1000</v>
      </c>
      <c r="S246" s="2850">
        <f>SUM(T246:W246)</f>
        <v>10500</v>
      </c>
      <c r="T246" s="2850"/>
      <c r="U246" s="2850"/>
      <c r="V246" s="2850"/>
      <c r="W246" s="2855">
        <v>10500</v>
      </c>
    </row>
    <row r="247" spans="1:23" ht="52.8">
      <c r="A247" s="2848"/>
      <c r="B247" s="2849" t="s">
        <v>1712</v>
      </c>
      <c r="C247" s="2848" t="s">
        <v>31</v>
      </c>
      <c r="D247" s="2848" t="s">
        <v>1664</v>
      </c>
      <c r="E247" s="2848" t="s">
        <v>1544</v>
      </c>
      <c r="F247" s="2848"/>
      <c r="G247" s="2850">
        <v>10000</v>
      </c>
      <c r="H247" s="2850"/>
      <c r="I247" s="2850"/>
      <c r="J247" s="2850">
        <v>10000</v>
      </c>
      <c r="K247" s="2850">
        <f>SUM(L247:N247)</f>
        <v>0</v>
      </c>
      <c r="L247" s="2850"/>
      <c r="M247" s="2850"/>
      <c r="N247" s="2850"/>
      <c r="O247" s="2850">
        <f>SUM(P247:R247)</f>
        <v>400</v>
      </c>
      <c r="P247" s="2850"/>
      <c r="Q247" s="2850"/>
      <c r="R247" s="2850">
        <v>400</v>
      </c>
      <c r="S247" s="2850">
        <f>SUM(T247:W247)</f>
        <v>6000</v>
      </c>
      <c r="T247" s="2850"/>
      <c r="U247" s="2850"/>
      <c r="V247" s="2850"/>
      <c r="W247" s="2850">
        <v>6000</v>
      </c>
    </row>
    <row r="248" spans="1:23" ht="52.8">
      <c r="A248" s="2848"/>
      <c r="B248" s="2849" t="s">
        <v>1713</v>
      </c>
      <c r="C248" s="2848" t="s">
        <v>31</v>
      </c>
      <c r="D248" s="2848" t="s">
        <v>1664</v>
      </c>
      <c r="E248" s="2848" t="s">
        <v>1544</v>
      </c>
      <c r="F248" s="2848"/>
      <c r="G248" s="2850">
        <v>14993</v>
      </c>
      <c r="H248" s="2850"/>
      <c r="I248" s="2850"/>
      <c r="J248" s="2850">
        <v>14993</v>
      </c>
      <c r="K248" s="2850">
        <f>SUM(L248:N248)</f>
        <v>0</v>
      </c>
      <c r="L248" s="2850"/>
      <c r="M248" s="2850"/>
      <c r="N248" s="2850"/>
      <c r="O248" s="2850">
        <f>SUM(P248:R248)</f>
        <v>700</v>
      </c>
      <c r="P248" s="2850"/>
      <c r="Q248" s="2850"/>
      <c r="R248" s="2850">
        <v>700</v>
      </c>
      <c r="S248" s="2850">
        <f>SUM(T248:W248)</f>
        <v>7000</v>
      </c>
      <c r="T248" s="2850"/>
      <c r="U248" s="2850"/>
      <c r="V248" s="2850"/>
      <c r="W248" s="2850">
        <v>7000</v>
      </c>
    </row>
    <row r="249" spans="1:23" ht="52.8">
      <c r="A249" s="2848"/>
      <c r="B249" s="2849" t="s">
        <v>1714</v>
      </c>
      <c r="C249" s="2848" t="s">
        <v>31</v>
      </c>
      <c r="D249" s="2848" t="s">
        <v>1708</v>
      </c>
      <c r="E249" s="2848" t="s">
        <v>1544</v>
      </c>
      <c r="F249" s="2848" t="s">
        <v>1715</v>
      </c>
      <c r="G249" s="2850">
        <v>2200</v>
      </c>
      <c r="H249" s="2850"/>
      <c r="I249" s="2850"/>
      <c r="J249" s="2850">
        <v>2200</v>
      </c>
      <c r="K249" s="2850">
        <f>SUM(L249:N249)</f>
        <v>0</v>
      </c>
      <c r="L249" s="2850"/>
      <c r="M249" s="2850"/>
      <c r="N249" s="2850"/>
      <c r="O249" s="2850">
        <f>SUM(P249:R249)</f>
        <v>0</v>
      </c>
      <c r="P249" s="2850"/>
      <c r="Q249" s="2850"/>
      <c r="R249" s="2850"/>
      <c r="S249" s="2850">
        <f>SUM(T249:W249)</f>
        <v>2000</v>
      </c>
      <c r="T249" s="2850"/>
      <c r="U249" s="2850"/>
      <c r="V249" s="2850"/>
      <c r="W249" s="2850">
        <v>2000</v>
      </c>
    </row>
    <row r="250" spans="1:23" s="2834" customFormat="1">
      <c r="A250" s="2831">
        <v>5</v>
      </c>
      <c r="B250" s="2832" t="s">
        <v>1526</v>
      </c>
      <c r="C250" s="2831"/>
      <c r="D250" s="2831"/>
      <c r="E250" s="2831"/>
      <c r="F250" s="2831"/>
      <c r="G250" s="2833">
        <f>G252</f>
        <v>60940</v>
      </c>
      <c r="H250" s="2833">
        <f t="shared" ref="H250:W250" si="93">H252</f>
        <v>0</v>
      </c>
      <c r="I250" s="2833">
        <f t="shared" si="93"/>
        <v>0</v>
      </c>
      <c r="J250" s="2833">
        <f t="shared" si="93"/>
        <v>60940</v>
      </c>
      <c r="K250" s="2833">
        <f t="shared" si="93"/>
        <v>19970</v>
      </c>
      <c r="L250" s="2833">
        <f t="shared" si="93"/>
        <v>0</v>
      </c>
      <c r="M250" s="2833">
        <f t="shared" si="93"/>
        <v>0</v>
      </c>
      <c r="N250" s="2833">
        <f t="shared" si="93"/>
        <v>19970</v>
      </c>
      <c r="O250" s="2833">
        <f t="shared" si="93"/>
        <v>8600</v>
      </c>
      <c r="P250" s="2833">
        <f t="shared" si="93"/>
        <v>0</v>
      </c>
      <c r="Q250" s="2833">
        <f t="shared" si="93"/>
        <v>0</v>
      </c>
      <c r="R250" s="2833">
        <f t="shared" si="93"/>
        <v>8600</v>
      </c>
      <c r="S250" s="2833">
        <f t="shared" si="93"/>
        <v>32900</v>
      </c>
      <c r="T250" s="2833">
        <f t="shared" si="93"/>
        <v>0</v>
      </c>
      <c r="U250" s="2833">
        <f t="shared" si="93"/>
        <v>0</v>
      </c>
      <c r="V250" s="2833">
        <f t="shared" si="93"/>
        <v>0</v>
      </c>
      <c r="W250" s="2833">
        <f t="shared" si="93"/>
        <v>32900</v>
      </c>
    </row>
    <row r="251" spans="1:23" s="2839" customFormat="1">
      <c r="A251" s="2835" t="s">
        <v>200</v>
      </c>
      <c r="B251" s="2836" t="s">
        <v>1197</v>
      </c>
      <c r="C251" s="2835"/>
      <c r="D251" s="2835"/>
      <c r="E251" s="2835"/>
      <c r="F251" s="2835"/>
      <c r="G251" s="2837"/>
      <c r="H251" s="2837"/>
      <c r="I251" s="2837"/>
      <c r="J251" s="2837"/>
      <c r="K251" s="2837"/>
      <c r="L251" s="2837"/>
      <c r="M251" s="2837"/>
      <c r="N251" s="2837"/>
      <c r="O251" s="2837"/>
      <c r="P251" s="2837"/>
      <c r="Q251" s="2837"/>
      <c r="R251" s="2837"/>
      <c r="S251" s="2837"/>
      <c r="T251" s="2837"/>
      <c r="U251" s="2837"/>
      <c r="V251" s="2837"/>
      <c r="W251" s="2838"/>
    </row>
    <row r="252" spans="1:23" s="2839" customFormat="1">
      <c r="A252" s="2835" t="s">
        <v>208</v>
      </c>
      <c r="B252" s="2836" t="s">
        <v>1198</v>
      </c>
      <c r="C252" s="2835"/>
      <c r="D252" s="2835"/>
      <c r="E252" s="2835"/>
      <c r="F252" s="2835"/>
      <c r="G252" s="2837">
        <f>G254</f>
        <v>60940</v>
      </c>
      <c r="H252" s="2837">
        <f t="shared" ref="H252:W252" si="94">H254</f>
        <v>0</v>
      </c>
      <c r="I252" s="2837">
        <f t="shared" si="94"/>
        <v>0</v>
      </c>
      <c r="J252" s="2837">
        <f t="shared" si="94"/>
        <v>60940</v>
      </c>
      <c r="K252" s="2837">
        <f t="shared" si="94"/>
        <v>19970</v>
      </c>
      <c r="L252" s="2837">
        <f t="shared" si="94"/>
        <v>0</v>
      </c>
      <c r="M252" s="2837">
        <f t="shared" si="94"/>
        <v>0</v>
      </c>
      <c r="N252" s="2837">
        <f t="shared" si="94"/>
        <v>19970</v>
      </c>
      <c r="O252" s="2837">
        <f t="shared" si="94"/>
        <v>8600</v>
      </c>
      <c r="P252" s="2837">
        <f t="shared" si="94"/>
        <v>0</v>
      </c>
      <c r="Q252" s="2837">
        <f t="shared" si="94"/>
        <v>0</v>
      </c>
      <c r="R252" s="2837">
        <f t="shared" si="94"/>
        <v>8600</v>
      </c>
      <c r="S252" s="2837">
        <f t="shared" si="94"/>
        <v>32900</v>
      </c>
      <c r="T252" s="2837">
        <f t="shared" si="94"/>
        <v>0</v>
      </c>
      <c r="U252" s="2837">
        <f t="shared" si="94"/>
        <v>0</v>
      </c>
      <c r="V252" s="2837">
        <f t="shared" si="94"/>
        <v>0</v>
      </c>
      <c r="W252" s="2837">
        <f t="shared" si="94"/>
        <v>32900</v>
      </c>
    </row>
    <row r="253" spans="1:23" s="2844" customFormat="1" ht="52.8">
      <c r="A253" s="2840" t="s">
        <v>441</v>
      </c>
      <c r="B253" s="2841" t="s">
        <v>1540</v>
      </c>
      <c r="C253" s="2840"/>
      <c r="D253" s="2840"/>
      <c r="E253" s="2840"/>
      <c r="F253" s="2840"/>
      <c r="G253" s="2842"/>
      <c r="H253" s="2842"/>
      <c r="I253" s="2842"/>
      <c r="J253" s="2842"/>
      <c r="K253" s="2842"/>
      <c r="L253" s="2842"/>
      <c r="M253" s="2842"/>
      <c r="N253" s="2842"/>
      <c r="O253" s="2842"/>
      <c r="P253" s="2842"/>
      <c r="Q253" s="2842"/>
      <c r="R253" s="2842"/>
      <c r="S253" s="2842"/>
      <c r="T253" s="2842"/>
      <c r="U253" s="2842"/>
      <c r="V253" s="2842"/>
      <c r="W253" s="2843"/>
    </row>
    <row r="254" spans="1:23" s="2847" customFormat="1" ht="26.4">
      <c r="A254" s="2845" t="s">
        <v>463</v>
      </c>
      <c r="B254" s="2841" t="s">
        <v>1541</v>
      </c>
      <c r="C254" s="2845"/>
      <c r="D254" s="2845"/>
      <c r="E254" s="2845"/>
      <c r="F254" s="2845"/>
      <c r="G254" s="2846">
        <f>SUM(G255:G258)</f>
        <v>60940</v>
      </c>
      <c r="H254" s="2846">
        <f t="shared" ref="H254:W254" si="95">SUM(H255:H258)</f>
        <v>0</v>
      </c>
      <c r="I254" s="2846">
        <f t="shared" si="95"/>
        <v>0</v>
      </c>
      <c r="J254" s="2846">
        <f t="shared" si="95"/>
        <v>60940</v>
      </c>
      <c r="K254" s="2846">
        <f t="shared" si="95"/>
        <v>19970</v>
      </c>
      <c r="L254" s="2846">
        <f t="shared" si="95"/>
        <v>0</v>
      </c>
      <c r="M254" s="2846">
        <f t="shared" si="95"/>
        <v>0</v>
      </c>
      <c r="N254" s="2846">
        <f t="shared" si="95"/>
        <v>19970</v>
      </c>
      <c r="O254" s="2846">
        <f t="shared" si="95"/>
        <v>8600</v>
      </c>
      <c r="P254" s="2846">
        <f t="shared" si="95"/>
        <v>0</v>
      </c>
      <c r="Q254" s="2846">
        <f t="shared" si="95"/>
        <v>0</v>
      </c>
      <c r="R254" s="2846">
        <f t="shared" si="95"/>
        <v>8600</v>
      </c>
      <c r="S254" s="2846">
        <f t="shared" si="95"/>
        <v>32900</v>
      </c>
      <c r="T254" s="2846">
        <f t="shared" si="95"/>
        <v>0</v>
      </c>
      <c r="U254" s="2846">
        <f t="shared" si="95"/>
        <v>0</v>
      </c>
      <c r="V254" s="2846">
        <f t="shared" si="95"/>
        <v>0</v>
      </c>
      <c r="W254" s="2846">
        <f t="shared" si="95"/>
        <v>32900</v>
      </c>
    </row>
    <row r="255" spans="1:23" ht="92.4">
      <c r="A255" s="2848"/>
      <c r="B255" s="2849" t="s">
        <v>1716</v>
      </c>
      <c r="C255" s="2848" t="s">
        <v>30</v>
      </c>
      <c r="D255" s="2848" t="s">
        <v>1664</v>
      </c>
      <c r="E255" s="2848" t="s">
        <v>1656</v>
      </c>
      <c r="F255" s="2848" t="s">
        <v>1717</v>
      </c>
      <c r="G255" s="2850">
        <v>29440</v>
      </c>
      <c r="H255" s="2850"/>
      <c r="I255" s="2850"/>
      <c r="J255" s="2850">
        <v>29440</v>
      </c>
      <c r="K255" s="2850">
        <f>SUM(L255:N255)</f>
        <v>19970</v>
      </c>
      <c r="L255" s="2850"/>
      <c r="M255" s="2850"/>
      <c r="N255" s="2850">
        <v>19970</v>
      </c>
      <c r="O255" s="2850">
        <f>SUM(P255:R255)</f>
        <v>8000</v>
      </c>
      <c r="P255" s="2850"/>
      <c r="Q255" s="2850"/>
      <c r="R255" s="2850">
        <v>8000</v>
      </c>
      <c r="S255" s="2850">
        <f>SUM(T255:W255)</f>
        <v>17000</v>
      </c>
      <c r="T255" s="2850"/>
      <c r="U255" s="2850"/>
      <c r="V255" s="2850"/>
      <c r="W255" s="2850">
        <v>17000</v>
      </c>
    </row>
    <row r="256" spans="1:23" ht="52.8">
      <c r="A256" s="2848"/>
      <c r="B256" s="2849" t="s">
        <v>1718</v>
      </c>
      <c r="C256" s="2848" t="s">
        <v>30</v>
      </c>
      <c r="D256" s="2848" t="s">
        <v>1664</v>
      </c>
      <c r="E256" s="2848" t="s">
        <v>1544</v>
      </c>
      <c r="F256" s="2848"/>
      <c r="G256" s="2850">
        <v>14000</v>
      </c>
      <c r="H256" s="2850"/>
      <c r="I256" s="2850"/>
      <c r="J256" s="2850">
        <v>14000</v>
      </c>
      <c r="K256" s="2850">
        <f>SUM(L256:N256)</f>
        <v>0</v>
      </c>
      <c r="L256" s="2850"/>
      <c r="M256" s="2850"/>
      <c r="N256" s="2850"/>
      <c r="O256" s="2850">
        <f>SUM(P256:R256)</f>
        <v>300</v>
      </c>
      <c r="P256" s="2850"/>
      <c r="Q256" s="2850"/>
      <c r="R256" s="2850">
        <v>300</v>
      </c>
      <c r="S256" s="2850">
        <f>SUM(T256:W256)</f>
        <v>7000</v>
      </c>
      <c r="T256" s="2850"/>
      <c r="U256" s="2850"/>
      <c r="V256" s="2850"/>
      <c r="W256" s="2855">
        <v>7000</v>
      </c>
    </row>
    <row r="257" spans="1:23" ht="52.8">
      <c r="A257" s="2848"/>
      <c r="B257" s="2849" t="s">
        <v>1719</v>
      </c>
      <c r="C257" s="2848" t="s">
        <v>30</v>
      </c>
      <c r="D257" s="2848" t="s">
        <v>1664</v>
      </c>
      <c r="E257" s="2848" t="s">
        <v>1544</v>
      </c>
      <c r="F257" s="2848" t="s">
        <v>1720</v>
      </c>
      <c r="G257" s="2850">
        <v>16000</v>
      </c>
      <c r="H257" s="2850"/>
      <c r="I257" s="2850"/>
      <c r="J257" s="2850">
        <v>16000</v>
      </c>
      <c r="K257" s="2850">
        <f>SUM(L257:N257)</f>
        <v>0</v>
      </c>
      <c r="L257" s="2850"/>
      <c r="M257" s="2850"/>
      <c r="N257" s="2850"/>
      <c r="O257" s="2850">
        <f>SUM(P257:R257)</f>
        <v>300</v>
      </c>
      <c r="P257" s="2850"/>
      <c r="Q257" s="2850"/>
      <c r="R257" s="2850">
        <v>300</v>
      </c>
      <c r="S257" s="2850">
        <f>SUM(T257:W257)</f>
        <v>7500</v>
      </c>
      <c r="T257" s="2850"/>
      <c r="U257" s="2850"/>
      <c r="V257" s="2850"/>
      <c r="W257" s="2855">
        <v>7500</v>
      </c>
    </row>
    <row r="258" spans="1:23" ht="39.6">
      <c r="A258" s="2848"/>
      <c r="B258" s="2849" t="s">
        <v>1721</v>
      </c>
      <c r="C258" s="2848" t="s">
        <v>30</v>
      </c>
      <c r="D258" s="2848" t="s">
        <v>1722</v>
      </c>
      <c r="E258" s="2848" t="s">
        <v>1544</v>
      </c>
      <c r="F258" s="2848"/>
      <c r="G258" s="2850">
        <v>1500</v>
      </c>
      <c r="H258" s="2850"/>
      <c r="I258" s="2850"/>
      <c r="J258" s="2850">
        <v>1500</v>
      </c>
      <c r="K258" s="2850">
        <f>SUM(L258:N258)</f>
        <v>0</v>
      </c>
      <c r="L258" s="2850"/>
      <c r="M258" s="2850"/>
      <c r="N258" s="2850"/>
      <c r="O258" s="2850">
        <f>SUM(P258:R258)</f>
        <v>0</v>
      </c>
      <c r="P258" s="2850"/>
      <c r="Q258" s="2850"/>
      <c r="R258" s="2850"/>
      <c r="S258" s="2850">
        <f>SUM(T258:W258)</f>
        <v>1400</v>
      </c>
      <c r="T258" s="2850"/>
      <c r="U258" s="2850"/>
      <c r="V258" s="2850"/>
      <c r="W258" s="2855">
        <v>1400</v>
      </c>
    </row>
    <row r="259" spans="1:23" s="2834" customFormat="1">
      <c r="A259" s="2831">
        <v>6</v>
      </c>
      <c r="B259" s="2832" t="s">
        <v>1523</v>
      </c>
      <c r="C259" s="2831"/>
      <c r="D259" s="2831"/>
      <c r="E259" s="2831"/>
      <c r="F259" s="2831"/>
      <c r="G259" s="2833">
        <f>G261</f>
        <v>75811</v>
      </c>
      <c r="H259" s="2833">
        <f t="shared" ref="H259:W259" si="96">H261</f>
        <v>0</v>
      </c>
      <c r="I259" s="2833">
        <f t="shared" si="96"/>
        <v>0</v>
      </c>
      <c r="J259" s="2833">
        <f t="shared" si="96"/>
        <v>75811</v>
      </c>
      <c r="K259" s="2833">
        <f t="shared" si="96"/>
        <v>16462</v>
      </c>
      <c r="L259" s="2833">
        <f t="shared" si="96"/>
        <v>0</v>
      </c>
      <c r="M259" s="2833">
        <f t="shared" si="96"/>
        <v>0</v>
      </c>
      <c r="N259" s="2833">
        <f t="shared" si="96"/>
        <v>16462</v>
      </c>
      <c r="O259" s="2833">
        <f t="shared" si="96"/>
        <v>11300</v>
      </c>
      <c r="P259" s="2833">
        <f t="shared" si="96"/>
        <v>0</v>
      </c>
      <c r="Q259" s="2833">
        <f t="shared" si="96"/>
        <v>0</v>
      </c>
      <c r="R259" s="2833">
        <f t="shared" si="96"/>
        <v>11300</v>
      </c>
      <c r="S259" s="2833">
        <f t="shared" si="96"/>
        <v>38300</v>
      </c>
      <c r="T259" s="2833">
        <f t="shared" si="96"/>
        <v>0</v>
      </c>
      <c r="U259" s="2833">
        <f t="shared" si="96"/>
        <v>0</v>
      </c>
      <c r="V259" s="2833">
        <f t="shared" si="96"/>
        <v>0</v>
      </c>
      <c r="W259" s="2833">
        <f t="shared" si="96"/>
        <v>38300</v>
      </c>
    </row>
    <row r="260" spans="1:23" s="2839" customFormat="1">
      <c r="A260" s="2835" t="s">
        <v>200</v>
      </c>
      <c r="B260" s="2836" t="s">
        <v>1197</v>
      </c>
      <c r="C260" s="2835"/>
      <c r="D260" s="2835"/>
      <c r="E260" s="2835"/>
      <c r="F260" s="2835"/>
      <c r="G260" s="2837"/>
      <c r="H260" s="2837"/>
      <c r="I260" s="2837"/>
      <c r="J260" s="2837"/>
      <c r="K260" s="2837"/>
      <c r="L260" s="2837"/>
      <c r="M260" s="2837"/>
      <c r="N260" s="2837"/>
      <c r="O260" s="2837"/>
      <c r="P260" s="2837"/>
      <c r="Q260" s="2837"/>
      <c r="R260" s="2837"/>
      <c r="S260" s="2837"/>
      <c r="T260" s="2837"/>
      <c r="U260" s="2837"/>
      <c r="V260" s="2837"/>
      <c r="W260" s="2838"/>
    </row>
    <row r="261" spans="1:23" s="2839" customFormat="1">
      <c r="A261" s="2835" t="s">
        <v>208</v>
      </c>
      <c r="B261" s="2836" t="s">
        <v>1198</v>
      </c>
      <c r="C261" s="2835"/>
      <c r="D261" s="2835"/>
      <c r="E261" s="2835"/>
      <c r="F261" s="2835"/>
      <c r="G261" s="2837">
        <f>G263</f>
        <v>75811</v>
      </c>
      <c r="H261" s="2837">
        <f t="shared" ref="H261:W261" si="97">H263</f>
        <v>0</v>
      </c>
      <c r="I261" s="2837">
        <f t="shared" si="97"/>
        <v>0</v>
      </c>
      <c r="J261" s="2837">
        <f t="shared" si="97"/>
        <v>75811</v>
      </c>
      <c r="K261" s="2837">
        <f t="shared" si="97"/>
        <v>16462</v>
      </c>
      <c r="L261" s="2837">
        <f t="shared" si="97"/>
        <v>0</v>
      </c>
      <c r="M261" s="2837">
        <f t="shared" si="97"/>
        <v>0</v>
      </c>
      <c r="N261" s="2837">
        <f t="shared" si="97"/>
        <v>16462</v>
      </c>
      <c r="O261" s="2837">
        <f t="shared" si="97"/>
        <v>11300</v>
      </c>
      <c r="P261" s="2837">
        <f t="shared" si="97"/>
        <v>0</v>
      </c>
      <c r="Q261" s="2837">
        <f t="shared" si="97"/>
        <v>0</v>
      </c>
      <c r="R261" s="2837">
        <f t="shared" si="97"/>
        <v>11300</v>
      </c>
      <c r="S261" s="2837">
        <f t="shared" si="97"/>
        <v>38300</v>
      </c>
      <c r="T261" s="2837">
        <f t="shared" si="97"/>
        <v>0</v>
      </c>
      <c r="U261" s="2837">
        <f t="shared" si="97"/>
        <v>0</v>
      </c>
      <c r="V261" s="2837">
        <f t="shared" si="97"/>
        <v>0</v>
      </c>
      <c r="W261" s="2837">
        <f t="shared" si="97"/>
        <v>38300</v>
      </c>
    </row>
    <row r="262" spans="1:23" s="2844" customFormat="1" ht="52.8">
      <c r="A262" s="2840" t="s">
        <v>441</v>
      </c>
      <c r="B262" s="2841" t="s">
        <v>1540</v>
      </c>
      <c r="C262" s="2840"/>
      <c r="D262" s="2840"/>
      <c r="E262" s="2840"/>
      <c r="F262" s="2840"/>
      <c r="G262" s="2842"/>
      <c r="H262" s="2842"/>
      <c r="I262" s="2842"/>
      <c r="J262" s="2842"/>
      <c r="K262" s="2842"/>
      <c r="L262" s="2842"/>
      <c r="M262" s="2842"/>
      <c r="N262" s="2842"/>
      <c r="O262" s="2842"/>
      <c r="P262" s="2842"/>
      <c r="Q262" s="2842"/>
      <c r="R262" s="2842"/>
      <c r="S262" s="2842"/>
      <c r="T262" s="2842"/>
      <c r="U262" s="2842"/>
      <c r="V262" s="2842"/>
      <c r="W262" s="2843"/>
    </row>
    <row r="263" spans="1:23" s="2847" customFormat="1" ht="26.4">
      <c r="A263" s="2845" t="s">
        <v>463</v>
      </c>
      <c r="B263" s="2841" t="s">
        <v>1541</v>
      </c>
      <c r="C263" s="2845"/>
      <c r="D263" s="2845"/>
      <c r="E263" s="2845"/>
      <c r="F263" s="2845"/>
      <c r="G263" s="2846">
        <f>SUM(G264:G267)</f>
        <v>75811</v>
      </c>
      <c r="H263" s="2846">
        <f t="shared" ref="H263:W263" si="98">SUM(H264:H267)</f>
        <v>0</v>
      </c>
      <c r="I263" s="2846">
        <f t="shared" si="98"/>
        <v>0</v>
      </c>
      <c r="J263" s="2846">
        <f t="shared" si="98"/>
        <v>75811</v>
      </c>
      <c r="K263" s="2846">
        <f t="shared" si="98"/>
        <v>16462</v>
      </c>
      <c r="L263" s="2846">
        <f t="shared" si="98"/>
        <v>0</v>
      </c>
      <c r="M263" s="2846">
        <f t="shared" si="98"/>
        <v>0</v>
      </c>
      <c r="N263" s="2846">
        <f t="shared" si="98"/>
        <v>16462</v>
      </c>
      <c r="O263" s="2846">
        <f t="shared" si="98"/>
        <v>11300</v>
      </c>
      <c r="P263" s="2846">
        <f t="shared" si="98"/>
        <v>0</v>
      </c>
      <c r="Q263" s="2846">
        <f t="shared" si="98"/>
        <v>0</v>
      </c>
      <c r="R263" s="2846">
        <f t="shared" si="98"/>
        <v>11300</v>
      </c>
      <c r="S263" s="2846">
        <f t="shared" si="98"/>
        <v>38300</v>
      </c>
      <c r="T263" s="2846">
        <f t="shared" si="98"/>
        <v>0</v>
      </c>
      <c r="U263" s="2846">
        <f t="shared" si="98"/>
        <v>0</v>
      </c>
      <c r="V263" s="2846">
        <f t="shared" si="98"/>
        <v>0</v>
      </c>
      <c r="W263" s="2846">
        <f t="shared" si="98"/>
        <v>38300</v>
      </c>
    </row>
    <row r="264" spans="1:23" ht="79.2">
      <c r="A264" s="2848"/>
      <c r="B264" s="2849" t="s">
        <v>1723</v>
      </c>
      <c r="C264" s="2848" t="s">
        <v>35</v>
      </c>
      <c r="D264" s="2848" t="s">
        <v>1664</v>
      </c>
      <c r="E264" s="2848" t="s">
        <v>1656</v>
      </c>
      <c r="F264" s="2848" t="s">
        <v>1724</v>
      </c>
      <c r="G264" s="2850">
        <v>29811</v>
      </c>
      <c r="H264" s="2850"/>
      <c r="I264" s="2850"/>
      <c r="J264" s="2850">
        <v>29811</v>
      </c>
      <c r="K264" s="2850">
        <f>SUM(L264:N264)</f>
        <v>16462</v>
      </c>
      <c r="L264" s="2850"/>
      <c r="M264" s="2850"/>
      <c r="N264" s="2850">
        <v>16462</v>
      </c>
      <c r="O264" s="2850">
        <f>SUM(P264:R264)</f>
        <v>9000</v>
      </c>
      <c r="P264" s="2850"/>
      <c r="Q264" s="2850"/>
      <c r="R264" s="2850">
        <v>9000</v>
      </c>
      <c r="S264" s="2850">
        <f>SUM(T264:W264)</f>
        <v>16500</v>
      </c>
      <c r="T264" s="2850"/>
      <c r="U264" s="2850"/>
      <c r="V264" s="2850"/>
      <c r="W264" s="2850">
        <v>16500</v>
      </c>
    </row>
    <row r="265" spans="1:23" ht="52.8">
      <c r="A265" s="2859"/>
      <c r="B265" s="2860" t="s">
        <v>1725</v>
      </c>
      <c r="C265" s="2859" t="s">
        <v>35</v>
      </c>
      <c r="D265" s="2859" t="s">
        <v>1664</v>
      </c>
      <c r="E265" s="2859" t="s">
        <v>1544</v>
      </c>
      <c r="F265" s="2859" t="s">
        <v>1726</v>
      </c>
      <c r="G265" s="2855">
        <v>19000</v>
      </c>
      <c r="H265" s="2855"/>
      <c r="I265" s="2855"/>
      <c r="J265" s="2855">
        <v>19000</v>
      </c>
      <c r="K265" s="2850">
        <f>SUM(L265:N265)</f>
        <v>0</v>
      </c>
      <c r="L265" s="2855"/>
      <c r="M265" s="2855"/>
      <c r="N265" s="2855"/>
      <c r="O265" s="2850">
        <f>SUM(P265:R265)</f>
        <v>1000</v>
      </c>
      <c r="P265" s="2855"/>
      <c r="Q265" s="2855"/>
      <c r="R265" s="2855">
        <v>1000</v>
      </c>
      <c r="S265" s="2850">
        <f>SUM(T265:W265)</f>
        <v>8000</v>
      </c>
      <c r="T265" s="2855"/>
      <c r="U265" s="2855"/>
      <c r="V265" s="2855"/>
      <c r="W265" s="2855">
        <v>8000</v>
      </c>
    </row>
    <row r="266" spans="1:23" ht="52.8">
      <c r="A266" s="2859"/>
      <c r="B266" s="2860" t="s">
        <v>1727</v>
      </c>
      <c r="C266" s="2859" t="s">
        <v>35</v>
      </c>
      <c r="D266" s="2859" t="s">
        <v>1664</v>
      </c>
      <c r="E266" s="2859" t="s">
        <v>1544</v>
      </c>
      <c r="F266" s="2859" t="s">
        <v>1728</v>
      </c>
      <c r="G266" s="2855">
        <v>20000</v>
      </c>
      <c r="H266" s="2855"/>
      <c r="I266" s="2855"/>
      <c r="J266" s="2855">
        <v>20000</v>
      </c>
      <c r="K266" s="2850">
        <f>SUM(L266:N266)</f>
        <v>0</v>
      </c>
      <c r="L266" s="2855"/>
      <c r="M266" s="2855"/>
      <c r="N266" s="2855"/>
      <c r="O266" s="2850">
        <f>SUM(P266:R266)</f>
        <v>1000</v>
      </c>
      <c r="P266" s="2855"/>
      <c r="Q266" s="2855"/>
      <c r="R266" s="2855">
        <v>1000</v>
      </c>
      <c r="S266" s="2850">
        <f>SUM(T266:W266)</f>
        <v>9000</v>
      </c>
      <c r="T266" s="2855"/>
      <c r="U266" s="2855"/>
      <c r="V266" s="2855"/>
      <c r="W266" s="2855">
        <v>9000</v>
      </c>
    </row>
    <row r="267" spans="1:23" ht="26.4">
      <c r="A267" s="2859"/>
      <c r="B267" s="2860" t="s">
        <v>1729</v>
      </c>
      <c r="C267" s="2859" t="s">
        <v>35</v>
      </c>
      <c r="D267" s="2859" t="s">
        <v>1664</v>
      </c>
      <c r="E267" s="2859" t="s">
        <v>1544</v>
      </c>
      <c r="F267" s="2859"/>
      <c r="G267" s="2855">
        <v>7000</v>
      </c>
      <c r="H267" s="2855"/>
      <c r="I267" s="2855"/>
      <c r="J267" s="2855">
        <v>7000</v>
      </c>
      <c r="K267" s="2850">
        <f>SUM(L267:N267)</f>
        <v>0</v>
      </c>
      <c r="L267" s="2855"/>
      <c r="M267" s="2855"/>
      <c r="N267" s="2855"/>
      <c r="O267" s="2850">
        <f>SUM(P267:R267)</f>
        <v>300</v>
      </c>
      <c r="P267" s="2855"/>
      <c r="Q267" s="2855"/>
      <c r="R267" s="2855">
        <v>300</v>
      </c>
      <c r="S267" s="2850">
        <f>SUM(T267:W267)</f>
        <v>4800</v>
      </c>
      <c r="T267" s="2855"/>
      <c r="U267" s="2855"/>
      <c r="V267" s="2855"/>
      <c r="W267" s="2855">
        <v>4800</v>
      </c>
    </row>
    <row r="268" spans="1:23" s="2834" customFormat="1">
      <c r="A268" s="2831">
        <v>7</v>
      </c>
      <c r="B268" s="2832" t="s">
        <v>1521</v>
      </c>
      <c r="C268" s="2831"/>
      <c r="D268" s="2831"/>
      <c r="E268" s="2831"/>
      <c r="F268" s="2831"/>
      <c r="G268" s="2833">
        <f>G270</f>
        <v>29915</v>
      </c>
      <c r="H268" s="2833">
        <f t="shared" ref="H268:W268" si="99">H270</f>
        <v>0</v>
      </c>
      <c r="I268" s="2833">
        <f t="shared" si="99"/>
        <v>0</v>
      </c>
      <c r="J268" s="2833">
        <f t="shared" si="99"/>
        <v>29915</v>
      </c>
      <c r="K268" s="2833">
        <f t="shared" si="99"/>
        <v>0</v>
      </c>
      <c r="L268" s="2833">
        <f t="shared" si="99"/>
        <v>0</v>
      </c>
      <c r="M268" s="2833">
        <f t="shared" si="99"/>
        <v>0</v>
      </c>
      <c r="N268" s="2833">
        <f t="shared" si="99"/>
        <v>0</v>
      </c>
      <c r="O268" s="2833">
        <f t="shared" si="99"/>
        <v>1200</v>
      </c>
      <c r="P268" s="2833">
        <f t="shared" si="99"/>
        <v>0</v>
      </c>
      <c r="Q268" s="2833">
        <f t="shared" si="99"/>
        <v>0</v>
      </c>
      <c r="R268" s="2833">
        <f t="shared" si="99"/>
        <v>1200</v>
      </c>
      <c r="S268" s="2833">
        <f t="shared" si="99"/>
        <v>14900</v>
      </c>
      <c r="T268" s="2833">
        <f t="shared" si="99"/>
        <v>0</v>
      </c>
      <c r="U268" s="2833">
        <f t="shared" si="99"/>
        <v>0</v>
      </c>
      <c r="V268" s="2833">
        <f t="shared" si="99"/>
        <v>0</v>
      </c>
      <c r="W268" s="2833">
        <f t="shared" si="99"/>
        <v>14900</v>
      </c>
    </row>
    <row r="269" spans="1:23" s="2839" customFormat="1">
      <c r="A269" s="2835" t="s">
        <v>200</v>
      </c>
      <c r="B269" s="2836" t="s">
        <v>1197</v>
      </c>
      <c r="C269" s="2835"/>
      <c r="D269" s="2835"/>
      <c r="E269" s="2835"/>
      <c r="F269" s="2835"/>
      <c r="G269" s="2837"/>
      <c r="H269" s="2837"/>
      <c r="I269" s="2837"/>
      <c r="J269" s="2837"/>
      <c r="K269" s="2837"/>
      <c r="L269" s="2837"/>
      <c r="M269" s="2837"/>
      <c r="N269" s="2837"/>
      <c r="O269" s="2837"/>
      <c r="P269" s="2837"/>
      <c r="Q269" s="2837"/>
      <c r="R269" s="2837"/>
      <c r="S269" s="2837"/>
      <c r="T269" s="2837"/>
      <c r="U269" s="2837"/>
      <c r="V269" s="2837"/>
      <c r="W269" s="2838"/>
    </row>
    <row r="270" spans="1:23" s="2839" customFormat="1">
      <c r="A270" s="2835" t="s">
        <v>208</v>
      </c>
      <c r="B270" s="2836" t="s">
        <v>1198</v>
      </c>
      <c r="C270" s="2835"/>
      <c r="D270" s="2835"/>
      <c r="E270" s="2835"/>
      <c r="F270" s="2835"/>
      <c r="G270" s="2837">
        <f>G272</f>
        <v>29915</v>
      </c>
      <c r="H270" s="2837">
        <f t="shared" ref="H270:W270" si="100">H272</f>
        <v>0</v>
      </c>
      <c r="I270" s="2837">
        <f t="shared" si="100"/>
        <v>0</v>
      </c>
      <c r="J270" s="2837">
        <f t="shared" si="100"/>
        <v>29915</v>
      </c>
      <c r="K270" s="2837">
        <f t="shared" si="100"/>
        <v>0</v>
      </c>
      <c r="L270" s="2837">
        <f t="shared" si="100"/>
        <v>0</v>
      </c>
      <c r="M270" s="2837">
        <f t="shared" si="100"/>
        <v>0</v>
      </c>
      <c r="N270" s="2837">
        <f t="shared" si="100"/>
        <v>0</v>
      </c>
      <c r="O270" s="2837">
        <f t="shared" si="100"/>
        <v>1200</v>
      </c>
      <c r="P270" s="2837">
        <f t="shared" si="100"/>
        <v>0</v>
      </c>
      <c r="Q270" s="2837">
        <f t="shared" si="100"/>
        <v>0</v>
      </c>
      <c r="R270" s="2837">
        <f t="shared" si="100"/>
        <v>1200</v>
      </c>
      <c r="S270" s="2837">
        <f t="shared" si="100"/>
        <v>14900</v>
      </c>
      <c r="T270" s="2837">
        <f t="shared" si="100"/>
        <v>0</v>
      </c>
      <c r="U270" s="2837">
        <f t="shared" si="100"/>
        <v>0</v>
      </c>
      <c r="V270" s="2837">
        <f t="shared" si="100"/>
        <v>0</v>
      </c>
      <c r="W270" s="2837">
        <f t="shared" si="100"/>
        <v>14900</v>
      </c>
    </row>
    <row r="271" spans="1:23" s="2844" customFormat="1" ht="52.8">
      <c r="A271" s="2840" t="s">
        <v>441</v>
      </c>
      <c r="B271" s="2841" t="s">
        <v>1540</v>
      </c>
      <c r="C271" s="2840"/>
      <c r="D271" s="2840"/>
      <c r="E271" s="2840"/>
      <c r="F271" s="2840"/>
      <c r="G271" s="2842"/>
      <c r="H271" s="2842"/>
      <c r="I271" s="2842"/>
      <c r="J271" s="2842"/>
      <c r="K271" s="2842"/>
      <c r="L271" s="2842"/>
      <c r="M271" s="2842"/>
      <c r="N271" s="2842"/>
      <c r="O271" s="2842"/>
      <c r="P271" s="2842"/>
      <c r="Q271" s="2842"/>
      <c r="R271" s="2842"/>
      <c r="S271" s="2842"/>
      <c r="T271" s="2842"/>
      <c r="U271" s="2842"/>
      <c r="V271" s="2842"/>
      <c r="W271" s="2843"/>
    </row>
    <row r="272" spans="1:23" s="2847" customFormat="1" ht="26.4">
      <c r="A272" s="2845" t="s">
        <v>463</v>
      </c>
      <c r="B272" s="2841" t="s">
        <v>1541</v>
      </c>
      <c r="C272" s="2845"/>
      <c r="D272" s="2845"/>
      <c r="E272" s="2845"/>
      <c r="F272" s="2845"/>
      <c r="G272" s="2846">
        <f>SUM(G273:G275)</f>
        <v>29915</v>
      </c>
      <c r="H272" s="2846">
        <f t="shared" ref="H272:W272" si="101">SUM(H273:H275)</f>
        <v>0</v>
      </c>
      <c r="I272" s="2846">
        <f t="shared" si="101"/>
        <v>0</v>
      </c>
      <c r="J272" s="2846">
        <f t="shared" si="101"/>
        <v>29915</v>
      </c>
      <c r="K272" s="2846">
        <f t="shared" si="101"/>
        <v>0</v>
      </c>
      <c r="L272" s="2846">
        <f t="shared" si="101"/>
        <v>0</v>
      </c>
      <c r="M272" s="2846">
        <f t="shared" si="101"/>
        <v>0</v>
      </c>
      <c r="N272" s="2846">
        <f t="shared" si="101"/>
        <v>0</v>
      </c>
      <c r="O272" s="2846">
        <f t="shared" si="101"/>
        <v>1200</v>
      </c>
      <c r="P272" s="2846">
        <f t="shared" si="101"/>
        <v>0</v>
      </c>
      <c r="Q272" s="2846">
        <f t="shared" si="101"/>
        <v>0</v>
      </c>
      <c r="R272" s="2846">
        <f t="shared" si="101"/>
        <v>1200</v>
      </c>
      <c r="S272" s="2846">
        <f t="shared" si="101"/>
        <v>14900</v>
      </c>
      <c r="T272" s="2846">
        <f t="shared" si="101"/>
        <v>0</v>
      </c>
      <c r="U272" s="2846">
        <f t="shared" si="101"/>
        <v>0</v>
      </c>
      <c r="V272" s="2846">
        <f t="shared" si="101"/>
        <v>0</v>
      </c>
      <c r="W272" s="2846">
        <f t="shared" si="101"/>
        <v>14900</v>
      </c>
    </row>
    <row r="273" spans="1:23" ht="52.8">
      <c r="A273" s="2848"/>
      <c r="B273" s="2849" t="s">
        <v>1730</v>
      </c>
      <c r="C273" s="2848" t="s">
        <v>1612</v>
      </c>
      <c r="D273" s="2848" t="s">
        <v>1664</v>
      </c>
      <c r="E273" s="2848" t="s">
        <v>1544</v>
      </c>
      <c r="F273" s="2848" t="s">
        <v>1731</v>
      </c>
      <c r="G273" s="2850">
        <v>12959</v>
      </c>
      <c r="H273" s="2850"/>
      <c r="I273" s="2850"/>
      <c r="J273" s="2850">
        <v>12959</v>
      </c>
      <c r="K273" s="2850">
        <f>SUM(L273:N273)</f>
        <v>0</v>
      </c>
      <c r="L273" s="2850"/>
      <c r="M273" s="2850"/>
      <c r="N273" s="2850"/>
      <c r="O273" s="2850">
        <f>SUM(P273:R273)</f>
        <v>600</v>
      </c>
      <c r="P273" s="2850"/>
      <c r="Q273" s="2850"/>
      <c r="R273" s="2850">
        <v>600</v>
      </c>
      <c r="S273" s="2850">
        <f>SUM(T273:W273)</f>
        <v>6000</v>
      </c>
      <c r="T273" s="2850"/>
      <c r="U273" s="2850"/>
      <c r="V273" s="2850"/>
      <c r="W273" s="2850">
        <v>6000</v>
      </c>
    </row>
    <row r="274" spans="1:23" ht="52.8">
      <c r="A274" s="2859"/>
      <c r="B274" s="2860" t="s">
        <v>1732</v>
      </c>
      <c r="C274" s="2859" t="s">
        <v>1612</v>
      </c>
      <c r="D274" s="2859" t="s">
        <v>1664</v>
      </c>
      <c r="E274" s="2859" t="s">
        <v>1544</v>
      </c>
      <c r="F274" s="2859" t="s">
        <v>1733</v>
      </c>
      <c r="G274" s="2855">
        <v>14956</v>
      </c>
      <c r="H274" s="2855"/>
      <c r="I274" s="2855"/>
      <c r="J274" s="2855">
        <v>14956</v>
      </c>
      <c r="K274" s="2850">
        <f>SUM(L274:N274)</f>
        <v>0</v>
      </c>
      <c r="L274" s="2855"/>
      <c r="M274" s="2855"/>
      <c r="N274" s="2855"/>
      <c r="O274" s="2850">
        <f>SUM(P274:R274)</f>
        <v>600</v>
      </c>
      <c r="P274" s="2855"/>
      <c r="Q274" s="2855"/>
      <c r="R274" s="2855">
        <v>600</v>
      </c>
      <c r="S274" s="2850">
        <f>SUM(T274:W274)</f>
        <v>7000</v>
      </c>
      <c r="T274" s="2855"/>
      <c r="U274" s="2855"/>
      <c r="V274" s="2855"/>
      <c r="W274" s="2855">
        <v>7000</v>
      </c>
    </row>
    <row r="275" spans="1:23" s="2868" customFormat="1" ht="39.6">
      <c r="A275" s="2866"/>
      <c r="B275" s="2869" t="s">
        <v>1734</v>
      </c>
      <c r="C275" s="2866" t="s">
        <v>1612</v>
      </c>
      <c r="D275" s="2866" t="s">
        <v>1722</v>
      </c>
      <c r="E275" s="2866" t="s">
        <v>1544</v>
      </c>
      <c r="F275" s="2866" t="s">
        <v>1735</v>
      </c>
      <c r="G275" s="2867">
        <v>2000</v>
      </c>
      <c r="H275" s="2867"/>
      <c r="I275" s="2867"/>
      <c r="J275" s="2867">
        <v>2000</v>
      </c>
      <c r="K275" s="2850">
        <f>SUM(L275:N275)</f>
        <v>0</v>
      </c>
      <c r="L275" s="2867"/>
      <c r="M275" s="2867"/>
      <c r="N275" s="2867"/>
      <c r="O275" s="2850">
        <f>SUM(P275:R275)</f>
        <v>0</v>
      </c>
      <c r="P275" s="2867"/>
      <c r="Q275" s="2867"/>
      <c r="R275" s="2867"/>
      <c r="S275" s="2850">
        <f>SUM(T275:W275)</f>
        <v>1900</v>
      </c>
      <c r="T275" s="2867"/>
      <c r="U275" s="2867"/>
      <c r="V275" s="2867"/>
      <c r="W275" s="2867">
        <v>1900</v>
      </c>
    </row>
    <row r="276" spans="1:23" s="2834" customFormat="1">
      <c r="A276" s="2831">
        <v>8</v>
      </c>
      <c r="B276" s="2832" t="s">
        <v>1525</v>
      </c>
      <c r="C276" s="2831"/>
      <c r="D276" s="2831"/>
      <c r="E276" s="2831"/>
      <c r="F276" s="2831"/>
      <c r="G276" s="2833">
        <f>G278</f>
        <v>26624</v>
      </c>
      <c r="H276" s="2833">
        <f t="shared" ref="H276:W276" si="102">H278</f>
        <v>0</v>
      </c>
      <c r="I276" s="2833">
        <f t="shared" si="102"/>
        <v>0</v>
      </c>
      <c r="J276" s="2833">
        <f t="shared" si="102"/>
        <v>26624</v>
      </c>
      <c r="K276" s="2833">
        <f t="shared" si="102"/>
        <v>0</v>
      </c>
      <c r="L276" s="2833">
        <f t="shared" si="102"/>
        <v>0</v>
      </c>
      <c r="M276" s="2833">
        <f t="shared" si="102"/>
        <v>0</v>
      </c>
      <c r="N276" s="2833">
        <f t="shared" si="102"/>
        <v>0</v>
      </c>
      <c r="O276" s="2833">
        <f t="shared" si="102"/>
        <v>610</v>
      </c>
      <c r="P276" s="2833">
        <f t="shared" si="102"/>
        <v>0</v>
      </c>
      <c r="Q276" s="2833">
        <f t="shared" si="102"/>
        <v>0</v>
      </c>
      <c r="R276" s="2833">
        <f t="shared" si="102"/>
        <v>610</v>
      </c>
      <c r="S276" s="2833">
        <f t="shared" si="102"/>
        <v>15800</v>
      </c>
      <c r="T276" s="2833">
        <f t="shared" si="102"/>
        <v>0</v>
      </c>
      <c r="U276" s="2833">
        <f t="shared" si="102"/>
        <v>0</v>
      </c>
      <c r="V276" s="2833">
        <f t="shared" si="102"/>
        <v>0</v>
      </c>
      <c r="W276" s="2833">
        <f t="shared" si="102"/>
        <v>15800</v>
      </c>
    </row>
    <row r="277" spans="1:23" s="2839" customFormat="1">
      <c r="A277" s="2835" t="s">
        <v>200</v>
      </c>
      <c r="B277" s="2836" t="s">
        <v>1197</v>
      </c>
      <c r="C277" s="2835"/>
      <c r="D277" s="2835"/>
      <c r="E277" s="2835"/>
      <c r="F277" s="2835"/>
      <c r="G277" s="2837"/>
      <c r="H277" s="2837"/>
      <c r="I277" s="2837"/>
      <c r="J277" s="2837"/>
      <c r="K277" s="2837"/>
      <c r="L277" s="2837"/>
      <c r="M277" s="2837"/>
      <c r="N277" s="2837"/>
      <c r="O277" s="2837"/>
      <c r="P277" s="2837"/>
      <c r="Q277" s="2837"/>
      <c r="R277" s="2837"/>
      <c r="S277" s="2837"/>
      <c r="T277" s="2837"/>
      <c r="U277" s="2837"/>
      <c r="V277" s="2837"/>
      <c r="W277" s="2838"/>
    </row>
    <row r="278" spans="1:23" s="2839" customFormat="1">
      <c r="A278" s="2835" t="s">
        <v>208</v>
      </c>
      <c r="B278" s="2836" t="s">
        <v>1198</v>
      </c>
      <c r="C278" s="2835"/>
      <c r="D278" s="2835"/>
      <c r="E278" s="2835"/>
      <c r="F278" s="2835"/>
      <c r="G278" s="2837">
        <f>G280</f>
        <v>26624</v>
      </c>
      <c r="H278" s="2837">
        <f t="shared" ref="H278:W278" si="103">H280</f>
        <v>0</v>
      </c>
      <c r="I278" s="2837">
        <f t="shared" si="103"/>
        <v>0</v>
      </c>
      <c r="J278" s="2837">
        <f t="shared" si="103"/>
        <v>26624</v>
      </c>
      <c r="K278" s="2837">
        <f t="shared" si="103"/>
        <v>0</v>
      </c>
      <c r="L278" s="2837">
        <f t="shared" si="103"/>
        <v>0</v>
      </c>
      <c r="M278" s="2837">
        <f t="shared" si="103"/>
        <v>0</v>
      </c>
      <c r="N278" s="2837">
        <f t="shared" si="103"/>
        <v>0</v>
      </c>
      <c r="O278" s="2837">
        <f t="shared" si="103"/>
        <v>610</v>
      </c>
      <c r="P278" s="2837">
        <f t="shared" si="103"/>
        <v>0</v>
      </c>
      <c r="Q278" s="2837">
        <f t="shared" si="103"/>
        <v>0</v>
      </c>
      <c r="R278" s="2837">
        <f t="shared" si="103"/>
        <v>610</v>
      </c>
      <c r="S278" s="2837">
        <f t="shared" si="103"/>
        <v>15800</v>
      </c>
      <c r="T278" s="2837">
        <f t="shared" si="103"/>
        <v>0</v>
      </c>
      <c r="U278" s="2837">
        <f t="shared" si="103"/>
        <v>0</v>
      </c>
      <c r="V278" s="2837">
        <f t="shared" si="103"/>
        <v>0</v>
      </c>
      <c r="W278" s="2837">
        <f t="shared" si="103"/>
        <v>15800</v>
      </c>
    </row>
    <row r="279" spans="1:23" s="2844" customFormat="1" ht="52.8">
      <c r="A279" s="2840" t="s">
        <v>441</v>
      </c>
      <c r="B279" s="2841" t="s">
        <v>1540</v>
      </c>
      <c r="C279" s="2840"/>
      <c r="D279" s="2840"/>
      <c r="E279" s="2840"/>
      <c r="F279" s="2840"/>
      <c r="G279" s="2842"/>
      <c r="H279" s="2842"/>
      <c r="I279" s="2842"/>
      <c r="J279" s="2842"/>
      <c r="K279" s="2842"/>
      <c r="L279" s="2842"/>
      <c r="M279" s="2842"/>
      <c r="N279" s="2842"/>
      <c r="O279" s="2842"/>
      <c r="P279" s="2842"/>
      <c r="Q279" s="2842"/>
      <c r="R279" s="2842"/>
      <c r="S279" s="2842"/>
      <c r="T279" s="2842"/>
      <c r="U279" s="2842"/>
      <c r="V279" s="2842"/>
      <c r="W279" s="2843"/>
    </row>
    <row r="280" spans="1:23" s="2847" customFormat="1" ht="26.4">
      <c r="A280" s="2845" t="s">
        <v>463</v>
      </c>
      <c r="B280" s="2841" t="s">
        <v>1541</v>
      </c>
      <c r="C280" s="2845"/>
      <c r="D280" s="2845"/>
      <c r="E280" s="2845"/>
      <c r="F280" s="2845"/>
      <c r="G280" s="2846">
        <f>SUM(G281:G283)</f>
        <v>26624</v>
      </c>
      <c r="H280" s="2846">
        <f t="shared" ref="H280:W280" si="104">SUM(H281:H283)</f>
        <v>0</v>
      </c>
      <c r="I280" s="2846">
        <f t="shared" si="104"/>
        <v>0</v>
      </c>
      <c r="J280" s="2846">
        <f t="shared" si="104"/>
        <v>26624</v>
      </c>
      <c r="K280" s="2846">
        <f t="shared" si="104"/>
        <v>0</v>
      </c>
      <c r="L280" s="2846">
        <f t="shared" si="104"/>
        <v>0</v>
      </c>
      <c r="M280" s="2846">
        <f t="shared" si="104"/>
        <v>0</v>
      </c>
      <c r="N280" s="2846">
        <f t="shared" si="104"/>
        <v>0</v>
      </c>
      <c r="O280" s="2846">
        <f t="shared" si="104"/>
        <v>610</v>
      </c>
      <c r="P280" s="2846">
        <f t="shared" si="104"/>
        <v>0</v>
      </c>
      <c r="Q280" s="2846">
        <f t="shared" si="104"/>
        <v>0</v>
      </c>
      <c r="R280" s="2846">
        <f t="shared" si="104"/>
        <v>610</v>
      </c>
      <c r="S280" s="2846">
        <f t="shared" si="104"/>
        <v>15800</v>
      </c>
      <c r="T280" s="2846">
        <f t="shared" si="104"/>
        <v>0</v>
      </c>
      <c r="U280" s="2846">
        <f t="shared" si="104"/>
        <v>0</v>
      </c>
      <c r="V280" s="2846">
        <f t="shared" si="104"/>
        <v>0</v>
      </c>
      <c r="W280" s="2846">
        <f t="shared" si="104"/>
        <v>15800</v>
      </c>
    </row>
    <row r="281" spans="1:23" ht="52.8">
      <c r="A281" s="2848"/>
      <c r="B281" s="2849" t="s">
        <v>1736</v>
      </c>
      <c r="C281" s="2848" t="s">
        <v>32</v>
      </c>
      <c r="D281" s="2848" t="s">
        <v>1664</v>
      </c>
      <c r="E281" s="2848" t="s">
        <v>1544</v>
      </c>
      <c r="F281" s="2848"/>
      <c r="G281" s="2850">
        <v>8000</v>
      </c>
      <c r="H281" s="2850"/>
      <c r="I281" s="2850"/>
      <c r="J281" s="2850">
        <v>8000</v>
      </c>
      <c r="K281" s="2850">
        <f>SUM(L281:N281)</f>
        <v>0</v>
      </c>
      <c r="L281" s="2850"/>
      <c r="M281" s="2850"/>
      <c r="N281" s="2850"/>
      <c r="O281" s="2850">
        <f>SUM(P281:R281)</f>
        <v>150</v>
      </c>
      <c r="P281" s="2850"/>
      <c r="Q281" s="2850"/>
      <c r="R281" s="2850">
        <v>150</v>
      </c>
      <c r="S281" s="2850">
        <f>SUM(T281:W281)</f>
        <v>5000</v>
      </c>
      <c r="T281" s="2850"/>
      <c r="U281" s="2850"/>
      <c r="V281" s="2850"/>
      <c r="W281" s="2855">
        <v>5000</v>
      </c>
    </row>
    <row r="282" spans="1:23" ht="52.8">
      <c r="A282" s="2848"/>
      <c r="B282" s="2849" t="s">
        <v>1737</v>
      </c>
      <c r="C282" s="2848" t="s">
        <v>32</v>
      </c>
      <c r="D282" s="2848" t="s">
        <v>1664</v>
      </c>
      <c r="E282" s="2848" t="s">
        <v>1544</v>
      </c>
      <c r="F282" s="2848" t="s">
        <v>1738</v>
      </c>
      <c r="G282" s="2850">
        <v>11624</v>
      </c>
      <c r="H282" s="2850"/>
      <c r="I282" s="2850"/>
      <c r="J282" s="2850">
        <v>11624</v>
      </c>
      <c r="K282" s="2850">
        <f>SUM(L282:N282)</f>
        <v>0</v>
      </c>
      <c r="L282" s="2850"/>
      <c r="M282" s="2850"/>
      <c r="N282" s="2850"/>
      <c r="O282" s="2850">
        <f>SUM(P282:R282)</f>
        <v>200</v>
      </c>
      <c r="P282" s="2850"/>
      <c r="Q282" s="2850"/>
      <c r="R282" s="2850">
        <v>200</v>
      </c>
      <c r="S282" s="2850">
        <f>SUM(T282:W282)</f>
        <v>6000</v>
      </c>
      <c r="T282" s="2850"/>
      <c r="U282" s="2850"/>
      <c r="V282" s="2850"/>
      <c r="W282" s="2855">
        <v>6000</v>
      </c>
    </row>
    <row r="283" spans="1:23" ht="26.4">
      <c r="A283" s="2848"/>
      <c r="B283" s="2849" t="s">
        <v>1739</v>
      </c>
      <c r="C283" s="2848" t="s">
        <v>32</v>
      </c>
      <c r="D283" s="2848" t="s">
        <v>1664</v>
      </c>
      <c r="E283" s="2848" t="s">
        <v>1544</v>
      </c>
      <c r="F283" s="2848"/>
      <c r="G283" s="2850">
        <v>7000</v>
      </c>
      <c r="H283" s="2850"/>
      <c r="I283" s="2850"/>
      <c r="J283" s="2850">
        <v>7000</v>
      </c>
      <c r="K283" s="2850">
        <f>SUM(L283:N283)</f>
        <v>0</v>
      </c>
      <c r="L283" s="2850"/>
      <c r="M283" s="2850"/>
      <c r="N283" s="2850"/>
      <c r="O283" s="2850">
        <f>SUM(P283:R283)</f>
        <v>260</v>
      </c>
      <c r="P283" s="2850"/>
      <c r="Q283" s="2850"/>
      <c r="R283" s="2850">
        <v>260</v>
      </c>
      <c r="S283" s="2850">
        <f>SUM(T283:W283)</f>
        <v>4800</v>
      </c>
      <c r="T283" s="2850"/>
      <c r="U283" s="2850"/>
      <c r="V283" s="2850"/>
      <c r="W283" s="2855">
        <v>4800</v>
      </c>
    </row>
    <row r="284" spans="1:23" s="2834" customFormat="1">
      <c r="A284" s="2831">
        <v>9</v>
      </c>
      <c r="B284" s="2832" t="s">
        <v>1522</v>
      </c>
      <c r="C284" s="2831"/>
      <c r="D284" s="2831"/>
      <c r="E284" s="2831"/>
      <c r="F284" s="2831"/>
      <c r="G284" s="2833">
        <f>G286</f>
        <v>34300</v>
      </c>
      <c r="H284" s="2833">
        <f t="shared" ref="H284:W284" si="105">H286</f>
        <v>0</v>
      </c>
      <c r="I284" s="2833">
        <f t="shared" si="105"/>
        <v>0</v>
      </c>
      <c r="J284" s="2833">
        <f t="shared" si="105"/>
        <v>34300</v>
      </c>
      <c r="K284" s="2833">
        <f t="shared" si="105"/>
        <v>0</v>
      </c>
      <c r="L284" s="2833">
        <f t="shared" si="105"/>
        <v>0</v>
      </c>
      <c r="M284" s="2833">
        <f t="shared" si="105"/>
        <v>0</v>
      </c>
      <c r="N284" s="2833">
        <f t="shared" si="105"/>
        <v>0</v>
      </c>
      <c r="O284" s="2833">
        <f t="shared" si="105"/>
        <v>1450</v>
      </c>
      <c r="P284" s="2833">
        <f t="shared" si="105"/>
        <v>0</v>
      </c>
      <c r="Q284" s="2833">
        <f t="shared" si="105"/>
        <v>0</v>
      </c>
      <c r="R284" s="2833">
        <f t="shared" si="105"/>
        <v>1450</v>
      </c>
      <c r="S284" s="2833">
        <f t="shared" si="105"/>
        <v>17500</v>
      </c>
      <c r="T284" s="2833">
        <f t="shared" si="105"/>
        <v>0</v>
      </c>
      <c r="U284" s="2833">
        <f t="shared" si="105"/>
        <v>0</v>
      </c>
      <c r="V284" s="2833">
        <f t="shared" si="105"/>
        <v>0</v>
      </c>
      <c r="W284" s="2833">
        <f t="shared" si="105"/>
        <v>17500</v>
      </c>
    </row>
    <row r="285" spans="1:23" s="2839" customFormat="1">
      <c r="A285" s="2835" t="s">
        <v>200</v>
      </c>
      <c r="B285" s="2836" t="s">
        <v>1197</v>
      </c>
      <c r="C285" s="2835"/>
      <c r="D285" s="2835"/>
      <c r="E285" s="2835"/>
      <c r="F285" s="2835"/>
      <c r="G285" s="2837"/>
      <c r="H285" s="2837"/>
      <c r="I285" s="2837"/>
      <c r="J285" s="2837"/>
      <c r="K285" s="2837"/>
      <c r="L285" s="2837"/>
      <c r="M285" s="2837"/>
      <c r="N285" s="2837"/>
      <c r="O285" s="2837"/>
      <c r="P285" s="2837"/>
      <c r="Q285" s="2837"/>
      <c r="R285" s="2837"/>
      <c r="S285" s="2837"/>
      <c r="T285" s="2837"/>
      <c r="U285" s="2837"/>
      <c r="V285" s="2837"/>
      <c r="W285" s="2838"/>
    </row>
    <row r="286" spans="1:23" s="2839" customFormat="1">
      <c r="A286" s="2835" t="s">
        <v>208</v>
      </c>
      <c r="B286" s="2836" t="s">
        <v>1198</v>
      </c>
      <c r="C286" s="2835"/>
      <c r="D286" s="2835"/>
      <c r="E286" s="2835"/>
      <c r="F286" s="2835"/>
      <c r="G286" s="2837">
        <f>G288</f>
        <v>34300</v>
      </c>
      <c r="H286" s="2837">
        <f t="shared" ref="H286:W286" si="106">H288</f>
        <v>0</v>
      </c>
      <c r="I286" s="2837">
        <f t="shared" si="106"/>
        <v>0</v>
      </c>
      <c r="J286" s="2837">
        <f t="shared" si="106"/>
        <v>34300</v>
      </c>
      <c r="K286" s="2837">
        <f t="shared" si="106"/>
        <v>0</v>
      </c>
      <c r="L286" s="2837">
        <f t="shared" si="106"/>
        <v>0</v>
      </c>
      <c r="M286" s="2837">
        <f t="shared" si="106"/>
        <v>0</v>
      </c>
      <c r="N286" s="2837">
        <f t="shared" si="106"/>
        <v>0</v>
      </c>
      <c r="O286" s="2837">
        <f t="shared" si="106"/>
        <v>1450</v>
      </c>
      <c r="P286" s="2837">
        <f t="shared" si="106"/>
        <v>0</v>
      </c>
      <c r="Q286" s="2837">
        <f t="shared" si="106"/>
        <v>0</v>
      </c>
      <c r="R286" s="2837">
        <f t="shared" si="106"/>
        <v>1450</v>
      </c>
      <c r="S286" s="2837">
        <f t="shared" si="106"/>
        <v>17500</v>
      </c>
      <c r="T286" s="2837">
        <f t="shared" si="106"/>
        <v>0</v>
      </c>
      <c r="U286" s="2837">
        <f t="shared" si="106"/>
        <v>0</v>
      </c>
      <c r="V286" s="2837">
        <f t="shared" si="106"/>
        <v>0</v>
      </c>
      <c r="W286" s="2837">
        <f t="shared" si="106"/>
        <v>17500</v>
      </c>
    </row>
    <row r="287" spans="1:23" s="2844" customFormat="1" ht="52.8">
      <c r="A287" s="2840" t="s">
        <v>441</v>
      </c>
      <c r="B287" s="2841" t="s">
        <v>1540</v>
      </c>
      <c r="C287" s="2840"/>
      <c r="D287" s="2840"/>
      <c r="E287" s="2840"/>
      <c r="F287" s="2840"/>
      <c r="G287" s="2842"/>
      <c r="H287" s="2842"/>
      <c r="I287" s="2842"/>
      <c r="J287" s="2842"/>
      <c r="K287" s="2842"/>
      <c r="L287" s="2842"/>
      <c r="M287" s="2842"/>
      <c r="N287" s="2842"/>
      <c r="O287" s="2842"/>
      <c r="P287" s="2842"/>
      <c r="Q287" s="2842"/>
      <c r="R287" s="2842"/>
      <c r="S287" s="2842"/>
      <c r="T287" s="2842"/>
      <c r="U287" s="2842"/>
      <c r="V287" s="2842"/>
      <c r="W287" s="2843"/>
    </row>
    <row r="288" spans="1:23" s="2847" customFormat="1" ht="26.4">
      <c r="A288" s="2845" t="s">
        <v>463</v>
      </c>
      <c r="B288" s="2841" t="s">
        <v>1541</v>
      </c>
      <c r="C288" s="2845"/>
      <c r="D288" s="2845"/>
      <c r="E288" s="2845"/>
      <c r="F288" s="2845"/>
      <c r="G288" s="2846">
        <f>SUM(G289:G291)</f>
        <v>34300</v>
      </c>
      <c r="H288" s="2846">
        <f t="shared" ref="H288:W288" si="107">SUM(H289:H291)</f>
        <v>0</v>
      </c>
      <c r="I288" s="2846">
        <f t="shared" si="107"/>
        <v>0</v>
      </c>
      <c r="J288" s="2846">
        <f t="shared" si="107"/>
        <v>34300</v>
      </c>
      <c r="K288" s="2846">
        <f t="shared" si="107"/>
        <v>0</v>
      </c>
      <c r="L288" s="2846">
        <f t="shared" si="107"/>
        <v>0</v>
      </c>
      <c r="M288" s="2846">
        <f t="shared" si="107"/>
        <v>0</v>
      </c>
      <c r="N288" s="2846">
        <f t="shared" si="107"/>
        <v>0</v>
      </c>
      <c r="O288" s="2846">
        <f t="shared" si="107"/>
        <v>1450</v>
      </c>
      <c r="P288" s="2846">
        <f t="shared" si="107"/>
        <v>0</v>
      </c>
      <c r="Q288" s="2846">
        <f t="shared" si="107"/>
        <v>0</v>
      </c>
      <c r="R288" s="2846">
        <f t="shared" si="107"/>
        <v>1450</v>
      </c>
      <c r="S288" s="2846">
        <f t="shared" si="107"/>
        <v>17500</v>
      </c>
      <c r="T288" s="2846">
        <f t="shared" si="107"/>
        <v>0</v>
      </c>
      <c r="U288" s="2846">
        <f t="shared" si="107"/>
        <v>0</v>
      </c>
      <c r="V288" s="2846">
        <f t="shared" si="107"/>
        <v>0</v>
      </c>
      <c r="W288" s="2846">
        <f t="shared" si="107"/>
        <v>17500</v>
      </c>
    </row>
    <row r="289" spans="1:23" ht="52.8">
      <c r="A289" s="2848"/>
      <c r="B289" s="2849" t="s">
        <v>1740</v>
      </c>
      <c r="C289" s="2848" t="s">
        <v>29</v>
      </c>
      <c r="D289" s="2848" t="s">
        <v>1664</v>
      </c>
      <c r="E289" s="2848" t="s">
        <v>1544</v>
      </c>
      <c r="F289" s="2848" t="s">
        <v>1741</v>
      </c>
      <c r="G289" s="2850">
        <v>14000</v>
      </c>
      <c r="H289" s="2850"/>
      <c r="I289" s="2850"/>
      <c r="J289" s="2850">
        <v>14000</v>
      </c>
      <c r="K289" s="2850">
        <f>SUM(L289:N289)</f>
        <v>0</v>
      </c>
      <c r="L289" s="2850"/>
      <c r="M289" s="2850"/>
      <c r="N289" s="2850"/>
      <c r="O289" s="2850">
        <f>SUM(P289:R289)</f>
        <v>600</v>
      </c>
      <c r="P289" s="2850"/>
      <c r="Q289" s="2850"/>
      <c r="R289" s="2850">
        <v>600</v>
      </c>
      <c r="S289" s="2850">
        <f>SUM(T289:W289)</f>
        <v>7000</v>
      </c>
      <c r="T289" s="2850"/>
      <c r="U289" s="2850"/>
      <c r="V289" s="2850"/>
      <c r="W289" s="2855">
        <v>7000</v>
      </c>
    </row>
    <row r="290" spans="1:23" ht="52.8">
      <c r="A290" s="2848"/>
      <c r="B290" s="2849" t="s">
        <v>1742</v>
      </c>
      <c r="C290" s="2848" t="s">
        <v>29</v>
      </c>
      <c r="D290" s="2848" t="s">
        <v>1664</v>
      </c>
      <c r="E290" s="2848" t="s">
        <v>1544</v>
      </c>
      <c r="F290" s="2848" t="s">
        <v>1743</v>
      </c>
      <c r="G290" s="2850">
        <v>17000</v>
      </c>
      <c r="H290" s="2850"/>
      <c r="I290" s="2850"/>
      <c r="J290" s="2850">
        <v>17000</v>
      </c>
      <c r="K290" s="2850">
        <f>SUM(L290:N290)</f>
        <v>0</v>
      </c>
      <c r="L290" s="2850"/>
      <c r="M290" s="2850"/>
      <c r="N290" s="2850"/>
      <c r="O290" s="2850">
        <f>SUM(P290:R290)</f>
        <v>850</v>
      </c>
      <c r="P290" s="2850"/>
      <c r="Q290" s="2850"/>
      <c r="R290" s="2850">
        <v>850</v>
      </c>
      <c r="S290" s="2850">
        <f>SUM(T290:W290)</f>
        <v>7500</v>
      </c>
      <c r="T290" s="2850"/>
      <c r="U290" s="2850"/>
      <c r="V290" s="2850"/>
      <c r="W290" s="2850">
        <v>7500</v>
      </c>
    </row>
    <row r="291" spans="1:23" ht="52.8">
      <c r="A291" s="2848"/>
      <c r="B291" s="2849" t="s">
        <v>1744</v>
      </c>
      <c r="C291" s="2848" t="s">
        <v>29</v>
      </c>
      <c r="D291" s="2848" t="s">
        <v>1722</v>
      </c>
      <c r="E291" s="2848" t="s">
        <v>1544</v>
      </c>
      <c r="F291" s="2848" t="s">
        <v>1745</v>
      </c>
      <c r="G291" s="2850">
        <v>3300</v>
      </c>
      <c r="H291" s="2850"/>
      <c r="I291" s="2850"/>
      <c r="J291" s="2850">
        <v>3300</v>
      </c>
      <c r="K291" s="2850">
        <f>SUM(L291:N291)</f>
        <v>0</v>
      </c>
      <c r="L291" s="2850"/>
      <c r="M291" s="2850"/>
      <c r="N291" s="2850"/>
      <c r="O291" s="2850">
        <f>SUM(P291:R291)</f>
        <v>0</v>
      </c>
      <c r="P291" s="2850"/>
      <c r="Q291" s="2850"/>
      <c r="R291" s="2850"/>
      <c r="S291" s="2850">
        <f>SUM(T291:W291)</f>
        <v>3000</v>
      </c>
      <c r="T291" s="2850"/>
      <c r="U291" s="2850"/>
      <c r="V291" s="2850"/>
      <c r="W291" s="2855">
        <v>3000</v>
      </c>
    </row>
    <row r="292" spans="1:23" s="2834" customFormat="1">
      <c r="A292" s="2831">
        <v>10</v>
      </c>
      <c r="B292" s="2832" t="s">
        <v>1528</v>
      </c>
      <c r="C292" s="2831"/>
      <c r="D292" s="2831"/>
      <c r="E292" s="2831"/>
      <c r="F292" s="2831"/>
      <c r="G292" s="2833">
        <f>G294</f>
        <v>40000</v>
      </c>
      <c r="H292" s="2833">
        <f t="shared" ref="H292:W292" si="108">H294</f>
        <v>0</v>
      </c>
      <c r="I292" s="2833">
        <f t="shared" si="108"/>
        <v>0</v>
      </c>
      <c r="J292" s="2833">
        <f t="shared" si="108"/>
        <v>40000</v>
      </c>
      <c r="K292" s="2833">
        <f t="shared" si="108"/>
        <v>448</v>
      </c>
      <c r="L292" s="2833">
        <f t="shared" si="108"/>
        <v>0</v>
      </c>
      <c r="M292" s="2833">
        <f t="shared" si="108"/>
        <v>0</v>
      </c>
      <c r="N292" s="2833">
        <f t="shared" si="108"/>
        <v>448</v>
      </c>
      <c r="O292" s="2833">
        <f t="shared" si="108"/>
        <v>1400</v>
      </c>
      <c r="P292" s="2833">
        <f t="shared" si="108"/>
        <v>0</v>
      </c>
      <c r="Q292" s="2833">
        <f t="shared" si="108"/>
        <v>0</v>
      </c>
      <c r="R292" s="2833">
        <f t="shared" si="108"/>
        <v>1400</v>
      </c>
      <c r="S292" s="2833">
        <f t="shared" si="108"/>
        <v>18000</v>
      </c>
      <c r="T292" s="2833">
        <f t="shared" si="108"/>
        <v>0</v>
      </c>
      <c r="U292" s="2833">
        <f t="shared" si="108"/>
        <v>0</v>
      </c>
      <c r="V292" s="2833">
        <f t="shared" si="108"/>
        <v>0</v>
      </c>
      <c r="W292" s="2833">
        <f t="shared" si="108"/>
        <v>18000</v>
      </c>
    </row>
    <row r="293" spans="1:23" s="2839" customFormat="1">
      <c r="A293" s="2835" t="s">
        <v>200</v>
      </c>
      <c r="B293" s="2836" t="s">
        <v>1197</v>
      </c>
      <c r="C293" s="2835"/>
      <c r="D293" s="2835"/>
      <c r="E293" s="2835"/>
      <c r="F293" s="2835"/>
      <c r="G293" s="2837"/>
      <c r="H293" s="2837"/>
      <c r="I293" s="2837"/>
      <c r="J293" s="2837"/>
      <c r="K293" s="2837"/>
      <c r="L293" s="2837"/>
      <c r="M293" s="2837"/>
      <c r="N293" s="2837"/>
      <c r="O293" s="2837"/>
      <c r="P293" s="2837"/>
      <c r="Q293" s="2837"/>
      <c r="R293" s="2837"/>
      <c r="S293" s="2837"/>
      <c r="T293" s="2837"/>
      <c r="U293" s="2837"/>
      <c r="V293" s="2837"/>
      <c r="W293" s="2838"/>
    </row>
    <row r="294" spans="1:23" s="2839" customFormat="1">
      <c r="A294" s="2835" t="s">
        <v>208</v>
      </c>
      <c r="B294" s="2836" t="s">
        <v>1198</v>
      </c>
      <c r="C294" s="2835"/>
      <c r="D294" s="2835"/>
      <c r="E294" s="2835"/>
      <c r="F294" s="2835"/>
      <c r="G294" s="2837">
        <f>G296</f>
        <v>40000</v>
      </c>
      <c r="H294" s="2837">
        <f t="shared" ref="H294:W294" si="109">H296</f>
        <v>0</v>
      </c>
      <c r="I294" s="2837">
        <f t="shared" si="109"/>
        <v>0</v>
      </c>
      <c r="J294" s="2837">
        <f t="shared" si="109"/>
        <v>40000</v>
      </c>
      <c r="K294" s="2837">
        <f t="shared" si="109"/>
        <v>448</v>
      </c>
      <c r="L294" s="2837">
        <f t="shared" si="109"/>
        <v>0</v>
      </c>
      <c r="M294" s="2837">
        <f t="shared" si="109"/>
        <v>0</v>
      </c>
      <c r="N294" s="2837">
        <f t="shared" si="109"/>
        <v>448</v>
      </c>
      <c r="O294" s="2837">
        <f t="shared" si="109"/>
        <v>1400</v>
      </c>
      <c r="P294" s="2837">
        <f t="shared" si="109"/>
        <v>0</v>
      </c>
      <c r="Q294" s="2837">
        <f t="shared" si="109"/>
        <v>0</v>
      </c>
      <c r="R294" s="2837">
        <f t="shared" si="109"/>
        <v>1400</v>
      </c>
      <c r="S294" s="2837">
        <f t="shared" si="109"/>
        <v>18000</v>
      </c>
      <c r="T294" s="2837">
        <f t="shared" si="109"/>
        <v>0</v>
      </c>
      <c r="U294" s="2837">
        <f t="shared" si="109"/>
        <v>0</v>
      </c>
      <c r="V294" s="2837">
        <f t="shared" si="109"/>
        <v>0</v>
      </c>
      <c r="W294" s="2837">
        <f t="shared" si="109"/>
        <v>18000</v>
      </c>
    </row>
    <row r="295" spans="1:23" s="2844" customFormat="1" ht="52.8">
      <c r="A295" s="2840" t="s">
        <v>441</v>
      </c>
      <c r="B295" s="2841" t="s">
        <v>1540</v>
      </c>
      <c r="C295" s="2840"/>
      <c r="D295" s="2840"/>
      <c r="E295" s="2840"/>
      <c r="F295" s="2840"/>
      <c r="G295" s="2842"/>
      <c r="H295" s="2842"/>
      <c r="I295" s="2842"/>
      <c r="J295" s="2842"/>
      <c r="K295" s="2842"/>
      <c r="L295" s="2842"/>
      <c r="M295" s="2842"/>
      <c r="N295" s="2842"/>
      <c r="O295" s="2842"/>
      <c r="P295" s="2842"/>
      <c r="Q295" s="2842"/>
      <c r="R295" s="2842"/>
      <c r="S295" s="2842"/>
      <c r="T295" s="2842"/>
      <c r="U295" s="2842"/>
      <c r="V295" s="2842"/>
      <c r="W295" s="2843"/>
    </row>
    <row r="296" spans="1:23" s="2847" customFormat="1" ht="26.4">
      <c r="A296" s="2845" t="s">
        <v>463</v>
      </c>
      <c r="B296" s="2841" t="s">
        <v>1541</v>
      </c>
      <c r="C296" s="2845"/>
      <c r="D296" s="2845"/>
      <c r="E296" s="2845"/>
      <c r="F296" s="2845"/>
      <c r="G296" s="2846">
        <f>G297+G298</f>
        <v>40000</v>
      </c>
      <c r="H296" s="2846">
        <f t="shared" ref="H296:W296" si="110">H297+H298</f>
        <v>0</v>
      </c>
      <c r="I296" s="2846">
        <f t="shared" si="110"/>
        <v>0</v>
      </c>
      <c r="J296" s="2846">
        <f t="shared" si="110"/>
        <v>40000</v>
      </c>
      <c r="K296" s="2846">
        <f t="shared" si="110"/>
        <v>448</v>
      </c>
      <c r="L296" s="2846">
        <f t="shared" si="110"/>
        <v>0</v>
      </c>
      <c r="M296" s="2846">
        <f t="shared" si="110"/>
        <v>0</v>
      </c>
      <c r="N296" s="2846">
        <f t="shared" si="110"/>
        <v>448</v>
      </c>
      <c r="O296" s="2846">
        <f t="shared" si="110"/>
        <v>1400</v>
      </c>
      <c r="P296" s="2846">
        <f t="shared" si="110"/>
        <v>0</v>
      </c>
      <c r="Q296" s="2846">
        <f t="shared" si="110"/>
        <v>0</v>
      </c>
      <c r="R296" s="2846">
        <f t="shared" si="110"/>
        <v>1400</v>
      </c>
      <c r="S296" s="2846">
        <f t="shared" si="110"/>
        <v>18000</v>
      </c>
      <c r="T296" s="2846">
        <f t="shared" si="110"/>
        <v>0</v>
      </c>
      <c r="U296" s="2846">
        <f t="shared" si="110"/>
        <v>0</v>
      </c>
      <c r="V296" s="2846">
        <f t="shared" si="110"/>
        <v>0</v>
      </c>
      <c r="W296" s="2846">
        <f t="shared" si="110"/>
        <v>18000</v>
      </c>
    </row>
    <row r="297" spans="1:23" ht="52.8">
      <c r="A297" s="2848"/>
      <c r="B297" s="2849" t="s">
        <v>1746</v>
      </c>
      <c r="C297" s="2848" t="s">
        <v>41</v>
      </c>
      <c r="D297" s="2848" t="s">
        <v>1664</v>
      </c>
      <c r="E297" s="2848" t="s">
        <v>1544</v>
      </c>
      <c r="F297" s="2848" t="s">
        <v>1747</v>
      </c>
      <c r="G297" s="2850">
        <v>20000</v>
      </c>
      <c r="H297" s="2850"/>
      <c r="I297" s="2850"/>
      <c r="J297" s="2850">
        <v>20000</v>
      </c>
      <c r="K297" s="2850">
        <f>SUM(L297:N297)</f>
        <v>221</v>
      </c>
      <c r="L297" s="2850"/>
      <c r="M297" s="2850"/>
      <c r="N297" s="2850">
        <v>221</v>
      </c>
      <c r="O297" s="2850">
        <f>SUM(P297:R297)</f>
        <v>700</v>
      </c>
      <c r="P297" s="2850"/>
      <c r="Q297" s="2850"/>
      <c r="R297" s="2850">
        <v>700</v>
      </c>
      <c r="S297" s="2850">
        <f>SUM(T297:W297)</f>
        <v>9000</v>
      </c>
      <c r="T297" s="2850"/>
      <c r="U297" s="2850"/>
      <c r="V297" s="2850"/>
      <c r="W297" s="2850">
        <v>9000</v>
      </c>
    </row>
    <row r="298" spans="1:23" ht="52.8">
      <c r="A298" s="2848"/>
      <c r="B298" s="2849" t="s">
        <v>1748</v>
      </c>
      <c r="C298" s="2848" t="s">
        <v>41</v>
      </c>
      <c r="D298" s="2848" t="s">
        <v>1664</v>
      </c>
      <c r="E298" s="2848" t="s">
        <v>1544</v>
      </c>
      <c r="F298" s="2848"/>
      <c r="G298" s="2850">
        <v>20000</v>
      </c>
      <c r="H298" s="2850"/>
      <c r="I298" s="2850"/>
      <c r="J298" s="2850">
        <v>20000</v>
      </c>
      <c r="K298" s="2850">
        <f>SUM(L298:N298)</f>
        <v>227</v>
      </c>
      <c r="L298" s="2850"/>
      <c r="M298" s="2850"/>
      <c r="N298" s="2850">
        <v>227</v>
      </c>
      <c r="O298" s="2850">
        <f>SUM(P298:R298)</f>
        <v>700</v>
      </c>
      <c r="P298" s="2850"/>
      <c r="Q298" s="2850"/>
      <c r="R298" s="2850">
        <v>700</v>
      </c>
      <c r="S298" s="2850">
        <f>SUM(T298:W298)</f>
        <v>9000</v>
      </c>
      <c r="T298" s="2850"/>
      <c r="U298" s="2850"/>
      <c r="V298" s="2850"/>
      <c r="W298" s="2855">
        <v>9000</v>
      </c>
    </row>
    <row r="299" spans="1:23" s="2834" customFormat="1">
      <c r="A299" s="2831">
        <v>11</v>
      </c>
      <c r="B299" s="2832" t="s">
        <v>1527</v>
      </c>
      <c r="C299" s="2831"/>
      <c r="D299" s="2831"/>
      <c r="E299" s="2831"/>
      <c r="F299" s="2831"/>
      <c r="G299" s="2833">
        <f>G301</f>
        <v>38610</v>
      </c>
      <c r="H299" s="2833">
        <f t="shared" ref="H299:W299" si="111">H301</f>
        <v>0</v>
      </c>
      <c r="I299" s="2833">
        <f t="shared" si="111"/>
        <v>0</v>
      </c>
      <c r="J299" s="2833">
        <f t="shared" si="111"/>
        <v>38610</v>
      </c>
      <c r="K299" s="2833">
        <f t="shared" si="111"/>
        <v>0</v>
      </c>
      <c r="L299" s="2833">
        <f t="shared" si="111"/>
        <v>0</v>
      </c>
      <c r="M299" s="2833">
        <f t="shared" si="111"/>
        <v>0</v>
      </c>
      <c r="N299" s="2833">
        <f t="shared" si="111"/>
        <v>0</v>
      </c>
      <c r="O299" s="2833">
        <f t="shared" si="111"/>
        <v>1450</v>
      </c>
      <c r="P299" s="2833">
        <f t="shared" si="111"/>
        <v>0</v>
      </c>
      <c r="Q299" s="2833">
        <f t="shared" si="111"/>
        <v>0</v>
      </c>
      <c r="R299" s="2833">
        <f t="shared" si="111"/>
        <v>1450</v>
      </c>
      <c r="S299" s="2833">
        <f t="shared" si="111"/>
        <v>19300</v>
      </c>
      <c r="T299" s="2833">
        <f t="shared" si="111"/>
        <v>0</v>
      </c>
      <c r="U299" s="2833">
        <f t="shared" si="111"/>
        <v>0</v>
      </c>
      <c r="V299" s="2833">
        <f t="shared" si="111"/>
        <v>0</v>
      </c>
      <c r="W299" s="2833">
        <f t="shared" si="111"/>
        <v>19300</v>
      </c>
    </row>
    <row r="300" spans="1:23" s="2839" customFormat="1">
      <c r="A300" s="2835" t="s">
        <v>200</v>
      </c>
      <c r="B300" s="2836" t="s">
        <v>1197</v>
      </c>
      <c r="C300" s="2835"/>
      <c r="D300" s="2835"/>
      <c r="E300" s="2835"/>
      <c r="F300" s="2835"/>
      <c r="G300" s="2837"/>
      <c r="H300" s="2837"/>
      <c r="I300" s="2837"/>
      <c r="J300" s="2837"/>
      <c r="K300" s="2837"/>
      <c r="L300" s="2837"/>
      <c r="M300" s="2837"/>
      <c r="N300" s="2837"/>
      <c r="O300" s="2837"/>
      <c r="P300" s="2837"/>
      <c r="Q300" s="2837"/>
      <c r="R300" s="2837"/>
      <c r="S300" s="2837"/>
      <c r="T300" s="2837"/>
      <c r="U300" s="2837"/>
      <c r="V300" s="2837"/>
      <c r="W300" s="2838"/>
    </row>
    <row r="301" spans="1:23" s="2839" customFormat="1">
      <c r="A301" s="2835" t="s">
        <v>208</v>
      </c>
      <c r="B301" s="2836" t="s">
        <v>1198</v>
      </c>
      <c r="C301" s="2835"/>
      <c r="D301" s="2835"/>
      <c r="E301" s="2835"/>
      <c r="F301" s="2835"/>
      <c r="G301" s="2837">
        <f>G303</f>
        <v>38610</v>
      </c>
      <c r="H301" s="2837">
        <f t="shared" ref="H301:W301" si="112">H303</f>
        <v>0</v>
      </c>
      <c r="I301" s="2837">
        <f t="shared" si="112"/>
        <v>0</v>
      </c>
      <c r="J301" s="2837">
        <f t="shared" si="112"/>
        <v>38610</v>
      </c>
      <c r="K301" s="2837">
        <f t="shared" si="112"/>
        <v>0</v>
      </c>
      <c r="L301" s="2837">
        <f t="shared" si="112"/>
        <v>0</v>
      </c>
      <c r="M301" s="2837">
        <f t="shared" si="112"/>
        <v>0</v>
      </c>
      <c r="N301" s="2837">
        <f t="shared" si="112"/>
        <v>0</v>
      </c>
      <c r="O301" s="2837">
        <f t="shared" si="112"/>
        <v>1450</v>
      </c>
      <c r="P301" s="2837">
        <f t="shared" si="112"/>
        <v>0</v>
      </c>
      <c r="Q301" s="2837">
        <f t="shared" si="112"/>
        <v>0</v>
      </c>
      <c r="R301" s="2837">
        <f t="shared" si="112"/>
        <v>1450</v>
      </c>
      <c r="S301" s="2837">
        <f t="shared" si="112"/>
        <v>19300</v>
      </c>
      <c r="T301" s="2837">
        <f t="shared" si="112"/>
        <v>0</v>
      </c>
      <c r="U301" s="2837">
        <f t="shared" si="112"/>
        <v>0</v>
      </c>
      <c r="V301" s="2837">
        <f t="shared" si="112"/>
        <v>0</v>
      </c>
      <c r="W301" s="2837">
        <f t="shared" si="112"/>
        <v>19300</v>
      </c>
    </row>
    <row r="302" spans="1:23" s="2844" customFormat="1" ht="52.8">
      <c r="A302" s="2840" t="s">
        <v>441</v>
      </c>
      <c r="B302" s="2841" t="s">
        <v>1540</v>
      </c>
      <c r="C302" s="2840"/>
      <c r="D302" s="2840"/>
      <c r="E302" s="2840"/>
      <c r="F302" s="2840"/>
      <c r="G302" s="2842"/>
      <c r="H302" s="2842"/>
      <c r="I302" s="2842"/>
      <c r="J302" s="2842"/>
      <c r="K302" s="2842"/>
      <c r="L302" s="2842"/>
      <c r="M302" s="2842"/>
      <c r="N302" s="2842"/>
      <c r="O302" s="2842"/>
      <c r="P302" s="2842"/>
      <c r="Q302" s="2842"/>
      <c r="R302" s="2842"/>
      <c r="S302" s="2842"/>
      <c r="T302" s="2842"/>
      <c r="U302" s="2842"/>
      <c r="V302" s="2842"/>
      <c r="W302" s="2843"/>
    </row>
    <row r="303" spans="1:23" s="2847" customFormat="1" ht="26.4">
      <c r="A303" s="2845" t="s">
        <v>463</v>
      </c>
      <c r="B303" s="2841" t="s">
        <v>1541</v>
      </c>
      <c r="C303" s="2845"/>
      <c r="D303" s="2845"/>
      <c r="E303" s="2845"/>
      <c r="F303" s="2845"/>
      <c r="G303" s="2846">
        <f>SUM(G304:G306)</f>
        <v>38610</v>
      </c>
      <c r="H303" s="2846">
        <f t="shared" ref="H303:W303" si="113">SUM(H304:H306)</f>
        <v>0</v>
      </c>
      <c r="I303" s="2846">
        <f t="shared" si="113"/>
        <v>0</v>
      </c>
      <c r="J303" s="2846">
        <f t="shared" si="113"/>
        <v>38610</v>
      </c>
      <c r="K303" s="2846">
        <f t="shared" si="113"/>
        <v>0</v>
      </c>
      <c r="L303" s="2846">
        <f t="shared" si="113"/>
        <v>0</v>
      </c>
      <c r="M303" s="2846">
        <f t="shared" si="113"/>
        <v>0</v>
      </c>
      <c r="N303" s="2846">
        <f t="shared" si="113"/>
        <v>0</v>
      </c>
      <c r="O303" s="2846">
        <f t="shared" si="113"/>
        <v>1450</v>
      </c>
      <c r="P303" s="2846">
        <f t="shared" si="113"/>
        <v>0</v>
      </c>
      <c r="Q303" s="2846">
        <f t="shared" si="113"/>
        <v>0</v>
      </c>
      <c r="R303" s="2846">
        <f t="shared" si="113"/>
        <v>1450</v>
      </c>
      <c r="S303" s="2846">
        <f t="shared" si="113"/>
        <v>19300</v>
      </c>
      <c r="T303" s="2846">
        <f t="shared" si="113"/>
        <v>0</v>
      </c>
      <c r="U303" s="2846">
        <f t="shared" si="113"/>
        <v>0</v>
      </c>
      <c r="V303" s="2846">
        <f t="shared" si="113"/>
        <v>0</v>
      </c>
      <c r="W303" s="2846">
        <f t="shared" si="113"/>
        <v>19300</v>
      </c>
    </row>
    <row r="304" spans="1:23" ht="52.8">
      <c r="A304" s="2848"/>
      <c r="B304" s="2849" t="s">
        <v>1749</v>
      </c>
      <c r="C304" s="2848" t="s">
        <v>1570</v>
      </c>
      <c r="D304" s="2848" t="s">
        <v>1664</v>
      </c>
      <c r="E304" s="2848" t="s">
        <v>1544</v>
      </c>
      <c r="F304" s="2848" t="s">
        <v>1750</v>
      </c>
      <c r="G304" s="2850">
        <v>13860</v>
      </c>
      <c r="H304" s="2850"/>
      <c r="I304" s="2850"/>
      <c r="J304" s="2850">
        <v>13860</v>
      </c>
      <c r="K304" s="2850">
        <f>SUM(L304:N304)</f>
        <v>0</v>
      </c>
      <c r="L304" s="2850"/>
      <c r="M304" s="2850"/>
      <c r="N304" s="2850"/>
      <c r="O304" s="2850">
        <f>SUM(P304:R304)</f>
        <v>450</v>
      </c>
      <c r="P304" s="2850"/>
      <c r="Q304" s="2850"/>
      <c r="R304" s="2850">
        <v>450</v>
      </c>
      <c r="S304" s="2850">
        <f>SUM(T304:W304)</f>
        <v>6000</v>
      </c>
      <c r="T304" s="2850"/>
      <c r="U304" s="2850"/>
      <c r="V304" s="2850"/>
      <c r="W304" s="2855">
        <v>6000</v>
      </c>
    </row>
    <row r="305" spans="1:23" ht="52.8">
      <c r="A305" s="2848"/>
      <c r="B305" s="2849" t="s">
        <v>1751</v>
      </c>
      <c r="C305" s="2848" t="s">
        <v>1752</v>
      </c>
      <c r="D305" s="2848" t="s">
        <v>1664</v>
      </c>
      <c r="E305" s="2848" t="s">
        <v>1544</v>
      </c>
      <c r="F305" s="2848" t="s">
        <v>1753</v>
      </c>
      <c r="G305" s="2850">
        <v>20000</v>
      </c>
      <c r="H305" s="2850"/>
      <c r="I305" s="2850"/>
      <c r="J305" s="2850">
        <v>20000</v>
      </c>
      <c r="K305" s="2850">
        <f>SUM(L305:N305)</f>
        <v>0</v>
      </c>
      <c r="L305" s="2850"/>
      <c r="M305" s="2850"/>
      <c r="N305" s="2850"/>
      <c r="O305" s="2850">
        <f>SUM(P305:R305)</f>
        <v>1000</v>
      </c>
      <c r="P305" s="2850"/>
      <c r="Q305" s="2850"/>
      <c r="R305" s="2850">
        <v>1000</v>
      </c>
      <c r="S305" s="2850">
        <f>SUM(T305:W305)</f>
        <v>9000</v>
      </c>
      <c r="T305" s="2850"/>
      <c r="U305" s="2850"/>
      <c r="V305" s="2850"/>
      <c r="W305" s="2850">
        <v>9000</v>
      </c>
    </row>
    <row r="306" spans="1:23" ht="52.8">
      <c r="A306" s="2859"/>
      <c r="B306" s="2860" t="s">
        <v>1754</v>
      </c>
      <c r="C306" s="2859" t="s">
        <v>1570</v>
      </c>
      <c r="D306" s="2859" t="s">
        <v>1708</v>
      </c>
      <c r="E306" s="2859" t="s">
        <v>1544</v>
      </c>
      <c r="F306" s="2859" t="s">
        <v>1755</v>
      </c>
      <c r="G306" s="2855">
        <v>4750</v>
      </c>
      <c r="H306" s="2855"/>
      <c r="I306" s="2855"/>
      <c r="J306" s="2855">
        <v>4750</v>
      </c>
      <c r="K306" s="2850">
        <f>SUM(L306:N306)</f>
        <v>0</v>
      </c>
      <c r="L306" s="2855"/>
      <c r="M306" s="2855"/>
      <c r="N306" s="2855"/>
      <c r="O306" s="2850">
        <f>SUM(P306:R306)</f>
        <v>0</v>
      </c>
      <c r="P306" s="2855"/>
      <c r="Q306" s="2855"/>
      <c r="R306" s="2855"/>
      <c r="S306" s="2850">
        <f>SUM(T306:W306)</f>
        <v>4300</v>
      </c>
      <c r="T306" s="2855"/>
      <c r="U306" s="2855"/>
      <c r="V306" s="2855"/>
      <c r="W306" s="2855">
        <v>4300</v>
      </c>
    </row>
    <row r="307" spans="1:23" s="2834" customFormat="1" ht="26.4">
      <c r="A307" s="2831">
        <v>12</v>
      </c>
      <c r="B307" s="2832" t="s">
        <v>1756</v>
      </c>
      <c r="C307" s="2831"/>
      <c r="D307" s="2831"/>
      <c r="E307" s="2831"/>
      <c r="F307" s="2831"/>
      <c r="G307" s="2833"/>
      <c r="H307" s="2833"/>
      <c r="I307" s="2833"/>
      <c r="J307" s="2833"/>
      <c r="K307" s="2833"/>
      <c r="L307" s="2833"/>
      <c r="M307" s="2833"/>
      <c r="N307" s="2833"/>
      <c r="O307" s="2833"/>
      <c r="P307" s="2833"/>
      <c r="Q307" s="2833"/>
      <c r="R307" s="2833"/>
      <c r="S307" s="2837">
        <f>SUM(T307:W307)</f>
        <v>3000</v>
      </c>
      <c r="T307" s="2833"/>
      <c r="U307" s="2833"/>
      <c r="V307" s="2833"/>
      <c r="W307" s="2833">
        <v>3000</v>
      </c>
    </row>
    <row r="308" spans="1:23" ht="26.4">
      <c r="A308" s="2827" t="s">
        <v>60</v>
      </c>
      <c r="B308" s="2828" t="s">
        <v>1757</v>
      </c>
      <c r="C308" s="2859"/>
      <c r="D308" s="2859"/>
      <c r="E308" s="2859"/>
      <c r="F308" s="2859"/>
      <c r="G308" s="2870">
        <f>G309+G316+G322</f>
        <v>706509</v>
      </c>
      <c r="H308" s="2870">
        <f t="shared" ref="H308:W308" si="114">H309+H316+H322</f>
        <v>0</v>
      </c>
      <c r="I308" s="2870">
        <f t="shared" si="114"/>
        <v>95464</v>
      </c>
      <c r="J308" s="2870">
        <f t="shared" si="114"/>
        <v>611045</v>
      </c>
      <c r="K308" s="2870">
        <f t="shared" si="114"/>
        <v>125905</v>
      </c>
      <c r="L308" s="2870">
        <f t="shared" si="114"/>
        <v>0</v>
      </c>
      <c r="M308" s="2870">
        <f t="shared" si="114"/>
        <v>50900</v>
      </c>
      <c r="N308" s="2870">
        <f t="shared" si="114"/>
        <v>75005</v>
      </c>
      <c r="O308" s="2870">
        <f t="shared" si="114"/>
        <v>150266</v>
      </c>
      <c r="P308" s="2870">
        <f t="shared" si="114"/>
        <v>0</v>
      </c>
      <c r="Q308" s="2870">
        <f t="shared" si="114"/>
        <v>50900</v>
      </c>
      <c r="R308" s="2870">
        <f t="shared" si="114"/>
        <v>99366</v>
      </c>
      <c r="S308" s="2870">
        <f t="shared" si="114"/>
        <v>158900</v>
      </c>
      <c r="T308" s="2870">
        <f t="shared" si="114"/>
        <v>0</v>
      </c>
      <c r="U308" s="2870">
        <f t="shared" si="114"/>
        <v>0</v>
      </c>
      <c r="V308" s="2870">
        <f t="shared" si="114"/>
        <v>0</v>
      </c>
      <c r="W308" s="2870">
        <f t="shared" si="114"/>
        <v>158900</v>
      </c>
    </row>
    <row r="309" spans="1:23" s="2834" customFormat="1" ht="39.6">
      <c r="A309" s="2831">
        <v>1</v>
      </c>
      <c r="B309" s="2832" t="s">
        <v>1504</v>
      </c>
      <c r="C309" s="2831"/>
      <c r="D309" s="2831"/>
      <c r="E309" s="2831"/>
      <c r="F309" s="2831"/>
      <c r="G309" s="2833">
        <f>G311</f>
        <v>464000</v>
      </c>
      <c r="H309" s="2833">
        <f t="shared" ref="H309:W309" si="115">H311</f>
        <v>0</v>
      </c>
      <c r="I309" s="2833">
        <f t="shared" si="115"/>
        <v>95464</v>
      </c>
      <c r="J309" s="2833">
        <f t="shared" si="115"/>
        <v>368536</v>
      </c>
      <c r="K309" s="2833">
        <f t="shared" si="115"/>
        <v>78840</v>
      </c>
      <c r="L309" s="2833">
        <f t="shared" si="115"/>
        <v>0</v>
      </c>
      <c r="M309" s="2833">
        <f t="shared" si="115"/>
        <v>50900</v>
      </c>
      <c r="N309" s="2833">
        <f t="shared" si="115"/>
        <v>27940</v>
      </c>
      <c r="O309" s="2833">
        <f t="shared" si="115"/>
        <v>105216</v>
      </c>
      <c r="P309" s="2833">
        <f t="shared" si="115"/>
        <v>0</v>
      </c>
      <c r="Q309" s="2833">
        <f t="shared" si="115"/>
        <v>50900</v>
      </c>
      <c r="R309" s="2833">
        <f t="shared" si="115"/>
        <v>54316</v>
      </c>
      <c r="S309" s="2833">
        <f t="shared" si="115"/>
        <v>22000</v>
      </c>
      <c r="T309" s="2833">
        <f t="shared" si="115"/>
        <v>0</v>
      </c>
      <c r="U309" s="2833">
        <f t="shared" si="115"/>
        <v>0</v>
      </c>
      <c r="V309" s="2833">
        <f t="shared" si="115"/>
        <v>0</v>
      </c>
      <c r="W309" s="2833">
        <f t="shared" si="115"/>
        <v>22000</v>
      </c>
    </row>
    <row r="310" spans="1:23" s="2839" customFormat="1">
      <c r="A310" s="2835" t="s">
        <v>200</v>
      </c>
      <c r="B310" s="2836" t="s">
        <v>1197</v>
      </c>
      <c r="C310" s="2835"/>
      <c r="D310" s="2835"/>
      <c r="E310" s="2835"/>
      <c r="F310" s="2835"/>
      <c r="G310" s="2837"/>
      <c r="H310" s="2837"/>
      <c r="I310" s="2837"/>
      <c r="J310" s="2837"/>
      <c r="K310" s="2837"/>
      <c r="L310" s="2837"/>
      <c r="M310" s="2837"/>
      <c r="N310" s="2837"/>
      <c r="O310" s="2837"/>
      <c r="P310" s="2837"/>
      <c r="Q310" s="2837"/>
      <c r="R310" s="2837"/>
      <c r="S310" s="2837"/>
      <c r="T310" s="2837"/>
      <c r="U310" s="2837"/>
      <c r="V310" s="2837"/>
      <c r="W310" s="2838"/>
    </row>
    <row r="311" spans="1:23" s="2839" customFormat="1">
      <c r="A311" s="2835" t="s">
        <v>208</v>
      </c>
      <c r="B311" s="2836" t="s">
        <v>1198</v>
      </c>
      <c r="C311" s="2835"/>
      <c r="D311" s="2835"/>
      <c r="E311" s="2835"/>
      <c r="F311" s="2835"/>
      <c r="G311" s="2837">
        <f>G312+G314</f>
        <v>464000</v>
      </c>
      <c r="H311" s="2837">
        <f t="shared" ref="H311:W311" si="116">H312+H314</f>
        <v>0</v>
      </c>
      <c r="I311" s="2837">
        <f t="shared" si="116"/>
        <v>95464</v>
      </c>
      <c r="J311" s="2837">
        <f t="shared" si="116"/>
        <v>368536</v>
      </c>
      <c r="K311" s="2837">
        <f t="shared" si="116"/>
        <v>78840</v>
      </c>
      <c r="L311" s="2837">
        <f t="shared" si="116"/>
        <v>0</v>
      </c>
      <c r="M311" s="2837">
        <f t="shared" si="116"/>
        <v>50900</v>
      </c>
      <c r="N311" s="2837">
        <f t="shared" si="116"/>
        <v>27940</v>
      </c>
      <c r="O311" s="2837">
        <f t="shared" si="116"/>
        <v>105216</v>
      </c>
      <c r="P311" s="2837">
        <f t="shared" si="116"/>
        <v>0</v>
      </c>
      <c r="Q311" s="2837">
        <f t="shared" si="116"/>
        <v>50900</v>
      </c>
      <c r="R311" s="2837">
        <f t="shared" si="116"/>
        <v>54316</v>
      </c>
      <c r="S311" s="2837">
        <f t="shared" si="116"/>
        <v>22000</v>
      </c>
      <c r="T311" s="2837">
        <f t="shared" si="116"/>
        <v>0</v>
      </c>
      <c r="U311" s="2837">
        <f t="shared" si="116"/>
        <v>0</v>
      </c>
      <c r="V311" s="2837">
        <f t="shared" si="116"/>
        <v>0</v>
      </c>
      <c r="W311" s="2837">
        <f t="shared" si="116"/>
        <v>22000</v>
      </c>
    </row>
    <row r="312" spans="1:23" s="2844" customFormat="1" ht="52.8">
      <c r="A312" s="2840" t="s">
        <v>441</v>
      </c>
      <c r="B312" s="2841" t="s">
        <v>1540</v>
      </c>
      <c r="C312" s="2840"/>
      <c r="D312" s="2840"/>
      <c r="E312" s="2840"/>
      <c r="F312" s="2840"/>
      <c r="G312" s="2842">
        <f>G313</f>
        <v>234000</v>
      </c>
      <c r="H312" s="2842">
        <f t="shared" ref="H312:W312" si="117">H313</f>
        <v>0</v>
      </c>
      <c r="I312" s="2842">
        <f t="shared" si="117"/>
        <v>95464</v>
      </c>
      <c r="J312" s="2842">
        <f t="shared" si="117"/>
        <v>138536</v>
      </c>
      <c r="K312" s="2842">
        <f t="shared" si="117"/>
        <v>78840</v>
      </c>
      <c r="L312" s="2842">
        <f t="shared" si="117"/>
        <v>0</v>
      </c>
      <c r="M312" s="2842">
        <f t="shared" si="117"/>
        <v>50900</v>
      </c>
      <c r="N312" s="2842">
        <f t="shared" si="117"/>
        <v>27940</v>
      </c>
      <c r="O312" s="2842">
        <f t="shared" si="117"/>
        <v>105216</v>
      </c>
      <c r="P312" s="2842">
        <f t="shared" si="117"/>
        <v>0</v>
      </c>
      <c r="Q312" s="2842">
        <f t="shared" si="117"/>
        <v>50900</v>
      </c>
      <c r="R312" s="2842">
        <f t="shared" si="117"/>
        <v>54316</v>
      </c>
      <c r="S312" s="2842">
        <f t="shared" si="117"/>
        <v>2000</v>
      </c>
      <c r="T312" s="2842">
        <f t="shared" si="117"/>
        <v>0</v>
      </c>
      <c r="U312" s="2842">
        <f t="shared" si="117"/>
        <v>0</v>
      </c>
      <c r="V312" s="2842">
        <f t="shared" si="117"/>
        <v>0</v>
      </c>
      <c r="W312" s="2842">
        <f t="shared" si="117"/>
        <v>2000</v>
      </c>
    </row>
    <row r="313" spans="1:23" ht="52.8">
      <c r="A313" s="2848"/>
      <c r="B313" s="2849" t="s">
        <v>1758</v>
      </c>
      <c r="C313" s="2848" t="s">
        <v>29</v>
      </c>
      <c r="D313" s="2848" t="s">
        <v>1759</v>
      </c>
      <c r="E313" s="2848" t="s">
        <v>1760</v>
      </c>
      <c r="F313" s="2848" t="s">
        <v>1761</v>
      </c>
      <c r="G313" s="2850">
        <v>234000</v>
      </c>
      <c r="H313" s="2850"/>
      <c r="I313" s="2850">
        <v>95464</v>
      </c>
      <c r="J313" s="2850">
        <v>138536</v>
      </c>
      <c r="K313" s="2850">
        <f>SUM(L313:N313)</f>
        <v>78840</v>
      </c>
      <c r="L313" s="2850"/>
      <c r="M313" s="2850">
        <v>50900</v>
      </c>
      <c r="N313" s="2850">
        <v>27940</v>
      </c>
      <c r="O313" s="2850">
        <f>SUM(P313:R313)</f>
        <v>105216</v>
      </c>
      <c r="P313" s="2850"/>
      <c r="Q313" s="2850">
        <v>50900</v>
      </c>
      <c r="R313" s="2850">
        <v>54316</v>
      </c>
      <c r="S313" s="2850">
        <f>SUM(T313:W313)</f>
        <v>2000</v>
      </c>
      <c r="T313" s="2850"/>
      <c r="U313" s="2850"/>
      <c r="V313" s="2850"/>
      <c r="W313" s="2850">
        <v>2000</v>
      </c>
    </row>
    <row r="314" spans="1:23" s="2847" customFormat="1" ht="26.4">
      <c r="A314" s="2845" t="s">
        <v>463</v>
      </c>
      <c r="B314" s="2841" t="s">
        <v>1541</v>
      </c>
      <c r="C314" s="2845"/>
      <c r="D314" s="2845"/>
      <c r="E314" s="2845"/>
      <c r="F314" s="2845"/>
      <c r="G314" s="2846">
        <f>G315</f>
        <v>230000</v>
      </c>
      <c r="H314" s="2846">
        <f t="shared" ref="H314:W314" si="118">H315</f>
        <v>0</v>
      </c>
      <c r="I314" s="2846">
        <f t="shared" si="118"/>
        <v>0</v>
      </c>
      <c r="J314" s="2846">
        <f t="shared" si="118"/>
        <v>230000</v>
      </c>
      <c r="K314" s="2846">
        <f t="shared" si="118"/>
        <v>0</v>
      </c>
      <c r="L314" s="2846">
        <f t="shared" si="118"/>
        <v>0</v>
      </c>
      <c r="M314" s="2846">
        <f t="shared" si="118"/>
        <v>0</v>
      </c>
      <c r="N314" s="2846">
        <f t="shared" si="118"/>
        <v>0</v>
      </c>
      <c r="O314" s="2846">
        <f t="shared" si="118"/>
        <v>0</v>
      </c>
      <c r="P314" s="2846">
        <f t="shared" si="118"/>
        <v>0</v>
      </c>
      <c r="Q314" s="2846">
        <f t="shared" si="118"/>
        <v>0</v>
      </c>
      <c r="R314" s="2846">
        <f t="shared" si="118"/>
        <v>0</v>
      </c>
      <c r="S314" s="2846">
        <f t="shared" si="118"/>
        <v>20000</v>
      </c>
      <c r="T314" s="2846">
        <f t="shared" si="118"/>
        <v>0</v>
      </c>
      <c r="U314" s="2846">
        <f t="shared" si="118"/>
        <v>0</v>
      </c>
      <c r="V314" s="2846">
        <f t="shared" si="118"/>
        <v>0</v>
      </c>
      <c r="W314" s="2846">
        <f t="shared" si="118"/>
        <v>20000</v>
      </c>
    </row>
    <row r="315" spans="1:23" ht="39.6">
      <c r="A315" s="2848"/>
      <c r="B315" s="2849" t="s">
        <v>1762</v>
      </c>
      <c r="C315" s="2848" t="s">
        <v>30</v>
      </c>
      <c r="D315" s="2848" t="s">
        <v>1708</v>
      </c>
      <c r="E315" s="2848" t="s">
        <v>1763</v>
      </c>
      <c r="F315" s="2848"/>
      <c r="G315" s="2850">
        <v>230000</v>
      </c>
      <c r="H315" s="2850"/>
      <c r="I315" s="2850"/>
      <c r="J315" s="2850">
        <v>230000</v>
      </c>
      <c r="K315" s="2850">
        <f>SUM(L315:N315)</f>
        <v>0</v>
      </c>
      <c r="L315" s="2850"/>
      <c r="M315" s="2850"/>
      <c r="N315" s="2850"/>
      <c r="O315" s="2850">
        <f>SUM(P315:R315)</f>
        <v>0</v>
      </c>
      <c r="P315" s="2850"/>
      <c r="Q315" s="2850"/>
      <c r="R315" s="2850"/>
      <c r="S315" s="2850">
        <f>SUM(T315:W315)</f>
        <v>20000</v>
      </c>
      <c r="T315" s="2850"/>
      <c r="U315" s="2850"/>
      <c r="V315" s="2850"/>
      <c r="W315" s="2855">
        <v>20000</v>
      </c>
    </row>
    <row r="316" spans="1:23" s="2834" customFormat="1">
      <c r="A316" s="2831">
        <v>2</v>
      </c>
      <c r="B316" s="2832" t="s">
        <v>498</v>
      </c>
      <c r="C316" s="2831"/>
      <c r="D316" s="2831"/>
      <c r="E316" s="2831"/>
      <c r="F316" s="2831"/>
      <c r="G316" s="2833">
        <f>G318</f>
        <v>20900</v>
      </c>
      <c r="H316" s="2833">
        <f t="shared" ref="H316:W316" si="119">H318</f>
        <v>0</v>
      </c>
      <c r="I316" s="2833">
        <f t="shared" si="119"/>
        <v>0</v>
      </c>
      <c r="J316" s="2833">
        <f t="shared" si="119"/>
        <v>20900</v>
      </c>
      <c r="K316" s="2833">
        <f t="shared" si="119"/>
        <v>17684</v>
      </c>
      <c r="L316" s="2833">
        <f t="shared" si="119"/>
        <v>0</v>
      </c>
      <c r="M316" s="2833">
        <f t="shared" si="119"/>
        <v>0</v>
      </c>
      <c r="N316" s="2833">
        <f t="shared" si="119"/>
        <v>17684</v>
      </c>
      <c r="O316" s="2833">
        <f t="shared" si="119"/>
        <v>0</v>
      </c>
      <c r="P316" s="2833">
        <f t="shared" si="119"/>
        <v>0</v>
      </c>
      <c r="Q316" s="2833">
        <f t="shared" si="119"/>
        <v>0</v>
      </c>
      <c r="R316" s="2833">
        <f t="shared" si="119"/>
        <v>0</v>
      </c>
      <c r="S316" s="2833">
        <f t="shared" si="119"/>
        <v>19900</v>
      </c>
      <c r="T316" s="2833">
        <f t="shared" si="119"/>
        <v>0</v>
      </c>
      <c r="U316" s="2833">
        <f t="shared" si="119"/>
        <v>0</v>
      </c>
      <c r="V316" s="2833">
        <f t="shared" si="119"/>
        <v>0</v>
      </c>
      <c r="W316" s="2833">
        <f t="shared" si="119"/>
        <v>19900</v>
      </c>
    </row>
    <row r="317" spans="1:23" s="2839" customFormat="1">
      <c r="A317" s="2835" t="s">
        <v>200</v>
      </c>
      <c r="B317" s="2836" t="s">
        <v>1197</v>
      </c>
      <c r="C317" s="2835"/>
      <c r="D317" s="2835"/>
      <c r="E317" s="2835"/>
      <c r="F317" s="2835"/>
      <c r="G317" s="2837"/>
      <c r="H317" s="2837"/>
      <c r="I317" s="2837"/>
      <c r="J317" s="2837"/>
      <c r="K317" s="2837"/>
      <c r="L317" s="2837"/>
      <c r="M317" s="2837"/>
      <c r="N317" s="2837"/>
      <c r="O317" s="2837"/>
      <c r="P317" s="2837"/>
      <c r="Q317" s="2837"/>
      <c r="R317" s="2837"/>
      <c r="S317" s="2837"/>
      <c r="T317" s="2837"/>
      <c r="U317" s="2837"/>
      <c r="V317" s="2837"/>
      <c r="W317" s="2838"/>
    </row>
    <row r="318" spans="1:23" s="2839" customFormat="1">
      <c r="A318" s="2835" t="s">
        <v>208</v>
      </c>
      <c r="B318" s="2836" t="s">
        <v>1198</v>
      </c>
      <c r="C318" s="2835"/>
      <c r="D318" s="2835"/>
      <c r="E318" s="2835"/>
      <c r="F318" s="2835"/>
      <c r="G318" s="2837">
        <f>G320</f>
        <v>20900</v>
      </c>
      <c r="H318" s="2837">
        <f t="shared" ref="H318:W318" si="120">H320</f>
        <v>0</v>
      </c>
      <c r="I318" s="2837">
        <f t="shared" si="120"/>
        <v>0</v>
      </c>
      <c r="J318" s="2837">
        <f t="shared" si="120"/>
        <v>20900</v>
      </c>
      <c r="K318" s="2837">
        <f t="shared" si="120"/>
        <v>17684</v>
      </c>
      <c r="L318" s="2837">
        <f t="shared" si="120"/>
        <v>0</v>
      </c>
      <c r="M318" s="2837">
        <f t="shared" si="120"/>
        <v>0</v>
      </c>
      <c r="N318" s="2837">
        <f t="shared" si="120"/>
        <v>17684</v>
      </c>
      <c r="O318" s="2837">
        <f t="shared" si="120"/>
        <v>0</v>
      </c>
      <c r="P318" s="2837">
        <f t="shared" si="120"/>
        <v>0</v>
      </c>
      <c r="Q318" s="2837">
        <f t="shared" si="120"/>
        <v>0</v>
      </c>
      <c r="R318" s="2837">
        <f t="shared" si="120"/>
        <v>0</v>
      </c>
      <c r="S318" s="2837">
        <f t="shared" si="120"/>
        <v>19900</v>
      </c>
      <c r="T318" s="2837">
        <f t="shared" si="120"/>
        <v>0</v>
      </c>
      <c r="U318" s="2837">
        <f t="shared" si="120"/>
        <v>0</v>
      </c>
      <c r="V318" s="2837">
        <f t="shared" si="120"/>
        <v>0</v>
      </c>
      <c r="W318" s="2837">
        <f t="shared" si="120"/>
        <v>19900</v>
      </c>
    </row>
    <row r="319" spans="1:23" s="2844" customFormat="1" ht="52.8">
      <c r="A319" s="2840" t="s">
        <v>441</v>
      </c>
      <c r="B319" s="2841" t="s">
        <v>1540</v>
      </c>
      <c r="C319" s="2840"/>
      <c r="D319" s="2840"/>
      <c r="E319" s="2840"/>
      <c r="F319" s="2840"/>
      <c r="G319" s="2842"/>
      <c r="H319" s="2842"/>
      <c r="I319" s="2842"/>
      <c r="J319" s="2842"/>
      <c r="K319" s="2842"/>
      <c r="L319" s="2842"/>
      <c r="M319" s="2842"/>
      <c r="N319" s="2842"/>
      <c r="O319" s="2842"/>
      <c r="P319" s="2842"/>
      <c r="Q319" s="2842"/>
      <c r="R319" s="2842"/>
      <c r="S319" s="2842"/>
      <c r="T319" s="2842"/>
      <c r="U319" s="2842"/>
      <c r="V319" s="2842"/>
      <c r="W319" s="2843"/>
    </row>
    <row r="320" spans="1:23" s="2847" customFormat="1" ht="26.4">
      <c r="A320" s="2845" t="s">
        <v>463</v>
      </c>
      <c r="B320" s="2841" t="s">
        <v>1541</v>
      </c>
      <c r="C320" s="2845"/>
      <c r="D320" s="2845"/>
      <c r="E320" s="2845"/>
      <c r="F320" s="2845"/>
      <c r="G320" s="2846">
        <f>G321</f>
        <v>20900</v>
      </c>
      <c r="H320" s="2846">
        <f t="shared" ref="H320:W320" si="121">H321</f>
        <v>0</v>
      </c>
      <c r="I320" s="2846">
        <f t="shared" si="121"/>
        <v>0</v>
      </c>
      <c r="J320" s="2846">
        <f t="shared" si="121"/>
        <v>20900</v>
      </c>
      <c r="K320" s="2846">
        <f t="shared" si="121"/>
        <v>17684</v>
      </c>
      <c r="L320" s="2846">
        <f t="shared" si="121"/>
        <v>0</v>
      </c>
      <c r="M320" s="2846">
        <f t="shared" si="121"/>
        <v>0</v>
      </c>
      <c r="N320" s="2846">
        <f t="shared" si="121"/>
        <v>17684</v>
      </c>
      <c r="O320" s="2846">
        <f t="shared" si="121"/>
        <v>0</v>
      </c>
      <c r="P320" s="2846">
        <f t="shared" si="121"/>
        <v>0</v>
      </c>
      <c r="Q320" s="2846">
        <f t="shared" si="121"/>
        <v>0</v>
      </c>
      <c r="R320" s="2846">
        <f t="shared" si="121"/>
        <v>0</v>
      </c>
      <c r="S320" s="2846">
        <f t="shared" si="121"/>
        <v>19900</v>
      </c>
      <c r="T320" s="2846">
        <f t="shared" si="121"/>
        <v>0</v>
      </c>
      <c r="U320" s="2846">
        <f t="shared" si="121"/>
        <v>0</v>
      </c>
      <c r="V320" s="2846">
        <f t="shared" si="121"/>
        <v>0</v>
      </c>
      <c r="W320" s="2846">
        <f t="shared" si="121"/>
        <v>19900</v>
      </c>
    </row>
    <row r="321" spans="1:23" s="2868" customFormat="1" ht="39.6">
      <c r="A321" s="2866"/>
      <c r="B321" s="2869" t="s">
        <v>1764</v>
      </c>
      <c r="C321" s="2866" t="s">
        <v>41</v>
      </c>
      <c r="D321" s="2866" t="s">
        <v>1551</v>
      </c>
      <c r="E321" s="2866" t="s">
        <v>1544</v>
      </c>
      <c r="F321" s="2866" t="s">
        <v>1765</v>
      </c>
      <c r="G321" s="2867">
        <v>20900</v>
      </c>
      <c r="H321" s="2867"/>
      <c r="I321" s="2867"/>
      <c r="J321" s="2867">
        <v>20900</v>
      </c>
      <c r="K321" s="2850">
        <f>SUM(L321:N321)</f>
        <v>17684</v>
      </c>
      <c r="L321" s="2867"/>
      <c r="M321" s="2867"/>
      <c r="N321" s="2867">
        <v>17684</v>
      </c>
      <c r="O321" s="2850">
        <f>SUM(P321:R321)</f>
        <v>0</v>
      </c>
      <c r="P321" s="2867"/>
      <c r="Q321" s="2867"/>
      <c r="R321" s="2867"/>
      <c r="S321" s="2850">
        <f>SUM(T321:W321)</f>
        <v>19900</v>
      </c>
      <c r="T321" s="2867"/>
      <c r="U321" s="2867"/>
      <c r="V321" s="2867"/>
      <c r="W321" s="2867">
        <v>19900</v>
      </c>
    </row>
    <row r="322" spans="1:23" s="2834" customFormat="1">
      <c r="A322" s="2831">
        <v>3</v>
      </c>
      <c r="B322" s="2832" t="s">
        <v>622</v>
      </c>
      <c r="C322" s="2831"/>
      <c r="D322" s="2831"/>
      <c r="E322" s="2831"/>
      <c r="F322" s="2831"/>
      <c r="G322" s="2833">
        <f>G324</f>
        <v>221609</v>
      </c>
      <c r="H322" s="2833">
        <f t="shared" ref="H322:W322" si="122">H324</f>
        <v>0</v>
      </c>
      <c r="I322" s="2833">
        <f t="shared" si="122"/>
        <v>0</v>
      </c>
      <c r="J322" s="2833">
        <f t="shared" si="122"/>
        <v>221609</v>
      </c>
      <c r="K322" s="2833">
        <f t="shared" si="122"/>
        <v>29381</v>
      </c>
      <c r="L322" s="2833">
        <f t="shared" si="122"/>
        <v>0</v>
      </c>
      <c r="M322" s="2833">
        <f t="shared" si="122"/>
        <v>0</v>
      </c>
      <c r="N322" s="2833">
        <f t="shared" si="122"/>
        <v>29381</v>
      </c>
      <c r="O322" s="2833">
        <f t="shared" si="122"/>
        <v>45050</v>
      </c>
      <c r="P322" s="2833">
        <f t="shared" si="122"/>
        <v>0</v>
      </c>
      <c r="Q322" s="2833">
        <f t="shared" si="122"/>
        <v>0</v>
      </c>
      <c r="R322" s="2833">
        <f t="shared" si="122"/>
        <v>45050</v>
      </c>
      <c r="S322" s="2833">
        <f t="shared" si="122"/>
        <v>117000</v>
      </c>
      <c r="T322" s="2833">
        <f t="shared" si="122"/>
        <v>0</v>
      </c>
      <c r="U322" s="2833">
        <f t="shared" si="122"/>
        <v>0</v>
      </c>
      <c r="V322" s="2833">
        <f t="shared" si="122"/>
        <v>0</v>
      </c>
      <c r="W322" s="2833">
        <f t="shared" si="122"/>
        <v>117000</v>
      </c>
    </row>
    <row r="323" spans="1:23" s="2839" customFormat="1">
      <c r="A323" s="2835" t="s">
        <v>200</v>
      </c>
      <c r="B323" s="2836" t="s">
        <v>1197</v>
      </c>
      <c r="C323" s="2835"/>
      <c r="D323" s="2835"/>
      <c r="E323" s="2835"/>
      <c r="F323" s="2835"/>
      <c r="G323" s="2837"/>
      <c r="H323" s="2837"/>
      <c r="I323" s="2837"/>
      <c r="J323" s="2837"/>
      <c r="K323" s="2837"/>
      <c r="L323" s="2837"/>
      <c r="M323" s="2837"/>
      <c r="N323" s="2837"/>
      <c r="O323" s="2837"/>
      <c r="P323" s="2837"/>
      <c r="Q323" s="2837"/>
      <c r="R323" s="2837"/>
      <c r="S323" s="2837"/>
      <c r="T323" s="2837"/>
      <c r="U323" s="2837"/>
      <c r="V323" s="2837"/>
      <c r="W323" s="2838"/>
    </row>
    <row r="324" spans="1:23" s="2839" customFormat="1">
      <c r="A324" s="2835" t="s">
        <v>208</v>
      </c>
      <c r="B324" s="2836" t="s">
        <v>1198</v>
      </c>
      <c r="C324" s="2835"/>
      <c r="D324" s="2835"/>
      <c r="E324" s="2835"/>
      <c r="F324" s="2835"/>
      <c r="G324" s="2837">
        <f t="shared" ref="G324:W324" si="123">G325+G326</f>
        <v>221609</v>
      </c>
      <c r="H324" s="2837">
        <f t="shared" si="123"/>
        <v>0</v>
      </c>
      <c r="I324" s="2837">
        <f t="shared" si="123"/>
        <v>0</v>
      </c>
      <c r="J324" s="2837">
        <f t="shared" si="123"/>
        <v>221609</v>
      </c>
      <c r="K324" s="2837">
        <f t="shared" si="123"/>
        <v>29381</v>
      </c>
      <c r="L324" s="2837">
        <f t="shared" si="123"/>
        <v>0</v>
      </c>
      <c r="M324" s="2837">
        <f t="shared" si="123"/>
        <v>0</v>
      </c>
      <c r="N324" s="2837">
        <f t="shared" si="123"/>
        <v>29381</v>
      </c>
      <c r="O324" s="2837">
        <f t="shared" si="123"/>
        <v>45050</v>
      </c>
      <c r="P324" s="2837">
        <f t="shared" si="123"/>
        <v>0</v>
      </c>
      <c r="Q324" s="2837">
        <f t="shared" si="123"/>
        <v>0</v>
      </c>
      <c r="R324" s="2837">
        <f t="shared" si="123"/>
        <v>45050</v>
      </c>
      <c r="S324" s="2837">
        <f t="shared" si="123"/>
        <v>117000</v>
      </c>
      <c r="T324" s="2837">
        <f t="shared" si="123"/>
        <v>0</v>
      </c>
      <c r="U324" s="2837">
        <f t="shared" si="123"/>
        <v>0</v>
      </c>
      <c r="V324" s="2837">
        <f t="shared" si="123"/>
        <v>0</v>
      </c>
      <c r="W324" s="2837">
        <f t="shared" si="123"/>
        <v>117000</v>
      </c>
    </row>
    <row r="325" spans="1:23" s="2844" customFormat="1" ht="52.8">
      <c r="A325" s="2840" t="s">
        <v>441</v>
      </c>
      <c r="B325" s="2841" t="s">
        <v>1540</v>
      </c>
      <c r="C325" s="2840"/>
      <c r="D325" s="2840"/>
      <c r="E325" s="2840"/>
      <c r="F325" s="2840"/>
      <c r="G325" s="2842"/>
      <c r="H325" s="2842"/>
      <c r="I325" s="2842"/>
      <c r="J325" s="2842"/>
      <c r="K325" s="2842"/>
      <c r="L325" s="2842"/>
      <c r="M325" s="2842"/>
      <c r="N325" s="2842"/>
      <c r="O325" s="2842"/>
      <c r="P325" s="2842"/>
      <c r="Q325" s="2842"/>
      <c r="R325" s="2842"/>
      <c r="S325" s="2842"/>
      <c r="T325" s="2842"/>
      <c r="U325" s="2842"/>
      <c r="V325" s="2842"/>
      <c r="W325" s="2843"/>
    </row>
    <row r="326" spans="1:23" s="2847" customFormat="1" ht="26.4">
      <c r="A326" s="2845" t="s">
        <v>463</v>
      </c>
      <c r="B326" s="2841" t="s">
        <v>1541</v>
      </c>
      <c r="C326" s="2845"/>
      <c r="D326" s="2845"/>
      <c r="E326" s="2845"/>
      <c r="F326" s="2845"/>
      <c r="G326" s="2846">
        <f>G327+G328+G329</f>
        <v>221609</v>
      </c>
      <c r="H326" s="2846">
        <f t="shared" ref="H326:W326" si="124">H327+H328+H329</f>
        <v>0</v>
      </c>
      <c r="I326" s="2846">
        <f t="shared" si="124"/>
        <v>0</v>
      </c>
      <c r="J326" s="2846">
        <f t="shared" si="124"/>
        <v>221609</v>
      </c>
      <c r="K326" s="2846">
        <f t="shared" si="124"/>
        <v>29381</v>
      </c>
      <c r="L326" s="2846">
        <f t="shared" si="124"/>
        <v>0</v>
      </c>
      <c r="M326" s="2846">
        <f t="shared" si="124"/>
        <v>0</v>
      </c>
      <c r="N326" s="2846">
        <f t="shared" si="124"/>
        <v>29381</v>
      </c>
      <c r="O326" s="2846">
        <f t="shared" si="124"/>
        <v>45050</v>
      </c>
      <c r="P326" s="2846">
        <f t="shared" si="124"/>
        <v>0</v>
      </c>
      <c r="Q326" s="2846">
        <f t="shared" si="124"/>
        <v>0</v>
      </c>
      <c r="R326" s="2846">
        <f t="shared" si="124"/>
        <v>45050</v>
      </c>
      <c r="S326" s="2846">
        <f t="shared" si="124"/>
        <v>117000</v>
      </c>
      <c r="T326" s="2846">
        <f t="shared" si="124"/>
        <v>0</v>
      </c>
      <c r="U326" s="2846">
        <f t="shared" si="124"/>
        <v>0</v>
      </c>
      <c r="V326" s="2846">
        <f t="shared" si="124"/>
        <v>0</v>
      </c>
      <c r="W326" s="2846">
        <f t="shared" si="124"/>
        <v>117000</v>
      </c>
    </row>
    <row r="327" spans="1:23" ht="39.6">
      <c r="A327" s="2859"/>
      <c r="B327" s="2860" t="s">
        <v>1766</v>
      </c>
      <c r="C327" s="2859" t="s">
        <v>32</v>
      </c>
      <c r="D327" s="2859" t="s">
        <v>1708</v>
      </c>
      <c r="E327" s="2859" t="s">
        <v>1656</v>
      </c>
      <c r="F327" s="2859" t="s">
        <v>1767</v>
      </c>
      <c r="G327" s="2855">
        <v>119609</v>
      </c>
      <c r="H327" s="2855"/>
      <c r="I327" s="2855"/>
      <c r="J327" s="2855">
        <v>119609</v>
      </c>
      <c r="K327" s="2850">
        <f>SUM(L327:N327)</f>
        <v>29381</v>
      </c>
      <c r="L327" s="2855"/>
      <c r="M327" s="2855"/>
      <c r="N327" s="2855">
        <v>29381</v>
      </c>
      <c r="O327" s="2850">
        <f>SUM(P327:R327)</f>
        <v>45050</v>
      </c>
      <c r="P327" s="2855"/>
      <c r="Q327" s="2855"/>
      <c r="R327" s="2855">
        <v>45050</v>
      </c>
      <c r="S327" s="2850">
        <f>SUM(T327:W327)</f>
        <v>35000</v>
      </c>
      <c r="T327" s="2855"/>
      <c r="U327" s="2855"/>
      <c r="V327" s="2855"/>
      <c r="W327" s="2855">
        <v>35000</v>
      </c>
    </row>
    <row r="328" spans="1:23" ht="26.4">
      <c r="A328" s="2859"/>
      <c r="B328" s="2860" t="s">
        <v>1768</v>
      </c>
      <c r="C328" s="2859" t="s">
        <v>41</v>
      </c>
      <c r="D328" s="2859" t="s">
        <v>1551</v>
      </c>
      <c r="E328" s="2859" t="s">
        <v>1544</v>
      </c>
      <c r="F328" s="2859"/>
      <c r="G328" s="2855">
        <v>42000</v>
      </c>
      <c r="H328" s="2855"/>
      <c r="I328" s="2855"/>
      <c r="J328" s="2855">
        <v>42000</v>
      </c>
      <c r="K328" s="2850">
        <f>SUM(L328:N328)</f>
        <v>0</v>
      </c>
      <c r="L328" s="2855"/>
      <c r="M328" s="2855"/>
      <c r="N328" s="2855"/>
      <c r="O328" s="2850">
        <f>SUM(P328:R328)</f>
        <v>0</v>
      </c>
      <c r="P328" s="2855"/>
      <c r="Q328" s="2855"/>
      <c r="R328" s="2855"/>
      <c r="S328" s="2850">
        <f>SUM(T328:W328)</f>
        <v>38000</v>
      </c>
      <c r="T328" s="2855"/>
      <c r="U328" s="2855"/>
      <c r="V328" s="2855"/>
      <c r="W328" s="2855">
        <v>38000</v>
      </c>
    </row>
    <row r="329" spans="1:23" ht="39.6">
      <c r="A329" s="2859"/>
      <c r="B329" s="2860" t="s">
        <v>1769</v>
      </c>
      <c r="C329" s="2859" t="s">
        <v>1659</v>
      </c>
      <c r="D329" s="2859" t="s">
        <v>1551</v>
      </c>
      <c r="E329" s="2859" t="s">
        <v>1544</v>
      </c>
      <c r="F329" s="2859"/>
      <c r="G329" s="2855">
        <v>60000</v>
      </c>
      <c r="H329" s="2855"/>
      <c r="I329" s="2855"/>
      <c r="J329" s="2855">
        <v>60000</v>
      </c>
      <c r="K329" s="2850">
        <f>SUM(L329:N329)</f>
        <v>0</v>
      </c>
      <c r="L329" s="2855"/>
      <c r="M329" s="2855"/>
      <c r="N329" s="2855"/>
      <c r="O329" s="2850">
        <f>SUM(P329:R329)</f>
        <v>0</v>
      </c>
      <c r="P329" s="2855"/>
      <c r="Q329" s="2855"/>
      <c r="R329" s="2855"/>
      <c r="S329" s="2850">
        <f>SUM(T329:W329)</f>
        <v>44000</v>
      </c>
      <c r="T329" s="2855"/>
      <c r="U329" s="2855"/>
      <c r="V329" s="2855"/>
      <c r="W329" s="2855">
        <v>44000</v>
      </c>
    </row>
    <row r="330" spans="1:23">
      <c r="A330" s="2827" t="s">
        <v>315</v>
      </c>
      <c r="B330" s="2828" t="s">
        <v>1770</v>
      </c>
      <c r="C330" s="2859"/>
      <c r="D330" s="2859"/>
      <c r="E330" s="2859"/>
      <c r="F330" s="2859"/>
      <c r="G330" s="2870">
        <f>G331</f>
        <v>56294</v>
      </c>
      <c r="H330" s="2870">
        <f t="shared" ref="H330:W330" si="125">H331</f>
        <v>0</v>
      </c>
      <c r="I330" s="2870">
        <f t="shared" si="125"/>
        <v>0</v>
      </c>
      <c r="J330" s="2870">
        <f t="shared" si="125"/>
        <v>56294</v>
      </c>
      <c r="K330" s="2870">
        <f t="shared" si="125"/>
        <v>0</v>
      </c>
      <c r="L330" s="2870">
        <f t="shared" si="125"/>
        <v>0</v>
      </c>
      <c r="M330" s="2870">
        <f t="shared" si="125"/>
        <v>0</v>
      </c>
      <c r="N330" s="2870">
        <f t="shared" si="125"/>
        <v>0</v>
      </c>
      <c r="O330" s="2870">
        <f t="shared" si="125"/>
        <v>500</v>
      </c>
      <c r="P330" s="2870">
        <f t="shared" si="125"/>
        <v>0</v>
      </c>
      <c r="Q330" s="2870">
        <f t="shared" si="125"/>
        <v>0</v>
      </c>
      <c r="R330" s="2870">
        <f t="shared" si="125"/>
        <v>500</v>
      </c>
      <c r="S330" s="2870">
        <f t="shared" si="125"/>
        <v>24000</v>
      </c>
      <c r="T330" s="2870">
        <f t="shared" si="125"/>
        <v>0</v>
      </c>
      <c r="U330" s="2870">
        <f t="shared" si="125"/>
        <v>0</v>
      </c>
      <c r="V330" s="2870">
        <f t="shared" si="125"/>
        <v>0</v>
      </c>
      <c r="W330" s="2870">
        <f t="shared" si="125"/>
        <v>24000</v>
      </c>
    </row>
    <row r="331" spans="1:23" s="2834" customFormat="1" ht="26.4">
      <c r="A331" s="2831"/>
      <c r="B331" s="2832" t="s">
        <v>1513</v>
      </c>
      <c r="C331" s="2831"/>
      <c r="D331" s="2831"/>
      <c r="E331" s="2831"/>
      <c r="F331" s="2831"/>
      <c r="G331" s="2833">
        <f>G333</f>
        <v>56294</v>
      </c>
      <c r="H331" s="2833">
        <f t="shared" ref="H331:W331" si="126">H333</f>
        <v>0</v>
      </c>
      <c r="I331" s="2833">
        <f t="shared" si="126"/>
        <v>0</v>
      </c>
      <c r="J331" s="2833">
        <f t="shared" si="126"/>
        <v>56294</v>
      </c>
      <c r="K331" s="2833">
        <f t="shared" si="126"/>
        <v>0</v>
      </c>
      <c r="L331" s="2833">
        <f t="shared" si="126"/>
        <v>0</v>
      </c>
      <c r="M331" s="2833">
        <f t="shared" si="126"/>
        <v>0</v>
      </c>
      <c r="N331" s="2833">
        <f t="shared" si="126"/>
        <v>0</v>
      </c>
      <c r="O331" s="2833">
        <f t="shared" si="126"/>
        <v>500</v>
      </c>
      <c r="P331" s="2833">
        <f t="shared" si="126"/>
        <v>0</v>
      </c>
      <c r="Q331" s="2833">
        <f t="shared" si="126"/>
        <v>0</v>
      </c>
      <c r="R331" s="2833">
        <f t="shared" si="126"/>
        <v>500</v>
      </c>
      <c r="S331" s="2833">
        <f t="shared" si="126"/>
        <v>24000</v>
      </c>
      <c r="T331" s="2833">
        <f t="shared" si="126"/>
        <v>0</v>
      </c>
      <c r="U331" s="2833">
        <f t="shared" si="126"/>
        <v>0</v>
      </c>
      <c r="V331" s="2833">
        <f t="shared" si="126"/>
        <v>0</v>
      </c>
      <c r="W331" s="2833">
        <f t="shared" si="126"/>
        <v>24000</v>
      </c>
    </row>
    <row r="332" spans="1:23" s="2839" customFormat="1">
      <c r="A332" s="2835" t="s">
        <v>200</v>
      </c>
      <c r="B332" s="2836" t="s">
        <v>1197</v>
      </c>
      <c r="C332" s="2835"/>
      <c r="D332" s="2835"/>
      <c r="E332" s="2835"/>
      <c r="F332" s="2835"/>
      <c r="G332" s="2837"/>
      <c r="H332" s="2837"/>
      <c r="I332" s="2837"/>
      <c r="J332" s="2837"/>
      <c r="K332" s="2837"/>
      <c r="L332" s="2837"/>
      <c r="M332" s="2837"/>
      <c r="N332" s="2837"/>
      <c r="O332" s="2837"/>
      <c r="P332" s="2837"/>
      <c r="Q332" s="2837"/>
      <c r="R332" s="2837"/>
      <c r="S332" s="2837"/>
      <c r="T332" s="2837"/>
      <c r="U332" s="2837"/>
      <c r="V332" s="2837"/>
      <c r="W332" s="2838"/>
    </row>
    <row r="333" spans="1:23" s="2839" customFormat="1">
      <c r="A333" s="2835" t="s">
        <v>208</v>
      </c>
      <c r="B333" s="2836" t="s">
        <v>1198</v>
      </c>
      <c r="C333" s="2835"/>
      <c r="D333" s="2835"/>
      <c r="E333" s="2835"/>
      <c r="F333" s="2835"/>
      <c r="G333" s="2837">
        <f>G335</f>
        <v>56294</v>
      </c>
      <c r="H333" s="2837">
        <f t="shared" ref="H333:W333" si="127">H335</f>
        <v>0</v>
      </c>
      <c r="I333" s="2837">
        <f t="shared" si="127"/>
        <v>0</v>
      </c>
      <c r="J333" s="2837">
        <f t="shared" si="127"/>
        <v>56294</v>
      </c>
      <c r="K333" s="2837">
        <f t="shared" si="127"/>
        <v>0</v>
      </c>
      <c r="L333" s="2837">
        <f t="shared" si="127"/>
        <v>0</v>
      </c>
      <c r="M333" s="2837">
        <f t="shared" si="127"/>
        <v>0</v>
      </c>
      <c r="N333" s="2837">
        <f t="shared" si="127"/>
        <v>0</v>
      </c>
      <c r="O333" s="2837">
        <f t="shared" si="127"/>
        <v>500</v>
      </c>
      <c r="P333" s="2837">
        <f t="shared" si="127"/>
        <v>0</v>
      </c>
      <c r="Q333" s="2837">
        <f t="shared" si="127"/>
        <v>0</v>
      </c>
      <c r="R333" s="2837">
        <f t="shared" si="127"/>
        <v>500</v>
      </c>
      <c r="S333" s="2837">
        <f t="shared" si="127"/>
        <v>24000</v>
      </c>
      <c r="T333" s="2837">
        <f t="shared" si="127"/>
        <v>0</v>
      </c>
      <c r="U333" s="2837">
        <f t="shared" si="127"/>
        <v>0</v>
      </c>
      <c r="V333" s="2837">
        <f t="shared" si="127"/>
        <v>0</v>
      </c>
      <c r="W333" s="2837">
        <f t="shared" si="127"/>
        <v>24000</v>
      </c>
    </row>
    <row r="334" spans="1:23" s="2844" customFormat="1" ht="52.8">
      <c r="A334" s="2840" t="s">
        <v>441</v>
      </c>
      <c r="B334" s="2841" t="s">
        <v>1540</v>
      </c>
      <c r="C334" s="2840"/>
      <c r="D334" s="2840"/>
      <c r="E334" s="2840"/>
      <c r="F334" s="2840"/>
      <c r="G334" s="2842"/>
      <c r="H334" s="2842"/>
      <c r="I334" s="2842"/>
      <c r="J334" s="2842"/>
      <c r="K334" s="2842"/>
      <c r="L334" s="2842"/>
      <c r="M334" s="2842"/>
      <c r="N334" s="2842"/>
      <c r="O334" s="2842"/>
      <c r="P334" s="2842"/>
      <c r="Q334" s="2842"/>
      <c r="R334" s="2842"/>
      <c r="S334" s="2842"/>
      <c r="T334" s="2842"/>
      <c r="U334" s="2842"/>
      <c r="V334" s="2842"/>
      <c r="W334" s="2843"/>
    </row>
    <row r="335" spans="1:23" s="2847" customFormat="1" ht="26.4">
      <c r="A335" s="2845" t="s">
        <v>463</v>
      </c>
      <c r="B335" s="2841" t="s">
        <v>1541</v>
      </c>
      <c r="C335" s="2845"/>
      <c r="D335" s="2845"/>
      <c r="E335" s="2845"/>
      <c r="F335" s="2845"/>
      <c r="G335" s="2846">
        <f>G336+G337</f>
        <v>56294</v>
      </c>
      <c r="H335" s="2846">
        <f t="shared" ref="H335:W335" si="128">H336+H337</f>
        <v>0</v>
      </c>
      <c r="I335" s="2846">
        <f t="shared" si="128"/>
        <v>0</v>
      </c>
      <c r="J335" s="2846">
        <f t="shared" si="128"/>
        <v>56294</v>
      </c>
      <c r="K335" s="2846">
        <f t="shared" si="128"/>
        <v>0</v>
      </c>
      <c r="L335" s="2846">
        <f t="shared" si="128"/>
        <v>0</v>
      </c>
      <c r="M335" s="2846">
        <f t="shared" si="128"/>
        <v>0</v>
      </c>
      <c r="N335" s="2846">
        <f t="shared" si="128"/>
        <v>0</v>
      </c>
      <c r="O335" s="2846">
        <f t="shared" si="128"/>
        <v>500</v>
      </c>
      <c r="P335" s="2846">
        <f t="shared" si="128"/>
        <v>0</v>
      </c>
      <c r="Q335" s="2846">
        <f t="shared" si="128"/>
        <v>0</v>
      </c>
      <c r="R335" s="2846">
        <f t="shared" si="128"/>
        <v>500</v>
      </c>
      <c r="S335" s="2846">
        <f t="shared" si="128"/>
        <v>24000</v>
      </c>
      <c r="T335" s="2846">
        <f t="shared" si="128"/>
        <v>0</v>
      </c>
      <c r="U335" s="2846">
        <f t="shared" si="128"/>
        <v>0</v>
      </c>
      <c r="V335" s="2846">
        <f t="shared" si="128"/>
        <v>0</v>
      </c>
      <c r="W335" s="2846">
        <f t="shared" si="128"/>
        <v>24000</v>
      </c>
    </row>
    <row r="336" spans="1:23" ht="26.4">
      <c r="A336" s="2859"/>
      <c r="B336" s="2860" t="s">
        <v>1771</v>
      </c>
      <c r="C336" s="2859" t="s">
        <v>41</v>
      </c>
      <c r="D336" s="2859" t="s">
        <v>1664</v>
      </c>
      <c r="E336" s="2859" t="s">
        <v>1669</v>
      </c>
      <c r="F336" s="2859"/>
      <c r="G336" s="2855">
        <v>29490</v>
      </c>
      <c r="H336" s="2855"/>
      <c r="I336" s="2855"/>
      <c r="J336" s="2855">
        <v>29490</v>
      </c>
      <c r="K336" s="2850">
        <f>SUM(L336:N336)</f>
        <v>0</v>
      </c>
      <c r="L336" s="2855"/>
      <c r="M336" s="2855"/>
      <c r="N336" s="2855"/>
      <c r="O336" s="2850">
        <f>SUM(P336:R336)</f>
        <v>250</v>
      </c>
      <c r="P336" s="2855"/>
      <c r="Q336" s="2855"/>
      <c r="R336" s="2855">
        <v>250</v>
      </c>
      <c r="S336" s="2850">
        <f>SUM(T336:W336)</f>
        <v>12000</v>
      </c>
      <c r="T336" s="2855"/>
      <c r="U336" s="2855"/>
      <c r="V336" s="2855"/>
      <c r="W336" s="2855">
        <v>12000</v>
      </c>
    </row>
    <row r="337" spans="1:23" ht="26.4">
      <c r="A337" s="2859"/>
      <c r="B337" s="2860" t="s">
        <v>1772</v>
      </c>
      <c r="C337" s="2859" t="s">
        <v>41</v>
      </c>
      <c r="D337" s="2859" t="s">
        <v>1664</v>
      </c>
      <c r="E337" s="2859" t="s">
        <v>1544</v>
      </c>
      <c r="F337" s="2859"/>
      <c r="G337" s="2855">
        <v>26804</v>
      </c>
      <c r="H337" s="2855"/>
      <c r="I337" s="2855"/>
      <c r="J337" s="2855">
        <v>26804</v>
      </c>
      <c r="K337" s="2850">
        <f>SUM(L337:N337)</f>
        <v>0</v>
      </c>
      <c r="L337" s="2855"/>
      <c r="M337" s="2855"/>
      <c r="N337" s="2855"/>
      <c r="O337" s="2850">
        <f>SUM(P337:R337)</f>
        <v>250</v>
      </c>
      <c r="P337" s="2855"/>
      <c r="Q337" s="2855"/>
      <c r="R337" s="2855">
        <v>250</v>
      </c>
      <c r="S337" s="2850">
        <f>SUM(T337:W337)</f>
        <v>12000</v>
      </c>
      <c r="T337" s="2855"/>
      <c r="U337" s="2855"/>
      <c r="V337" s="2855"/>
      <c r="W337" s="2855">
        <v>12000</v>
      </c>
    </row>
    <row r="338" spans="1:23" ht="26.4">
      <c r="A338" s="2827" t="s">
        <v>317</v>
      </c>
      <c r="B338" s="2828" t="s">
        <v>1773</v>
      </c>
      <c r="C338" s="2859"/>
      <c r="D338" s="2859"/>
      <c r="E338" s="2859"/>
      <c r="F338" s="2859"/>
      <c r="G338" s="2870">
        <f>G339</f>
        <v>9996</v>
      </c>
      <c r="H338" s="2870">
        <f t="shared" ref="H338:W338" si="129">H339</f>
        <v>0</v>
      </c>
      <c r="I338" s="2870">
        <f t="shared" si="129"/>
        <v>0</v>
      </c>
      <c r="J338" s="2870">
        <f t="shared" si="129"/>
        <v>9996</v>
      </c>
      <c r="K338" s="2870">
        <f t="shared" si="129"/>
        <v>0</v>
      </c>
      <c r="L338" s="2870">
        <f t="shared" si="129"/>
        <v>0</v>
      </c>
      <c r="M338" s="2870">
        <f t="shared" si="129"/>
        <v>0</v>
      </c>
      <c r="N338" s="2870">
        <f t="shared" si="129"/>
        <v>0</v>
      </c>
      <c r="O338" s="2870">
        <f t="shared" si="129"/>
        <v>90</v>
      </c>
      <c r="P338" s="2870">
        <f t="shared" si="129"/>
        <v>0</v>
      </c>
      <c r="Q338" s="2870">
        <f t="shared" si="129"/>
        <v>0</v>
      </c>
      <c r="R338" s="2870">
        <f t="shared" si="129"/>
        <v>90</v>
      </c>
      <c r="S338" s="2870">
        <f t="shared" si="129"/>
        <v>4500</v>
      </c>
      <c r="T338" s="2870">
        <f t="shared" si="129"/>
        <v>0</v>
      </c>
      <c r="U338" s="2870">
        <f t="shared" si="129"/>
        <v>0</v>
      </c>
      <c r="V338" s="2870">
        <f t="shared" si="129"/>
        <v>0</v>
      </c>
      <c r="W338" s="2870">
        <f t="shared" si="129"/>
        <v>4500</v>
      </c>
    </row>
    <row r="339" spans="1:23" s="2834" customFormat="1" ht="26.4">
      <c r="A339" s="2831"/>
      <c r="B339" s="2832" t="s">
        <v>1774</v>
      </c>
      <c r="C339" s="2831"/>
      <c r="D339" s="2831"/>
      <c r="E339" s="2831"/>
      <c r="F339" s="2831"/>
      <c r="G339" s="2833">
        <f>G341</f>
        <v>9996</v>
      </c>
      <c r="H339" s="2833">
        <f t="shared" ref="H339:W339" si="130">H341</f>
        <v>0</v>
      </c>
      <c r="I339" s="2833">
        <f t="shared" si="130"/>
        <v>0</v>
      </c>
      <c r="J339" s="2833">
        <f t="shared" si="130"/>
        <v>9996</v>
      </c>
      <c r="K339" s="2833">
        <f t="shared" si="130"/>
        <v>0</v>
      </c>
      <c r="L339" s="2833">
        <f t="shared" si="130"/>
        <v>0</v>
      </c>
      <c r="M339" s="2833">
        <f t="shared" si="130"/>
        <v>0</v>
      </c>
      <c r="N339" s="2833">
        <f t="shared" si="130"/>
        <v>0</v>
      </c>
      <c r="O339" s="2833">
        <f t="shared" si="130"/>
        <v>90</v>
      </c>
      <c r="P339" s="2833">
        <f t="shared" si="130"/>
        <v>0</v>
      </c>
      <c r="Q339" s="2833">
        <f t="shared" si="130"/>
        <v>0</v>
      </c>
      <c r="R339" s="2833">
        <f t="shared" si="130"/>
        <v>90</v>
      </c>
      <c r="S339" s="2833">
        <f t="shared" si="130"/>
        <v>4500</v>
      </c>
      <c r="T339" s="2833">
        <f t="shared" si="130"/>
        <v>0</v>
      </c>
      <c r="U339" s="2833">
        <f t="shared" si="130"/>
        <v>0</v>
      </c>
      <c r="V339" s="2833">
        <f t="shared" si="130"/>
        <v>0</v>
      </c>
      <c r="W339" s="2833">
        <f t="shared" si="130"/>
        <v>4500</v>
      </c>
    </row>
    <row r="340" spans="1:23" s="2839" customFormat="1">
      <c r="A340" s="2835" t="s">
        <v>200</v>
      </c>
      <c r="B340" s="2836" t="s">
        <v>1197</v>
      </c>
      <c r="C340" s="2835"/>
      <c r="D340" s="2835"/>
      <c r="E340" s="2835"/>
      <c r="F340" s="2835"/>
      <c r="G340" s="2837"/>
      <c r="H340" s="2837"/>
      <c r="I340" s="2837"/>
      <c r="J340" s="2837"/>
      <c r="K340" s="2837"/>
      <c r="L340" s="2837"/>
      <c r="M340" s="2837"/>
      <c r="N340" s="2837"/>
      <c r="O340" s="2837"/>
      <c r="P340" s="2837"/>
      <c r="Q340" s="2837"/>
      <c r="R340" s="2837"/>
      <c r="S340" s="2837"/>
      <c r="T340" s="2837"/>
      <c r="U340" s="2837"/>
      <c r="V340" s="2837"/>
      <c r="W340" s="2838"/>
    </row>
    <row r="341" spans="1:23" s="2839" customFormat="1">
      <c r="A341" s="2835" t="s">
        <v>208</v>
      </c>
      <c r="B341" s="2836" t="s">
        <v>1198</v>
      </c>
      <c r="C341" s="2835"/>
      <c r="D341" s="2835"/>
      <c r="E341" s="2835"/>
      <c r="F341" s="2835"/>
      <c r="G341" s="2837">
        <f>G343</f>
        <v>9996</v>
      </c>
      <c r="H341" s="2837">
        <f t="shared" ref="H341:W341" si="131">H343</f>
        <v>0</v>
      </c>
      <c r="I341" s="2837">
        <f t="shared" si="131"/>
        <v>0</v>
      </c>
      <c r="J341" s="2837">
        <f t="shared" si="131"/>
        <v>9996</v>
      </c>
      <c r="K341" s="2837">
        <f t="shared" si="131"/>
        <v>0</v>
      </c>
      <c r="L341" s="2837">
        <f t="shared" si="131"/>
        <v>0</v>
      </c>
      <c r="M341" s="2837">
        <f t="shared" si="131"/>
        <v>0</v>
      </c>
      <c r="N341" s="2837">
        <f t="shared" si="131"/>
        <v>0</v>
      </c>
      <c r="O341" s="2837">
        <f t="shared" si="131"/>
        <v>90</v>
      </c>
      <c r="P341" s="2837">
        <f t="shared" si="131"/>
        <v>0</v>
      </c>
      <c r="Q341" s="2837">
        <f t="shared" si="131"/>
        <v>0</v>
      </c>
      <c r="R341" s="2837">
        <f t="shared" si="131"/>
        <v>90</v>
      </c>
      <c r="S341" s="2837">
        <f t="shared" si="131"/>
        <v>4500</v>
      </c>
      <c r="T341" s="2837">
        <f t="shared" si="131"/>
        <v>0</v>
      </c>
      <c r="U341" s="2837">
        <f t="shared" si="131"/>
        <v>0</v>
      </c>
      <c r="V341" s="2837">
        <f t="shared" si="131"/>
        <v>0</v>
      </c>
      <c r="W341" s="2837">
        <f t="shared" si="131"/>
        <v>4500</v>
      </c>
    </row>
    <row r="342" spans="1:23" s="2844" customFormat="1" ht="52.8">
      <c r="A342" s="2840" t="s">
        <v>441</v>
      </c>
      <c r="B342" s="2841" t="s">
        <v>1540</v>
      </c>
      <c r="C342" s="2840"/>
      <c r="D342" s="2840"/>
      <c r="E342" s="2840"/>
      <c r="F342" s="2840"/>
      <c r="G342" s="2842"/>
      <c r="H342" s="2842"/>
      <c r="I342" s="2842"/>
      <c r="J342" s="2842"/>
      <c r="K342" s="2842"/>
      <c r="L342" s="2842"/>
      <c r="M342" s="2842"/>
      <c r="N342" s="2842"/>
      <c r="O342" s="2842"/>
      <c r="P342" s="2842"/>
      <c r="Q342" s="2842"/>
      <c r="R342" s="2842"/>
      <c r="S342" s="2842"/>
      <c r="T342" s="2842"/>
      <c r="U342" s="2842"/>
      <c r="V342" s="2842"/>
      <c r="W342" s="2843"/>
    </row>
    <row r="343" spans="1:23" s="2847" customFormat="1" ht="26.4">
      <c r="A343" s="2845" t="s">
        <v>463</v>
      </c>
      <c r="B343" s="2841" t="s">
        <v>1541</v>
      </c>
      <c r="C343" s="2845"/>
      <c r="D343" s="2845"/>
      <c r="E343" s="2845"/>
      <c r="F343" s="2845"/>
      <c r="G343" s="2846">
        <f>G344</f>
        <v>9996</v>
      </c>
      <c r="H343" s="2846">
        <f t="shared" ref="H343:W343" si="132">H344</f>
        <v>0</v>
      </c>
      <c r="I343" s="2846">
        <f t="shared" si="132"/>
        <v>0</v>
      </c>
      <c r="J343" s="2846">
        <f t="shared" si="132"/>
        <v>9996</v>
      </c>
      <c r="K343" s="2846">
        <f t="shared" si="132"/>
        <v>0</v>
      </c>
      <c r="L343" s="2846">
        <f t="shared" si="132"/>
        <v>0</v>
      </c>
      <c r="M343" s="2846">
        <f t="shared" si="132"/>
        <v>0</v>
      </c>
      <c r="N343" s="2846">
        <f t="shared" si="132"/>
        <v>0</v>
      </c>
      <c r="O343" s="2846">
        <f t="shared" si="132"/>
        <v>90</v>
      </c>
      <c r="P343" s="2846">
        <f t="shared" si="132"/>
        <v>0</v>
      </c>
      <c r="Q343" s="2846">
        <f t="shared" si="132"/>
        <v>0</v>
      </c>
      <c r="R343" s="2846">
        <f t="shared" si="132"/>
        <v>90</v>
      </c>
      <c r="S343" s="2846">
        <f t="shared" si="132"/>
        <v>4500</v>
      </c>
      <c r="T343" s="2846">
        <f t="shared" si="132"/>
        <v>0</v>
      </c>
      <c r="U343" s="2846">
        <f t="shared" si="132"/>
        <v>0</v>
      </c>
      <c r="V343" s="2846">
        <f t="shared" si="132"/>
        <v>0</v>
      </c>
      <c r="W343" s="2846">
        <f t="shared" si="132"/>
        <v>4500</v>
      </c>
    </row>
    <row r="344" spans="1:23" ht="52.8">
      <c r="A344" s="2859"/>
      <c r="B344" s="2871" t="s">
        <v>1775</v>
      </c>
      <c r="C344" s="2859" t="s">
        <v>41</v>
      </c>
      <c r="D344" s="2859" t="s">
        <v>1551</v>
      </c>
      <c r="E344" s="2859" t="s">
        <v>1665</v>
      </c>
      <c r="F344" s="2859" t="s">
        <v>1776</v>
      </c>
      <c r="G344" s="2855">
        <v>9996</v>
      </c>
      <c r="H344" s="2855"/>
      <c r="I344" s="2855"/>
      <c r="J344" s="2855">
        <v>9996</v>
      </c>
      <c r="K344" s="2850">
        <f>SUM(L344:N344)</f>
        <v>0</v>
      </c>
      <c r="L344" s="2855"/>
      <c r="M344" s="2855"/>
      <c r="N344" s="2855"/>
      <c r="O344" s="2850">
        <f>SUM(P344:R344)</f>
        <v>90</v>
      </c>
      <c r="P344" s="2855"/>
      <c r="Q344" s="2855"/>
      <c r="R344" s="2855">
        <v>90</v>
      </c>
      <c r="S344" s="2850">
        <f>SUM(T344:W344)</f>
        <v>4500</v>
      </c>
      <c r="T344" s="2855"/>
      <c r="U344" s="2855"/>
      <c r="V344" s="2855"/>
      <c r="W344" s="2855">
        <v>4500</v>
      </c>
    </row>
    <row r="345" spans="1:23">
      <c r="A345" s="2827" t="s">
        <v>319</v>
      </c>
      <c r="B345" s="2828" t="s">
        <v>1777</v>
      </c>
      <c r="C345" s="2859"/>
      <c r="D345" s="2859"/>
      <c r="E345" s="2859"/>
      <c r="F345" s="2859"/>
      <c r="G345" s="2858">
        <f>G346</f>
        <v>37333</v>
      </c>
      <c r="H345" s="2858">
        <f t="shared" ref="H345:W345" si="133">H346</f>
        <v>0</v>
      </c>
      <c r="I345" s="2858">
        <f t="shared" si="133"/>
        <v>0</v>
      </c>
      <c r="J345" s="2858">
        <f t="shared" si="133"/>
        <v>37333</v>
      </c>
      <c r="K345" s="2858">
        <f t="shared" si="133"/>
        <v>19186</v>
      </c>
      <c r="L345" s="2858">
        <f t="shared" si="133"/>
        <v>0</v>
      </c>
      <c r="M345" s="2858">
        <f t="shared" si="133"/>
        <v>0</v>
      </c>
      <c r="N345" s="2858">
        <f t="shared" si="133"/>
        <v>19186</v>
      </c>
      <c r="O345" s="2858">
        <f t="shared" si="133"/>
        <v>34000</v>
      </c>
      <c r="P345" s="2858">
        <f t="shared" si="133"/>
        <v>0</v>
      </c>
      <c r="Q345" s="2858">
        <f t="shared" si="133"/>
        <v>0</v>
      </c>
      <c r="R345" s="2858">
        <f t="shared" si="133"/>
        <v>34000</v>
      </c>
      <c r="S345" s="2858">
        <f t="shared" si="133"/>
        <v>2600</v>
      </c>
      <c r="T345" s="2858">
        <f t="shared" si="133"/>
        <v>0</v>
      </c>
      <c r="U345" s="2858">
        <f t="shared" si="133"/>
        <v>0</v>
      </c>
      <c r="V345" s="2858">
        <f t="shared" si="133"/>
        <v>0</v>
      </c>
      <c r="W345" s="2858">
        <f t="shared" si="133"/>
        <v>2600</v>
      </c>
    </row>
    <row r="346" spans="1:23" s="2834" customFormat="1" ht="26.4">
      <c r="A346" s="2831"/>
      <c r="B346" s="2832" t="s">
        <v>1513</v>
      </c>
      <c r="C346" s="2831"/>
      <c r="D346" s="2831"/>
      <c r="E346" s="2831"/>
      <c r="F346" s="2831"/>
      <c r="G346" s="2833">
        <f>G348</f>
        <v>37333</v>
      </c>
      <c r="H346" s="2833">
        <f t="shared" ref="H346:W346" si="134">H348</f>
        <v>0</v>
      </c>
      <c r="I346" s="2833">
        <f t="shared" si="134"/>
        <v>0</v>
      </c>
      <c r="J346" s="2833">
        <f t="shared" si="134"/>
        <v>37333</v>
      </c>
      <c r="K346" s="2833">
        <f t="shared" si="134"/>
        <v>19186</v>
      </c>
      <c r="L346" s="2833">
        <f t="shared" si="134"/>
        <v>0</v>
      </c>
      <c r="M346" s="2833">
        <f t="shared" si="134"/>
        <v>0</v>
      </c>
      <c r="N346" s="2833">
        <f t="shared" si="134"/>
        <v>19186</v>
      </c>
      <c r="O346" s="2833">
        <f t="shared" si="134"/>
        <v>34000</v>
      </c>
      <c r="P346" s="2833">
        <f t="shared" si="134"/>
        <v>0</v>
      </c>
      <c r="Q346" s="2833">
        <f t="shared" si="134"/>
        <v>0</v>
      </c>
      <c r="R346" s="2833">
        <f t="shared" si="134"/>
        <v>34000</v>
      </c>
      <c r="S346" s="2833">
        <f t="shared" si="134"/>
        <v>2600</v>
      </c>
      <c r="T346" s="2833">
        <f t="shared" si="134"/>
        <v>0</v>
      </c>
      <c r="U346" s="2833">
        <f t="shared" si="134"/>
        <v>0</v>
      </c>
      <c r="V346" s="2833">
        <f t="shared" si="134"/>
        <v>0</v>
      </c>
      <c r="W346" s="2833">
        <f t="shared" si="134"/>
        <v>2600</v>
      </c>
    </row>
    <row r="347" spans="1:23" s="2839" customFormat="1">
      <c r="A347" s="2835" t="s">
        <v>200</v>
      </c>
      <c r="B347" s="2836" t="s">
        <v>1197</v>
      </c>
      <c r="C347" s="2835"/>
      <c r="D347" s="2835"/>
      <c r="E347" s="2835"/>
      <c r="F347" s="2835"/>
      <c r="G347" s="2837"/>
      <c r="H347" s="2837"/>
      <c r="I347" s="2837"/>
      <c r="J347" s="2837"/>
      <c r="K347" s="2837"/>
      <c r="L347" s="2837"/>
      <c r="M347" s="2837"/>
      <c r="N347" s="2837"/>
      <c r="O347" s="2837"/>
      <c r="P347" s="2837"/>
      <c r="Q347" s="2837"/>
      <c r="R347" s="2837"/>
      <c r="S347" s="2837"/>
      <c r="T347" s="2837"/>
      <c r="U347" s="2837"/>
      <c r="V347" s="2837"/>
      <c r="W347" s="2838"/>
    </row>
    <row r="348" spans="1:23" s="2839" customFormat="1">
      <c r="A348" s="2835" t="s">
        <v>208</v>
      </c>
      <c r="B348" s="2836" t="s">
        <v>1198</v>
      </c>
      <c r="C348" s="2835"/>
      <c r="D348" s="2835"/>
      <c r="E348" s="2835"/>
      <c r="F348" s="2835"/>
      <c r="G348" s="2837">
        <f>G350</f>
        <v>37333</v>
      </c>
      <c r="H348" s="2837">
        <f t="shared" ref="H348:W348" si="135">H350</f>
        <v>0</v>
      </c>
      <c r="I348" s="2837">
        <f t="shared" si="135"/>
        <v>0</v>
      </c>
      <c r="J348" s="2837">
        <f t="shared" si="135"/>
        <v>37333</v>
      </c>
      <c r="K348" s="2837">
        <f t="shared" si="135"/>
        <v>19186</v>
      </c>
      <c r="L348" s="2837">
        <f t="shared" si="135"/>
        <v>0</v>
      </c>
      <c r="M348" s="2837">
        <f t="shared" si="135"/>
        <v>0</v>
      </c>
      <c r="N348" s="2837">
        <f t="shared" si="135"/>
        <v>19186</v>
      </c>
      <c r="O348" s="2837">
        <f t="shared" si="135"/>
        <v>34000</v>
      </c>
      <c r="P348" s="2837">
        <f t="shared" si="135"/>
        <v>0</v>
      </c>
      <c r="Q348" s="2837">
        <f t="shared" si="135"/>
        <v>0</v>
      </c>
      <c r="R348" s="2837">
        <f t="shared" si="135"/>
        <v>34000</v>
      </c>
      <c r="S348" s="2837">
        <f t="shared" si="135"/>
        <v>2600</v>
      </c>
      <c r="T348" s="2837">
        <f t="shared" si="135"/>
        <v>0</v>
      </c>
      <c r="U348" s="2837">
        <f t="shared" si="135"/>
        <v>0</v>
      </c>
      <c r="V348" s="2837">
        <f t="shared" si="135"/>
        <v>0</v>
      </c>
      <c r="W348" s="2837">
        <f t="shared" si="135"/>
        <v>2600</v>
      </c>
    </row>
    <row r="349" spans="1:23" s="2844" customFormat="1" ht="52.8">
      <c r="A349" s="2840" t="s">
        <v>441</v>
      </c>
      <c r="B349" s="2841" t="s">
        <v>1540</v>
      </c>
      <c r="C349" s="2840"/>
      <c r="D349" s="2840"/>
      <c r="E349" s="2840"/>
      <c r="F349" s="2840"/>
      <c r="G349" s="2842"/>
      <c r="H349" s="2842"/>
      <c r="I349" s="2842"/>
      <c r="J349" s="2842"/>
      <c r="K349" s="2842"/>
      <c r="L349" s="2842"/>
      <c r="M349" s="2842"/>
      <c r="N349" s="2842"/>
      <c r="O349" s="2842"/>
      <c r="P349" s="2842"/>
      <c r="Q349" s="2842"/>
      <c r="R349" s="2842"/>
      <c r="S349" s="2842"/>
      <c r="T349" s="2842"/>
      <c r="U349" s="2842"/>
      <c r="V349" s="2842"/>
      <c r="W349" s="2843"/>
    </row>
    <row r="350" spans="1:23" s="2847" customFormat="1" ht="26.4">
      <c r="A350" s="2845" t="s">
        <v>463</v>
      </c>
      <c r="B350" s="2841" t="s">
        <v>1541</v>
      </c>
      <c r="C350" s="2845"/>
      <c r="D350" s="2845"/>
      <c r="E350" s="2845"/>
      <c r="F350" s="2845"/>
      <c r="G350" s="2846">
        <f>G351</f>
        <v>37333</v>
      </c>
      <c r="H350" s="2846">
        <f t="shared" ref="H350:W350" si="136">H351</f>
        <v>0</v>
      </c>
      <c r="I350" s="2846">
        <f t="shared" si="136"/>
        <v>0</v>
      </c>
      <c r="J350" s="2846">
        <f t="shared" si="136"/>
        <v>37333</v>
      </c>
      <c r="K350" s="2846">
        <f t="shared" si="136"/>
        <v>19186</v>
      </c>
      <c r="L350" s="2846">
        <f t="shared" si="136"/>
        <v>0</v>
      </c>
      <c r="M350" s="2846">
        <f t="shared" si="136"/>
        <v>0</v>
      </c>
      <c r="N350" s="2846">
        <f t="shared" si="136"/>
        <v>19186</v>
      </c>
      <c r="O350" s="2846">
        <f t="shared" si="136"/>
        <v>34000</v>
      </c>
      <c r="P350" s="2846">
        <f t="shared" si="136"/>
        <v>0</v>
      </c>
      <c r="Q350" s="2846">
        <f t="shared" si="136"/>
        <v>0</v>
      </c>
      <c r="R350" s="2846">
        <f t="shared" si="136"/>
        <v>34000</v>
      </c>
      <c r="S350" s="2846">
        <f t="shared" si="136"/>
        <v>2600</v>
      </c>
      <c r="T350" s="2846">
        <f t="shared" si="136"/>
        <v>0</v>
      </c>
      <c r="U350" s="2846">
        <f t="shared" si="136"/>
        <v>0</v>
      </c>
      <c r="V350" s="2846">
        <f t="shared" si="136"/>
        <v>0</v>
      </c>
      <c r="W350" s="2846">
        <f t="shared" si="136"/>
        <v>2600</v>
      </c>
    </row>
    <row r="351" spans="1:23" ht="105.6">
      <c r="A351" s="2859"/>
      <c r="B351" s="2860" t="s">
        <v>1778</v>
      </c>
      <c r="C351" s="2859" t="s">
        <v>41</v>
      </c>
      <c r="D351" s="2859" t="s">
        <v>1779</v>
      </c>
      <c r="E351" s="2859" t="s">
        <v>1574</v>
      </c>
      <c r="F351" s="2859" t="s">
        <v>1780</v>
      </c>
      <c r="G351" s="2855">
        <v>37333</v>
      </c>
      <c r="H351" s="2855"/>
      <c r="I351" s="2855"/>
      <c r="J351" s="2855">
        <v>37333</v>
      </c>
      <c r="K351" s="2850">
        <f>SUM(L351:N351)</f>
        <v>19186</v>
      </c>
      <c r="L351" s="2855"/>
      <c r="M351" s="2855"/>
      <c r="N351" s="2855">
        <v>19186</v>
      </c>
      <c r="O351" s="2850">
        <f>SUM(P351:R351)</f>
        <v>34000</v>
      </c>
      <c r="P351" s="2855"/>
      <c r="Q351" s="2855"/>
      <c r="R351" s="2855">
        <v>34000</v>
      </c>
      <c r="S351" s="2850">
        <f>SUM(T351:W351)</f>
        <v>2600</v>
      </c>
      <c r="T351" s="2855"/>
      <c r="U351" s="2855"/>
      <c r="V351" s="2855"/>
      <c r="W351" s="2855">
        <v>2600</v>
      </c>
    </row>
    <row r="352" spans="1:23">
      <c r="A352" s="2827" t="s">
        <v>321</v>
      </c>
      <c r="B352" s="2828" t="s">
        <v>1642</v>
      </c>
      <c r="C352" s="2859"/>
      <c r="D352" s="2859"/>
      <c r="E352" s="2859"/>
      <c r="F352" s="2859"/>
      <c r="G352" s="2870">
        <f>G353</f>
        <v>79384</v>
      </c>
      <c r="H352" s="2870">
        <f t="shared" ref="H352:W352" si="137">H353</f>
        <v>0</v>
      </c>
      <c r="I352" s="2870">
        <f t="shared" si="137"/>
        <v>39692</v>
      </c>
      <c r="J352" s="2870">
        <f t="shared" si="137"/>
        <v>39692</v>
      </c>
      <c r="K352" s="2870">
        <f t="shared" si="137"/>
        <v>441</v>
      </c>
      <c r="L352" s="2870">
        <f t="shared" si="137"/>
        <v>0</v>
      </c>
      <c r="M352" s="2870">
        <f t="shared" si="137"/>
        <v>0</v>
      </c>
      <c r="N352" s="2870">
        <f t="shared" si="137"/>
        <v>441</v>
      </c>
      <c r="O352" s="2870">
        <f t="shared" si="137"/>
        <v>2000</v>
      </c>
      <c r="P352" s="2870">
        <f t="shared" si="137"/>
        <v>0</v>
      </c>
      <c r="Q352" s="2870">
        <f t="shared" si="137"/>
        <v>0</v>
      </c>
      <c r="R352" s="2870">
        <f t="shared" si="137"/>
        <v>2000</v>
      </c>
      <c r="S352" s="2870">
        <f t="shared" si="137"/>
        <v>7000</v>
      </c>
      <c r="T352" s="2870">
        <f t="shared" si="137"/>
        <v>0</v>
      </c>
      <c r="U352" s="2870">
        <f t="shared" si="137"/>
        <v>0</v>
      </c>
      <c r="V352" s="2870">
        <f t="shared" si="137"/>
        <v>0</v>
      </c>
      <c r="W352" s="2870">
        <f t="shared" si="137"/>
        <v>7000</v>
      </c>
    </row>
    <row r="353" spans="1:23" s="2834" customFormat="1">
      <c r="A353" s="2831"/>
      <c r="B353" s="2832" t="s">
        <v>1511</v>
      </c>
      <c r="C353" s="2831"/>
      <c r="D353" s="2831"/>
      <c r="E353" s="2831"/>
      <c r="F353" s="2831"/>
      <c r="G353" s="2833">
        <f>G355</f>
        <v>79384</v>
      </c>
      <c r="H353" s="2833">
        <f t="shared" ref="H353:W353" si="138">H355</f>
        <v>0</v>
      </c>
      <c r="I353" s="2833">
        <f t="shared" si="138"/>
        <v>39692</v>
      </c>
      <c r="J353" s="2833">
        <f t="shared" si="138"/>
        <v>39692</v>
      </c>
      <c r="K353" s="2833">
        <f t="shared" si="138"/>
        <v>441</v>
      </c>
      <c r="L353" s="2833">
        <f t="shared" si="138"/>
        <v>0</v>
      </c>
      <c r="M353" s="2833">
        <f t="shared" si="138"/>
        <v>0</v>
      </c>
      <c r="N353" s="2833">
        <f t="shared" si="138"/>
        <v>441</v>
      </c>
      <c r="O353" s="2833">
        <f t="shared" si="138"/>
        <v>2000</v>
      </c>
      <c r="P353" s="2833">
        <f t="shared" si="138"/>
        <v>0</v>
      </c>
      <c r="Q353" s="2833">
        <f t="shared" si="138"/>
        <v>0</v>
      </c>
      <c r="R353" s="2833">
        <f t="shared" si="138"/>
        <v>2000</v>
      </c>
      <c r="S353" s="2833">
        <f t="shared" si="138"/>
        <v>7000</v>
      </c>
      <c r="T353" s="2833">
        <f t="shared" si="138"/>
        <v>0</v>
      </c>
      <c r="U353" s="2833">
        <f t="shared" si="138"/>
        <v>0</v>
      </c>
      <c r="V353" s="2833">
        <f t="shared" si="138"/>
        <v>0</v>
      </c>
      <c r="W353" s="2833">
        <f t="shared" si="138"/>
        <v>7000</v>
      </c>
    </row>
    <row r="354" spans="1:23" s="2839" customFormat="1">
      <c r="A354" s="2835" t="s">
        <v>200</v>
      </c>
      <c r="B354" s="2836" t="s">
        <v>1197</v>
      </c>
      <c r="C354" s="2835"/>
      <c r="D354" s="2835"/>
      <c r="E354" s="2835"/>
      <c r="F354" s="2835"/>
      <c r="G354" s="2837"/>
      <c r="H354" s="2837"/>
      <c r="I354" s="2837"/>
      <c r="J354" s="2837"/>
      <c r="K354" s="2837"/>
      <c r="L354" s="2837"/>
      <c r="M354" s="2837"/>
      <c r="N354" s="2837"/>
      <c r="O354" s="2837"/>
      <c r="P354" s="2837"/>
      <c r="Q354" s="2837"/>
      <c r="R354" s="2837"/>
      <c r="S354" s="2837"/>
      <c r="T354" s="2837"/>
      <c r="U354" s="2837"/>
      <c r="V354" s="2837"/>
      <c r="W354" s="2838"/>
    </row>
    <row r="355" spans="1:23" s="2839" customFormat="1">
      <c r="A355" s="2835" t="s">
        <v>208</v>
      </c>
      <c r="B355" s="2836" t="s">
        <v>1198</v>
      </c>
      <c r="C355" s="2835"/>
      <c r="D355" s="2835"/>
      <c r="E355" s="2835"/>
      <c r="F355" s="2835"/>
      <c r="G355" s="2837">
        <f>G357</f>
        <v>79384</v>
      </c>
      <c r="H355" s="2837">
        <f t="shared" ref="H355:W355" si="139">H357</f>
        <v>0</v>
      </c>
      <c r="I355" s="2837">
        <f t="shared" si="139"/>
        <v>39692</v>
      </c>
      <c r="J355" s="2837">
        <f t="shared" si="139"/>
        <v>39692</v>
      </c>
      <c r="K355" s="2837">
        <f t="shared" si="139"/>
        <v>441</v>
      </c>
      <c r="L355" s="2837">
        <f t="shared" si="139"/>
        <v>0</v>
      </c>
      <c r="M355" s="2837">
        <f t="shared" si="139"/>
        <v>0</v>
      </c>
      <c r="N355" s="2837">
        <f t="shared" si="139"/>
        <v>441</v>
      </c>
      <c r="O355" s="2837">
        <f t="shared" si="139"/>
        <v>2000</v>
      </c>
      <c r="P355" s="2837">
        <f t="shared" si="139"/>
        <v>0</v>
      </c>
      <c r="Q355" s="2837">
        <f t="shared" si="139"/>
        <v>0</v>
      </c>
      <c r="R355" s="2837">
        <f t="shared" si="139"/>
        <v>2000</v>
      </c>
      <c r="S355" s="2837">
        <f t="shared" si="139"/>
        <v>7000</v>
      </c>
      <c r="T355" s="2837">
        <f t="shared" si="139"/>
        <v>0</v>
      </c>
      <c r="U355" s="2837">
        <f t="shared" si="139"/>
        <v>0</v>
      </c>
      <c r="V355" s="2837">
        <f t="shared" si="139"/>
        <v>0</v>
      </c>
      <c r="W355" s="2837">
        <f t="shared" si="139"/>
        <v>7000</v>
      </c>
    </row>
    <row r="356" spans="1:23" s="2844" customFormat="1" ht="52.8">
      <c r="A356" s="2840" t="s">
        <v>441</v>
      </c>
      <c r="B356" s="2841" t="s">
        <v>1540</v>
      </c>
      <c r="C356" s="2840"/>
      <c r="D356" s="2840"/>
      <c r="E356" s="2840"/>
      <c r="F356" s="2840"/>
      <c r="G356" s="2842"/>
      <c r="H356" s="2842"/>
      <c r="I356" s="2842"/>
      <c r="J356" s="2842"/>
      <c r="K356" s="2842"/>
      <c r="L356" s="2842"/>
      <c r="M356" s="2842"/>
      <c r="N356" s="2842"/>
      <c r="O356" s="2842"/>
      <c r="P356" s="2842"/>
      <c r="Q356" s="2842"/>
      <c r="R356" s="2842"/>
      <c r="S356" s="2842"/>
      <c r="T356" s="2842"/>
      <c r="U356" s="2842"/>
      <c r="V356" s="2842"/>
      <c r="W356" s="2843"/>
    </row>
    <row r="357" spans="1:23" s="2847" customFormat="1" ht="26.4">
      <c r="A357" s="2845" t="s">
        <v>463</v>
      </c>
      <c r="B357" s="2841" t="s">
        <v>1541</v>
      </c>
      <c r="C357" s="2845"/>
      <c r="D357" s="2845"/>
      <c r="E357" s="2845"/>
      <c r="F357" s="2845"/>
      <c r="G357" s="2846">
        <f>G358</f>
        <v>79384</v>
      </c>
      <c r="H357" s="2846">
        <f t="shared" ref="H357:W357" si="140">H358</f>
        <v>0</v>
      </c>
      <c r="I357" s="2846">
        <f t="shared" si="140"/>
        <v>39692</v>
      </c>
      <c r="J357" s="2846">
        <f t="shared" si="140"/>
        <v>39692</v>
      </c>
      <c r="K357" s="2846">
        <f t="shared" si="140"/>
        <v>441</v>
      </c>
      <c r="L357" s="2846">
        <f t="shared" si="140"/>
        <v>0</v>
      </c>
      <c r="M357" s="2846">
        <f t="shared" si="140"/>
        <v>0</v>
      </c>
      <c r="N357" s="2846">
        <f t="shared" si="140"/>
        <v>441</v>
      </c>
      <c r="O357" s="2846">
        <f t="shared" si="140"/>
        <v>2000</v>
      </c>
      <c r="P357" s="2846">
        <f t="shared" si="140"/>
        <v>0</v>
      </c>
      <c r="Q357" s="2846">
        <f t="shared" si="140"/>
        <v>0</v>
      </c>
      <c r="R357" s="2846">
        <f t="shared" si="140"/>
        <v>2000</v>
      </c>
      <c r="S357" s="2846">
        <f t="shared" si="140"/>
        <v>7000</v>
      </c>
      <c r="T357" s="2846">
        <f t="shared" si="140"/>
        <v>0</v>
      </c>
      <c r="U357" s="2846">
        <f t="shared" si="140"/>
        <v>0</v>
      </c>
      <c r="V357" s="2846">
        <f t="shared" si="140"/>
        <v>0</v>
      </c>
      <c r="W357" s="2846">
        <f t="shared" si="140"/>
        <v>7000</v>
      </c>
    </row>
    <row r="358" spans="1:23" ht="92.4">
      <c r="A358" s="2859"/>
      <c r="B358" s="2860" t="s">
        <v>1781</v>
      </c>
      <c r="C358" s="2859" t="s">
        <v>31</v>
      </c>
      <c r="D358" s="2859" t="s">
        <v>1664</v>
      </c>
      <c r="E358" s="2859" t="s">
        <v>1635</v>
      </c>
      <c r="F358" s="2859" t="s">
        <v>1782</v>
      </c>
      <c r="G358" s="2855">
        <v>79384</v>
      </c>
      <c r="H358" s="2855"/>
      <c r="I358" s="2855">
        <v>39692</v>
      </c>
      <c r="J358" s="2855">
        <v>39692</v>
      </c>
      <c r="K358" s="2850">
        <f>SUM(L358:N358)</f>
        <v>441</v>
      </c>
      <c r="L358" s="2855"/>
      <c r="M358" s="2855"/>
      <c r="N358" s="2855">
        <v>441</v>
      </c>
      <c r="O358" s="2850">
        <f>SUM(P358:R358)</f>
        <v>2000</v>
      </c>
      <c r="P358" s="2855"/>
      <c r="Q358" s="2855"/>
      <c r="R358" s="2855">
        <v>2000</v>
      </c>
      <c r="S358" s="2850">
        <f>SUM(T358:W358)</f>
        <v>7000</v>
      </c>
      <c r="T358" s="2855"/>
      <c r="U358" s="2855"/>
      <c r="V358" s="2855"/>
      <c r="W358" s="2855">
        <v>7000</v>
      </c>
    </row>
    <row r="359" spans="1:23" ht="26.4">
      <c r="A359" s="2827" t="s">
        <v>579</v>
      </c>
      <c r="B359" s="2828" t="s">
        <v>1552</v>
      </c>
      <c r="C359" s="2859"/>
      <c r="D359" s="2859"/>
      <c r="E359" s="2859"/>
      <c r="F359" s="2859"/>
      <c r="G359" s="2858">
        <f>G360+G377+G389+G395+G401</f>
        <v>1450650</v>
      </c>
      <c r="H359" s="2858">
        <f t="shared" ref="H359:W359" si="141">H360+H377+H389+H395+H401</f>
        <v>0</v>
      </c>
      <c r="I359" s="2858">
        <f t="shared" si="141"/>
        <v>620887</v>
      </c>
      <c r="J359" s="2858">
        <f t="shared" si="141"/>
        <v>829763</v>
      </c>
      <c r="K359" s="2858">
        <f t="shared" si="141"/>
        <v>247271</v>
      </c>
      <c r="L359" s="2858">
        <f t="shared" si="141"/>
        <v>0</v>
      </c>
      <c r="M359" s="2858">
        <f t="shared" si="141"/>
        <v>105553</v>
      </c>
      <c r="N359" s="2858">
        <f t="shared" si="141"/>
        <v>141718</v>
      </c>
      <c r="O359" s="2858">
        <f t="shared" si="141"/>
        <v>333109</v>
      </c>
      <c r="P359" s="2858">
        <f t="shared" si="141"/>
        <v>0</v>
      </c>
      <c r="Q359" s="2858">
        <f t="shared" si="141"/>
        <v>50506</v>
      </c>
      <c r="R359" s="2858">
        <f t="shared" si="141"/>
        <v>282603</v>
      </c>
      <c r="S359" s="2858">
        <f t="shared" si="141"/>
        <v>277475</v>
      </c>
      <c r="T359" s="2858">
        <f t="shared" si="141"/>
        <v>0</v>
      </c>
      <c r="U359" s="2858">
        <f t="shared" si="141"/>
        <v>0</v>
      </c>
      <c r="V359" s="2858">
        <f t="shared" si="141"/>
        <v>0</v>
      </c>
      <c r="W359" s="2858">
        <f t="shared" si="141"/>
        <v>277475</v>
      </c>
    </row>
    <row r="360" spans="1:23" s="2834" customFormat="1">
      <c r="A360" s="2831">
        <v>1</v>
      </c>
      <c r="B360" s="2832" t="s">
        <v>1512</v>
      </c>
      <c r="C360" s="2831"/>
      <c r="D360" s="2831"/>
      <c r="E360" s="2831"/>
      <c r="F360" s="2831"/>
      <c r="G360" s="2872">
        <f>G362</f>
        <v>699180</v>
      </c>
      <c r="H360" s="2872">
        <f t="shared" ref="H360:W360" si="142">H362</f>
        <v>0</v>
      </c>
      <c r="I360" s="2872">
        <f t="shared" si="142"/>
        <v>200000</v>
      </c>
      <c r="J360" s="2872">
        <f t="shared" si="142"/>
        <v>499180</v>
      </c>
      <c r="K360" s="2872">
        <f t="shared" si="142"/>
        <v>229387</v>
      </c>
      <c r="L360" s="2872">
        <f t="shared" si="142"/>
        <v>0</v>
      </c>
      <c r="M360" s="2872">
        <f t="shared" si="142"/>
        <v>101657</v>
      </c>
      <c r="N360" s="2872">
        <f t="shared" si="142"/>
        <v>127730</v>
      </c>
      <c r="O360" s="2872">
        <f t="shared" si="142"/>
        <v>168133</v>
      </c>
      <c r="P360" s="2872">
        <f t="shared" si="142"/>
        <v>0</v>
      </c>
      <c r="Q360" s="2872">
        <f t="shared" si="142"/>
        <v>20000</v>
      </c>
      <c r="R360" s="2872">
        <f t="shared" si="142"/>
        <v>148133</v>
      </c>
      <c r="S360" s="2872">
        <f t="shared" si="142"/>
        <v>129500</v>
      </c>
      <c r="T360" s="2872">
        <f t="shared" si="142"/>
        <v>0</v>
      </c>
      <c r="U360" s="2872">
        <f t="shared" si="142"/>
        <v>0</v>
      </c>
      <c r="V360" s="2872">
        <f t="shared" si="142"/>
        <v>0</v>
      </c>
      <c r="W360" s="2872">
        <f t="shared" si="142"/>
        <v>129500</v>
      </c>
    </row>
    <row r="361" spans="1:23" s="2839" customFormat="1">
      <c r="A361" s="2835" t="s">
        <v>200</v>
      </c>
      <c r="B361" s="2836" t="s">
        <v>1197</v>
      </c>
      <c r="C361" s="2835"/>
      <c r="D361" s="2835"/>
      <c r="E361" s="2835"/>
      <c r="F361" s="2835"/>
      <c r="G361" s="2837"/>
      <c r="H361" s="2837"/>
      <c r="I361" s="2837"/>
      <c r="J361" s="2837"/>
      <c r="K361" s="2837"/>
      <c r="L361" s="2837"/>
      <c r="M361" s="2837"/>
      <c r="N361" s="2837"/>
      <c r="O361" s="2837"/>
      <c r="P361" s="2837"/>
      <c r="Q361" s="2837"/>
      <c r="R361" s="2837"/>
      <c r="S361" s="2837"/>
      <c r="T361" s="2837"/>
      <c r="U361" s="2837"/>
      <c r="V361" s="2837"/>
      <c r="W361" s="2838"/>
    </row>
    <row r="362" spans="1:23" s="2839" customFormat="1">
      <c r="A362" s="2835" t="s">
        <v>208</v>
      </c>
      <c r="B362" s="2836" t="s">
        <v>1198</v>
      </c>
      <c r="C362" s="2835"/>
      <c r="D362" s="2835"/>
      <c r="E362" s="2835"/>
      <c r="F362" s="2835"/>
      <c r="G362" s="2837">
        <f>G364</f>
        <v>699180</v>
      </c>
      <c r="H362" s="2837">
        <f t="shared" ref="H362:W362" si="143">H364</f>
        <v>0</v>
      </c>
      <c r="I362" s="2837">
        <f t="shared" si="143"/>
        <v>200000</v>
      </c>
      <c r="J362" s="2837">
        <f t="shared" si="143"/>
        <v>499180</v>
      </c>
      <c r="K362" s="2837">
        <f t="shared" si="143"/>
        <v>229387</v>
      </c>
      <c r="L362" s="2837">
        <f t="shared" si="143"/>
        <v>0</v>
      </c>
      <c r="M362" s="2837">
        <f t="shared" si="143"/>
        <v>101657</v>
      </c>
      <c r="N362" s="2837">
        <f t="shared" si="143"/>
        <v>127730</v>
      </c>
      <c r="O362" s="2837">
        <f t="shared" si="143"/>
        <v>168133</v>
      </c>
      <c r="P362" s="2837">
        <f t="shared" si="143"/>
        <v>0</v>
      </c>
      <c r="Q362" s="2837">
        <f t="shared" si="143"/>
        <v>20000</v>
      </c>
      <c r="R362" s="2837">
        <f t="shared" si="143"/>
        <v>148133</v>
      </c>
      <c r="S362" s="2837">
        <f t="shared" si="143"/>
        <v>129500</v>
      </c>
      <c r="T362" s="2837">
        <f t="shared" si="143"/>
        <v>0</v>
      </c>
      <c r="U362" s="2837">
        <f t="shared" si="143"/>
        <v>0</v>
      </c>
      <c r="V362" s="2837">
        <f t="shared" si="143"/>
        <v>0</v>
      </c>
      <c r="W362" s="2837">
        <f t="shared" si="143"/>
        <v>129500</v>
      </c>
    </row>
    <row r="363" spans="1:23" s="2844" customFormat="1" ht="52.8">
      <c r="A363" s="2840" t="s">
        <v>441</v>
      </c>
      <c r="B363" s="2841" t="s">
        <v>1540</v>
      </c>
      <c r="C363" s="2840"/>
      <c r="D363" s="2840"/>
      <c r="E363" s="2840"/>
      <c r="F363" s="2840"/>
      <c r="G363" s="2842"/>
      <c r="H363" s="2842"/>
      <c r="I363" s="2842"/>
      <c r="J363" s="2842"/>
      <c r="K363" s="2842"/>
      <c r="L363" s="2842"/>
      <c r="M363" s="2842"/>
      <c r="N363" s="2842"/>
      <c r="O363" s="2842"/>
      <c r="P363" s="2842"/>
      <c r="Q363" s="2842"/>
      <c r="R363" s="2842"/>
      <c r="S363" s="2842"/>
      <c r="T363" s="2842"/>
      <c r="U363" s="2842"/>
      <c r="V363" s="2842"/>
      <c r="W363" s="2843"/>
    </row>
    <row r="364" spans="1:23" s="2847" customFormat="1" ht="26.4">
      <c r="A364" s="2845" t="s">
        <v>463</v>
      </c>
      <c r="B364" s="2841" t="s">
        <v>1541</v>
      </c>
      <c r="C364" s="2845"/>
      <c r="D364" s="2845"/>
      <c r="E364" s="2845"/>
      <c r="F364" s="2845"/>
      <c r="G364" s="2846">
        <f>SUM(G365:G376)</f>
        <v>699180</v>
      </c>
      <c r="H364" s="2846">
        <f t="shared" ref="H364:W364" si="144">SUM(H365:H376)</f>
        <v>0</v>
      </c>
      <c r="I364" s="2846">
        <f t="shared" si="144"/>
        <v>200000</v>
      </c>
      <c r="J364" s="2846">
        <f t="shared" si="144"/>
        <v>499180</v>
      </c>
      <c r="K364" s="2846">
        <f t="shared" si="144"/>
        <v>229387</v>
      </c>
      <c r="L364" s="2846">
        <f t="shared" si="144"/>
        <v>0</v>
      </c>
      <c r="M364" s="2846">
        <f t="shared" si="144"/>
        <v>101657</v>
      </c>
      <c r="N364" s="2846">
        <f t="shared" si="144"/>
        <v>127730</v>
      </c>
      <c r="O364" s="2846">
        <f t="shared" si="144"/>
        <v>168133</v>
      </c>
      <c r="P364" s="2846">
        <f t="shared" si="144"/>
        <v>0</v>
      </c>
      <c r="Q364" s="2846">
        <f t="shared" si="144"/>
        <v>20000</v>
      </c>
      <c r="R364" s="2846">
        <f t="shared" si="144"/>
        <v>148133</v>
      </c>
      <c r="S364" s="2846">
        <f t="shared" si="144"/>
        <v>129500</v>
      </c>
      <c r="T364" s="2846">
        <f t="shared" si="144"/>
        <v>0</v>
      </c>
      <c r="U364" s="2846">
        <f t="shared" si="144"/>
        <v>0</v>
      </c>
      <c r="V364" s="2846">
        <f t="shared" si="144"/>
        <v>0</v>
      </c>
      <c r="W364" s="2846">
        <f t="shared" si="144"/>
        <v>129500</v>
      </c>
    </row>
    <row r="365" spans="1:23" ht="79.2">
      <c r="A365" s="2848"/>
      <c r="B365" s="2849" t="s">
        <v>1783</v>
      </c>
      <c r="C365" s="2848" t="s">
        <v>1784</v>
      </c>
      <c r="D365" s="2848" t="s">
        <v>1785</v>
      </c>
      <c r="E365" s="2848" t="s">
        <v>1615</v>
      </c>
      <c r="F365" s="2848" t="s">
        <v>1786</v>
      </c>
      <c r="G365" s="2850">
        <v>459642</v>
      </c>
      <c r="H365" s="2850"/>
      <c r="I365" s="2850">
        <v>200000</v>
      </c>
      <c r="J365" s="2850">
        <v>259642</v>
      </c>
      <c r="K365" s="2850">
        <f t="shared" ref="K365:K376" si="145">SUM(L365:N365)</f>
        <v>198608</v>
      </c>
      <c r="L365" s="2850"/>
      <c r="M365" s="2850">
        <f>82000+19657</f>
        <v>101657</v>
      </c>
      <c r="N365" s="2850">
        <f>2261+23311+71341+38</f>
        <v>96951</v>
      </c>
      <c r="O365" s="2850">
        <f t="shared" ref="O365:O376" si="146">SUM(P365:R365)</f>
        <v>126333</v>
      </c>
      <c r="P365" s="2850"/>
      <c r="Q365" s="2850">
        <v>20000</v>
      </c>
      <c r="R365" s="2850">
        <f>3000+23333+80000</f>
        <v>106333</v>
      </c>
      <c r="S365" s="2850">
        <f t="shared" ref="S365:S376" si="147">SUM(T365:W365)</f>
        <v>20000</v>
      </c>
      <c r="T365" s="2850"/>
      <c r="U365" s="2850"/>
      <c r="V365" s="2850"/>
      <c r="W365" s="2850">
        <v>20000</v>
      </c>
    </row>
    <row r="366" spans="1:23" ht="66">
      <c r="A366" s="2859"/>
      <c r="B366" s="2860" t="s">
        <v>1787</v>
      </c>
      <c r="C366" s="2859" t="s">
        <v>1607</v>
      </c>
      <c r="D366" s="2859" t="s">
        <v>1788</v>
      </c>
      <c r="E366" s="2859" t="s">
        <v>1544</v>
      </c>
      <c r="F366" s="2859" t="s">
        <v>1789</v>
      </c>
      <c r="G366" s="2855">
        <v>31935</v>
      </c>
      <c r="H366" s="2855"/>
      <c r="I366" s="2855"/>
      <c r="J366" s="2855">
        <v>31935</v>
      </c>
      <c r="K366" s="2850">
        <f t="shared" si="145"/>
        <v>13990</v>
      </c>
      <c r="L366" s="2855"/>
      <c r="M366" s="2855"/>
      <c r="N366" s="2855">
        <v>13990</v>
      </c>
      <c r="O366" s="2850">
        <f t="shared" si="146"/>
        <v>15000</v>
      </c>
      <c r="P366" s="2855"/>
      <c r="Q366" s="2855"/>
      <c r="R366" s="2855">
        <v>15000</v>
      </c>
      <c r="S366" s="2850">
        <f t="shared" si="147"/>
        <v>14000</v>
      </c>
      <c r="T366" s="2855"/>
      <c r="U366" s="2855"/>
      <c r="V366" s="2855"/>
      <c r="W366" s="2855">
        <v>14000</v>
      </c>
    </row>
    <row r="367" spans="1:23" ht="66">
      <c r="A367" s="2859"/>
      <c r="B367" s="2860" t="s">
        <v>1790</v>
      </c>
      <c r="C367" s="2859" t="s">
        <v>35</v>
      </c>
      <c r="D367" s="2859" t="s">
        <v>1788</v>
      </c>
      <c r="E367" s="2859" t="s">
        <v>1544</v>
      </c>
      <c r="F367" s="2859" t="s">
        <v>1791</v>
      </c>
      <c r="G367" s="2855">
        <v>30455</v>
      </c>
      <c r="H367" s="2855"/>
      <c r="I367" s="2855"/>
      <c r="J367" s="2855">
        <v>30455</v>
      </c>
      <c r="K367" s="2850">
        <f t="shared" si="145"/>
        <v>9170</v>
      </c>
      <c r="L367" s="2855"/>
      <c r="M367" s="2855"/>
      <c r="N367" s="2855">
        <v>9170</v>
      </c>
      <c r="O367" s="2850">
        <f t="shared" si="146"/>
        <v>15000</v>
      </c>
      <c r="P367" s="2855"/>
      <c r="Q367" s="2855"/>
      <c r="R367" s="2855">
        <v>15000</v>
      </c>
      <c r="S367" s="2850">
        <f t="shared" si="147"/>
        <v>11000</v>
      </c>
      <c r="T367" s="2855"/>
      <c r="U367" s="2855"/>
      <c r="V367" s="2855"/>
      <c r="W367" s="2855">
        <v>11000</v>
      </c>
    </row>
    <row r="368" spans="1:23" ht="52.8">
      <c r="A368" s="2859"/>
      <c r="B368" s="2860" t="s">
        <v>1792</v>
      </c>
      <c r="C368" s="2859" t="s">
        <v>1612</v>
      </c>
      <c r="D368" s="2859" t="s">
        <v>1793</v>
      </c>
      <c r="E368" s="2859" t="s">
        <v>1544</v>
      </c>
      <c r="F368" s="2859" t="s">
        <v>1794</v>
      </c>
      <c r="G368" s="2855">
        <v>15000</v>
      </c>
      <c r="H368" s="2855"/>
      <c r="I368" s="2855"/>
      <c r="J368" s="2855">
        <v>15000</v>
      </c>
      <c r="K368" s="2850">
        <f t="shared" si="145"/>
        <v>7619</v>
      </c>
      <c r="L368" s="2855"/>
      <c r="M368" s="2855"/>
      <c r="N368" s="2855">
        <v>7619</v>
      </c>
      <c r="O368" s="2850">
        <f t="shared" si="146"/>
        <v>10000</v>
      </c>
      <c r="P368" s="2855"/>
      <c r="Q368" s="2855"/>
      <c r="R368" s="2855">
        <v>10000</v>
      </c>
      <c r="S368" s="2850">
        <f t="shared" si="147"/>
        <v>3500</v>
      </c>
      <c r="T368" s="2855"/>
      <c r="U368" s="2855"/>
      <c r="V368" s="2855"/>
      <c r="W368" s="2855">
        <v>3500</v>
      </c>
    </row>
    <row r="369" spans="1:23" ht="52.8">
      <c r="A369" s="2859"/>
      <c r="B369" s="2860" t="s">
        <v>1795</v>
      </c>
      <c r="C369" s="2859" t="s">
        <v>35</v>
      </c>
      <c r="D369" s="2859" t="s">
        <v>1796</v>
      </c>
      <c r="E369" s="2859" t="s">
        <v>1544</v>
      </c>
      <c r="F369" s="2859" t="s">
        <v>1797</v>
      </c>
      <c r="G369" s="2855">
        <v>40000</v>
      </c>
      <c r="H369" s="2855"/>
      <c r="I369" s="2855"/>
      <c r="J369" s="2855">
        <v>40000</v>
      </c>
      <c r="K369" s="2850">
        <f t="shared" si="145"/>
        <v>0</v>
      </c>
      <c r="L369" s="2855"/>
      <c r="M369" s="2855"/>
      <c r="N369" s="2855"/>
      <c r="O369" s="2850">
        <f t="shared" si="146"/>
        <v>700</v>
      </c>
      <c r="P369" s="2855"/>
      <c r="Q369" s="2855"/>
      <c r="R369" s="2855">
        <v>700</v>
      </c>
      <c r="S369" s="2850">
        <f t="shared" si="147"/>
        <v>20000</v>
      </c>
      <c r="T369" s="2855"/>
      <c r="U369" s="2855"/>
      <c r="V369" s="2855"/>
      <c r="W369" s="2855">
        <v>20000</v>
      </c>
    </row>
    <row r="370" spans="1:23" ht="39.6">
      <c r="A370" s="2859"/>
      <c r="B370" s="2860" t="s">
        <v>1798</v>
      </c>
      <c r="C370" s="2859" t="s">
        <v>1799</v>
      </c>
      <c r="D370" s="2859" t="s">
        <v>1796</v>
      </c>
      <c r="E370" s="2859" t="s">
        <v>1544</v>
      </c>
      <c r="F370" s="2859" t="s">
        <v>1800</v>
      </c>
      <c r="G370" s="2855">
        <v>6721</v>
      </c>
      <c r="H370" s="2855"/>
      <c r="I370" s="2855"/>
      <c r="J370" s="2855">
        <v>6721</v>
      </c>
      <c r="K370" s="2850">
        <f t="shared" si="145"/>
        <v>0</v>
      </c>
      <c r="L370" s="2855"/>
      <c r="M370" s="2855"/>
      <c r="N370" s="2855"/>
      <c r="O370" s="2850">
        <f t="shared" si="146"/>
        <v>0</v>
      </c>
      <c r="P370" s="2855"/>
      <c r="Q370" s="2855"/>
      <c r="R370" s="2855"/>
      <c r="S370" s="2850">
        <f t="shared" si="147"/>
        <v>6000</v>
      </c>
      <c r="T370" s="2855"/>
      <c r="U370" s="2855"/>
      <c r="V370" s="2855"/>
      <c r="W370" s="2855">
        <v>6000</v>
      </c>
    </row>
    <row r="371" spans="1:23" ht="105.6">
      <c r="A371" s="2859"/>
      <c r="B371" s="2860" t="s">
        <v>1801</v>
      </c>
      <c r="C371" s="2859" t="s">
        <v>30</v>
      </c>
      <c r="D371" s="2859" t="s">
        <v>1796</v>
      </c>
      <c r="E371" s="2859" t="s">
        <v>1544</v>
      </c>
      <c r="F371" s="2859" t="s">
        <v>1802</v>
      </c>
      <c r="G371" s="2855">
        <v>8774</v>
      </c>
      <c r="H371" s="2855"/>
      <c r="I371" s="2855"/>
      <c r="J371" s="2855">
        <v>8774</v>
      </c>
      <c r="K371" s="2850">
        <f t="shared" si="145"/>
        <v>0</v>
      </c>
      <c r="L371" s="2855"/>
      <c r="M371" s="2855"/>
      <c r="N371" s="2855"/>
      <c r="O371" s="2850">
        <f t="shared" si="146"/>
        <v>0</v>
      </c>
      <c r="P371" s="2855"/>
      <c r="Q371" s="2855"/>
      <c r="R371" s="2855"/>
      <c r="S371" s="2850">
        <f t="shared" si="147"/>
        <v>8000</v>
      </c>
      <c r="T371" s="2855"/>
      <c r="U371" s="2855"/>
      <c r="V371" s="2855"/>
      <c r="W371" s="2855">
        <v>8000</v>
      </c>
    </row>
    <row r="372" spans="1:23" ht="52.8">
      <c r="A372" s="2859"/>
      <c r="B372" s="2860" t="s">
        <v>1803</v>
      </c>
      <c r="C372" s="2859" t="s">
        <v>1607</v>
      </c>
      <c r="D372" s="2859" t="s">
        <v>1796</v>
      </c>
      <c r="E372" s="2859" t="s">
        <v>1544</v>
      </c>
      <c r="F372" s="2859" t="s">
        <v>1804</v>
      </c>
      <c r="G372" s="2855">
        <v>43000</v>
      </c>
      <c r="H372" s="2855"/>
      <c r="I372" s="2855"/>
      <c r="J372" s="2855">
        <v>43000</v>
      </c>
      <c r="K372" s="2850">
        <f t="shared" si="145"/>
        <v>0</v>
      </c>
      <c r="L372" s="2855"/>
      <c r="M372" s="2855"/>
      <c r="N372" s="2855"/>
      <c r="O372" s="2850">
        <f t="shared" si="146"/>
        <v>600</v>
      </c>
      <c r="P372" s="2855"/>
      <c r="Q372" s="2855"/>
      <c r="R372" s="2855">
        <v>600</v>
      </c>
      <c r="S372" s="2850">
        <f t="shared" si="147"/>
        <v>20000</v>
      </c>
      <c r="T372" s="2855"/>
      <c r="U372" s="2855"/>
      <c r="V372" s="2855"/>
      <c r="W372" s="2855">
        <v>20000</v>
      </c>
    </row>
    <row r="373" spans="1:23" ht="52.8">
      <c r="A373" s="2859"/>
      <c r="B373" s="2860" t="s">
        <v>1805</v>
      </c>
      <c r="C373" s="2859" t="s">
        <v>30</v>
      </c>
      <c r="D373" s="2859" t="s">
        <v>1806</v>
      </c>
      <c r="E373" s="2859" t="s">
        <v>1544</v>
      </c>
      <c r="F373" s="2859" t="s">
        <v>1807</v>
      </c>
      <c r="G373" s="2855">
        <v>6653</v>
      </c>
      <c r="H373" s="2855"/>
      <c r="I373" s="2855"/>
      <c r="J373" s="2855">
        <v>6653</v>
      </c>
      <c r="K373" s="2850">
        <f t="shared" si="145"/>
        <v>0</v>
      </c>
      <c r="L373" s="2855"/>
      <c r="M373" s="2855"/>
      <c r="N373" s="2855"/>
      <c r="O373" s="2850">
        <f t="shared" si="146"/>
        <v>0</v>
      </c>
      <c r="P373" s="2855"/>
      <c r="Q373" s="2855"/>
      <c r="R373" s="2855"/>
      <c r="S373" s="2850">
        <f t="shared" si="147"/>
        <v>6000</v>
      </c>
      <c r="T373" s="2855"/>
      <c r="U373" s="2855"/>
      <c r="V373" s="2855"/>
      <c r="W373" s="2855">
        <v>6000</v>
      </c>
    </row>
    <row r="374" spans="1:23" ht="118.8">
      <c r="A374" s="2859"/>
      <c r="B374" s="2860" t="s">
        <v>1808</v>
      </c>
      <c r="C374" s="2859" t="s">
        <v>31</v>
      </c>
      <c r="D374" s="2859" t="s">
        <v>1806</v>
      </c>
      <c r="E374" s="2859" t="s">
        <v>1544</v>
      </c>
      <c r="F374" s="2859" t="s">
        <v>1809</v>
      </c>
      <c r="G374" s="2855">
        <v>22000</v>
      </c>
      <c r="H374" s="2855"/>
      <c r="I374" s="2855"/>
      <c r="J374" s="2855">
        <v>22000</v>
      </c>
      <c r="K374" s="2850">
        <f t="shared" si="145"/>
        <v>0</v>
      </c>
      <c r="L374" s="2855"/>
      <c r="M374" s="2855"/>
      <c r="N374" s="2855"/>
      <c r="O374" s="2850">
        <f t="shared" si="146"/>
        <v>500</v>
      </c>
      <c r="P374" s="2855"/>
      <c r="Q374" s="2855"/>
      <c r="R374" s="2855">
        <v>500</v>
      </c>
      <c r="S374" s="2850">
        <f t="shared" si="147"/>
        <v>11000</v>
      </c>
      <c r="T374" s="2855"/>
      <c r="U374" s="2855"/>
      <c r="V374" s="2855"/>
      <c r="W374" s="2855">
        <v>11000</v>
      </c>
    </row>
    <row r="375" spans="1:23" ht="52.8">
      <c r="A375" s="2859"/>
      <c r="B375" s="2860" t="s">
        <v>1588</v>
      </c>
      <c r="C375" s="2859" t="s">
        <v>1589</v>
      </c>
      <c r="D375" s="2859" t="s">
        <v>1590</v>
      </c>
      <c r="E375" s="2859" t="s">
        <v>1544</v>
      </c>
      <c r="F375" s="2859" t="s">
        <v>1591</v>
      </c>
      <c r="G375" s="2855">
        <v>17750</v>
      </c>
      <c r="H375" s="2855"/>
      <c r="I375" s="2855"/>
      <c r="J375" s="2855">
        <v>17750</v>
      </c>
      <c r="K375" s="2850">
        <f t="shared" si="145"/>
        <v>0</v>
      </c>
      <c r="L375" s="2855"/>
      <c r="M375" s="2855"/>
      <c r="N375" s="2855"/>
      <c r="O375" s="2850">
        <f t="shared" si="146"/>
        <v>0</v>
      </c>
      <c r="P375" s="2855"/>
      <c r="Q375" s="2855"/>
      <c r="R375" s="2855"/>
      <c r="S375" s="2850">
        <f t="shared" si="147"/>
        <v>5000</v>
      </c>
      <c r="T375" s="2855"/>
      <c r="U375" s="2855"/>
      <c r="V375" s="2855"/>
      <c r="W375" s="2855">
        <v>5000</v>
      </c>
    </row>
    <row r="376" spans="1:23" ht="52.8">
      <c r="A376" s="2859"/>
      <c r="B376" s="2860" t="s">
        <v>1592</v>
      </c>
      <c r="C376" s="2859" t="s">
        <v>1589</v>
      </c>
      <c r="D376" s="2859" t="s">
        <v>1590</v>
      </c>
      <c r="E376" s="2859" t="s">
        <v>1544</v>
      </c>
      <c r="F376" s="2859" t="s">
        <v>1593</v>
      </c>
      <c r="G376" s="2855">
        <v>17250</v>
      </c>
      <c r="H376" s="2855"/>
      <c r="I376" s="2855"/>
      <c r="J376" s="2855">
        <v>17250</v>
      </c>
      <c r="K376" s="2850">
        <f t="shared" si="145"/>
        <v>0</v>
      </c>
      <c r="L376" s="2855"/>
      <c r="M376" s="2855"/>
      <c r="N376" s="2855"/>
      <c r="O376" s="2850">
        <f t="shared" si="146"/>
        <v>0</v>
      </c>
      <c r="P376" s="2855"/>
      <c r="Q376" s="2855"/>
      <c r="R376" s="2855"/>
      <c r="S376" s="2850">
        <f t="shared" si="147"/>
        <v>5000</v>
      </c>
      <c r="T376" s="2855"/>
      <c r="U376" s="2855"/>
      <c r="V376" s="2855"/>
      <c r="W376" s="2855">
        <v>5000</v>
      </c>
    </row>
    <row r="377" spans="1:23" s="2834" customFormat="1" ht="26.4">
      <c r="A377" s="2831">
        <v>2</v>
      </c>
      <c r="B377" s="2832" t="s">
        <v>1510</v>
      </c>
      <c r="C377" s="2831"/>
      <c r="D377" s="2831"/>
      <c r="E377" s="2831"/>
      <c r="F377" s="2831"/>
      <c r="G377" s="2872">
        <f>G379</f>
        <v>724070</v>
      </c>
      <c r="H377" s="2872">
        <f t="shared" ref="H377:W377" si="148">H379</f>
        <v>0</v>
      </c>
      <c r="I377" s="2872">
        <f t="shared" si="148"/>
        <v>420887</v>
      </c>
      <c r="J377" s="2872">
        <f t="shared" si="148"/>
        <v>303183</v>
      </c>
      <c r="K377" s="2872">
        <f t="shared" si="148"/>
        <v>14305</v>
      </c>
      <c r="L377" s="2872">
        <f t="shared" si="148"/>
        <v>0</v>
      </c>
      <c r="M377" s="2872">
        <f t="shared" si="148"/>
        <v>3896</v>
      </c>
      <c r="N377" s="2872">
        <f t="shared" si="148"/>
        <v>10409</v>
      </c>
      <c r="O377" s="2872">
        <f t="shared" si="148"/>
        <v>164276</v>
      </c>
      <c r="P377" s="2872">
        <f t="shared" si="148"/>
        <v>0</v>
      </c>
      <c r="Q377" s="2872">
        <f t="shared" si="148"/>
        <v>30506</v>
      </c>
      <c r="R377" s="2872">
        <f t="shared" si="148"/>
        <v>133770</v>
      </c>
      <c r="S377" s="2872">
        <f t="shared" si="148"/>
        <v>124975</v>
      </c>
      <c r="T377" s="2872">
        <f t="shared" si="148"/>
        <v>0</v>
      </c>
      <c r="U377" s="2872">
        <f t="shared" si="148"/>
        <v>0</v>
      </c>
      <c r="V377" s="2872">
        <f t="shared" si="148"/>
        <v>0</v>
      </c>
      <c r="W377" s="2872">
        <f t="shared" si="148"/>
        <v>124975</v>
      </c>
    </row>
    <row r="378" spans="1:23" s="2839" customFormat="1">
      <c r="A378" s="2835" t="s">
        <v>200</v>
      </c>
      <c r="B378" s="2836" t="s">
        <v>1197</v>
      </c>
      <c r="C378" s="2835"/>
      <c r="D378" s="2835"/>
      <c r="E378" s="2835"/>
      <c r="F378" s="2835"/>
      <c r="G378" s="2837"/>
      <c r="H378" s="2837"/>
      <c r="I378" s="2837"/>
      <c r="J378" s="2837"/>
      <c r="K378" s="2837"/>
      <c r="L378" s="2837"/>
      <c r="M378" s="2837"/>
      <c r="N378" s="2837"/>
      <c r="O378" s="2837"/>
      <c r="P378" s="2837"/>
      <c r="Q378" s="2837"/>
      <c r="R378" s="2837"/>
      <c r="S378" s="2837"/>
      <c r="T378" s="2837"/>
      <c r="U378" s="2837"/>
      <c r="V378" s="2837"/>
      <c r="W378" s="2838"/>
    </row>
    <row r="379" spans="1:23" s="2839" customFormat="1">
      <c r="A379" s="2835" t="s">
        <v>208</v>
      </c>
      <c r="B379" s="2836" t="s">
        <v>1198</v>
      </c>
      <c r="C379" s="2835"/>
      <c r="D379" s="2835"/>
      <c r="E379" s="2835"/>
      <c r="F379" s="2835"/>
      <c r="G379" s="2837">
        <f>G380+G382</f>
        <v>724070</v>
      </c>
      <c r="H379" s="2837">
        <f t="shared" ref="H379:W379" si="149">H380+H382</f>
        <v>0</v>
      </c>
      <c r="I379" s="2837">
        <f t="shared" si="149"/>
        <v>420887</v>
      </c>
      <c r="J379" s="2837">
        <f t="shared" si="149"/>
        <v>303183</v>
      </c>
      <c r="K379" s="2837">
        <f t="shared" si="149"/>
        <v>14305</v>
      </c>
      <c r="L379" s="2837">
        <f t="shared" si="149"/>
        <v>0</v>
      </c>
      <c r="M379" s="2837">
        <f t="shared" si="149"/>
        <v>3896</v>
      </c>
      <c r="N379" s="2837">
        <f t="shared" si="149"/>
        <v>10409</v>
      </c>
      <c r="O379" s="2837">
        <f t="shared" si="149"/>
        <v>164276</v>
      </c>
      <c r="P379" s="2837">
        <f t="shared" si="149"/>
        <v>0</v>
      </c>
      <c r="Q379" s="2837">
        <f t="shared" si="149"/>
        <v>30506</v>
      </c>
      <c r="R379" s="2837">
        <f t="shared" si="149"/>
        <v>133770</v>
      </c>
      <c r="S379" s="2837">
        <f t="shared" si="149"/>
        <v>124975</v>
      </c>
      <c r="T379" s="2837">
        <f t="shared" si="149"/>
        <v>0</v>
      </c>
      <c r="U379" s="2837">
        <f t="shared" si="149"/>
        <v>0</v>
      </c>
      <c r="V379" s="2837">
        <f t="shared" si="149"/>
        <v>0</v>
      </c>
      <c r="W379" s="2837">
        <f t="shared" si="149"/>
        <v>124975</v>
      </c>
    </row>
    <row r="380" spans="1:23" s="2844" customFormat="1" ht="52.8">
      <c r="A380" s="2840" t="s">
        <v>441</v>
      </c>
      <c r="B380" s="2841" t="s">
        <v>1540</v>
      </c>
      <c r="C380" s="2840"/>
      <c r="D380" s="2840"/>
      <c r="E380" s="2840"/>
      <c r="F380" s="2840"/>
      <c r="G380" s="2842">
        <f>G381</f>
        <v>14695</v>
      </c>
      <c r="H380" s="2842">
        <f t="shared" ref="H380:W380" si="150">H381</f>
        <v>0</v>
      </c>
      <c r="I380" s="2842">
        <f t="shared" si="150"/>
        <v>0</v>
      </c>
      <c r="J380" s="2842">
        <f t="shared" si="150"/>
        <v>14695</v>
      </c>
      <c r="K380" s="2842">
        <f t="shared" si="150"/>
        <v>6209</v>
      </c>
      <c r="L380" s="2842">
        <f t="shared" si="150"/>
        <v>0</v>
      </c>
      <c r="M380" s="2842">
        <f t="shared" si="150"/>
        <v>0</v>
      </c>
      <c r="N380" s="2842">
        <f t="shared" si="150"/>
        <v>6209</v>
      </c>
      <c r="O380" s="2842">
        <f t="shared" si="150"/>
        <v>6210</v>
      </c>
      <c r="P380" s="2842">
        <f t="shared" si="150"/>
        <v>0</v>
      </c>
      <c r="Q380" s="2842">
        <f t="shared" si="150"/>
        <v>0</v>
      </c>
      <c r="R380" s="2842">
        <f t="shared" si="150"/>
        <v>6210</v>
      </c>
      <c r="S380" s="2842">
        <f t="shared" si="150"/>
        <v>7500</v>
      </c>
      <c r="T380" s="2842">
        <f t="shared" si="150"/>
        <v>0</v>
      </c>
      <c r="U380" s="2842">
        <f t="shared" si="150"/>
        <v>0</v>
      </c>
      <c r="V380" s="2842">
        <f t="shared" si="150"/>
        <v>0</v>
      </c>
      <c r="W380" s="2842">
        <f t="shared" si="150"/>
        <v>7500</v>
      </c>
    </row>
    <row r="381" spans="1:23" ht="52.8">
      <c r="A381" s="2848"/>
      <c r="B381" s="2849" t="s">
        <v>1810</v>
      </c>
      <c r="C381" s="2848" t="s">
        <v>35</v>
      </c>
      <c r="D381" s="2848" t="s">
        <v>1811</v>
      </c>
      <c r="E381" s="2848" t="s">
        <v>1812</v>
      </c>
      <c r="F381" s="2848" t="s">
        <v>1813</v>
      </c>
      <c r="G381" s="2850">
        <v>14695</v>
      </c>
      <c r="H381" s="2850"/>
      <c r="I381" s="2850"/>
      <c r="J381" s="2850">
        <v>14695</v>
      </c>
      <c r="K381" s="2850">
        <f>SUM(L381:N381)</f>
        <v>6209</v>
      </c>
      <c r="L381" s="2850"/>
      <c r="M381" s="2850"/>
      <c r="N381" s="2850">
        <v>6209</v>
      </c>
      <c r="O381" s="2850">
        <f>SUM(P381:R381)</f>
        <v>6210</v>
      </c>
      <c r="P381" s="2850"/>
      <c r="Q381" s="2850"/>
      <c r="R381" s="2850">
        <v>6210</v>
      </c>
      <c r="S381" s="2850">
        <f>SUM(T381:W381)</f>
        <v>7500</v>
      </c>
      <c r="T381" s="2850"/>
      <c r="U381" s="2850"/>
      <c r="V381" s="2850"/>
      <c r="W381" s="2855">
        <v>7500</v>
      </c>
    </row>
    <row r="382" spans="1:23" s="2847" customFormat="1" ht="26.4">
      <c r="A382" s="2845" t="s">
        <v>463</v>
      </c>
      <c r="B382" s="2841" t="s">
        <v>1541</v>
      </c>
      <c r="C382" s="2845"/>
      <c r="D382" s="2845"/>
      <c r="E382" s="2845"/>
      <c r="F382" s="2845"/>
      <c r="G382" s="2846">
        <f>SUM(G383:G388)</f>
        <v>709375</v>
      </c>
      <c r="H382" s="2846">
        <f t="shared" ref="H382:W382" si="151">SUM(H383:H388)</f>
        <v>0</v>
      </c>
      <c r="I382" s="2846">
        <f t="shared" si="151"/>
        <v>420887</v>
      </c>
      <c r="J382" s="2846">
        <f t="shared" si="151"/>
        <v>288488</v>
      </c>
      <c r="K382" s="2846">
        <f t="shared" si="151"/>
        <v>8096</v>
      </c>
      <c r="L382" s="2846">
        <f t="shared" si="151"/>
        <v>0</v>
      </c>
      <c r="M382" s="2846">
        <f t="shared" si="151"/>
        <v>3896</v>
      </c>
      <c r="N382" s="2846">
        <f t="shared" si="151"/>
        <v>4200</v>
      </c>
      <c r="O382" s="2846">
        <f t="shared" si="151"/>
        <v>158066</v>
      </c>
      <c r="P382" s="2846">
        <f t="shared" si="151"/>
        <v>0</v>
      </c>
      <c r="Q382" s="2846">
        <f t="shared" si="151"/>
        <v>30506</v>
      </c>
      <c r="R382" s="2846">
        <f t="shared" si="151"/>
        <v>127560</v>
      </c>
      <c r="S382" s="2846">
        <f t="shared" si="151"/>
        <v>117475</v>
      </c>
      <c r="T382" s="2846">
        <f t="shared" si="151"/>
        <v>0</v>
      </c>
      <c r="U382" s="2846">
        <f t="shared" si="151"/>
        <v>0</v>
      </c>
      <c r="V382" s="2846">
        <f t="shared" si="151"/>
        <v>0</v>
      </c>
      <c r="W382" s="2846">
        <f t="shared" si="151"/>
        <v>117475</v>
      </c>
    </row>
    <row r="383" spans="1:23" ht="105.6">
      <c r="A383" s="2859"/>
      <c r="B383" s="2860" t="s">
        <v>1814</v>
      </c>
      <c r="C383" s="2859" t="s">
        <v>1659</v>
      </c>
      <c r="D383" s="2859" t="s">
        <v>1664</v>
      </c>
      <c r="E383" s="2859" t="s">
        <v>1615</v>
      </c>
      <c r="F383" s="2873" t="s">
        <v>1815</v>
      </c>
      <c r="G383" s="2855">
        <v>228600</v>
      </c>
      <c r="H383" s="2855"/>
      <c r="I383" s="2855">
        <v>180000</v>
      </c>
      <c r="J383" s="2855">
        <v>48600</v>
      </c>
      <c r="K383" s="2850">
        <f t="shared" ref="K383:K388" si="152">SUM(L383:N383)</f>
        <v>3896</v>
      </c>
      <c r="L383" s="2855"/>
      <c r="M383" s="2855">
        <v>3896</v>
      </c>
      <c r="N383" s="2855"/>
      <c r="O383" s="2850">
        <f t="shared" ref="O383:O388" si="153">SUM(P383:R383)</f>
        <v>70506</v>
      </c>
      <c r="P383" s="2855"/>
      <c r="Q383" s="2855">
        <v>30506</v>
      </c>
      <c r="R383" s="2855">
        <v>40000</v>
      </c>
      <c r="S383" s="2850">
        <f t="shared" ref="S383:S388" si="154">SUM(T383:W383)</f>
        <v>22000</v>
      </c>
      <c r="T383" s="2855"/>
      <c r="U383" s="2855"/>
      <c r="V383" s="2855"/>
      <c r="W383" s="2855">
        <v>22000</v>
      </c>
    </row>
    <row r="384" spans="1:23" ht="79.2">
      <c r="A384" s="2859"/>
      <c r="B384" s="2860" t="s">
        <v>1816</v>
      </c>
      <c r="C384" s="2859" t="s">
        <v>1659</v>
      </c>
      <c r="D384" s="2859" t="s">
        <v>1664</v>
      </c>
      <c r="E384" s="2859" t="s">
        <v>1615</v>
      </c>
      <c r="F384" s="2873" t="s">
        <v>1817</v>
      </c>
      <c r="G384" s="2855">
        <v>378447</v>
      </c>
      <c r="H384" s="2855"/>
      <c r="I384" s="2855">
        <v>240887</v>
      </c>
      <c r="J384" s="2855">
        <v>137560</v>
      </c>
      <c r="K384" s="2850">
        <f t="shared" si="152"/>
        <v>0</v>
      </c>
      <c r="L384" s="2855"/>
      <c r="M384" s="2855"/>
      <c r="N384" s="2855"/>
      <c r="O384" s="2850">
        <f t="shared" si="153"/>
        <v>87560</v>
      </c>
      <c r="P384" s="2855"/>
      <c r="Q384" s="2855"/>
      <c r="R384" s="2855">
        <v>87560</v>
      </c>
      <c r="S384" s="2850">
        <f t="shared" si="154"/>
        <v>42313</v>
      </c>
      <c r="T384" s="2855"/>
      <c r="U384" s="2855"/>
      <c r="V384" s="2855"/>
      <c r="W384" s="2855">
        <v>42313</v>
      </c>
    </row>
    <row r="385" spans="1:23" ht="79.2">
      <c r="A385" s="2859"/>
      <c r="B385" s="2860" t="s">
        <v>1818</v>
      </c>
      <c r="C385" s="2859" t="s">
        <v>32</v>
      </c>
      <c r="D385" s="2859" t="s">
        <v>1699</v>
      </c>
      <c r="E385" s="2859">
        <v>2018</v>
      </c>
      <c r="F385" s="2873" t="s">
        <v>1819</v>
      </c>
      <c r="G385" s="2855">
        <v>4300</v>
      </c>
      <c r="H385" s="2855"/>
      <c r="I385" s="2855"/>
      <c r="J385" s="2855">
        <v>4300</v>
      </c>
      <c r="K385" s="2850">
        <f t="shared" si="152"/>
        <v>4200</v>
      </c>
      <c r="L385" s="2855"/>
      <c r="M385" s="2855"/>
      <c r="N385" s="2855">
        <v>4200</v>
      </c>
      <c r="O385" s="2850">
        <f t="shared" si="153"/>
        <v>0</v>
      </c>
      <c r="P385" s="2855"/>
      <c r="Q385" s="2855"/>
      <c r="R385" s="2855"/>
      <c r="S385" s="2850">
        <f t="shared" si="154"/>
        <v>4200</v>
      </c>
      <c r="T385" s="2855"/>
      <c r="U385" s="2855"/>
      <c r="V385" s="2855"/>
      <c r="W385" s="2855">
        <v>4200</v>
      </c>
    </row>
    <row r="386" spans="1:23" ht="66">
      <c r="A386" s="2859"/>
      <c r="B386" s="2860" t="s">
        <v>1820</v>
      </c>
      <c r="C386" s="2859" t="s">
        <v>29</v>
      </c>
      <c r="D386" s="2859" t="s">
        <v>1821</v>
      </c>
      <c r="E386" s="2859" t="s">
        <v>1822</v>
      </c>
      <c r="F386" s="2859" t="s">
        <v>1823</v>
      </c>
      <c r="G386" s="2855">
        <v>1528</v>
      </c>
      <c r="H386" s="2855"/>
      <c r="I386" s="2855"/>
      <c r="J386" s="2855">
        <v>1528</v>
      </c>
      <c r="K386" s="2850">
        <f t="shared" si="152"/>
        <v>0</v>
      </c>
      <c r="L386" s="2855"/>
      <c r="M386" s="2855"/>
      <c r="N386" s="2855"/>
      <c r="O386" s="2850">
        <f t="shared" si="153"/>
        <v>0</v>
      </c>
      <c r="P386" s="2855"/>
      <c r="Q386" s="2855"/>
      <c r="R386" s="2855"/>
      <c r="S386" s="2850">
        <f t="shared" si="154"/>
        <v>1500</v>
      </c>
      <c r="T386" s="2855"/>
      <c r="U386" s="2855"/>
      <c r="V386" s="2855"/>
      <c r="W386" s="2855">
        <v>1500</v>
      </c>
    </row>
    <row r="387" spans="1:23" ht="39.6">
      <c r="A387" s="2859"/>
      <c r="B387" s="2860" t="s">
        <v>1824</v>
      </c>
      <c r="C387" s="2859" t="s">
        <v>1659</v>
      </c>
      <c r="D387" s="2859" t="s">
        <v>1708</v>
      </c>
      <c r="E387" s="2859" t="s">
        <v>1544</v>
      </c>
      <c r="F387" s="2859"/>
      <c r="G387" s="2855">
        <v>72500</v>
      </c>
      <c r="H387" s="2855"/>
      <c r="I387" s="2855"/>
      <c r="J387" s="2855">
        <v>72500</v>
      </c>
      <c r="K387" s="2850">
        <f t="shared" si="152"/>
        <v>0</v>
      </c>
      <c r="L387" s="2855"/>
      <c r="M387" s="2855"/>
      <c r="N387" s="2855"/>
      <c r="O387" s="2850">
        <f t="shared" si="153"/>
        <v>0</v>
      </c>
      <c r="P387" s="2855"/>
      <c r="Q387" s="2855"/>
      <c r="R387" s="2855"/>
      <c r="S387" s="2850">
        <f t="shared" si="154"/>
        <v>35462</v>
      </c>
      <c r="T387" s="2855"/>
      <c r="U387" s="2855"/>
      <c r="V387" s="2855"/>
      <c r="W387" s="2855">
        <v>35462</v>
      </c>
    </row>
    <row r="388" spans="1:23" ht="66">
      <c r="A388" s="2859"/>
      <c r="B388" s="2860" t="s">
        <v>1825</v>
      </c>
      <c r="C388" s="2859" t="s">
        <v>1826</v>
      </c>
      <c r="D388" s="2859" t="s">
        <v>1827</v>
      </c>
      <c r="E388" s="2859" t="s">
        <v>1544</v>
      </c>
      <c r="F388" s="2859"/>
      <c r="G388" s="2855">
        <v>24000</v>
      </c>
      <c r="H388" s="2855"/>
      <c r="I388" s="2855"/>
      <c r="J388" s="2855">
        <v>24000</v>
      </c>
      <c r="K388" s="2850">
        <f t="shared" si="152"/>
        <v>0</v>
      </c>
      <c r="L388" s="2855"/>
      <c r="M388" s="2855"/>
      <c r="N388" s="2855"/>
      <c r="O388" s="2850">
        <f t="shared" si="153"/>
        <v>0</v>
      </c>
      <c r="P388" s="2855"/>
      <c r="Q388" s="2855"/>
      <c r="R388" s="2855"/>
      <c r="S388" s="2850">
        <f t="shared" si="154"/>
        <v>12000</v>
      </c>
      <c r="T388" s="2855"/>
      <c r="U388" s="2855"/>
      <c r="V388" s="2855"/>
      <c r="W388" s="2855">
        <v>12000</v>
      </c>
    </row>
    <row r="389" spans="1:23" s="2834" customFormat="1">
      <c r="A389" s="2831">
        <v>3</v>
      </c>
      <c r="B389" s="2832" t="s">
        <v>1520</v>
      </c>
      <c r="C389" s="2831"/>
      <c r="D389" s="2831"/>
      <c r="E389" s="2831"/>
      <c r="F389" s="2831"/>
      <c r="G389" s="2872">
        <f>G391</f>
        <v>5400</v>
      </c>
      <c r="H389" s="2872">
        <f t="shared" ref="H389:W389" si="155">H391</f>
        <v>0</v>
      </c>
      <c r="I389" s="2872">
        <f t="shared" si="155"/>
        <v>0</v>
      </c>
      <c r="J389" s="2872">
        <f t="shared" si="155"/>
        <v>5400</v>
      </c>
      <c r="K389" s="2872">
        <f t="shared" si="155"/>
        <v>3579</v>
      </c>
      <c r="L389" s="2872">
        <f t="shared" si="155"/>
        <v>0</v>
      </c>
      <c r="M389" s="2872">
        <f t="shared" si="155"/>
        <v>0</v>
      </c>
      <c r="N389" s="2872">
        <f t="shared" si="155"/>
        <v>3579</v>
      </c>
      <c r="O389" s="2872">
        <f t="shared" si="155"/>
        <v>0</v>
      </c>
      <c r="P389" s="2872">
        <f t="shared" si="155"/>
        <v>0</v>
      </c>
      <c r="Q389" s="2872">
        <f t="shared" si="155"/>
        <v>0</v>
      </c>
      <c r="R389" s="2872">
        <f t="shared" si="155"/>
        <v>0</v>
      </c>
      <c r="S389" s="2872">
        <f t="shared" si="155"/>
        <v>5000</v>
      </c>
      <c r="T389" s="2872">
        <f t="shared" si="155"/>
        <v>0</v>
      </c>
      <c r="U389" s="2872">
        <f t="shared" si="155"/>
        <v>0</v>
      </c>
      <c r="V389" s="2872">
        <f t="shared" si="155"/>
        <v>0</v>
      </c>
      <c r="W389" s="2872">
        <f t="shared" si="155"/>
        <v>5000</v>
      </c>
    </row>
    <row r="390" spans="1:23" s="2839" customFormat="1">
      <c r="A390" s="2835" t="s">
        <v>200</v>
      </c>
      <c r="B390" s="2836" t="s">
        <v>1197</v>
      </c>
      <c r="C390" s="2835"/>
      <c r="D390" s="2835"/>
      <c r="E390" s="2835"/>
      <c r="F390" s="2835"/>
      <c r="G390" s="2837"/>
      <c r="H390" s="2837"/>
      <c r="I390" s="2837"/>
      <c r="J390" s="2837"/>
      <c r="K390" s="2837"/>
      <c r="L390" s="2837"/>
      <c r="M390" s="2837"/>
      <c r="N390" s="2837"/>
      <c r="O390" s="2837"/>
      <c r="P390" s="2837"/>
      <c r="Q390" s="2837"/>
      <c r="R390" s="2837"/>
      <c r="S390" s="2837"/>
      <c r="T390" s="2837"/>
      <c r="U390" s="2837"/>
      <c r="V390" s="2837"/>
      <c r="W390" s="2838"/>
    </row>
    <row r="391" spans="1:23" s="2839" customFormat="1">
      <c r="A391" s="2835" t="s">
        <v>208</v>
      </c>
      <c r="B391" s="2836" t="s">
        <v>1198</v>
      </c>
      <c r="C391" s="2835"/>
      <c r="D391" s="2835"/>
      <c r="E391" s="2835"/>
      <c r="F391" s="2835"/>
      <c r="G391" s="2837">
        <f>G393</f>
        <v>5400</v>
      </c>
      <c r="H391" s="2837">
        <f t="shared" ref="H391:W391" si="156">H393</f>
        <v>0</v>
      </c>
      <c r="I391" s="2837">
        <f t="shared" si="156"/>
        <v>0</v>
      </c>
      <c r="J391" s="2837">
        <f t="shared" si="156"/>
        <v>5400</v>
      </c>
      <c r="K391" s="2837">
        <f t="shared" si="156"/>
        <v>3579</v>
      </c>
      <c r="L391" s="2837">
        <f t="shared" si="156"/>
        <v>0</v>
      </c>
      <c r="M391" s="2837">
        <f t="shared" si="156"/>
        <v>0</v>
      </c>
      <c r="N391" s="2837">
        <f t="shared" si="156"/>
        <v>3579</v>
      </c>
      <c r="O391" s="2837">
        <f t="shared" si="156"/>
        <v>0</v>
      </c>
      <c r="P391" s="2837">
        <f t="shared" si="156"/>
        <v>0</v>
      </c>
      <c r="Q391" s="2837">
        <f t="shared" si="156"/>
        <v>0</v>
      </c>
      <c r="R391" s="2837">
        <f t="shared" si="156"/>
        <v>0</v>
      </c>
      <c r="S391" s="2837">
        <f t="shared" si="156"/>
        <v>5000</v>
      </c>
      <c r="T391" s="2837">
        <f t="shared" si="156"/>
        <v>0</v>
      </c>
      <c r="U391" s="2837">
        <f t="shared" si="156"/>
        <v>0</v>
      </c>
      <c r="V391" s="2837">
        <f t="shared" si="156"/>
        <v>0</v>
      </c>
      <c r="W391" s="2837">
        <f t="shared" si="156"/>
        <v>5000</v>
      </c>
    </row>
    <row r="392" spans="1:23" s="2844" customFormat="1" ht="52.8">
      <c r="A392" s="2840" t="s">
        <v>441</v>
      </c>
      <c r="B392" s="2841" t="s">
        <v>1540</v>
      </c>
      <c r="C392" s="2840"/>
      <c r="D392" s="2840"/>
      <c r="E392" s="2840"/>
      <c r="F392" s="2840"/>
      <c r="G392" s="2842"/>
      <c r="H392" s="2842"/>
      <c r="I392" s="2842"/>
      <c r="J392" s="2842"/>
      <c r="K392" s="2842"/>
      <c r="L392" s="2842"/>
      <c r="M392" s="2842"/>
      <c r="N392" s="2842"/>
      <c r="O392" s="2842"/>
      <c r="P392" s="2842"/>
      <c r="Q392" s="2842"/>
      <c r="R392" s="2842"/>
      <c r="S392" s="2842"/>
      <c r="T392" s="2842"/>
      <c r="U392" s="2842"/>
      <c r="V392" s="2842"/>
      <c r="W392" s="2843"/>
    </row>
    <row r="393" spans="1:23" s="2847" customFormat="1" ht="26.4">
      <c r="A393" s="2845" t="s">
        <v>463</v>
      </c>
      <c r="B393" s="2841" t="s">
        <v>1541</v>
      </c>
      <c r="C393" s="2845"/>
      <c r="D393" s="2845"/>
      <c r="E393" s="2845"/>
      <c r="F393" s="2845"/>
      <c r="G393" s="2846">
        <f>G394</f>
        <v>5400</v>
      </c>
      <c r="H393" s="2846">
        <f t="shared" ref="H393:W393" si="157">H394</f>
        <v>0</v>
      </c>
      <c r="I393" s="2846">
        <f t="shared" si="157"/>
        <v>0</v>
      </c>
      <c r="J393" s="2846">
        <f t="shared" si="157"/>
        <v>5400</v>
      </c>
      <c r="K393" s="2846">
        <f t="shared" si="157"/>
        <v>3579</v>
      </c>
      <c r="L393" s="2846">
        <f t="shared" si="157"/>
        <v>0</v>
      </c>
      <c r="M393" s="2846">
        <f t="shared" si="157"/>
        <v>0</v>
      </c>
      <c r="N393" s="2846">
        <f t="shared" si="157"/>
        <v>3579</v>
      </c>
      <c r="O393" s="2846">
        <f t="shared" si="157"/>
        <v>0</v>
      </c>
      <c r="P393" s="2846">
        <f t="shared" si="157"/>
        <v>0</v>
      </c>
      <c r="Q393" s="2846">
        <f t="shared" si="157"/>
        <v>0</v>
      </c>
      <c r="R393" s="2846">
        <f t="shared" si="157"/>
        <v>0</v>
      </c>
      <c r="S393" s="2846">
        <f t="shared" si="157"/>
        <v>5000</v>
      </c>
      <c r="T393" s="2846">
        <f t="shared" si="157"/>
        <v>0</v>
      </c>
      <c r="U393" s="2846">
        <f t="shared" si="157"/>
        <v>0</v>
      </c>
      <c r="V393" s="2846">
        <f t="shared" si="157"/>
        <v>0</v>
      </c>
      <c r="W393" s="2846">
        <f t="shared" si="157"/>
        <v>5000</v>
      </c>
    </row>
    <row r="394" spans="1:23" ht="39.6">
      <c r="A394" s="2859"/>
      <c r="B394" s="2860" t="s">
        <v>1828</v>
      </c>
      <c r="C394" s="2859" t="s">
        <v>31</v>
      </c>
      <c r="D394" s="2859" t="s">
        <v>1543</v>
      </c>
      <c r="E394" s="2859" t="s">
        <v>1544</v>
      </c>
      <c r="F394" s="2859" t="s">
        <v>1829</v>
      </c>
      <c r="G394" s="2855">
        <v>5400</v>
      </c>
      <c r="H394" s="2855"/>
      <c r="I394" s="2855"/>
      <c r="J394" s="2855">
        <v>5400</v>
      </c>
      <c r="K394" s="2850">
        <f>SUM(L394:N394)</f>
        <v>3579</v>
      </c>
      <c r="L394" s="2855"/>
      <c r="M394" s="2855"/>
      <c r="N394" s="2855">
        <v>3579</v>
      </c>
      <c r="O394" s="2850">
        <f>SUM(P394:R394)</f>
        <v>0</v>
      </c>
      <c r="P394" s="2855"/>
      <c r="Q394" s="2855"/>
      <c r="R394" s="2855"/>
      <c r="S394" s="2850">
        <f>SUM(T394:W394)</f>
        <v>5000</v>
      </c>
      <c r="T394" s="2855"/>
      <c r="U394" s="2855"/>
      <c r="V394" s="2855"/>
      <c r="W394" s="2855">
        <v>5000</v>
      </c>
    </row>
    <row r="395" spans="1:23" s="2834" customFormat="1">
      <c r="A395" s="2831">
        <v>4</v>
      </c>
      <c r="B395" s="2832" t="s">
        <v>1524</v>
      </c>
      <c r="C395" s="2831"/>
      <c r="D395" s="2831"/>
      <c r="E395" s="2831"/>
      <c r="F395" s="2831"/>
      <c r="G395" s="2872">
        <f>G397</f>
        <v>10000</v>
      </c>
      <c r="H395" s="2872">
        <f t="shared" ref="H395:W395" si="158">H397</f>
        <v>0</v>
      </c>
      <c r="I395" s="2872">
        <f t="shared" si="158"/>
        <v>0</v>
      </c>
      <c r="J395" s="2872">
        <f t="shared" si="158"/>
        <v>10000</v>
      </c>
      <c r="K395" s="2872">
        <f t="shared" si="158"/>
        <v>0</v>
      </c>
      <c r="L395" s="2872">
        <f t="shared" si="158"/>
        <v>0</v>
      </c>
      <c r="M395" s="2872">
        <f t="shared" si="158"/>
        <v>0</v>
      </c>
      <c r="N395" s="2872">
        <f t="shared" si="158"/>
        <v>0</v>
      </c>
      <c r="O395" s="2872">
        <f t="shared" si="158"/>
        <v>300</v>
      </c>
      <c r="P395" s="2872">
        <f t="shared" si="158"/>
        <v>0</v>
      </c>
      <c r="Q395" s="2872">
        <f t="shared" si="158"/>
        <v>0</v>
      </c>
      <c r="R395" s="2872">
        <f t="shared" si="158"/>
        <v>300</v>
      </c>
      <c r="S395" s="2872">
        <f t="shared" si="158"/>
        <v>8000</v>
      </c>
      <c r="T395" s="2872">
        <f t="shared" si="158"/>
        <v>0</v>
      </c>
      <c r="U395" s="2872">
        <f t="shared" si="158"/>
        <v>0</v>
      </c>
      <c r="V395" s="2872">
        <f t="shared" si="158"/>
        <v>0</v>
      </c>
      <c r="W395" s="2872">
        <f t="shared" si="158"/>
        <v>8000</v>
      </c>
    </row>
    <row r="396" spans="1:23" s="2839" customFormat="1">
      <c r="A396" s="2835" t="s">
        <v>200</v>
      </c>
      <c r="B396" s="2836" t="s">
        <v>1197</v>
      </c>
      <c r="C396" s="2835"/>
      <c r="D396" s="2835"/>
      <c r="E396" s="2835"/>
      <c r="F396" s="2835"/>
      <c r="G396" s="2837"/>
      <c r="H396" s="2837"/>
      <c r="I396" s="2837"/>
      <c r="J396" s="2837"/>
      <c r="K396" s="2837"/>
      <c r="L396" s="2837"/>
      <c r="M396" s="2837"/>
      <c r="N396" s="2837"/>
      <c r="O396" s="2837"/>
      <c r="P396" s="2837"/>
      <c r="Q396" s="2837"/>
      <c r="R396" s="2837"/>
      <c r="S396" s="2837"/>
      <c r="T396" s="2837"/>
      <c r="U396" s="2837"/>
      <c r="V396" s="2837"/>
      <c r="W396" s="2838"/>
    </row>
    <row r="397" spans="1:23" s="2839" customFormat="1">
      <c r="A397" s="2835" t="s">
        <v>208</v>
      </c>
      <c r="B397" s="2836" t="s">
        <v>1198</v>
      </c>
      <c r="C397" s="2835"/>
      <c r="D397" s="2835"/>
      <c r="E397" s="2835"/>
      <c r="F397" s="2835"/>
      <c r="G397" s="2837">
        <f>G399</f>
        <v>10000</v>
      </c>
      <c r="H397" s="2837">
        <f t="shared" ref="H397:W397" si="159">H399</f>
        <v>0</v>
      </c>
      <c r="I397" s="2837">
        <f t="shared" si="159"/>
        <v>0</v>
      </c>
      <c r="J397" s="2837">
        <f t="shared" si="159"/>
        <v>10000</v>
      </c>
      <c r="K397" s="2837">
        <f t="shared" si="159"/>
        <v>0</v>
      </c>
      <c r="L397" s="2837">
        <f t="shared" si="159"/>
        <v>0</v>
      </c>
      <c r="M397" s="2837">
        <f t="shared" si="159"/>
        <v>0</v>
      </c>
      <c r="N397" s="2837">
        <f t="shared" si="159"/>
        <v>0</v>
      </c>
      <c r="O397" s="2837">
        <f t="shared" si="159"/>
        <v>300</v>
      </c>
      <c r="P397" s="2837">
        <f t="shared" si="159"/>
        <v>0</v>
      </c>
      <c r="Q397" s="2837">
        <f t="shared" si="159"/>
        <v>0</v>
      </c>
      <c r="R397" s="2837">
        <f t="shared" si="159"/>
        <v>300</v>
      </c>
      <c r="S397" s="2837">
        <f t="shared" si="159"/>
        <v>8000</v>
      </c>
      <c r="T397" s="2837">
        <f t="shared" si="159"/>
        <v>0</v>
      </c>
      <c r="U397" s="2837">
        <f t="shared" si="159"/>
        <v>0</v>
      </c>
      <c r="V397" s="2837">
        <f t="shared" si="159"/>
        <v>0</v>
      </c>
      <c r="W397" s="2837">
        <f t="shared" si="159"/>
        <v>8000</v>
      </c>
    </row>
    <row r="398" spans="1:23" s="2844" customFormat="1" ht="52.8">
      <c r="A398" s="2840" t="s">
        <v>441</v>
      </c>
      <c r="B398" s="2841" t="s">
        <v>1540</v>
      </c>
      <c r="C398" s="2840"/>
      <c r="D398" s="2840"/>
      <c r="E398" s="2840"/>
      <c r="F398" s="2840"/>
      <c r="G398" s="2842"/>
      <c r="H398" s="2842"/>
      <c r="I398" s="2842"/>
      <c r="J398" s="2842"/>
      <c r="K398" s="2842"/>
      <c r="L398" s="2842"/>
      <c r="M398" s="2842"/>
      <c r="N398" s="2842"/>
      <c r="O398" s="2842"/>
      <c r="P398" s="2842"/>
      <c r="Q398" s="2842"/>
      <c r="R398" s="2842"/>
      <c r="S398" s="2842"/>
      <c r="T398" s="2842"/>
      <c r="U398" s="2842"/>
      <c r="V398" s="2842"/>
      <c r="W398" s="2843"/>
    </row>
    <row r="399" spans="1:23" s="2847" customFormat="1" ht="26.4">
      <c r="A399" s="2845" t="s">
        <v>463</v>
      </c>
      <c r="B399" s="2841" t="s">
        <v>1541</v>
      </c>
      <c r="C399" s="2845"/>
      <c r="D399" s="2845"/>
      <c r="E399" s="2845"/>
      <c r="F399" s="2845"/>
      <c r="G399" s="2846">
        <f>G400</f>
        <v>10000</v>
      </c>
      <c r="H399" s="2846">
        <f t="shared" ref="H399:W399" si="160">H400</f>
        <v>0</v>
      </c>
      <c r="I399" s="2846">
        <f t="shared" si="160"/>
        <v>0</v>
      </c>
      <c r="J399" s="2846">
        <f t="shared" si="160"/>
        <v>10000</v>
      </c>
      <c r="K399" s="2846">
        <f t="shared" si="160"/>
        <v>0</v>
      </c>
      <c r="L399" s="2846">
        <f t="shared" si="160"/>
        <v>0</v>
      </c>
      <c r="M399" s="2846">
        <f t="shared" si="160"/>
        <v>0</v>
      </c>
      <c r="N399" s="2846">
        <f t="shared" si="160"/>
        <v>0</v>
      </c>
      <c r="O399" s="2846">
        <f t="shared" si="160"/>
        <v>300</v>
      </c>
      <c r="P399" s="2846">
        <f t="shared" si="160"/>
        <v>0</v>
      </c>
      <c r="Q399" s="2846">
        <f t="shared" si="160"/>
        <v>0</v>
      </c>
      <c r="R399" s="2846">
        <f t="shared" si="160"/>
        <v>300</v>
      </c>
      <c r="S399" s="2846">
        <f t="shared" si="160"/>
        <v>8000</v>
      </c>
      <c r="T399" s="2846">
        <f t="shared" si="160"/>
        <v>0</v>
      </c>
      <c r="U399" s="2846">
        <f t="shared" si="160"/>
        <v>0</v>
      </c>
      <c r="V399" s="2846">
        <f t="shared" si="160"/>
        <v>0</v>
      </c>
      <c r="W399" s="2846">
        <f t="shared" si="160"/>
        <v>8000</v>
      </c>
    </row>
    <row r="400" spans="1:23" ht="52.8">
      <c r="A400" s="2859"/>
      <c r="B400" s="2860" t="s">
        <v>1830</v>
      </c>
      <c r="C400" s="2859" t="s">
        <v>1607</v>
      </c>
      <c r="D400" s="2859" t="s">
        <v>1699</v>
      </c>
      <c r="E400" s="2859" t="s">
        <v>1544</v>
      </c>
      <c r="F400" s="2859" t="s">
        <v>1831</v>
      </c>
      <c r="G400" s="2855">
        <v>10000</v>
      </c>
      <c r="H400" s="2855"/>
      <c r="I400" s="2855"/>
      <c r="J400" s="2855">
        <v>10000</v>
      </c>
      <c r="K400" s="2850">
        <f>SUM(L400:N400)</f>
        <v>0</v>
      </c>
      <c r="L400" s="2855"/>
      <c r="M400" s="2855"/>
      <c r="N400" s="2855"/>
      <c r="O400" s="2850">
        <f>SUM(P400:R400)</f>
        <v>300</v>
      </c>
      <c r="P400" s="2855"/>
      <c r="Q400" s="2855"/>
      <c r="R400" s="2855">
        <v>300</v>
      </c>
      <c r="S400" s="2850">
        <f>SUM(T400:W400)</f>
        <v>8000</v>
      </c>
      <c r="T400" s="2855"/>
      <c r="U400" s="2855"/>
      <c r="V400" s="2855"/>
      <c r="W400" s="2855">
        <v>8000</v>
      </c>
    </row>
    <row r="401" spans="1:23" s="2834" customFormat="1">
      <c r="A401" s="2831">
        <v>5</v>
      </c>
      <c r="B401" s="2832" t="s">
        <v>1527</v>
      </c>
      <c r="C401" s="2831"/>
      <c r="D401" s="2831"/>
      <c r="E401" s="2831"/>
      <c r="F401" s="2831"/>
      <c r="G401" s="2872">
        <f>G403</f>
        <v>12000</v>
      </c>
      <c r="H401" s="2872">
        <f t="shared" ref="H401:W401" si="161">H403</f>
        <v>0</v>
      </c>
      <c r="I401" s="2872">
        <f t="shared" si="161"/>
        <v>0</v>
      </c>
      <c r="J401" s="2872">
        <f t="shared" si="161"/>
        <v>12000</v>
      </c>
      <c r="K401" s="2872">
        <f t="shared" si="161"/>
        <v>0</v>
      </c>
      <c r="L401" s="2872">
        <f t="shared" si="161"/>
        <v>0</v>
      </c>
      <c r="M401" s="2872">
        <f t="shared" si="161"/>
        <v>0</v>
      </c>
      <c r="N401" s="2872">
        <f t="shared" si="161"/>
        <v>0</v>
      </c>
      <c r="O401" s="2872">
        <f t="shared" si="161"/>
        <v>400</v>
      </c>
      <c r="P401" s="2872">
        <f t="shared" si="161"/>
        <v>0</v>
      </c>
      <c r="Q401" s="2872">
        <f t="shared" si="161"/>
        <v>0</v>
      </c>
      <c r="R401" s="2872">
        <f t="shared" si="161"/>
        <v>400</v>
      </c>
      <c r="S401" s="2872">
        <f t="shared" si="161"/>
        <v>10000</v>
      </c>
      <c r="T401" s="2872">
        <f t="shared" si="161"/>
        <v>0</v>
      </c>
      <c r="U401" s="2872">
        <f t="shared" si="161"/>
        <v>0</v>
      </c>
      <c r="V401" s="2872">
        <f t="shared" si="161"/>
        <v>0</v>
      </c>
      <c r="W401" s="2872">
        <f t="shared" si="161"/>
        <v>10000</v>
      </c>
    </row>
    <row r="402" spans="1:23" s="2839" customFormat="1">
      <c r="A402" s="2835" t="s">
        <v>200</v>
      </c>
      <c r="B402" s="2836" t="s">
        <v>1197</v>
      </c>
      <c r="C402" s="2835"/>
      <c r="D402" s="2835"/>
      <c r="E402" s="2835"/>
      <c r="F402" s="2835"/>
      <c r="G402" s="2837"/>
      <c r="H402" s="2837"/>
      <c r="I402" s="2837"/>
      <c r="J402" s="2837"/>
      <c r="K402" s="2837"/>
      <c r="L402" s="2837"/>
      <c r="M402" s="2837"/>
      <c r="N402" s="2837"/>
      <c r="O402" s="2837"/>
      <c r="P402" s="2837"/>
      <c r="Q402" s="2837"/>
      <c r="R402" s="2837"/>
      <c r="S402" s="2837"/>
      <c r="T402" s="2837"/>
      <c r="U402" s="2837"/>
      <c r="V402" s="2837"/>
      <c r="W402" s="2838"/>
    </row>
    <row r="403" spans="1:23" s="2839" customFormat="1">
      <c r="A403" s="2835" t="s">
        <v>208</v>
      </c>
      <c r="B403" s="2836" t="s">
        <v>1198</v>
      </c>
      <c r="C403" s="2835"/>
      <c r="D403" s="2835"/>
      <c r="E403" s="2835"/>
      <c r="F403" s="2835"/>
      <c r="G403" s="2837">
        <f>G405</f>
        <v>12000</v>
      </c>
      <c r="H403" s="2837">
        <f t="shared" ref="H403:W403" si="162">H405</f>
        <v>0</v>
      </c>
      <c r="I403" s="2837">
        <f t="shared" si="162"/>
        <v>0</v>
      </c>
      <c r="J403" s="2837">
        <f t="shared" si="162"/>
        <v>12000</v>
      </c>
      <c r="K403" s="2837">
        <f t="shared" si="162"/>
        <v>0</v>
      </c>
      <c r="L403" s="2837">
        <f t="shared" si="162"/>
        <v>0</v>
      </c>
      <c r="M403" s="2837">
        <f t="shared" si="162"/>
        <v>0</v>
      </c>
      <c r="N403" s="2837">
        <f t="shared" si="162"/>
        <v>0</v>
      </c>
      <c r="O403" s="2837">
        <f t="shared" si="162"/>
        <v>400</v>
      </c>
      <c r="P403" s="2837">
        <f t="shared" si="162"/>
        <v>0</v>
      </c>
      <c r="Q403" s="2837">
        <f t="shared" si="162"/>
        <v>0</v>
      </c>
      <c r="R403" s="2837">
        <f t="shared" si="162"/>
        <v>400</v>
      </c>
      <c r="S403" s="2837">
        <f t="shared" si="162"/>
        <v>10000</v>
      </c>
      <c r="T403" s="2837">
        <f t="shared" si="162"/>
        <v>0</v>
      </c>
      <c r="U403" s="2837">
        <f t="shared" si="162"/>
        <v>0</v>
      </c>
      <c r="V403" s="2837">
        <f t="shared" si="162"/>
        <v>0</v>
      </c>
      <c r="W403" s="2837">
        <f t="shared" si="162"/>
        <v>10000</v>
      </c>
    </row>
    <row r="404" spans="1:23" s="2844" customFormat="1" ht="52.8">
      <c r="A404" s="2840" t="s">
        <v>441</v>
      </c>
      <c r="B404" s="2841" t="s">
        <v>1540</v>
      </c>
      <c r="C404" s="2840"/>
      <c r="D404" s="2840"/>
      <c r="E404" s="2840"/>
      <c r="F404" s="2840"/>
      <c r="G404" s="2842"/>
      <c r="H404" s="2842"/>
      <c r="I404" s="2842"/>
      <c r="J404" s="2842"/>
      <c r="K404" s="2842"/>
      <c r="L404" s="2842"/>
      <c r="M404" s="2842"/>
      <c r="N404" s="2842"/>
      <c r="O404" s="2842"/>
      <c r="P404" s="2842"/>
      <c r="Q404" s="2842"/>
      <c r="R404" s="2842"/>
      <c r="S404" s="2842"/>
      <c r="T404" s="2842"/>
      <c r="U404" s="2842"/>
      <c r="V404" s="2842"/>
      <c r="W404" s="2843"/>
    </row>
    <row r="405" spans="1:23" s="2847" customFormat="1" ht="26.4">
      <c r="A405" s="2845" t="s">
        <v>463</v>
      </c>
      <c r="B405" s="2841" t="s">
        <v>1541</v>
      </c>
      <c r="C405" s="2845"/>
      <c r="D405" s="2845"/>
      <c r="E405" s="2845"/>
      <c r="F405" s="2845"/>
      <c r="G405" s="2846">
        <f>G406</f>
        <v>12000</v>
      </c>
      <c r="H405" s="2846">
        <f t="shared" ref="H405:W405" si="163">H406</f>
        <v>0</v>
      </c>
      <c r="I405" s="2846">
        <f t="shared" si="163"/>
        <v>0</v>
      </c>
      <c r="J405" s="2846">
        <f t="shared" si="163"/>
        <v>12000</v>
      </c>
      <c r="K405" s="2846">
        <f t="shared" si="163"/>
        <v>0</v>
      </c>
      <c r="L405" s="2846">
        <f t="shared" si="163"/>
        <v>0</v>
      </c>
      <c r="M405" s="2846">
        <f t="shared" si="163"/>
        <v>0</v>
      </c>
      <c r="N405" s="2846">
        <f t="shared" si="163"/>
        <v>0</v>
      </c>
      <c r="O405" s="2846">
        <f t="shared" si="163"/>
        <v>400</v>
      </c>
      <c r="P405" s="2846">
        <f t="shared" si="163"/>
        <v>0</v>
      </c>
      <c r="Q405" s="2846">
        <f t="shared" si="163"/>
        <v>0</v>
      </c>
      <c r="R405" s="2846">
        <f t="shared" si="163"/>
        <v>400</v>
      </c>
      <c r="S405" s="2846">
        <f t="shared" si="163"/>
        <v>10000</v>
      </c>
      <c r="T405" s="2846">
        <f t="shared" si="163"/>
        <v>0</v>
      </c>
      <c r="U405" s="2846">
        <f t="shared" si="163"/>
        <v>0</v>
      </c>
      <c r="V405" s="2846">
        <f t="shared" si="163"/>
        <v>0</v>
      </c>
      <c r="W405" s="2846">
        <f t="shared" si="163"/>
        <v>10000</v>
      </c>
    </row>
    <row r="406" spans="1:23" ht="66">
      <c r="A406" s="2848"/>
      <c r="B406" s="2849" t="s">
        <v>1832</v>
      </c>
      <c r="C406" s="2848" t="s">
        <v>1570</v>
      </c>
      <c r="D406" s="2848" t="s">
        <v>1833</v>
      </c>
      <c r="E406" s="2848" t="s">
        <v>1544</v>
      </c>
      <c r="F406" s="2848" t="s">
        <v>1834</v>
      </c>
      <c r="G406" s="2850">
        <v>12000</v>
      </c>
      <c r="H406" s="2850"/>
      <c r="I406" s="2850"/>
      <c r="J406" s="2850">
        <v>12000</v>
      </c>
      <c r="K406" s="2850">
        <f>SUM(L406:N406)</f>
        <v>0</v>
      </c>
      <c r="L406" s="2850"/>
      <c r="M406" s="2850"/>
      <c r="N406" s="2850"/>
      <c r="O406" s="2850">
        <f>SUM(P406:R406)</f>
        <v>400</v>
      </c>
      <c r="P406" s="2850"/>
      <c r="Q406" s="2850"/>
      <c r="R406" s="2850">
        <v>400</v>
      </c>
      <c r="S406" s="2850">
        <f>SUM(T406:W406)</f>
        <v>10000</v>
      </c>
      <c r="T406" s="2850"/>
      <c r="U406" s="2850"/>
      <c r="V406" s="2850"/>
      <c r="W406" s="2850">
        <v>10000</v>
      </c>
    </row>
    <row r="407" spans="1:23" ht="26.4">
      <c r="A407" s="2827" t="s">
        <v>1222</v>
      </c>
      <c r="B407" s="2828" t="s">
        <v>1617</v>
      </c>
      <c r="C407" s="2859"/>
      <c r="D407" s="2859"/>
      <c r="E407" s="2859"/>
      <c r="F407" s="2859"/>
      <c r="G407" s="2858">
        <f>G408</f>
        <v>27357</v>
      </c>
      <c r="H407" s="2858">
        <f t="shared" ref="H407:W407" si="164">H408</f>
        <v>0</v>
      </c>
      <c r="I407" s="2858">
        <f t="shared" si="164"/>
        <v>0</v>
      </c>
      <c r="J407" s="2858">
        <f t="shared" si="164"/>
        <v>27357</v>
      </c>
      <c r="K407" s="2858">
        <f t="shared" si="164"/>
        <v>8615</v>
      </c>
      <c r="L407" s="2858">
        <f t="shared" si="164"/>
        <v>0</v>
      </c>
      <c r="M407" s="2858">
        <f t="shared" si="164"/>
        <v>0</v>
      </c>
      <c r="N407" s="2858">
        <f t="shared" si="164"/>
        <v>8615</v>
      </c>
      <c r="O407" s="2858">
        <f t="shared" si="164"/>
        <v>10000</v>
      </c>
      <c r="P407" s="2858">
        <f t="shared" si="164"/>
        <v>0</v>
      </c>
      <c r="Q407" s="2858">
        <f t="shared" si="164"/>
        <v>0</v>
      </c>
      <c r="R407" s="2858">
        <f t="shared" si="164"/>
        <v>10000</v>
      </c>
      <c r="S407" s="2858">
        <f t="shared" si="164"/>
        <v>13000</v>
      </c>
      <c r="T407" s="2858">
        <f t="shared" si="164"/>
        <v>0</v>
      </c>
      <c r="U407" s="2858">
        <f t="shared" si="164"/>
        <v>0</v>
      </c>
      <c r="V407" s="2858">
        <f t="shared" si="164"/>
        <v>0</v>
      </c>
      <c r="W407" s="2858">
        <f t="shared" si="164"/>
        <v>13000</v>
      </c>
    </row>
    <row r="408" spans="1:23" s="2834" customFormat="1">
      <c r="A408" s="2831"/>
      <c r="B408" s="2832" t="s">
        <v>1516</v>
      </c>
      <c r="C408" s="2831"/>
      <c r="D408" s="2831"/>
      <c r="E408" s="2831"/>
      <c r="F408" s="2831"/>
      <c r="G408" s="2872">
        <f>G410</f>
        <v>27357</v>
      </c>
      <c r="H408" s="2872">
        <f t="shared" ref="H408:W408" si="165">H410</f>
        <v>0</v>
      </c>
      <c r="I408" s="2872">
        <f t="shared" si="165"/>
        <v>0</v>
      </c>
      <c r="J408" s="2872">
        <f t="shared" si="165"/>
        <v>27357</v>
      </c>
      <c r="K408" s="2872">
        <f t="shared" si="165"/>
        <v>8615</v>
      </c>
      <c r="L408" s="2872">
        <f t="shared" si="165"/>
        <v>0</v>
      </c>
      <c r="M408" s="2872">
        <f t="shared" si="165"/>
        <v>0</v>
      </c>
      <c r="N408" s="2872">
        <f t="shared" si="165"/>
        <v>8615</v>
      </c>
      <c r="O408" s="2872">
        <f t="shared" si="165"/>
        <v>10000</v>
      </c>
      <c r="P408" s="2872">
        <f t="shared" si="165"/>
        <v>0</v>
      </c>
      <c r="Q408" s="2872">
        <f t="shared" si="165"/>
        <v>0</v>
      </c>
      <c r="R408" s="2872">
        <f t="shared" si="165"/>
        <v>10000</v>
      </c>
      <c r="S408" s="2872">
        <f t="shared" si="165"/>
        <v>13000</v>
      </c>
      <c r="T408" s="2872">
        <f t="shared" si="165"/>
        <v>0</v>
      </c>
      <c r="U408" s="2872">
        <f t="shared" si="165"/>
        <v>0</v>
      </c>
      <c r="V408" s="2872">
        <f t="shared" si="165"/>
        <v>0</v>
      </c>
      <c r="W408" s="2872">
        <f t="shared" si="165"/>
        <v>13000</v>
      </c>
    </row>
    <row r="409" spans="1:23" s="2839" customFormat="1">
      <c r="A409" s="2835" t="s">
        <v>200</v>
      </c>
      <c r="B409" s="2836" t="s">
        <v>1197</v>
      </c>
      <c r="C409" s="2835"/>
      <c r="D409" s="2835"/>
      <c r="E409" s="2835"/>
      <c r="F409" s="2835"/>
      <c r="G409" s="2837"/>
      <c r="H409" s="2837"/>
      <c r="I409" s="2837"/>
      <c r="J409" s="2837"/>
      <c r="K409" s="2837"/>
      <c r="L409" s="2837"/>
      <c r="M409" s="2837"/>
      <c r="N409" s="2837"/>
      <c r="O409" s="2837"/>
      <c r="P409" s="2837"/>
      <c r="Q409" s="2837"/>
      <c r="R409" s="2837"/>
      <c r="S409" s="2837"/>
      <c r="T409" s="2837"/>
      <c r="U409" s="2837"/>
      <c r="V409" s="2837"/>
      <c r="W409" s="2838"/>
    </row>
    <row r="410" spans="1:23" s="2839" customFormat="1">
      <c r="A410" s="2835" t="s">
        <v>208</v>
      </c>
      <c r="B410" s="2836" t="s">
        <v>1198</v>
      </c>
      <c r="C410" s="2835"/>
      <c r="D410" s="2835"/>
      <c r="E410" s="2835"/>
      <c r="F410" s="2835"/>
      <c r="G410" s="2837">
        <f t="shared" ref="G410:W410" si="166">G411+G412</f>
        <v>27357</v>
      </c>
      <c r="H410" s="2837">
        <f t="shared" si="166"/>
        <v>0</v>
      </c>
      <c r="I410" s="2837">
        <f t="shared" si="166"/>
        <v>0</v>
      </c>
      <c r="J410" s="2837">
        <f t="shared" si="166"/>
        <v>27357</v>
      </c>
      <c r="K410" s="2837">
        <f t="shared" si="166"/>
        <v>8615</v>
      </c>
      <c r="L410" s="2837">
        <f t="shared" si="166"/>
        <v>0</v>
      </c>
      <c r="M410" s="2837">
        <f t="shared" si="166"/>
        <v>0</v>
      </c>
      <c r="N410" s="2837">
        <f t="shared" si="166"/>
        <v>8615</v>
      </c>
      <c r="O410" s="2837">
        <f t="shared" si="166"/>
        <v>10000</v>
      </c>
      <c r="P410" s="2837">
        <f t="shared" si="166"/>
        <v>0</v>
      </c>
      <c r="Q410" s="2837">
        <f t="shared" si="166"/>
        <v>0</v>
      </c>
      <c r="R410" s="2837">
        <f t="shared" si="166"/>
        <v>10000</v>
      </c>
      <c r="S410" s="2837">
        <f t="shared" si="166"/>
        <v>13000</v>
      </c>
      <c r="T410" s="2837">
        <f t="shared" si="166"/>
        <v>0</v>
      </c>
      <c r="U410" s="2837">
        <f t="shared" si="166"/>
        <v>0</v>
      </c>
      <c r="V410" s="2837">
        <f t="shared" si="166"/>
        <v>0</v>
      </c>
      <c r="W410" s="2837">
        <f t="shared" si="166"/>
        <v>13000</v>
      </c>
    </row>
    <row r="411" spans="1:23" s="2844" customFormat="1" ht="52.8">
      <c r="A411" s="2840" t="s">
        <v>441</v>
      </c>
      <c r="B411" s="2841" t="s">
        <v>1540</v>
      </c>
      <c r="C411" s="2840"/>
      <c r="D411" s="2840"/>
      <c r="E411" s="2840"/>
      <c r="F411" s="2840"/>
      <c r="G411" s="2842"/>
      <c r="H411" s="2842"/>
      <c r="I411" s="2842"/>
      <c r="J411" s="2842"/>
      <c r="K411" s="2842"/>
      <c r="L411" s="2842"/>
      <c r="M411" s="2842"/>
      <c r="N411" s="2842"/>
      <c r="O411" s="2842"/>
      <c r="P411" s="2842"/>
      <c r="Q411" s="2842"/>
      <c r="R411" s="2842"/>
      <c r="S411" s="2842"/>
      <c r="T411" s="2842"/>
      <c r="U411" s="2842"/>
      <c r="V411" s="2842"/>
      <c r="W411" s="2843"/>
    </row>
    <row r="412" spans="1:23" s="2847" customFormat="1" ht="26.4">
      <c r="A412" s="2845" t="s">
        <v>463</v>
      </c>
      <c r="B412" s="2841" t="s">
        <v>1541</v>
      </c>
      <c r="C412" s="2845"/>
      <c r="D412" s="2845"/>
      <c r="E412" s="2845"/>
      <c r="F412" s="2845"/>
      <c r="G412" s="2846">
        <f>G413</f>
        <v>27357</v>
      </c>
      <c r="H412" s="2846">
        <f t="shared" ref="H412:W412" si="167">H413</f>
        <v>0</v>
      </c>
      <c r="I412" s="2846">
        <f t="shared" si="167"/>
        <v>0</v>
      </c>
      <c r="J412" s="2846">
        <f t="shared" si="167"/>
        <v>27357</v>
      </c>
      <c r="K412" s="2846">
        <f t="shared" si="167"/>
        <v>8615</v>
      </c>
      <c r="L412" s="2846">
        <f t="shared" si="167"/>
        <v>0</v>
      </c>
      <c r="M412" s="2846">
        <f t="shared" si="167"/>
        <v>0</v>
      </c>
      <c r="N412" s="2846">
        <f t="shared" si="167"/>
        <v>8615</v>
      </c>
      <c r="O412" s="2846">
        <f t="shared" si="167"/>
        <v>10000</v>
      </c>
      <c r="P412" s="2846">
        <f t="shared" si="167"/>
        <v>0</v>
      </c>
      <c r="Q412" s="2846">
        <f t="shared" si="167"/>
        <v>0</v>
      </c>
      <c r="R412" s="2846">
        <f t="shared" si="167"/>
        <v>10000</v>
      </c>
      <c r="S412" s="2846">
        <f t="shared" si="167"/>
        <v>13000</v>
      </c>
      <c r="T412" s="2846">
        <f t="shared" si="167"/>
        <v>0</v>
      </c>
      <c r="U412" s="2846">
        <f t="shared" si="167"/>
        <v>0</v>
      </c>
      <c r="V412" s="2846">
        <f t="shared" si="167"/>
        <v>0</v>
      </c>
      <c r="W412" s="2846">
        <f t="shared" si="167"/>
        <v>13000</v>
      </c>
    </row>
    <row r="413" spans="1:23" ht="52.8">
      <c r="A413" s="2859"/>
      <c r="B413" s="2860" t="s">
        <v>1835</v>
      </c>
      <c r="C413" s="2859" t="s">
        <v>41</v>
      </c>
      <c r="D413" s="2859" t="s">
        <v>1664</v>
      </c>
      <c r="E413" s="2859" t="s">
        <v>1544</v>
      </c>
      <c r="F413" s="2859" t="s">
        <v>1836</v>
      </c>
      <c r="G413" s="2855">
        <v>27357</v>
      </c>
      <c r="H413" s="2855"/>
      <c r="I413" s="2855"/>
      <c r="J413" s="2855">
        <v>27357</v>
      </c>
      <c r="K413" s="2850">
        <f>SUM(L413:N413)</f>
        <v>8615</v>
      </c>
      <c r="L413" s="2855"/>
      <c r="M413" s="2855"/>
      <c r="N413" s="2855">
        <v>8615</v>
      </c>
      <c r="O413" s="2850">
        <f>SUM(P413:R413)</f>
        <v>10000</v>
      </c>
      <c r="P413" s="2855"/>
      <c r="Q413" s="2855"/>
      <c r="R413" s="2855">
        <v>10000</v>
      </c>
      <c r="S413" s="2850">
        <f>SUM(T413:W413)</f>
        <v>13000</v>
      </c>
      <c r="T413" s="2855"/>
      <c r="U413" s="2855"/>
      <c r="V413" s="2855"/>
      <c r="W413" s="2855">
        <v>13000</v>
      </c>
    </row>
    <row r="414" spans="1:23">
      <c r="A414" s="2827" t="s">
        <v>591</v>
      </c>
      <c r="B414" s="2828" t="s">
        <v>1837</v>
      </c>
      <c r="C414" s="2859"/>
      <c r="D414" s="2859"/>
      <c r="E414" s="2859"/>
      <c r="F414" s="2859"/>
      <c r="G414" s="2870">
        <f>G415</f>
        <v>6000</v>
      </c>
      <c r="H414" s="2870">
        <f t="shared" ref="H414:W414" si="168">H415</f>
        <v>0</v>
      </c>
      <c r="I414" s="2870">
        <f t="shared" si="168"/>
        <v>0</v>
      </c>
      <c r="J414" s="2870">
        <f t="shared" si="168"/>
        <v>6000</v>
      </c>
      <c r="K414" s="2870">
        <f t="shared" si="168"/>
        <v>0</v>
      </c>
      <c r="L414" s="2870">
        <f t="shared" si="168"/>
        <v>0</v>
      </c>
      <c r="M414" s="2870">
        <f t="shared" si="168"/>
        <v>0</v>
      </c>
      <c r="N414" s="2870">
        <f t="shared" si="168"/>
        <v>0</v>
      </c>
      <c r="O414" s="2870">
        <f t="shared" si="168"/>
        <v>200</v>
      </c>
      <c r="P414" s="2870">
        <f t="shared" si="168"/>
        <v>0</v>
      </c>
      <c r="Q414" s="2870">
        <f t="shared" si="168"/>
        <v>0</v>
      </c>
      <c r="R414" s="2870">
        <f t="shared" si="168"/>
        <v>200</v>
      </c>
      <c r="S414" s="2870">
        <f t="shared" si="168"/>
        <v>5000</v>
      </c>
      <c r="T414" s="2870">
        <f t="shared" si="168"/>
        <v>0</v>
      </c>
      <c r="U414" s="2870">
        <f t="shared" si="168"/>
        <v>0</v>
      </c>
      <c r="V414" s="2870">
        <f t="shared" si="168"/>
        <v>0</v>
      </c>
      <c r="W414" s="2870">
        <f t="shared" si="168"/>
        <v>5000</v>
      </c>
    </row>
    <row r="415" spans="1:23" s="2834" customFormat="1" ht="26.4">
      <c r="A415" s="2831"/>
      <c r="B415" s="2832" t="s">
        <v>1514</v>
      </c>
      <c r="C415" s="2831"/>
      <c r="D415" s="2831"/>
      <c r="E415" s="2831"/>
      <c r="F415" s="2831"/>
      <c r="G415" s="2833">
        <f>G417</f>
        <v>6000</v>
      </c>
      <c r="H415" s="2833">
        <f t="shared" ref="H415:W415" si="169">H417</f>
        <v>0</v>
      </c>
      <c r="I415" s="2833">
        <f t="shared" si="169"/>
        <v>0</v>
      </c>
      <c r="J415" s="2833">
        <f t="shared" si="169"/>
        <v>6000</v>
      </c>
      <c r="K415" s="2833">
        <f t="shared" si="169"/>
        <v>0</v>
      </c>
      <c r="L415" s="2833">
        <f t="shared" si="169"/>
        <v>0</v>
      </c>
      <c r="M415" s="2833">
        <f t="shared" si="169"/>
        <v>0</v>
      </c>
      <c r="N415" s="2833">
        <f t="shared" si="169"/>
        <v>0</v>
      </c>
      <c r="O415" s="2833">
        <f t="shared" si="169"/>
        <v>200</v>
      </c>
      <c r="P415" s="2833">
        <f t="shared" si="169"/>
        <v>0</v>
      </c>
      <c r="Q415" s="2833">
        <f t="shared" si="169"/>
        <v>0</v>
      </c>
      <c r="R415" s="2833">
        <f t="shared" si="169"/>
        <v>200</v>
      </c>
      <c r="S415" s="2833">
        <f t="shared" si="169"/>
        <v>5000</v>
      </c>
      <c r="T415" s="2833">
        <f t="shared" si="169"/>
        <v>0</v>
      </c>
      <c r="U415" s="2833">
        <f t="shared" si="169"/>
        <v>0</v>
      </c>
      <c r="V415" s="2833">
        <f t="shared" si="169"/>
        <v>0</v>
      </c>
      <c r="W415" s="2833">
        <f t="shared" si="169"/>
        <v>5000</v>
      </c>
    </row>
    <row r="416" spans="1:23" s="2839" customFormat="1">
      <c r="A416" s="2835" t="s">
        <v>200</v>
      </c>
      <c r="B416" s="2836" t="s">
        <v>1197</v>
      </c>
      <c r="C416" s="2835"/>
      <c r="D416" s="2835"/>
      <c r="E416" s="2835"/>
      <c r="F416" s="2835"/>
      <c r="G416" s="2837"/>
      <c r="H416" s="2837"/>
      <c r="I416" s="2837"/>
      <c r="J416" s="2837"/>
      <c r="K416" s="2837"/>
      <c r="L416" s="2837"/>
      <c r="M416" s="2837"/>
      <c r="N416" s="2837"/>
      <c r="O416" s="2837"/>
      <c r="P416" s="2837"/>
      <c r="Q416" s="2837"/>
      <c r="R416" s="2837"/>
      <c r="S416" s="2837"/>
      <c r="T416" s="2837"/>
      <c r="U416" s="2837"/>
      <c r="V416" s="2837"/>
      <c r="W416" s="2838"/>
    </row>
    <row r="417" spans="1:23" s="2839" customFormat="1">
      <c r="A417" s="2835" t="s">
        <v>208</v>
      </c>
      <c r="B417" s="2836" t="s">
        <v>1198</v>
      </c>
      <c r="C417" s="2835"/>
      <c r="D417" s="2835"/>
      <c r="E417" s="2835"/>
      <c r="F417" s="2835"/>
      <c r="G417" s="2837">
        <f>G419</f>
        <v>6000</v>
      </c>
      <c r="H417" s="2837">
        <f t="shared" ref="H417:W417" si="170">H419</f>
        <v>0</v>
      </c>
      <c r="I417" s="2837">
        <f t="shared" si="170"/>
        <v>0</v>
      </c>
      <c r="J417" s="2837">
        <f t="shared" si="170"/>
        <v>6000</v>
      </c>
      <c r="K417" s="2837">
        <f t="shared" si="170"/>
        <v>0</v>
      </c>
      <c r="L417" s="2837">
        <f t="shared" si="170"/>
        <v>0</v>
      </c>
      <c r="M417" s="2837">
        <f t="shared" si="170"/>
        <v>0</v>
      </c>
      <c r="N417" s="2837">
        <f t="shared" si="170"/>
        <v>0</v>
      </c>
      <c r="O417" s="2837">
        <f t="shared" si="170"/>
        <v>200</v>
      </c>
      <c r="P417" s="2837">
        <f t="shared" si="170"/>
        <v>0</v>
      </c>
      <c r="Q417" s="2837">
        <f t="shared" si="170"/>
        <v>0</v>
      </c>
      <c r="R417" s="2837">
        <f t="shared" si="170"/>
        <v>200</v>
      </c>
      <c r="S417" s="2837">
        <f t="shared" si="170"/>
        <v>5000</v>
      </c>
      <c r="T417" s="2837">
        <f t="shared" si="170"/>
        <v>0</v>
      </c>
      <c r="U417" s="2837">
        <f t="shared" si="170"/>
        <v>0</v>
      </c>
      <c r="V417" s="2837">
        <f t="shared" si="170"/>
        <v>0</v>
      </c>
      <c r="W417" s="2837">
        <f t="shared" si="170"/>
        <v>5000</v>
      </c>
    </row>
    <row r="418" spans="1:23" s="2844" customFormat="1" ht="52.8">
      <c r="A418" s="2840" t="s">
        <v>441</v>
      </c>
      <c r="B418" s="2841" t="s">
        <v>1540</v>
      </c>
      <c r="C418" s="2840"/>
      <c r="D418" s="2840"/>
      <c r="E418" s="2840"/>
      <c r="F418" s="2840"/>
      <c r="G418" s="2842"/>
      <c r="H418" s="2842"/>
      <c r="I418" s="2842"/>
      <c r="J418" s="2842"/>
      <c r="K418" s="2842"/>
      <c r="L418" s="2842"/>
      <c r="M418" s="2842"/>
      <c r="N418" s="2842"/>
      <c r="O418" s="2842"/>
      <c r="P418" s="2842"/>
      <c r="Q418" s="2842"/>
      <c r="R418" s="2842"/>
      <c r="S418" s="2842"/>
      <c r="T418" s="2842"/>
      <c r="U418" s="2842"/>
      <c r="V418" s="2842"/>
      <c r="W418" s="2843"/>
    </row>
    <row r="419" spans="1:23" s="2847" customFormat="1" ht="26.4">
      <c r="A419" s="2845" t="s">
        <v>463</v>
      </c>
      <c r="B419" s="2841" t="s">
        <v>1541</v>
      </c>
      <c r="C419" s="2845"/>
      <c r="D419" s="2845"/>
      <c r="E419" s="2845"/>
      <c r="F419" s="2845"/>
      <c r="G419" s="2846">
        <f>G420</f>
        <v>6000</v>
      </c>
      <c r="H419" s="2846">
        <f t="shared" ref="H419:W419" si="171">H420</f>
        <v>0</v>
      </c>
      <c r="I419" s="2846">
        <f t="shared" si="171"/>
        <v>0</v>
      </c>
      <c r="J419" s="2846">
        <f t="shared" si="171"/>
        <v>6000</v>
      </c>
      <c r="K419" s="2846">
        <f t="shared" si="171"/>
        <v>0</v>
      </c>
      <c r="L419" s="2846">
        <f t="shared" si="171"/>
        <v>0</v>
      </c>
      <c r="M419" s="2846">
        <f t="shared" si="171"/>
        <v>0</v>
      </c>
      <c r="N419" s="2846">
        <f t="shared" si="171"/>
        <v>0</v>
      </c>
      <c r="O419" s="2846">
        <f t="shared" si="171"/>
        <v>200</v>
      </c>
      <c r="P419" s="2846">
        <f t="shared" si="171"/>
        <v>0</v>
      </c>
      <c r="Q419" s="2846">
        <f t="shared" si="171"/>
        <v>0</v>
      </c>
      <c r="R419" s="2846">
        <f t="shared" si="171"/>
        <v>200</v>
      </c>
      <c r="S419" s="2846">
        <f t="shared" si="171"/>
        <v>5000</v>
      </c>
      <c r="T419" s="2846">
        <f t="shared" si="171"/>
        <v>0</v>
      </c>
      <c r="U419" s="2846">
        <f t="shared" si="171"/>
        <v>0</v>
      </c>
      <c r="V419" s="2846">
        <f t="shared" si="171"/>
        <v>0</v>
      </c>
      <c r="W419" s="2846">
        <f t="shared" si="171"/>
        <v>5000</v>
      </c>
    </row>
    <row r="420" spans="1:23" s="2868" customFormat="1" ht="52.8">
      <c r="A420" s="2866"/>
      <c r="B420" s="2849" t="s">
        <v>1838</v>
      </c>
      <c r="C420" s="2866" t="s">
        <v>31</v>
      </c>
      <c r="D420" s="2866" t="s">
        <v>1839</v>
      </c>
      <c r="E420" s="2866" t="s">
        <v>1544</v>
      </c>
      <c r="F420" s="2866" t="s">
        <v>1840</v>
      </c>
      <c r="G420" s="2867">
        <v>6000</v>
      </c>
      <c r="H420" s="2867"/>
      <c r="I420" s="2867"/>
      <c r="J420" s="2867">
        <v>6000</v>
      </c>
      <c r="K420" s="2850">
        <f>SUM(L420:N420)</f>
        <v>0</v>
      </c>
      <c r="L420" s="2867"/>
      <c r="M420" s="2867"/>
      <c r="N420" s="2867"/>
      <c r="O420" s="2850">
        <f>SUM(P420:R420)</f>
        <v>200</v>
      </c>
      <c r="P420" s="2867"/>
      <c r="Q420" s="2867"/>
      <c r="R420" s="2867">
        <v>200</v>
      </c>
      <c r="S420" s="2850">
        <f>SUM(T420:W420)</f>
        <v>5000</v>
      </c>
      <c r="T420" s="2867"/>
      <c r="U420" s="2867"/>
      <c r="V420" s="2867"/>
      <c r="W420" s="2867">
        <v>5000</v>
      </c>
    </row>
    <row r="421" spans="1:23">
      <c r="A421" s="2827" t="s">
        <v>627</v>
      </c>
      <c r="B421" s="2828" t="s">
        <v>1503</v>
      </c>
      <c r="C421" s="2859"/>
      <c r="D421" s="2859"/>
      <c r="E421" s="2859"/>
      <c r="F421" s="2859"/>
      <c r="G421" s="2870">
        <f t="shared" ref="G421:W421" si="172">SUM(G422:G422)</f>
        <v>0</v>
      </c>
      <c r="H421" s="2870">
        <f t="shared" si="172"/>
        <v>0</v>
      </c>
      <c r="I421" s="2870">
        <f t="shared" si="172"/>
        <v>0</v>
      </c>
      <c r="J421" s="2870">
        <f t="shared" si="172"/>
        <v>0</v>
      </c>
      <c r="K421" s="2870">
        <f t="shared" si="172"/>
        <v>0</v>
      </c>
      <c r="L421" s="2870">
        <f t="shared" si="172"/>
        <v>0</v>
      </c>
      <c r="M421" s="2870">
        <f t="shared" si="172"/>
        <v>0</v>
      </c>
      <c r="N421" s="2870">
        <f t="shared" si="172"/>
        <v>0</v>
      </c>
      <c r="O421" s="2870">
        <f t="shared" si="172"/>
        <v>0</v>
      </c>
      <c r="P421" s="2870">
        <f t="shared" si="172"/>
        <v>0</v>
      </c>
      <c r="Q421" s="2870">
        <f t="shared" si="172"/>
        <v>0</v>
      </c>
      <c r="R421" s="2870">
        <f t="shared" si="172"/>
        <v>0</v>
      </c>
      <c r="S421" s="2870">
        <f t="shared" si="172"/>
        <v>10000</v>
      </c>
      <c r="T421" s="2870">
        <f t="shared" si="172"/>
        <v>0</v>
      </c>
      <c r="U421" s="2870">
        <f t="shared" si="172"/>
        <v>0</v>
      </c>
      <c r="V421" s="2870">
        <f t="shared" si="172"/>
        <v>0</v>
      </c>
      <c r="W421" s="2870">
        <f t="shared" si="172"/>
        <v>10000</v>
      </c>
    </row>
    <row r="422" spans="1:23" ht="52.8">
      <c r="A422" s="2859"/>
      <c r="B422" s="2860" t="s">
        <v>1841</v>
      </c>
      <c r="C422" s="2859"/>
      <c r="D422" s="2859"/>
      <c r="E422" s="2859"/>
      <c r="F422" s="2859"/>
      <c r="G422" s="2855"/>
      <c r="H422" s="2855"/>
      <c r="I422" s="2855"/>
      <c r="J422" s="2855"/>
      <c r="K422" s="2850">
        <f>SUM(L422:N422)</f>
        <v>0</v>
      </c>
      <c r="L422" s="2855"/>
      <c r="M422" s="2855"/>
      <c r="N422" s="2855"/>
      <c r="O422" s="2850">
        <f>SUM(P422:R422)</f>
        <v>0</v>
      </c>
      <c r="P422" s="2855"/>
      <c r="Q422" s="2855"/>
      <c r="R422" s="2855"/>
      <c r="S422" s="2850">
        <f>SUM(T422:W422)</f>
        <v>10000</v>
      </c>
      <c r="T422" s="2855"/>
      <c r="U422" s="2855"/>
      <c r="V422" s="2855"/>
      <c r="W422" s="2855">
        <v>10000</v>
      </c>
    </row>
    <row r="423" spans="1:23" s="2839" customFormat="1" ht="26.4">
      <c r="A423" s="2856" t="s">
        <v>1923</v>
      </c>
      <c r="B423" s="2857" t="s">
        <v>1911</v>
      </c>
      <c r="C423" s="2856"/>
      <c r="D423" s="2856"/>
      <c r="E423" s="2856"/>
      <c r="F423" s="2856"/>
      <c r="G423" s="2858"/>
      <c r="H423" s="2858"/>
      <c r="I423" s="2858"/>
      <c r="J423" s="2858"/>
      <c r="K423" s="2837"/>
      <c r="L423" s="2858"/>
      <c r="M423" s="2858"/>
      <c r="N423" s="2858"/>
      <c r="O423" s="2837"/>
      <c r="P423" s="2858"/>
      <c r="Q423" s="2858"/>
      <c r="R423" s="2858"/>
      <c r="S423" s="2837">
        <f>S424+S434+S496</f>
        <v>160500</v>
      </c>
      <c r="T423" s="2837">
        <f t="shared" ref="T423:W423" si="173">T424+T434+T496</f>
        <v>0</v>
      </c>
      <c r="U423" s="2837">
        <f t="shared" si="173"/>
        <v>0</v>
      </c>
      <c r="V423" s="2837">
        <f t="shared" si="173"/>
        <v>0</v>
      </c>
      <c r="W423" s="2837">
        <f t="shared" si="173"/>
        <v>160500</v>
      </c>
    </row>
    <row r="424" spans="1:23" s="2839" customFormat="1" ht="66">
      <c r="A424" s="2856" t="s">
        <v>54</v>
      </c>
      <c r="B424" s="2857" t="s">
        <v>1924</v>
      </c>
      <c r="C424" s="2856"/>
      <c r="D424" s="2856"/>
      <c r="E424" s="2856"/>
      <c r="F424" s="2856"/>
      <c r="G424" s="2858"/>
      <c r="H424" s="2858"/>
      <c r="I424" s="2858"/>
      <c r="J424" s="2858"/>
      <c r="K424" s="2837"/>
      <c r="L424" s="2858"/>
      <c r="M424" s="2858"/>
      <c r="N424" s="2858"/>
      <c r="O424" s="2837"/>
      <c r="P424" s="2858"/>
      <c r="Q424" s="2858"/>
      <c r="R424" s="2858"/>
      <c r="S424" s="2837">
        <f>SUM(S425:S433)</f>
        <v>23000</v>
      </c>
      <c r="T424" s="2837">
        <f t="shared" ref="T424:W424" si="174">SUM(T425:T433)</f>
        <v>0</v>
      </c>
      <c r="U424" s="2837">
        <f t="shared" si="174"/>
        <v>0</v>
      </c>
      <c r="V424" s="2837">
        <f t="shared" si="174"/>
        <v>0</v>
      </c>
      <c r="W424" s="2837">
        <f t="shared" si="174"/>
        <v>23000</v>
      </c>
    </row>
    <row r="425" spans="1:23">
      <c r="A425" s="2859"/>
      <c r="B425" s="2890" t="s">
        <v>95</v>
      </c>
      <c r="C425" s="2859"/>
      <c r="D425" s="2859"/>
      <c r="E425" s="2859"/>
      <c r="F425" s="2859"/>
      <c r="G425" s="2855"/>
      <c r="H425" s="2855"/>
      <c r="I425" s="2855"/>
      <c r="J425" s="2855"/>
      <c r="K425" s="2850"/>
      <c r="L425" s="2855"/>
      <c r="M425" s="2855"/>
      <c r="N425" s="2855"/>
      <c r="O425" s="2850"/>
      <c r="P425" s="2855"/>
      <c r="Q425" s="2855"/>
      <c r="R425" s="2855"/>
      <c r="S425" s="2850">
        <f>SUM(T425:W425)</f>
        <v>3000</v>
      </c>
      <c r="T425" s="2855"/>
      <c r="U425" s="2855"/>
      <c r="V425" s="2855"/>
      <c r="W425" s="2891">
        <v>3000</v>
      </c>
    </row>
    <row r="426" spans="1:23">
      <c r="A426" s="2859"/>
      <c r="B426" s="2890" t="s">
        <v>96</v>
      </c>
      <c r="C426" s="2859"/>
      <c r="D426" s="2859"/>
      <c r="E426" s="2859"/>
      <c r="F426" s="2859"/>
      <c r="G426" s="2855"/>
      <c r="H426" s="2855"/>
      <c r="I426" s="2855"/>
      <c r="J426" s="2855"/>
      <c r="K426" s="2850"/>
      <c r="L426" s="2855"/>
      <c r="M426" s="2855"/>
      <c r="N426" s="2855"/>
      <c r="O426" s="2850"/>
      <c r="P426" s="2855"/>
      <c r="Q426" s="2855"/>
      <c r="R426" s="2855"/>
      <c r="S426" s="2850">
        <f t="shared" ref="S426:S489" si="175">SUM(T426:W426)</f>
        <v>3000</v>
      </c>
      <c r="T426" s="2855"/>
      <c r="U426" s="2855"/>
      <c r="V426" s="2855"/>
      <c r="W426" s="2891">
        <v>3000</v>
      </c>
    </row>
    <row r="427" spans="1:23">
      <c r="A427" s="2859"/>
      <c r="B427" s="2890" t="s">
        <v>97</v>
      </c>
      <c r="C427" s="2859"/>
      <c r="D427" s="2859"/>
      <c r="E427" s="2859"/>
      <c r="F427" s="2859"/>
      <c r="G427" s="2855"/>
      <c r="H427" s="2855"/>
      <c r="I427" s="2855"/>
      <c r="J427" s="2855"/>
      <c r="K427" s="2850"/>
      <c r="L427" s="2855"/>
      <c r="M427" s="2855"/>
      <c r="N427" s="2855"/>
      <c r="O427" s="2850"/>
      <c r="P427" s="2855"/>
      <c r="Q427" s="2855"/>
      <c r="R427" s="2855"/>
      <c r="S427" s="2850">
        <f t="shared" si="175"/>
        <v>3000</v>
      </c>
      <c r="T427" s="2855"/>
      <c r="U427" s="2855"/>
      <c r="V427" s="2855"/>
      <c r="W427" s="2891">
        <v>3000</v>
      </c>
    </row>
    <row r="428" spans="1:23">
      <c r="A428" s="2859"/>
      <c r="B428" s="2890" t="s">
        <v>98</v>
      </c>
      <c r="C428" s="2859"/>
      <c r="D428" s="2859"/>
      <c r="E428" s="2859"/>
      <c r="F428" s="2859"/>
      <c r="G428" s="2855"/>
      <c r="H428" s="2855"/>
      <c r="I428" s="2855"/>
      <c r="J428" s="2855"/>
      <c r="K428" s="2850"/>
      <c r="L428" s="2855"/>
      <c r="M428" s="2855"/>
      <c r="N428" s="2855"/>
      <c r="O428" s="2850"/>
      <c r="P428" s="2855"/>
      <c r="Q428" s="2855"/>
      <c r="R428" s="2855"/>
      <c r="S428" s="2850">
        <f t="shared" si="175"/>
        <v>3000</v>
      </c>
      <c r="T428" s="2855"/>
      <c r="U428" s="2855"/>
      <c r="V428" s="2855"/>
      <c r="W428" s="2891">
        <v>3000</v>
      </c>
    </row>
    <row r="429" spans="1:23">
      <c r="A429" s="2859"/>
      <c r="B429" s="2890" t="s">
        <v>99</v>
      </c>
      <c r="C429" s="2859"/>
      <c r="D429" s="2859"/>
      <c r="E429" s="2859"/>
      <c r="F429" s="2859"/>
      <c r="G429" s="2855"/>
      <c r="H429" s="2855"/>
      <c r="I429" s="2855"/>
      <c r="J429" s="2855"/>
      <c r="K429" s="2850"/>
      <c r="L429" s="2855"/>
      <c r="M429" s="2855"/>
      <c r="N429" s="2855"/>
      <c r="O429" s="2850"/>
      <c r="P429" s="2855"/>
      <c r="Q429" s="2855"/>
      <c r="R429" s="2855"/>
      <c r="S429" s="2850">
        <f t="shared" si="175"/>
        <v>3000</v>
      </c>
      <c r="T429" s="2855"/>
      <c r="U429" s="2855"/>
      <c r="V429" s="2855"/>
      <c r="W429" s="2891">
        <v>3000</v>
      </c>
    </row>
    <row r="430" spans="1:23">
      <c r="A430" s="2859"/>
      <c r="B430" s="2890" t="s">
        <v>100</v>
      </c>
      <c r="C430" s="2859"/>
      <c r="D430" s="2859"/>
      <c r="E430" s="2859"/>
      <c r="F430" s="2859"/>
      <c r="G430" s="2855"/>
      <c r="H430" s="2855"/>
      <c r="I430" s="2855"/>
      <c r="J430" s="2855"/>
      <c r="K430" s="2850"/>
      <c r="L430" s="2855"/>
      <c r="M430" s="2855"/>
      <c r="N430" s="2855"/>
      <c r="O430" s="2850"/>
      <c r="P430" s="2855"/>
      <c r="Q430" s="2855"/>
      <c r="R430" s="2855"/>
      <c r="S430" s="2850">
        <f t="shared" si="175"/>
        <v>3000</v>
      </c>
      <c r="T430" s="2855"/>
      <c r="U430" s="2855"/>
      <c r="V430" s="2855"/>
      <c r="W430" s="2891">
        <v>3000</v>
      </c>
    </row>
    <row r="431" spans="1:23">
      <c r="A431" s="2859"/>
      <c r="B431" s="2890" t="s">
        <v>101</v>
      </c>
      <c r="C431" s="2859"/>
      <c r="D431" s="2859"/>
      <c r="E431" s="2859"/>
      <c r="F431" s="2859"/>
      <c r="G431" s="2855"/>
      <c r="H431" s="2855"/>
      <c r="I431" s="2855"/>
      <c r="J431" s="2855"/>
      <c r="K431" s="2850"/>
      <c r="L431" s="2855"/>
      <c r="M431" s="2855"/>
      <c r="N431" s="2855"/>
      <c r="O431" s="2850"/>
      <c r="P431" s="2855"/>
      <c r="Q431" s="2855"/>
      <c r="R431" s="2855"/>
      <c r="S431" s="2850">
        <f t="shared" si="175"/>
        <v>3000</v>
      </c>
      <c r="T431" s="2855"/>
      <c r="U431" s="2855"/>
      <c r="V431" s="2855"/>
      <c r="W431" s="2891">
        <v>3000</v>
      </c>
    </row>
    <row r="432" spans="1:23">
      <c r="A432" s="2859"/>
      <c r="B432" s="2890" t="s">
        <v>28</v>
      </c>
      <c r="C432" s="2859"/>
      <c r="D432" s="2859"/>
      <c r="E432" s="2859"/>
      <c r="F432" s="2859"/>
      <c r="G432" s="2855"/>
      <c r="H432" s="2855"/>
      <c r="I432" s="2855"/>
      <c r="J432" s="2855"/>
      <c r="K432" s="2850"/>
      <c r="L432" s="2855"/>
      <c r="M432" s="2855"/>
      <c r="N432" s="2855"/>
      <c r="O432" s="2850"/>
      <c r="P432" s="2855"/>
      <c r="Q432" s="2855"/>
      <c r="R432" s="2855"/>
      <c r="S432" s="2850">
        <f t="shared" si="175"/>
        <v>1000</v>
      </c>
      <c r="T432" s="2855"/>
      <c r="U432" s="2855"/>
      <c r="V432" s="2855"/>
      <c r="W432" s="2891">
        <v>1000</v>
      </c>
    </row>
    <row r="433" spans="1:23">
      <c r="A433" s="2859"/>
      <c r="B433" s="2890" t="s">
        <v>36</v>
      </c>
      <c r="C433" s="2859"/>
      <c r="D433" s="2859"/>
      <c r="E433" s="2859"/>
      <c r="F433" s="2859"/>
      <c r="G433" s="2855"/>
      <c r="H433" s="2855"/>
      <c r="I433" s="2855"/>
      <c r="J433" s="2855"/>
      <c r="K433" s="2850"/>
      <c r="L433" s="2855"/>
      <c r="M433" s="2855"/>
      <c r="N433" s="2855"/>
      <c r="O433" s="2850"/>
      <c r="P433" s="2855"/>
      <c r="Q433" s="2855"/>
      <c r="R433" s="2855"/>
      <c r="S433" s="2850">
        <f t="shared" si="175"/>
        <v>1000</v>
      </c>
      <c r="T433" s="2855"/>
      <c r="U433" s="2855"/>
      <c r="V433" s="2855"/>
      <c r="W433" s="2891">
        <v>1000</v>
      </c>
    </row>
    <row r="434" spans="1:23" s="2839" customFormat="1" ht="39.6">
      <c r="A434" s="2856" t="s">
        <v>60</v>
      </c>
      <c r="B434" s="2892" t="s">
        <v>1925</v>
      </c>
      <c r="C434" s="2856"/>
      <c r="D434" s="2856"/>
      <c r="E434" s="2856"/>
      <c r="F434" s="2856"/>
      <c r="G434" s="2858"/>
      <c r="H434" s="2858"/>
      <c r="I434" s="2858"/>
      <c r="J434" s="2858"/>
      <c r="K434" s="2837"/>
      <c r="L434" s="2858"/>
      <c r="M434" s="2858"/>
      <c r="N434" s="2858"/>
      <c r="O434" s="2837"/>
      <c r="P434" s="2858"/>
      <c r="Q434" s="2858"/>
      <c r="R434" s="2858"/>
      <c r="S434" s="2837">
        <f>S435</f>
        <v>96000</v>
      </c>
      <c r="T434" s="2837">
        <f t="shared" ref="T434:W434" si="176">T435</f>
        <v>0</v>
      </c>
      <c r="U434" s="2837">
        <f t="shared" si="176"/>
        <v>0</v>
      </c>
      <c r="V434" s="2837">
        <f t="shared" si="176"/>
        <v>0</v>
      </c>
      <c r="W434" s="2837">
        <f t="shared" si="176"/>
        <v>96000</v>
      </c>
    </row>
    <row r="435" spans="1:23" ht="26.4">
      <c r="A435" s="2859"/>
      <c r="B435" s="2893" t="s">
        <v>1926</v>
      </c>
      <c r="C435" s="2859"/>
      <c r="D435" s="2859"/>
      <c r="E435" s="2859"/>
      <c r="F435" s="2859"/>
      <c r="G435" s="2855"/>
      <c r="H435" s="2855"/>
      <c r="I435" s="2855"/>
      <c r="J435" s="2855"/>
      <c r="K435" s="2850"/>
      <c r="L435" s="2855"/>
      <c r="M435" s="2855"/>
      <c r="N435" s="2855"/>
      <c r="O435" s="2850"/>
      <c r="P435" s="2855"/>
      <c r="Q435" s="2855"/>
      <c r="R435" s="2855"/>
      <c r="S435" s="2864">
        <f>S436+S447+S453+S458+S471+S482+S488+S494+S478</f>
        <v>96000</v>
      </c>
      <c r="T435" s="2864">
        <f t="shared" ref="T435:W435" si="177">T436+T447+T453+T458+T471+T482+T488+T494+T478</f>
        <v>0</v>
      </c>
      <c r="U435" s="2864">
        <f t="shared" si="177"/>
        <v>0</v>
      </c>
      <c r="V435" s="2864">
        <f t="shared" si="177"/>
        <v>0</v>
      </c>
      <c r="W435" s="2864">
        <f t="shared" si="177"/>
        <v>96000</v>
      </c>
    </row>
    <row r="436" spans="1:23" s="2839" customFormat="1">
      <c r="A436" s="2856"/>
      <c r="B436" s="2894" t="s">
        <v>95</v>
      </c>
      <c r="C436" s="2856"/>
      <c r="D436" s="2856"/>
      <c r="E436" s="2856"/>
      <c r="F436" s="2856"/>
      <c r="G436" s="2858"/>
      <c r="H436" s="2858"/>
      <c r="I436" s="2858"/>
      <c r="J436" s="2858"/>
      <c r="K436" s="2837"/>
      <c r="L436" s="2858"/>
      <c r="M436" s="2858"/>
      <c r="N436" s="2858"/>
      <c r="O436" s="2837"/>
      <c r="P436" s="2858"/>
      <c r="Q436" s="2858"/>
      <c r="R436" s="2858"/>
      <c r="S436" s="2837">
        <f>SUM(S437:S446)</f>
        <v>20800</v>
      </c>
      <c r="T436" s="2837">
        <f t="shared" ref="T436:W436" si="178">SUM(T437:T446)</f>
        <v>0</v>
      </c>
      <c r="U436" s="2837">
        <f t="shared" si="178"/>
        <v>0</v>
      </c>
      <c r="V436" s="2837">
        <f t="shared" si="178"/>
        <v>0</v>
      </c>
      <c r="W436" s="2837">
        <f t="shared" si="178"/>
        <v>20800</v>
      </c>
    </row>
    <row r="437" spans="1:23">
      <c r="A437" s="2859"/>
      <c r="B437" s="2895" t="s">
        <v>1927</v>
      </c>
      <c r="C437" s="2859"/>
      <c r="D437" s="2859"/>
      <c r="E437" s="2859"/>
      <c r="F437" s="2859"/>
      <c r="G437" s="2855"/>
      <c r="H437" s="2855"/>
      <c r="I437" s="2855"/>
      <c r="J437" s="2855"/>
      <c r="K437" s="2850"/>
      <c r="L437" s="2855"/>
      <c r="M437" s="2855"/>
      <c r="N437" s="2855"/>
      <c r="O437" s="2850"/>
      <c r="P437" s="2855"/>
      <c r="Q437" s="2855"/>
      <c r="R437" s="2855"/>
      <c r="S437" s="2850">
        <f t="shared" si="175"/>
        <v>2000</v>
      </c>
      <c r="T437" s="2855"/>
      <c r="U437" s="2855"/>
      <c r="V437" s="2855"/>
      <c r="W437" s="2850">
        <v>2000</v>
      </c>
    </row>
    <row r="438" spans="1:23">
      <c r="A438" s="2859"/>
      <c r="B438" s="2895" t="s">
        <v>1928</v>
      </c>
      <c r="C438" s="2859"/>
      <c r="D438" s="2859"/>
      <c r="E438" s="2859"/>
      <c r="F438" s="2859"/>
      <c r="G438" s="2855"/>
      <c r="H438" s="2855"/>
      <c r="I438" s="2855"/>
      <c r="J438" s="2855"/>
      <c r="K438" s="2850"/>
      <c r="L438" s="2855"/>
      <c r="M438" s="2855"/>
      <c r="N438" s="2855"/>
      <c r="O438" s="2850"/>
      <c r="P438" s="2855"/>
      <c r="Q438" s="2855"/>
      <c r="R438" s="2855"/>
      <c r="S438" s="2850">
        <f t="shared" si="175"/>
        <v>5200</v>
      </c>
      <c r="T438" s="2855"/>
      <c r="U438" s="2855"/>
      <c r="V438" s="2855"/>
      <c r="W438" s="2850">
        <v>5200</v>
      </c>
    </row>
    <row r="439" spans="1:23">
      <c r="A439" s="2859"/>
      <c r="B439" s="2895" t="s">
        <v>1929</v>
      </c>
      <c r="C439" s="2859"/>
      <c r="D439" s="2859"/>
      <c r="E439" s="2859"/>
      <c r="F439" s="2859"/>
      <c r="G439" s="2855"/>
      <c r="H439" s="2855"/>
      <c r="I439" s="2855"/>
      <c r="J439" s="2855"/>
      <c r="K439" s="2850"/>
      <c r="L439" s="2855"/>
      <c r="M439" s="2855"/>
      <c r="N439" s="2855"/>
      <c r="O439" s="2850"/>
      <c r="P439" s="2855"/>
      <c r="Q439" s="2855"/>
      <c r="R439" s="2855"/>
      <c r="S439" s="2850">
        <f t="shared" si="175"/>
        <v>5000</v>
      </c>
      <c r="T439" s="2855"/>
      <c r="U439" s="2855"/>
      <c r="V439" s="2855"/>
      <c r="W439" s="2850">
        <v>5000</v>
      </c>
    </row>
    <row r="440" spans="1:23">
      <c r="A440" s="2859"/>
      <c r="B440" s="2895" t="s">
        <v>1930</v>
      </c>
      <c r="C440" s="2859"/>
      <c r="D440" s="2859"/>
      <c r="E440" s="2859"/>
      <c r="F440" s="2859"/>
      <c r="G440" s="2855"/>
      <c r="H440" s="2855"/>
      <c r="I440" s="2855"/>
      <c r="J440" s="2855"/>
      <c r="K440" s="2850"/>
      <c r="L440" s="2855"/>
      <c r="M440" s="2855"/>
      <c r="N440" s="2855"/>
      <c r="O440" s="2850"/>
      <c r="P440" s="2855"/>
      <c r="Q440" s="2855"/>
      <c r="R440" s="2855"/>
      <c r="S440" s="2850">
        <f t="shared" si="175"/>
        <v>1500</v>
      </c>
      <c r="T440" s="2855"/>
      <c r="U440" s="2855"/>
      <c r="V440" s="2855"/>
      <c r="W440" s="2850">
        <v>1500</v>
      </c>
    </row>
    <row r="441" spans="1:23">
      <c r="A441" s="2859"/>
      <c r="B441" s="2895" t="s">
        <v>1931</v>
      </c>
      <c r="C441" s="2859"/>
      <c r="D441" s="2859"/>
      <c r="E441" s="2859"/>
      <c r="F441" s="2859"/>
      <c r="G441" s="2855"/>
      <c r="H441" s="2855"/>
      <c r="I441" s="2855"/>
      <c r="J441" s="2855"/>
      <c r="K441" s="2850"/>
      <c r="L441" s="2855"/>
      <c r="M441" s="2855"/>
      <c r="N441" s="2855"/>
      <c r="O441" s="2850"/>
      <c r="P441" s="2855"/>
      <c r="Q441" s="2855"/>
      <c r="R441" s="2855"/>
      <c r="S441" s="2850">
        <f t="shared" si="175"/>
        <v>1000</v>
      </c>
      <c r="T441" s="2855"/>
      <c r="U441" s="2855"/>
      <c r="V441" s="2855"/>
      <c r="W441" s="2850">
        <v>1000</v>
      </c>
    </row>
    <row r="442" spans="1:23">
      <c r="A442" s="2859"/>
      <c r="B442" s="2895" t="s">
        <v>1932</v>
      </c>
      <c r="C442" s="2859"/>
      <c r="D442" s="2859"/>
      <c r="E442" s="2859"/>
      <c r="F442" s="2859"/>
      <c r="G442" s="2855"/>
      <c r="H442" s="2855"/>
      <c r="I442" s="2855"/>
      <c r="J442" s="2855"/>
      <c r="K442" s="2850"/>
      <c r="L442" s="2855"/>
      <c r="M442" s="2855"/>
      <c r="N442" s="2855"/>
      <c r="O442" s="2850"/>
      <c r="P442" s="2855"/>
      <c r="Q442" s="2855"/>
      <c r="R442" s="2855"/>
      <c r="S442" s="2850">
        <f t="shared" si="175"/>
        <v>1000</v>
      </c>
      <c r="T442" s="2855"/>
      <c r="U442" s="2855"/>
      <c r="V442" s="2855"/>
      <c r="W442" s="2850">
        <v>1000</v>
      </c>
    </row>
    <row r="443" spans="1:23">
      <c r="A443" s="2859"/>
      <c r="B443" s="2895" t="s">
        <v>1933</v>
      </c>
      <c r="C443" s="2859"/>
      <c r="D443" s="2859"/>
      <c r="E443" s="2859"/>
      <c r="F443" s="2859"/>
      <c r="G443" s="2855"/>
      <c r="H443" s="2855"/>
      <c r="I443" s="2855"/>
      <c r="J443" s="2855"/>
      <c r="K443" s="2850"/>
      <c r="L443" s="2855"/>
      <c r="M443" s="2855"/>
      <c r="N443" s="2855"/>
      <c r="O443" s="2850"/>
      <c r="P443" s="2855"/>
      <c r="Q443" s="2855"/>
      <c r="R443" s="2855"/>
      <c r="S443" s="2850">
        <f t="shared" si="175"/>
        <v>1500</v>
      </c>
      <c r="T443" s="2855"/>
      <c r="U443" s="2855"/>
      <c r="V443" s="2855"/>
      <c r="W443" s="2850">
        <v>1500</v>
      </c>
    </row>
    <row r="444" spans="1:23">
      <c r="A444" s="2859"/>
      <c r="B444" s="2895" t="s">
        <v>1934</v>
      </c>
      <c r="C444" s="2859"/>
      <c r="D444" s="2859"/>
      <c r="E444" s="2859"/>
      <c r="F444" s="2859"/>
      <c r="G444" s="2855"/>
      <c r="H444" s="2855"/>
      <c r="I444" s="2855"/>
      <c r="J444" s="2855"/>
      <c r="K444" s="2850"/>
      <c r="L444" s="2855"/>
      <c r="M444" s="2855"/>
      <c r="N444" s="2855"/>
      <c r="O444" s="2850"/>
      <c r="P444" s="2855"/>
      <c r="Q444" s="2855"/>
      <c r="R444" s="2855"/>
      <c r="S444" s="2850">
        <f t="shared" si="175"/>
        <v>1000</v>
      </c>
      <c r="T444" s="2855"/>
      <c r="U444" s="2855"/>
      <c r="V444" s="2855"/>
      <c r="W444" s="2850">
        <v>1000</v>
      </c>
    </row>
    <row r="445" spans="1:23">
      <c r="A445" s="2859"/>
      <c r="B445" s="2895" t="s">
        <v>1935</v>
      </c>
      <c r="C445" s="2859"/>
      <c r="D445" s="2859"/>
      <c r="E445" s="2859"/>
      <c r="F445" s="2859"/>
      <c r="G445" s="2855"/>
      <c r="H445" s="2855"/>
      <c r="I445" s="2855"/>
      <c r="J445" s="2855"/>
      <c r="K445" s="2850"/>
      <c r="L445" s="2855"/>
      <c r="M445" s="2855"/>
      <c r="N445" s="2855"/>
      <c r="O445" s="2850"/>
      <c r="P445" s="2855"/>
      <c r="Q445" s="2855"/>
      <c r="R445" s="2855"/>
      <c r="S445" s="2850">
        <f t="shared" si="175"/>
        <v>1000</v>
      </c>
      <c r="T445" s="2855"/>
      <c r="U445" s="2855"/>
      <c r="V445" s="2855"/>
      <c r="W445" s="2850">
        <v>1000</v>
      </c>
    </row>
    <row r="446" spans="1:23">
      <c r="A446" s="2859"/>
      <c r="B446" s="2895" t="s">
        <v>1936</v>
      </c>
      <c r="C446" s="2859"/>
      <c r="D446" s="2859"/>
      <c r="E446" s="2859"/>
      <c r="F446" s="2859"/>
      <c r="G446" s="2855"/>
      <c r="H446" s="2855"/>
      <c r="I446" s="2855"/>
      <c r="J446" s="2855"/>
      <c r="K446" s="2850"/>
      <c r="L446" s="2855"/>
      <c r="M446" s="2855"/>
      <c r="N446" s="2855"/>
      <c r="O446" s="2850"/>
      <c r="P446" s="2855"/>
      <c r="Q446" s="2855"/>
      <c r="R446" s="2855"/>
      <c r="S446" s="2850">
        <f t="shared" si="175"/>
        <v>1600</v>
      </c>
      <c r="T446" s="2855"/>
      <c r="U446" s="2855"/>
      <c r="V446" s="2855"/>
      <c r="W446" s="2850">
        <v>1600</v>
      </c>
    </row>
    <row r="447" spans="1:23" s="2839" customFormat="1">
      <c r="A447" s="2856"/>
      <c r="B447" s="2894" t="s">
        <v>96</v>
      </c>
      <c r="C447" s="2856"/>
      <c r="D447" s="2856"/>
      <c r="E447" s="2856"/>
      <c r="F447" s="2856"/>
      <c r="G447" s="2858"/>
      <c r="H447" s="2858"/>
      <c r="I447" s="2858"/>
      <c r="J447" s="2858"/>
      <c r="K447" s="2837"/>
      <c r="L447" s="2858"/>
      <c r="M447" s="2858"/>
      <c r="N447" s="2858"/>
      <c r="O447" s="2837"/>
      <c r="P447" s="2858"/>
      <c r="Q447" s="2858"/>
      <c r="R447" s="2858"/>
      <c r="S447" s="2837">
        <f>SUM(S448:S452)</f>
        <v>11500</v>
      </c>
      <c r="T447" s="2837">
        <f t="shared" ref="T447:W447" si="179">SUM(T448:T452)</f>
        <v>0</v>
      </c>
      <c r="U447" s="2837">
        <f t="shared" si="179"/>
        <v>0</v>
      </c>
      <c r="V447" s="2837">
        <f t="shared" si="179"/>
        <v>0</v>
      </c>
      <c r="W447" s="2837">
        <f t="shared" si="179"/>
        <v>11500</v>
      </c>
    </row>
    <row r="448" spans="1:23">
      <c r="A448" s="2859"/>
      <c r="B448" s="2895" t="s">
        <v>1937</v>
      </c>
      <c r="C448" s="2859"/>
      <c r="D448" s="2859"/>
      <c r="E448" s="2859"/>
      <c r="F448" s="2859"/>
      <c r="G448" s="2855"/>
      <c r="H448" s="2855"/>
      <c r="I448" s="2855"/>
      <c r="J448" s="2855"/>
      <c r="K448" s="2850"/>
      <c r="L448" s="2855"/>
      <c r="M448" s="2855"/>
      <c r="N448" s="2855"/>
      <c r="O448" s="2850"/>
      <c r="P448" s="2855"/>
      <c r="Q448" s="2855"/>
      <c r="R448" s="2855"/>
      <c r="S448" s="2850">
        <f t="shared" si="175"/>
        <v>4000</v>
      </c>
      <c r="T448" s="2855"/>
      <c r="U448" s="2855"/>
      <c r="V448" s="2855"/>
      <c r="W448" s="2896">
        <v>4000</v>
      </c>
    </row>
    <row r="449" spans="1:23">
      <c r="A449" s="2859"/>
      <c r="B449" s="2895" t="s">
        <v>1938</v>
      </c>
      <c r="C449" s="2859"/>
      <c r="D449" s="2859"/>
      <c r="E449" s="2859"/>
      <c r="F449" s="2859"/>
      <c r="G449" s="2855"/>
      <c r="H449" s="2855"/>
      <c r="I449" s="2855"/>
      <c r="J449" s="2855"/>
      <c r="K449" s="2850"/>
      <c r="L449" s="2855"/>
      <c r="M449" s="2855"/>
      <c r="N449" s="2855"/>
      <c r="O449" s="2850"/>
      <c r="P449" s="2855"/>
      <c r="Q449" s="2855"/>
      <c r="R449" s="2855"/>
      <c r="S449" s="2850">
        <f t="shared" si="175"/>
        <v>3000</v>
      </c>
      <c r="T449" s="2855"/>
      <c r="U449" s="2855"/>
      <c r="V449" s="2855"/>
      <c r="W449" s="2896">
        <v>3000</v>
      </c>
    </row>
    <row r="450" spans="1:23">
      <c r="A450" s="2859"/>
      <c r="B450" s="2895" t="s">
        <v>1939</v>
      </c>
      <c r="C450" s="2859"/>
      <c r="D450" s="2859"/>
      <c r="E450" s="2859"/>
      <c r="F450" s="2859"/>
      <c r="G450" s="2855"/>
      <c r="H450" s="2855"/>
      <c r="I450" s="2855"/>
      <c r="J450" s="2855"/>
      <c r="K450" s="2850"/>
      <c r="L450" s="2855"/>
      <c r="M450" s="2855"/>
      <c r="N450" s="2855"/>
      <c r="O450" s="2850"/>
      <c r="P450" s="2855"/>
      <c r="Q450" s="2855"/>
      <c r="R450" s="2855"/>
      <c r="S450" s="2850">
        <f t="shared" si="175"/>
        <v>1500</v>
      </c>
      <c r="T450" s="2855"/>
      <c r="U450" s="2855"/>
      <c r="V450" s="2855"/>
      <c r="W450" s="2896">
        <v>1500</v>
      </c>
    </row>
    <row r="451" spans="1:23">
      <c r="A451" s="2859"/>
      <c r="B451" s="2895" t="s">
        <v>1940</v>
      </c>
      <c r="C451" s="2859"/>
      <c r="D451" s="2859"/>
      <c r="E451" s="2859"/>
      <c r="F451" s="2859"/>
      <c r="G451" s="2855"/>
      <c r="H451" s="2855"/>
      <c r="I451" s="2855"/>
      <c r="J451" s="2855"/>
      <c r="K451" s="2850"/>
      <c r="L451" s="2855"/>
      <c r="M451" s="2855"/>
      <c r="N451" s="2855"/>
      <c r="O451" s="2850"/>
      <c r="P451" s="2855"/>
      <c r="Q451" s="2855"/>
      <c r="R451" s="2855"/>
      <c r="S451" s="2850">
        <f t="shared" si="175"/>
        <v>2000</v>
      </c>
      <c r="T451" s="2855"/>
      <c r="U451" s="2855"/>
      <c r="V451" s="2855"/>
      <c r="W451" s="2896">
        <v>2000</v>
      </c>
    </row>
    <row r="452" spans="1:23">
      <c r="A452" s="2859"/>
      <c r="B452" s="2895" t="s">
        <v>1941</v>
      </c>
      <c r="C452" s="2859"/>
      <c r="D452" s="2859"/>
      <c r="E452" s="2859"/>
      <c r="F452" s="2859"/>
      <c r="G452" s="2855"/>
      <c r="H452" s="2855"/>
      <c r="I452" s="2855"/>
      <c r="J452" s="2855"/>
      <c r="K452" s="2850"/>
      <c r="L452" s="2855"/>
      <c r="M452" s="2855"/>
      <c r="N452" s="2855"/>
      <c r="O452" s="2850"/>
      <c r="P452" s="2855"/>
      <c r="Q452" s="2855"/>
      <c r="R452" s="2855"/>
      <c r="S452" s="2850">
        <f t="shared" si="175"/>
        <v>1000</v>
      </c>
      <c r="T452" s="2855"/>
      <c r="U452" s="2855"/>
      <c r="V452" s="2855"/>
      <c r="W452" s="2896">
        <v>1000</v>
      </c>
    </row>
    <row r="453" spans="1:23" s="2839" customFormat="1">
      <c r="A453" s="2856"/>
      <c r="B453" s="2894" t="s">
        <v>97</v>
      </c>
      <c r="C453" s="2856"/>
      <c r="D453" s="2856"/>
      <c r="E453" s="2856"/>
      <c r="F453" s="2856"/>
      <c r="G453" s="2858"/>
      <c r="H453" s="2858"/>
      <c r="I453" s="2858"/>
      <c r="J453" s="2858"/>
      <c r="K453" s="2837"/>
      <c r="L453" s="2858"/>
      <c r="M453" s="2858"/>
      <c r="N453" s="2858"/>
      <c r="O453" s="2837"/>
      <c r="P453" s="2858"/>
      <c r="Q453" s="2858"/>
      <c r="R453" s="2858"/>
      <c r="S453" s="2837">
        <f>SUM(S454:S457)</f>
        <v>7500</v>
      </c>
      <c r="T453" s="2837">
        <f t="shared" ref="T453:W453" si="180">SUM(T454:T457)</f>
        <v>0</v>
      </c>
      <c r="U453" s="2837">
        <f t="shared" si="180"/>
        <v>0</v>
      </c>
      <c r="V453" s="2837">
        <f t="shared" si="180"/>
        <v>0</v>
      </c>
      <c r="W453" s="2837">
        <f t="shared" si="180"/>
        <v>7500</v>
      </c>
    </row>
    <row r="454" spans="1:23">
      <c r="A454" s="2859"/>
      <c r="B454" s="2897" t="s">
        <v>1942</v>
      </c>
      <c r="C454" s="2859"/>
      <c r="D454" s="2859"/>
      <c r="E454" s="2859"/>
      <c r="F454" s="2859"/>
      <c r="G454" s="2855"/>
      <c r="H454" s="2855"/>
      <c r="I454" s="2855"/>
      <c r="J454" s="2855"/>
      <c r="K454" s="2850"/>
      <c r="L454" s="2855"/>
      <c r="M454" s="2855"/>
      <c r="N454" s="2855"/>
      <c r="O454" s="2850"/>
      <c r="P454" s="2855"/>
      <c r="Q454" s="2855"/>
      <c r="R454" s="2855"/>
      <c r="S454" s="2850">
        <f t="shared" si="175"/>
        <v>4000</v>
      </c>
      <c r="T454" s="2855"/>
      <c r="U454" s="2855"/>
      <c r="V454" s="2855"/>
      <c r="W454" s="2896">
        <v>4000</v>
      </c>
    </row>
    <row r="455" spans="1:23">
      <c r="A455" s="2859"/>
      <c r="B455" s="2897" t="s">
        <v>1943</v>
      </c>
      <c r="C455" s="2859"/>
      <c r="D455" s="2859"/>
      <c r="E455" s="2859"/>
      <c r="F455" s="2859"/>
      <c r="G455" s="2855"/>
      <c r="H455" s="2855"/>
      <c r="I455" s="2855"/>
      <c r="J455" s="2855"/>
      <c r="K455" s="2850"/>
      <c r="L455" s="2855"/>
      <c r="M455" s="2855"/>
      <c r="N455" s="2855"/>
      <c r="O455" s="2850"/>
      <c r="P455" s="2855"/>
      <c r="Q455" s="2855"/>
      <c r="R455" s="2855"/>
      <c r="S455" s="2850">
        <f t="shared" si="175"/>
        <v>1500</v>
      </c>
      <c r="T455" s="2855"/>
      <c r="U455" s="2855"/>
      <c r="V455" s="2855"/>
      <c r="W455" s="2896">
        <v>1500</v>
      </c>
    </row>
    <row r="456" spans="1:23">
      <c r="A456" s="2859"/>
      <c r="B456" s="2897" t="s">
        <v>1944</v>
      </c>
      <c r="C456" s="2859"/>
      <c r="D456" s="2859"/>
      <c r="E456" s="2859"/>
      <c r="F456" s="2859"/>
      <c r="G456" s="2855"/>
      <c r="H456" s="2855"/>
      <c r="I456" s="2855"/>
      <c r="J456" s="2855"/>
      <c r="K456" s="2850"/>
      <c r="L456" s="2855"/>
      <c r="M456" s="2855"/>
      <c r="N456" s="2855"/>
      <c r="O456" s="2850"/>
      <c r="P456" s="2855"/>
      <c r="Q456" s="2855"/>
      <c r="R456" s="2855"/>
      <c r="S456" s="2850">
        <f t="shared" si="175"/>
        <v>1000</v>
      </c>
      <c r="T456" s="2855"/>
      <c r="U456" s="2855"/>
      <c r="V456" s="2855"/>
      <c r="W456" s="2896">
        <v>1000</v>
      </c>
    </row>
    <row r="457" spans="1:23">
      <c r="A457" s="2859"/>
      <c r="B457" s="2897" t="s">
        <v>1945</v>
      </c>
      <c r="C457" s="2859"/>
      <c r="D457" s="2859"/>
      <c r="E457" s="2859"/>
      <c r="F457" s="2859"/>
      <c r="G457" s="2855"/>
      <c r="H457" s="2855"/>
      <c r="I457" s="2855"/>
      <c r="J457" s="2855"/>
      <c r="K457" s="2850"/>
      <c r="L457" s="2855"/>
      <c r="M457" s="2855"/>
      <c r="N457" s="2855"/>
      <c r="O457" s="2850"/>
      <c r="P457" s="2855"/>
      <c r="Q457" s="2855"/>
      <c r="R457" s="2855"/>
      <c r="S457" s="2850">
        <f t="shared" si="175"/>
        <v>1000</v>
      </c>
      <c r="T457" s="2855"/>
      <c r="U457" s="2855"/>
      <c r="V457" s="2855"/>
      <c r="W457" s="2896">
        <v>1000</v>
      </c>
    </row>
    <row r="458" spans="1:23" s="2839" customFormat="1">
      <c r="A458" s="2856"/>
      <c r="B458" s="2894" t="s">
        <v>98</v>
      </c>
      <c r="C458" s="2856"/>
      <c r="D458" s="2856"/>
      <c r="E458" s="2856"/>
      <c r="F458" s="2856"/>
      <c r="G458" s="2858"/>
      <c r="H458" s="2858"/>
      <c r="I458" s="2858"/>
      <c r="J458" s="2858"/>
      <c r="K458" s="2837"/>
      <c r="L458" s="2858"/>
      <c r="M458" s="2858"/>
      <c r="N458" s="2858"/>
      <c r="O458" s="2837"/>
      <c r="P458" s="2858"/>
      <c r="Q458" s="2858"/>
      <c r="R458" s="2858"/>
      <c r="S458" s="2837">
        <f>SUM(S459:S470)</f>
        <v>22500</v>
      </c>
      <c r="T458" s="2837">
        <f t="shared" ref="T458:W458" si="181">SUM(T459:T470)</f>
        <v>0</v>
      </c>
      <c r="U458" s="2837">
        <f t="shared" si="181"/>
        <v>0</v>
      </c>
      <c r="V458" s="2837">
        <f t="shared" si="181"/>
        <v>0</v>
      </c>
      <c r="W458" s="2837">
        <f t="shared" si="181"/>
        <v>22500</v>
      </c>
    </row>
    <row r="459" spans="1:23">
      <c r="A459" s="2859"/>
      <c r="B459" s="2895" t="s">
        <v>1946</v>
      </c>
      <c r="C459" s="2859"/>
      <c r="D459" s="2859"/>
      <c r="E459" s="2859"/>
      <c r="F459" s="2859"/>
      <c r="G459" s="2855"/>
      <c r="H459" s="2855"/>
      <c r="I459" s="2855"/>
      <c r="J459" s="2855"/>
      <c r="K459" s="2850"/>
      <c r="L459" s="2855"/>
      <c r="M459" s="2855"/>
      <c r="N459" s="2855"/>
      <c r="O459" s="2850"/>
      <c r="P459" s="2855"/>
      <c r="Q459" s="2855"/>
      <c r="R459" s="2855"/>
      <c r="S459" s="2850">
        <f t="shared" si="175"/>
        <v>1200</v>
      </c>
      <c r="T459" s="2855"/>
      <c r="U459" s="2855"/>
      <c r="V459" s="2855"/>
      <c r="W459" s="2896">
        <v>1200</v>
      </c>
    </row>
    <row r="460" spans="1:23">
      <c r="A460" s="2859"/>
      <c r="B460" s="2895" t="s">
        <v>1947</v>
      </c>
      <c r="C460" s="2859"/>
      <c r="D460" s="2859"/>
      <c r="E460" s="2859"/>
      <c r="F460" s="2859"/>
      <c r="G460" s="2855"/>
      <c r="H460" s="2855"/>
      <c r="I460" s="2855"/>
      <c r="J460" s="2855"/>
      <c r="K460" s="2850"/>
      <c r="L460" s="2855"/>
      <c r="M460" s="2855"/>
      <c r="N460" s="2855"/>
      <c r="O460" s="2850"/>
      <c r="P460" s="2855"/>
      <c r="Q460" s="2855"/>
      <c r="R460" s="2855"/>
      <c r="S460" s="2850">
        <f t="shared" si="175"/>
        <v>650</v>
      </c>
      <c r="T460" s="2855"/>
      <c r="U460" s="2855"/>
      <c r="V460" s="2855"/>
      <c r="W460" s="2896">
        <v>650</v>
      </c>
    </row>
    <row r="461" spans="1:23">
      <c r="A461" s="2859"/>
      <c r="B461" s="2895" t="s">
        <v>1948</v>
      </c>
      <c r="C461" s="2859"/>
      <c r="D461" s="2859"/>
      <c r="E461" s="2859"/>
      <c r="F461" s="2859"/>
      <c r="G461" s="2855"/>
      <c r="H461" s="2855"/>
      <c r="I461" s="2855"/>
      <c r="J461" s="2855"/>
      <c r="K461" s="2850"/>
      <c r="L461" s="2855"/>
      <c r="M461" s="2855"/>
      <c r="N461" s="2855"/>
      <c r="O461" s="2850"/>
      <c r="P461" s="2855"/>
      <c r="Q461" s="2855"/>
      <c r="R461" s="2855"/>
      <c r="S461" s="2850">
        <f t="shared" si="175"/>
        <v>1200</v>
      </c>
      <c r="T461" s="2855"/>
      <c r="U461" s="2855"/>
      <c r="V461" s="2855"/>
      <c r="W461" s="2896">
        <v>1200</v>
      </c>
    </row>
    <row r="462" spans="1:23">
      <c r="A462" s="2859"/>
      <c r="B462" s="2895" t="s">
        <v>1949</v>
      </c>
      <c r="C462" s="2859"/>
      <c r="D462" s="2859"/>
      <c r="E462" s="2859"/>
      <c r="F462" s="2859"/>
      <c r="G462" s="2855"/>
      <c r="H462" s="2855"/>
      <c r="I462" s="2855"/>
      <c r="J462" s="2855"/>
      <c r="K462" s="2850"/>
      <c r="L462" s="2855"/>
      <c r="M462" s="2855"/>
      <c r="N462" s="2855"/>
      <c r="O462" s="2850"/>
      <c r="P462" s="2855"/>
      <c r="Q462" s="2855"/>
      <c r="R462" s="2855"/>
      <c r="S462" s="2850">
        <f t="shared" si="175"/>
        <v>2700</v>
      </c>
      <c r="T462" s="2855"/>
      <c r="U462" s="2855"/>
      <c r="V462" s="2855"/>
      <c r="W462" s="2896">
        <v>2700</v>
      </c>
    </row>
    <row r="463" spans="1:23">
      <c r="A463" s="2859"/>
      <c r="B463" s="2895" t="s">
        <v>1950</v>
      </c>
      <c r="C463" s="2859"/>
      <c r="D463" s="2859"/>
      <c r="E463" s="2859"/>
      <c r="F463" s="2859"/>
      <c r="G463" s="2855"/>
      <c r="H463" s="2855"/>
      <c r="I463" s="2855"/>
      <c r="J463" s="2855"/>
      <c r="K463" s="2850"/>
      <c r="L463" s="2855"/>
      <c r="M463" s="2855"/>
      <c r="N463" s="2855"/>
      <c r="O463" s="2850"/>
      <c r="P463" s="2855"/>
      <c r="Q463" s="2855"/>
      <c r="R463" s="2855"/>
      <c r="S463" s="2850">
        <f t="shared" si="175"/>
        <v>2100</v>
      </c>
      <c r="T463" s="2855"/>
      <c r="U463" s="2855"/>
      <c r="V463" s="2855"/>
      <c r="W463" s="2896">
        <v>2100</v>
      </c>
    </row>
    <row r="464" spans="1:23">
      <c r="A464" s="2859"/>
      <c r="B464" s="2895" t="s">
        <v>1951</v>
      </c>
      <c r="C464" s="2859"/>
      <c r="D464" s="2859"/>
      <c r="E464" s="2859"/>
      <c r="F464" s="2859"/>
      <c r="G464" s="2855"/>
      <c r="H464" s="2855"/>
      <c r="I464" s="2855"/>
      <c r="J464" s="2855"/>
      <c r="K464" s="2850"/>
      <c r="L464" s="2855"/>
      <c r="M464" s="2855"/>
      <c r="N464" s="2855"/>
      <c r="O464" s="2850"/>
      <c r="P464" s="2855"/>
      <c r="Q464" s="2855"/>
      <c r="R464" s="2855"/>
      <c r="S464" s="2850">
        <f t="shared" si="175"/>
        <v>2100</v>
      </c>
      <c r="T464" s="2855"/>
      <c r="U464" s="2855"/>
      <c r="V464" s="2855"/>
      <c r="W464" s="2896">
        <v>2100</v>
      </c>
    </row>
    <row r="465" spans="1:23">
      <c r="A465" s="2859"/>
      <c r="B465" s="2895" t="s">
        <v>1952</v>
      </c>
      <c r="C465" s="2859"/>
      <c r="D465" s="2859"/>
      <c r="E465" s="2859"/>
      <c r="F465" s="2859"/>
      <c r="G465" s="2855"/>
      <c r="H465" s="2855"/>
      <c r="I465" s="2855"/>
      <c r="J465" s="2855"/>
      <c r="K465" s="2850"/>
      <c r="L465" s="2855"/>
      <c r="M465" s="2855"/>
      <c r="N465" s="2855"/>
      <c r="O465" s="2850"/>
      <c r="P465" s="2855"/>
      <c r="Q465" s="2855"/>
      <c r="R465" s="2855"/>
      <c r="S465" s="2850">
        <f t="shared" si="175"/>
        <v>1250</v>
      </c>
      <c r="T465" s="2855"/>
      <c r="U465" s="2855"/>
      <c r="V465" s="2855"/>
      <c r="W465" s="2896">
        <v>1250</v>
      </c>
    </row>
    <row r="466" spans="1:23">
      <c r="A466" s="2859"/>
      <c r="B466" s="2895" t="s">
        <v>1953</v>
      </c>
      <c r="C466" s="2859"/>
      <c r="D466" s="2859"/>
      <c r="E466" s="2859"/>
      <c r="F466" s="2859"/>
      <c r="G466" s="2855"/>
      <c r="H466" s="2855"/>
      <c r="I466" s="2855"/>
      <c r="J466" s="2855"/>
      <c r="K466" s="2850"/>
      <c r="L466" s="2855"/>
      <c r="M466" s="2855"/>
      <c r="N466" s="2855"/>
      <c r="O466" s="2850"/>
      <c r="P466" s="2855"/>
      <c r="Q466" s="2855"/>
      <c r="R466" s="2855"/>
      <c r="S466" s="2850">
        <f t="shared" si="175"/>
        <v>1300</v>
      </c>
      <c r="T466" s="2855"/>
      <c r="U466" s="2855"/>
      <c r="V466" s="2855"/>
      <c r="W466" s="2896">
        <v>1300</v>
      </c>
    </row>
    <row r="467" spans="1:23">
      <c r="A467" s="2859"/>
      <c r="B467" s="2895" t="s">
        <v>1954</v>
      </c>
      <c r="C467" s="2859"/>
      <c r="D467" s="2859"/>
      <c r="E467" s="2859"/>
      <c r="F467" s="2859"/>
      <c r="G467" s="2855"/>
      <c r="H467" s="2855"/>
      <c r="I467" s="2855"/>
      <c r="J467" s="2855"/>
      <c r="K467" s="2850"/>
      <c r="L467" s="2855"/>
      <c r="M467" s="2855"/>
      <c r="N467" s="2855"/>
      <c r="O467" s="2850"/>
      <c r="P467" s="2855"/>
      <c r="Q467" s="2855"/>
      <c r="R467" s="2855"/>
      <c r="S467" s="2850">
        <f t="shared" si="175"/>
        <v>2900</v>
      </c>
      <c r="T467" s="2855"/>
      <c r="U467" s="2855"/>
      <c r="V467" s="2855"/>
      <c r="W467" s="2896">
        <v>2900</v>
      </c>
    </row>
    <row r="468" spans="1:23">
      <c r="A468" s="2859"/>
      <c r="B468" s="2895" t="s">
        <v>1955</v>
      </c>
      <c r="C468" s="2859"/>
      <c r="D468" s="2859"/>
      <c r="E468" s="2859"/>
      <c r="F468" s="2859"/>
      <c r="G468" s="2855"/>
      <c r="H468" s="2855"/>
      <c r="I468" s="2855"/>
      <c r="J468" s="2855"/>
      <c r="K468" s="2850"/>
      <c r="L468" s="2855"/>
      <c r="M468" s="2855"/>
      <c r="N468" s="2855"/>
      <c r="O468" s="2850"/>
      <c r="P468" s="2855"/>
      <c r="Q468" s="2855"/>
      <c r="R468" s="2855"/>
      <c r="S468" s="2850">
        <f t="shared" si="175"/>
        <v>1500</v>
      </c>
      <c r="T468" s="2855"/>
      <c r="U468" s="2855"/>
      <c r="V468" s="2855"/>
      <c r="W468" s="2896">
        <v>1500</v>
      </c>
    </row>
    <row r="469" spans="1:23">
      <c r="A469" s="2859"/>
      <c r="B469" s="2895" t="s">
        <v>1956</v>
      </c>
      <c r="C469" s="2859"/>
      <c r="D469" s="2859"/>
      <c r="E469" s="2859"/>
      <c r="F469" s="2859"/>
      <c r="G469" s="2855"/>
      <c r="H469" s="2855"/>
      <c r="I469" s="2855"/>
      <c r="J469" s="2855"/>
      <c r="K469" s="2850"/>
      <c r="L469" s="2855"/>
      <c r="M469" s="2855"/>
      <c r="N469" s="2855"/>
      <c r="O469" s="2850"/>
      <c r="P469" s="2855"/>
      <c r="Q469" s="2855"/>
      <c r="R469" s="2855"/>
      <c r="S469" s="2850">
        <f t="shared" si="175"/>
        <v>3200</v>
      </c>
      <c r="T469" s="2855"/>
      <c r="U469" s="2855"/>
      <c r="V469" s="2855"/>
      <c r="W469" s="2896">
        <v>3200</v>
      </c>
    </row>
    <row r="470" spans="1:23">
      <c r="A470" s="2859"/>
      <c r="B470" s="2895" t="s">
        <v>1957</v>
      </c>
      <c r="C470" s="2859"/>
      <c r="D470" s="2859"/>
      <c r="E470" s="2859"/>
      <c r="F470" s="2859"/>
      <c r="G470" s="2855"/>
      <c r="H470" s="2855"/>
      <c r="I470" s="2855"/>
      <c r="J470" s="2855"/>
      <c r="K470" s="2850"/>
      <c r="L470" s="2855"/>
      <c r="M470" s="2855"/>
      <c r="N470" s="2855"/>
      <c r="O470" s="2850"/>
      <c r="P470" s="2855"/>
      <c r="Q470" s="2855"/>
      <c r="R470" s="2855"/>
      <c r="S470" s="2850">
        <f t="shared" si="175"/>
        <v>2400</v>
      </c>
      <c r="T470" s="2855"/>
      <c r="U470" s="2855"/>
      <c r="V470" s="2855"/>
      <c r="W470" s="2896">
        <v>2400</v>
      </c>
    </row>
    <row r="471" spans="1:23" s="2839" customFormat="1">
      <c r="A471" s="2856"/>
      <c r="B471" s="2894" t="s">
        <v>99</v>
      </c>
      <c r="C471" s="2856"/>
      <c r="D471" s="2856"/>
      <c r="E471" s="2856"/>
      <c r="F471" s="2856"/>
      <c r="G471" s="2858"/>
      <c r="H471" s="2858"/>
      <c r="I471" s="2858"/>
      <c r="J471" s="2858"/>
      <c r="K471" s="2837"/>
      <c r="L471" s="2858"/>
      <c r="M471" s="2858"/>
      <c r="N471" s="2858"/>
      <c r="O471" s="2837"/>
      <c r="P471" s="2858"/>
      <c r="Q471" s="2858"/>
      <c r="R471" s="2858"/>
      <c r="S471" s="2837">
        <f>SUM(S472:S477)</f>
        <v>10500</v>
      </c>
      <c r="T471" s="2837">
        <f t="shared" ref="T471:W471" si="182">SUM(T472:T477)</f>
        <v>0</v>
      </c>
      <c r="U471" s="2837">
        <f t="shared" si="182"/>
        <v>0</v>
      </c>
      <c r="V471" s="2837">
        <f t="shared" si="182"/>
        <v>0</v>
      </c>
      <c r="W471" s="2837">
        <f t="shared" si="182"/>
        <v>10500</v>
      </c>
    </row>
    <row r="472" spans="1:23">
      <c r="A472" s="2859"/>
      <c r="B472" s="2895" t="s">
        <v>1958</v>
      </c>
      <c r="C472" s="2859"/>
      <c r="D472" s="2859"/>
      <c r="E472" s="2859"/>
      <c r="F472" s="2859"/>
      <c r="G472" s="2855"/>
      <c r="H472" s="2855"/>
      <c r="I472" s="2855"/>
      <c r="J472" s="2855"/>
      <c r="K472" s="2850"/>
      <c r="L472" s="2855"/>
      <c r="M472" s="2855"/>
      <c r="N472" s="2855"/>
      <c r="O472" s="2850"/>
      <c r="P472" s="2855"/>
      <c r="Q472" s="2855"/>
      <c r="R472" s="2855"/>
      <c r="S472" s="2850">
        <f t="shared" si="175"/>
        <v>4000</v>
      </c>
      <c r="T472" s="2855"/>
      <c r="U472" s="2855"/>
      <c r="V472" s="2855"/>
      <c r="W472" s="2896">
        <v>4000</v>
      </c>
    </row>
    <row r="473" spans="1:23">
      <c r="A473" s="2859"/>
      <c r="B473" s="2895" t="s">
        <v>1959</v>
      </c>
      <c r="C473" s="2859"/>
      <c r="D473" s="2859"/>
      <c r="E473" s="2859"/>
      <c r="F473" s="2859"/>
      <c r="G473" s="2855"/>
      <c r="H473" s="2855"/>
      <c r="I473" s="2855"/>
      <c r="J473" s="2855"/>
      <c r="K473" s="2850"/>
      <c r="L473" s="2855"/>
      <c r="M473" s="2855"/>
      <c r="N473" s="2855"/>
      <c r="O473" s="2850"/>
      <c r="P473" s="2855"/>
      <c r="Q473" s="2855"/>
      <c r="R473" s="2855"/>
      <c r="S473" s="2850">
        <f t="shared" si="175"/>
        <v>2500</v>
      </c>
      <c r="T473" s="2855"/>
      <c r="U473" s="2855"/>
      <c r="V473" s="2855"/>
      <c r="W473" s="2896">
        <v>2500</v>
      </c>
    </row>
    <row r="474" spans="1:23">
      <c r="A474" s="2859"/>
      <c r="B474" s="2895" t="s">
        <v>1960</v>
      </c>
      <c r="C474" s="2859"/>
      <c r="D474" s="2859"/>
      <c r="E474" s="2859"/>
      <c r="F474" s="2859"/>
      <c r="G474" s="2855"/>
      <c r="H474" s="2855"/>
      <c r="I474" s="2855"/>
      <c r="J474" s="2855"/>
      <c r="K474" s="2850"/>
      <c r="L474" s="2855"/>
      <c r="M474" s="2855"/>
      <c r="N474" s="2855"/>
      <c r="O474" s="2850"/>
      <c r="P474" s="2855"/>
      <c r="Q474" s="2855"/>
      <c r="R474" s="2855"/>
      <c r="S474" s="2850">
        <f t="shared" si="175"/>
        <v>1000</v>
      </c>
      <c r="T474" s="2855"/>
      <c r="U474" s="2855"/>
      <c r="V474" s="2855"/>
      <c r="W474" s="2896">
        <v>1000</v>
      </c>
    </row>
    <row r="475" spans="1:23">
      <c r="A475" s="2859"/>
      <c r="B475" s="2895" t="s">
        <v>1961</v>
      </c>
      <c r="C475" s="2859"/>
      <c r="D475" s="2859"/>
      <c r="E475" s="2859"/>
      <c r="F475" s="2859"/>
      <c r="G475" s="2855"/>
      <c r="H475" s="2855"/>
      <c r="I475" s="2855"/>
      <c r="J475" s="2855"/>
      <c r="K475" s="2850"/>
      <c r="L475" s="2855"/>
      <c r="M475" s="2855"/>
      <c r="N475" s="2855"/>
      <c r="O475" s="2850"/>
      <c r="P475" s="2855"/>
      <c r="Q475" s="2855"/>
      <c r="R475" s="2855"/>
      <c r="S475" s="2850">
        <f t="shared" si="175"/>
        <v>1000</v>
      </c>
      <c r="T475" s="2855"/>
      <c r="U475" s="2855"/>
      <c r="V475" s="2855"/>
      <c r="W475" s="2896">
        <v>1000</v>
      </c>
    </row>
    <row r="476" spans="1:23">
      <c r="A476" s="2859"/>
      <c r="B476" s="2895" t="s">
        <v>1962</v>
      </c>
      <c r="C476" s="2859"/>
      <c r="D476" s="2859"/>
      <c r="E476" s="2859"/>
      <c r="F476" s="2859"/>
      <c r="G476" s="2855"/>
      <c r="H476" s="2855"/>
      <c r="I476" s="2855"/>
      <c r="J476" s="2855"/>
      <c r="K476" s="2850"/>
      <c r="L476" s="2855"/>
      <c r="M476" s="2855"/>
      <c r="N476" s="2855"/>
      <c r="O476" s="2850"/>
      <c r="P476" s="2855"/>
      <c r="Q476" s="2855"/>
      <c r="R476" s="2855"/>
      <c r="S476" s="2850">
        <f t="shared" si="175"/>
        <v>1000</v>
      </c>
      <c r="T476" s="2855"/>
      <c r="U476" s="2855"/>
      <c r="V476" s="2855"/>
      <c r="W476" s="2896">
        <v>1000</v>
      </c>
    </row>
    <row r="477" spans="1:23">
      <c r="A477" s="2859"/>
      <c r="B477" s="2895" t="s">
        <v>1963</v>
      </c>
      <c r="C477" s="2859"/>
      <c r="D477" s="2859"/>
      <c r="E477" s="2859"/>
      <c r="F477" s="2859"/>
      <c r="G477" s="2855"/>
      <c r="H477" s="2855"/>
      <c r="I477" s="2855"/>
      <c r="J477" s="2855"/>
      <c r="K477" s="2850"/>
      <c r="L477" s="2855"/>
      <c r="M477" s="2855"/>
      <c r="N477" s="2855"/>
      <c r="O477" s="2850"/>
      <c r="P477" s="2855"/>
      <c r="Q477" s="2855"/>
      <c r="R477" s="2855"/>
      <c r="S477" s="2850">
        <f t="shared" si="175"/>
        <v>1000</v>
      </c>
      <c r="T477" s="2855"/>
      <c r="U477" s="2855"/>
      <c r="V477" s="2855"/>
      <c r="W477" s="2896">
        <v>1000</v>
      </c>
    </row>
    <row r="478" spans="1:23" s="2839" customFormat="1">
      <c r="A478" s="2856"/>
      <c r="B478" s="2894" t="s">
        <v>100</v>
      </c>
      <c r="C478" s="2856"/>
      <c r="D478" s="2856"/>
      <c r="E478" s="2856"/>
      <c r="F478" s="2856"/>
      <c r="G478" s="2858"/>
      <c r="H478" s="2858"/>
      <c r="I478" s="2858"/>
      <c r="J478" s="2858"/>
      <c r="K478" s="2837"/>
      <c r="L478" s="2858"/>
      <c r="M478" s="2858"/>
      <c r="N478" s="2858"/>
      <c r="O478" s="2837"/>
      <c r="P478" s="2858"/>
      <c r="Q478" s="2858"/>
      <c r="R478" s="2858"/>
      <c r="S478" s="2837">
        <f>SUM(S479:S481)</f>
        <v>3000</v>
      </c>
      <c r="T478" s="2837">
        <f t="shared" ref="T478:W478" si="183">SUM(T479:T481)</f>
        <v>0</v>
      </c>
      <c r="U478" s="2837">
        <f t="shared" si="183"/>
        <v>0</v>
      </c>
      <c r="V478" s="2837">
        <f t="shared" si="183"/>
        <v>0</v>
      </c>
      <c r="W478" s="2837">
        <f t="shared" si="183"/>
        <v>3000</v>
      </c>
    </row>
    <row r="479" spans="1:23">
      <c r="A479" s="2859"/>
      <c r="B479" s="2897" t="s">
        <v>1964</v>
      </c>
      <c r="C479" s="2859"/>
      <c r="D479" s="2859"/>
      <c r="E479" s="2859"/>
      <c r="F479" s="2859"/>
      <c r="G479" s="2855"/>
      <c r="H479" s="2855"/>
      <c r="I479" s="2855"/>
      <c r="J479" s="2855"/>
      <c r="K479" s="2850"/>
      <c r="L479" s="2855"/>
      <c r="M479" s="2855"/>
      <c r="N479" s="2855"/>
      <c r="O479" s="2850"/>
      <c r="P479" s="2855"/>
      <c r="Q479" s="2855"/>
      <c r="R479" s="2855"/>
      <c r="S479" s="2850">
        <f t="shared" si="175"/>
        <v>1000</v>
      </c>
      <c r="T479" s="2855"/>
      <c r="U479" s="2855"/>
      <c r="V479" s="2855"/>
      <c r="W479" s="2896">
        <v>1000</v>
      </c>
    </row>
    <row r="480" spans="1:23">
      <c r="A480" s="2859"/>
      <c r="B480" s="2897" t="s">
        <v>1965</v>
      </c>
      <c r="C480" s="2859"/>
      <c r="D480" s="2859"/>
      <c r="E480" s="2859"/>
      <c r="F480" s="2859"/>
      <c r="G480" s="2855"/>
      <c r="H480" s="2855"/>
      <c r="I480" s="2855"/>
      <c r="J480" s="2855"/>
      <c r="K480" s="2850"/>
      <c r="L480" s="2855"/>
      <c r="M480" s="2855"/>
      <c r="N480" s="2855"/>
      <c r="O480" s="2850"/>
      <c r="P480" s="2855"/>
      <c r="Q480" s="2855"/>
      <c r="R480" s="2855"/>
      <c r="S480" s="2850">
        <f t="shared" si="175"/>
        <v>1000</v>
      </c>
      <c r="T480" s="2855"/>
      <c r="U480" s="2855"/>
      <c r="V480" s="2855"/>
      <c r="W480" s="2896">
        <v>1000</v>
      </c>
    </row>
    <row r="481" spans="1:23">
      <c r="A481" s="2859"/>
      <c r="B481" s="2897" t="s">
        <v>1966</v>
      </c>
      <c r="C481" s="2859"/>
      <c r="D481" s="2859"/>
      <c r="E481" s="2859"/>
      <c r="F481" s="2859"/>
      <c r="G481" s="2855"/>
      <c r="H481" s="2855"/>
      <c r="I481" s="2855"/>
      <c r="J481" s="2855"/>
      <c r="K481" s="2850"/>
      <c r="L481" s="2855"/>
      <c r="M481" s="2855"/>
      <c r="N481" s="2855"/>
      <c r="O481" s="2850"/>
      <c r="P481" s="2855"/>
      <c r="Q481" s="2855"/>
      <c r="R481" s="2855"/>
      <c r="S481" s="2850">
        <f t="shared" si="175"/>
        <v>1000</v>
      </c>
      <c r="T481" s="2855"/>
      <c r="U481" s="2855"/>
      <c r="V481" s="2855"/>
      <c r="W481" s="2898">
        <v>1000</v>
      </c>
    </row>
    <row r="482" spans="1:23" s="2839" customFormat="1">
      <c r="A482" s="2856"/>
      <c r="B482" s="2894" t="s">
        <v>101</v>
      </c>
      <c r="C482" s="2856"/>
      <c r="D482" s="2856"/>
      <c r="E482" s="2856"/>
      <c r="F482" s="2856"/>
      <c r="G482" s="2858"/>
      <c r="H482" s="2858"/>
      <c r="I482" s="2858"/>
      <c r="J482" s="2858"/>
      <c r="K482" s="2837"/>
      <c r="L482" s="2858"/>
      <c r="M482" s="2858"/>
      <c r="N482" s="2858"/>
      <c r="O482" s="2837"/>
      <c r="P482" s="2858"/>
      <c r="Q482" s="2858"/>
      <c r="R482" s="2858"/>
      <c r="S482" s="2837">
        <f>SUM(S483:S487)</f>
        <v>14200</v>
      </c>
      <c r="T482" s="2837">
        <f t="shared" ref="T482:W482" si="184">SUM(T483:T487)</f>
        <v>0</v>
      </c>
      <c r="U482" s="2837">
        <f t="shared" si="184"/>
        <v>0</v>
      </c>
      <c r="V482" s="2837">
        <f t="shared" si="184"/>
        <v>0</v>
      </c>
      <c r="W482" s="2837">
        <f t="shared" si="184"/>
        <v>14200</v>
      </c>
    </row>
    <row r="483" spans="1:23">
      <c r="A483" s="2859"/>
      <c r="B483" s="2897" t="s">
        <v>1967</v>
      </c>
      <c r="C483" s="2859"/>
      <c r="D483" s="2859"/>
      <c r="E483" s="2859"/>
      <c r="F483" s="2859"/>
      <c r="G483" s="2855"/>
      <c r="H483" s="2855"/>
      <c r="I483" s="2855"/>
      <c r="J483" s="2855"/>
      <c r="K483" s="2850"/>
      <c r="L483" s="2855"/>
      <c r="M483" s="2855"/>
      <c r="N483" s="2855"/>
      <c r="O483" s="2850"/>
      <c r="P483" s="2855"/>
      <c r="Q483" s="2855"/>
      <c r="R483" s="2855"/>
      <c r="S483" s="2850">
        <f t="shared" si="175"/>
        <v>8000</v>
      </c>
      <c r="T483" s="2855"/>
      <c r="U483" s="2855"/>
      <c r="V483" s="2855"/>
      <c r="W483" s="2896">
        <v>8000</v>
      </c>
    </row>
    <row r="484" spans="1:23">
      <c r="A484" s="2859"/>
      <c r="B484" s="2897" t="s">
        <v>1968</v>
      </c>
      <c r="C484" s="2859"/>
      <c r="D484" s="2859"/>
      <c r="E484" s="2859"/>
      <c r="F484" s="2859"/>
      <c r="G484" s="2855"/>
      <c r="H484" s="2855"/>
      <c r="I484" s="2855"/>
      <c r="J484" s="2855"/>
      <c r="K484" s="2850"/>
      <c r="L484" s="2855"/>
      <c r="M484" s="2855"/>
      <c r="N484" s="2855"/>
      <c r="O484" s="2850"/>
      <c r="P484" s="2855"/>
      <c r="Q484" s="2855"/>
      <c r="R484" s="2855"/>
      <c r="S484" s="2850">
        <f t="shared" si="175"/>
        <v>2200</v>
      </c>
      <c r="T484" s="2855"/>
      <c r="U484" s="2855"/>
      <c r="V484" s="2855"/>
      <c r="W484" s="2896">
        <v>2200</v>
      </c>
    </row>
    <row r="485" spans="1:23">
      <c r="A485" s="2859"/>
      <c r="B485" s="2897" t="s">
        <v>1969</v>
      </c>
      <c r="C485" s="2859"/>
      <c r="D485" s="2859"/>
      <c r="E485" s="2859"/>
      <c r="F485" s="2859"/>
      <c r="G485" s="2855"/>
      <c r="H485" s="2855"/>
      <c r="I485" s="2855"/>
      <c r="J485" s="2855"/>
      <c r="K485" s="2850"/>
      <c r="L485" s="2855"/>
      <c r="M485" s="2855"/>
      <c r="N485" s="2855"/>
      <c r="O485" s="2850"/>
      <c r="P485" s="2855"/>
      <c r="Q485" s="2855"/>
      <c r="R485" s="2855"/>
      <c r="S485" s="2850">
        <f t="shared" si="175"/>
        <v>2000</v>
      </c>
      <c r="T485" s="2855"/>
      <c r="U485" s="2855"/>
      <c r="V485" s="2855"/>
      <c r="W485" s="2896">
        <v>2000</v>
      </c>
    </row>
    <row r="486" spans="1:23">
      <c r="A486" s="2859"/>
      <c r="B486" s="2897" t="s">
        <v>1970</v>
      </c>
      <c r="C486" s="2859"/>
      <c r="D486" s="2859"/>
      <c r="E486" s="2859"/>
      <c r="F486" s="2859"/>
      <c r="G486" s="2855"/>
      <c r="H486" s="2855"/>
      <c r="I486" s="2855"/>
      <c r="J486" s="2855"/>
      <c r="K486" s="2850"/>
      <c r="L486" s="2855"/>
      <c r="M486" s="2855"/>
      <c r="N486" s="2855"/>
      <c r="O486" s="2850"/>
      <c r="P486" s="2855"/>
      <c r="Q486" s="2855"/>
      <c r="R486" s="2855"/>
      <c r="S486" s="2850">
        <f t="shared" si="175"/>
        <v>1000</v>
      </c>
      <c r="T486" s="2855"/>
      <c r="U486" s="2855"/>
      <c r="V486" s="2855"/>
      <c r="W486" s="2896">
        <v>1000</v>
      </c>
    </row>
    <row r="487" spans="1:23">
      <c r="A487" s="2859"/>
      <c r="B487" s="2897" t="s">
        <v>1971</v>
      </c>
      <c r="C487" s="2859"/>
      <c r="D487" s="2859"/>
      <c r="E487" s="2859"/>
      <c r="F487" s="2859"/>
      <c r="G487" s="2855"/>
      <c r="H487" s="2855"/>
      <c r="I487" s="2855"/>
      <c r="J487" s="2855"/>
      <c r="K487" s="2850"/>
      <c r="L487" s="2855"/>
      <c r="M487" s="2855"/>
      <c r="N487" s="2855"/>
      <c r="O487" s="2850"/>
      <c r="P487" s="2855"/>
      <c r="Q487" s="2855"/>
      <c r="R487" s="2855"/>
      <c r="S487" s="2850">
        <f t="shared" si="175"/>
        <v>1000</v>
      </c>
      <c r="T487" s="2855"/>
      <c r="U487" s="2855"/>
      <c r="V487" s="2855"/>
      <c r="W487" s="2896">
        <v>1000</v>
      </c>
    </row>
    <row r="488" spans="1:23" s="2839" customFormat="1">
      <c r="A488" s="2856"/>
      <c r="B488" s="2894" t="s">
        <v>36</v>
      </c>
      <c r="C488" s="2856"/>
      <c r="D488" s="2856"/>
      <c r="E488" s="2856"/>
      <c r="F488" s="2856"/>
      <c r="G488" s="2858"/>
      <c r="H488" s="2858"/>
      <c r="I488" s="2858"/>
      <c r="J488" s="2858"/>
      <c r="K488" s="2837"/>
      <c r="L488" s="2858"/>
      <c r="M488" s="2858"/>
      <c r="N488" s="2858"/>
      <c r="O488" s="2837"/>
      <c r="P488" s="2858"/>
      <c r="Q488" s="2858"/>
      <c r="R488" s="2858"/>
      <c r="S488" s="2837">
        <f>SUM(S489:S493)</f>
        <v>5000</v>
      </c>
      <c r="T488" s="2837">
        <f t="shared" ref="T488:W488" si="185">SUM(T489:T493)</f>
        <v>0</v>
      </c>
      <c r="U488" s="2837">
        <f t="shared" si="185"/>
        <v>0</v>
      </c>
      <c r="V488" s="2837">
        <f t="shared" si="185"/>
        <v>0</v>
      </c>
      <c r="W488" s="2837">
        <f t="shared" si="185"/>
        <v>5000</v>
      </c>
    </row>
    <row r="489" spans="1:23">
      <c r="A489" s="2859"/>
      <c r="B489" s="2895" t="s">
        <v>1972</v>
      </c>
      <c r="C489" s="2859"/>
      <c r="D489" s="2859"/>
      <c r="E489" s="2859"/>
      <c r="F489" s="2859"/>
      <c r="G489" s="2855"/>
      <c r="H489" s="2855"/>
      <c r="I489" s="2855"/>
      <c r="J489" s="2855"/>
      <c r="K489" s="2850"/>
      <c r="L489" s="2855"/>
      <c r="M489" s="2855"/>
      <c r="N489" s="2855"/>
      <c r="O489" s="2850"/>
      <c r="P489" s="2855"/>
      <c r="Q489" s="2855"/>
      <c r="R489" s="2855"/>
      <c r="S489" s="2850">
        <f t="shared" si="175"/>
        <v>1000</v>
      </c>
      <c r="T489" s="2855"/>
      <c r="U489" s="2855"/>
      <c r="V489" s="2855"/>
      <c r="W489" s="2896">
        <v>1000</v>
      </c>
    </row>
    <row r="490" spans="1:23">
      <c r="A490" s="2859"/>
      <c r="B490" s="2895" t="s">
        <v>1973</v>
      </c>
      <c r="C490" s="2859"/>
      <c r="D490" s="2859"/>
      <c r="E490" s="2859"/>
      <c r="F490" s="2859"/>
      <c r="G490" s="2855"/>
      <c r="H490" s="2855"/>
      <c r="I490" s="2855"/>
      <c r="J490" s="2855"/>
      <c r="K490" s="2850"/>
      <c r="L490" s="2855"/>
      <c r="M490" s="2855"/>
      <c r="N490" s="2855"/>
      <c r="O490" s="2850"/>
      <c r="P490" s="2855"/>
      <c r="Q490" s="2855"/>
      <c r="R490" s="2855"/>
      <c r="S490" s="2850">
        <f t="shared" ref="S490:S505" si="186">SUM(T490:W490)</f>
        <v>1000</v>
      </c>
      <c r="T490" s="2855"/>
      <c r="U490" s="2855"/>
      <c r="V490" s="2855"/>
      <c r="W490" s="2896">
        <v>1000</v>
      </c>
    </row>
    <row r="491" spans="1:23">
      <c r="A491" s="2859"/>
      <c r="B491" s="2895" t="s">
        <v>1974</v>
      </c>
      <c r="C491" s="2859"/>
      <c r="D491" s="2859"/>
      <c r="E491" s="2859"/>
      <c r="F491" s="2859"/>
      <c r="G491" s="2855"/>
      <c r="H491" s="2855"/>
      <c r="I491" s="2855"/>
      <c r="J491" s="2855"/>
      <c r="K491" s="2850"/>
      <c r="L491" s="2855"/>
      <c r="M491" s="2855"/>
      <c r="N491" s="2855"/>
      <c r="O491" s="2850"/>
      <c r="P491" s="2855"/>
      <c r="Q491" s="2855"/>
      <c r="R491" s="2855"/>
      <c r="S491" s="2850">
        <f t="shared" si="186"/>
        <v>1000</v>
      </c>
      <c r="T491" s="2855"/>
      <c r="U491" s="2855"/>
      <c r="V491" s="2855"/>
      <c r="W491" s="2896">
        <v>1000</v>
      </c>
    </row>
    <row r="492" spans="1:23">
      <c r="A492" s="2859"/>
      <c r="B492" s="2895" t="s">
        <v>1975</v>
      </c>
      <c r="C492" s="2859"/>
      <c r="D492" s="2859"/>
      <c r="E492" s="2859"/>
      <c r="F492" s="2859"/>
      <c r="G492" s="2855"/>
      <c r="H492" s="2855"/>
      <c r="I492" s="2855"/>
      <c r="J492" s="2855"/>
      <c r="K492" s="2850"/>
      <c r="L492" s="2855"/>
      <c r="M492" s="2855"/>
      <c r="N492" s="2855"/>
      <c r="O492" s="2850"/>
      <c r="P492" s="2855"/>
      <c r="Q492" s="2855"/>
      <c r="R492" s="2855"/>
      <c r="S492" s="2850">
        <f t="shared" si="186"/>
        <v>1000</v>
      </c>
      <c r="T492" s="2855"/>
      <c r="U492" s="2855"/>
      <c r="V492" s="2855"/>
      <c r="W492" s="2896">
        <v>1000</v>
      </c>
    </row>
    <row r="493" spans="1:23">
      <c r="A493" s="2859"/>
      <c r="B493" s="2895" t="s">
        <v>1976</v>
      </c>
      <c r="C493" s="2859"/>
      <c r="D493" s="2859"/>
      <c r="E493" s="2859"/>
      <c r="F493" s="2859"/>
      <c r="G493" s="2855"/>
      <c r="H493" s="2855"/>
      <c r="I493" s="2855"/>
      <c r="J493" s="2855"/>
      <c r="K493" s="2850"/>
      <c r="L493" s="2855"/>
      <c r="M493" s="2855"/>
      <c r="N493" s="2855"/>
      <c r="O493" s="2850"/>
      <c r="P493" s="2855"/>
      <c r="Q493" s="2855"/>
      <c r="R493" s="2855"/>
      <c r="S493" s="2850">
        <f t="shared" si="186"/>
        <v>1000</v>
      </c>
      <c r="T493" s="2855"/>
      <c r="U493" s="2855"/>
      <c r="V493" s="2855"/>
      <c r="W493" s="2896">
        <v>1000</v>
      </c>
    </row>
    <row r="494" spans="1:23" s="2839" customFormat="1">
      <c r="A494" s="2856"/>
      <c r="B494" s="2894" t="s">
        <v>28</v>
      </c>
      <c r="C494" s="2856"/>
      <c r="D494" s="2856"/>
      <c r="E494" s="2856"/>
      <c r="F494" s="2856"/>
      <c r="G494" s="2858"/>
      <c r="H494" s="2858"/>
      <c r="I494" s="2858"/>
      <c r="J494" s="2858"/>
      <c r="K494" s="2837"/>
      <c r="L494" s="2858"/>
      <c r="M494" s="2858"/>
      <c r="N494" s="2858"/>
      <c r="O494" s="2837"/>
      <c r="P494" s="2858"/>
      <c r="Q494" s="2858"/>
      <c r="R494" s="2858"/>
      <c r="S494" s="2837">
        <f>S495</f>
        <v>1000</v>
      </c>
      <c r="T494" s="2837">
        <f t="shared" ref="T494:W494" si="187">T495</f>
        <v>0</v>
      </c>
      <c r="U494" s="2837">
        <f t="shared" si="187"/>
        <v>0</v>
      </c>
      <c r="V494" s="2837">
        <f t="shared" si="187"/>
        <v>0</v>
      </c>
      <c r="W494" s="2837">
        <f t="shared" si="187"/>
        <v>1000</v>
      </c>
    </row>
    <row r="495" spans="1:23">
      <c r="A495" s="2859"/>
      <c r="B495" s="2895" t="s">
        <v>1977</v>
      </c>
      <c r="C495" s="2859"/>
      <c r="D495" s="2859"/>
      <c r="E495" s="2859"/>
      <c r="F495" s="2859"/>
      <c r="G495" s="2855"/>
      <c r="H495" s="2855"/>
      <c r="I495" s="2855"/>
      <c r="J495" s="2855"/>
      <c r="K495" s="2850"/>
      <c r="L495" s="2855"/>
      <c r="M495" s="2855"/>
      <c r="N495" s="2855"/>
      <c r="O495" s="2850"/>
      <c r="P495" s="2855"/>
      <c r="Q495" s="2855"/>
      <c r="R495" s="2855"/>
      <c r="S495" s="2850">
        <f t="shared" si="186"/>
        <v>1000</v>
      </c>
      <c r="T495" s="2855"/>
      <c r="U495" s="2855"/>
      <c r="V495" s="2855"/>
      <c r="W495" s="2896">
        <v>1000</v>
      </c>
    </row>
    <row r="496" spans="1:23" s="2839" customFormat="1" ht="52.8">
      <c r="A496" s="2856" t="s">
        <v>315</v>
      </c>
      <c r="B496" s="2899" t="s">
        <v>1913</v>
      </c>
      <c r="C496" s="2856"/>
      <c r="D496" s="2856"/>
      <c r="E496" s="2856"/>
      <c r="F496" s="2856"/>
      <c r="G496" s="2858"/>
      <c r="H496" s="2858"/>
      <c r="I496" s="2858"/>
      <c r="J496" s="2858"/>
      <c r="K496" s="2837"/>
      <c r="L496" s="2858"/>
      <c r="M496" s="2858"/>
      <c r="N496" s="2858"/>
      <c r="O496" s="2837"/>
      <c r="P496" s="2858"/>
      <c r="Q496" s="2858"/>
      <c r="R496" s="2858"/>
      <c r="S496" s="2837">
        <f>SUM(S497:S505)</f>
        <v>41500</v>
      </c>
      <c r="T496" s="2837">
        <f t="shared" ref="T496:W496" si="188">SUM(T497:T505)</f>
        <v>0</v>
      </c>
      <c r="U496" s="2837">
        <f t="shared" si="188"/>
        <v>0</v>
      </c>
      <c r="V496" s="2837">
        <f t="shared" si="188"/>
        <v>0</v>
      </c>
      <c r="W496" s="2837">
        <f t="shared" si="188"/>
        <v>41500</v>
      </c>
    </row>
    <row r="497" spans="1:23">
      <c r="A497" s="2859"/>
      <c r="B497" s="2900" t="s">
        <v>95</v>
      </c>
      <c r="C497" s="2859"/>
      <c r="D497" s="2859"/>
      <c r="E497" s="2859"/>
      <c r="F497" s="2859"/>
      <c r="G497" s="2855"/>
      <c r="H497" s="2855"/>
      <c r="I497" s="2855"/>
      <c r="J497" s="2855"/>
      <c r="K497" s="2850"/>
      <c r="L497" s="2855"/>
      <c r="M497" s="2855"/>
      <c r="N497" s="2855"/>
      <c r="O497" s="2850"/>
      <c r="P497" s="2855"/>
      <c r="Q497" s="2855"/>
      <c r="R497" s="2855"/>
      <c r="S497" s="2850">
        <f t="shared" si="186"/>
        <v>5000</v>
      </c>
      <c r="T497" s="2855"/>
      <c r="U497" s="2855"/>
      <c r="V497" s="2855"/>
      <c r="W497" s="2896">
        <v>5000</v>
      </c>
    </row>
    <row r="498" spans="1:23">
      <c r="A498" s="2859"/>
      <c r="B498" s="2900" t="s">
        <v>96</v>
      </c>
      <c r="C498" s="2859"/>
      <c r="D498" s="2859"/>
      <c r="E498" s="2859"/>
      <c r="F498" s="2859"/>
      <c r="G498" s="2855"/>
      <c r="H498" s="2855"/>
      <c r="I498" s="2855"/>
      <c r="J498" s="2855"/>
      <c r="K498" s="2850"/>
      <c r="L498" s="2855"/>
      <c r="M498" s="2855"/>
      <c r="N498" s="2855"/>
      <c r="O498" s="2850"/>
      <c r="P498" s="2855"/>
      <c r="Q498" s="2855"/>
      <c r="R498" s="2855"/>
      <c r="S498" s="2850">
        <f t="shared" si="186"/>
        <v>5000</v>
      </c>
      <c r="T498" s="2855"/>
      <c r="U498" s="2855"/>
      <c r="V498" s="2855"/>
      <c r="W498" s="2896">
        <v>5000</v>
      </c>
    </row>
    <row r="499" spans="1:23">
      <c r="A499" s="2859"/>
      <c r="B499" s="2900" t="s">
        <v>97</v>
      </c>
      <c r="C499" s="2859"/>
      <c r="D499" s="2859"/>
      <c r="E499" s="2859"/>
      <c r="F499" s="2859"/>
      <c r="G499" s="2855"/>
      <c r="H499" s="2855"/>
      <c r="I499" s="2855"/>
      <c r="J499" s="2855"/>
      <c r="K499" s="2850"/>
      <c r="L499" s="2855"/>
      <c r="M499" s="2855"/>
      <c r="N499" s="2855"/>
      <c r="O499" s="2850"/>
      <c r="P499" s="2855"/>
      <c r="Q499" s="2855"/>
      <c r="R499" s="2855"/>
      <c r="S499" s="2850">
        <f t="shared" si="186"/>
        <v>5000</v>
      </c>
      <c r="T499" s="2855"/>
      <c r="U499" s="2855"/>
      <c r="V499" s="2855"/>
      <c r="W499" s="2896">
        <v>5000</v>
      </c>
    </row>
    <row r="500" spans="1:23">
      <c r="A500" s="2859"/>
      <c r="B500" s="2900" t="s">
        <v>98</v>
      </c>
      <c r="C500" s="2859"/>
      <c r="D500" s="2859"/>
      <c r="E500" s="2859"/>
      <c r="F500" s="2859"/>
      <c r="G500" s="2855"/>
      <c r="H500" s="2855"/>
      <c r="I500" s="2855"/>
      <c r="J500" s="2855"/>
      <c r="K500" s="2850"/>
      <c r="L500" s="2855"/>
      <c r="M500" s="2855"/>
      <c r="N500" s="2855"/>
      <c r="O500" s="2850"/>
      <c r="P500" s="2855"/>
      <c r="Q500" s="2855"/>
      <c r="R500" s="2855"/>
      <c r="S500" s="2850">
        <f t="shared" si="186"/>
        <v>5000</v>
      </c>
      <c r="T500" s="2855"/>
      <c r="U500" s="2855"/>
      <c r="V500" s="2855"/>
      <c r="W500" s="2896">
        <v>5000</v>
      </c>
    </row>
    <row r="501" spans="1:23">
      <c r="A501" s="2859"/>
      <c r="B501" s="2900" t="s">
        <v>99</v>
      </c>
      <c r="C501" s="2859"/>
      <c r="D501" s="2859"/>
      <c r="E501" s="2859"/>
      <c r="F501" s="2859"/>
      <c r="G501" s="2855"/>
      <c r="H501" s="2855"/>
      <c r="I501" s="2855"/>
      <c r="J501" s="2855"/>
      <c r="K501" s="2850"/>
      <c r="L501" s="2855"/>
      <c r="M501" s="2855"/>
      <c r="N501" s="2855"/>
      <c r="O501" s="2850"/>
      <c r="P501" s="2855"/>
      <c r="Q501" s="2855"/>
      <c r="R501" s="2855"/>
      <c r="S501" s="2850">
        <f t="shared" si="186"/>
        <v>5000</v>
      </c>
      <c r="T501" s="2855"/>
      <c r="U501" s="2855"/>
      <c r="V501" s="2855"/>
      <c r="W501" s="2896">
        <v>5000</v>
      </c>
    </row>
    <row r="502" spans="1:23">
      <c r="A502" s="2859"/>
      <c r="B502" s="2900" t="s">
        <v>100</v>
      </c>
      <c r="C502" s="2859"/>
      <c r="D502" s="2859"/>
      <c r="E502" s="2859"/>
      <c r="F502" s="2859"/>
      <c r="G502" s="2855"/>
      <c r="H502" s="2855"/>
      <c r="I502" s="2855"/>
      <c r="J502" s="2855"/>
      <c r="K502" s="2850"/>
      <c r="L502" s="2855"/>
      <c r="M502" s="2855"/>
      <c r="N502" s="2855"/>
      <c r="O502" s="2850"/>
      <c r="P502" s="2855"/>
      <c r="Q502" s="2855"/>
      <c r="R502" s="2855"/>
      <c r="S502" s="2850">
        <f t="shared" si="186"/>
        <v>5000</v>
      </c>
      <c r="T502" s="2855"/>
      <c r="U502" s="2855"/>
      <c r="V502" s="2855"/>
      <c r="W502" s="2896">
        <v>5000</v>
      </c>
    </row>
    <row r="503" spans="1:23">
      <c r="A503" s="2859"/>
      <c r="B503" s="2900" t="s">
        <v>101</v>
      </c>
      <c r="C503" s="2859"/>
      <c r="D503" s="2859"/>
      <c r="E503" s="2859"/>
      <c r="F503" s="2859"/>
      <c r="G503" s="2855"/>
      <c r="H503" s="2855"/>
      <c r="I503" s="2855"/>
      <c r="J503" s="2855"/>
      <c r="K503" s="2850"/>
      <c r="L503" s="2855"/>
      <c r="M503" s="2855"/>
      <c r="N503" s="2855"/>
      <c r="O503" s="2850"/>
      <c r="P503" s="2855"/>
      <c r="Q503" s="2855"/>
      <c r="R503" s="2855"/>
      <c r="S503" s="2850">
        <f t="shared" si="186"/>
        <v>5000</v>
      </c>
      <c r="T503" s="2855"/>
      <c r="U503" s="2855"/>
      <c r="V503" s="2855"/>
      <c r="W503" s="2896">
        <v>5000</v>
      </c>
    </row>
    <row r="504" spans="1:23">
      <c r="A504" s="2859"/>
      <c r="B504" s="2900" t="s">
        <v>36</v>
      </c>
      <c r="C504" s="2859"/>
      <c r="D504" s="2859"/>
      <c r="E504" s="2859"/>
      <c r="F504" s="2859"/>
      <c r="G504" s="2855"/>
      <c r="H504" s="2855"/>
      <c r="I504" s="2855"/>
      <c r="J504" s="2855"/>
      <c r="K504" s="2850"/>
      <c r="L504" s="2855"/>
      <c r="M504" s="2855"/>
      <c r="N504" s="2855"/>
      <c r="O504" s="2850"/>
      <c r="P504" s="2855"/>
      <c r="Q504" s="2855"/>
      <c r="R504" s="2855"/>
      <c r="S504" s="2850">
        <f t="shared" si="186"/>
        <v>4000</v>
      </c>
      <c r="T504" s="2855"/>
      <c r="U504" s="2855"/>
      <c r="V504" s="2855"/>
      <c r="W504" s="2896">
        <v>4000</v>
      </c>
    </row>
    <row r="505" spans="1:23">
      <c r="A505" s="2859"/>
      <c r="B505" s="2900" t="s">
        <v>28</v>
      </c>
      <c r="C505" s="2859"/>
      <c r="D505" s="2859"/>
      <c r="E505" s="2859"/>
      <c r="F505" s="2859"/>
      <c r="G505" s="2855"/>
      <c r="H505" s="2855"/>
      <c r="I505" s="2855"/>
      <c r="J505" s="2855"/>
      <c r="K505" s="2850"/>
      <c r="L505" s="2855"/>
      <c r="M505" s="2855"/>
      <c r="N505" s="2855"/>
      <c r="O505" s="2850"/>
      <c r="P505" s="2855"/>
      <c r="Q505" s="2855"/>
      <c r="R505" s="2855"/>
      <c r="S505" s="2850">
        <f t="shared" si="186"/>
        <v>2500</v>
      </c>
      <c r="T505" s="2855"/>
      <c r="U505" s="2855"/>
      <c r="V505" s="2855"/>
      <c r="W505" s="2896">
        <v>2500</v>
      </c>
    </row>
    <row r="506" spans="1:23">
      <c r="A506" s="2859"/>
      <c r="B506" s="2860"/>
      <c r="C506" s="2859"/>
      <c r="D506" s="2859"/>
      <c r="E506" s="2859"/>
      <c r="F506" s="2859"/>
      <c r="G506" s="2855"/>
      <c r="H506" s="2855"/>
      <c r="I506" s="2855"/>
      <c r="J506" s="2855"/>
      <c r="K506" s="2855"/>
      <c r="L506" s="2855"/>
      <c r="M506" s="2855"/>
      <c r="N506" s="2855"/>
      <c r="O506" s="2855"/>
      <c r="P506" s="2855"/>
      <c r="Q506" s="2855"/>
      <c r="R506" s="2855"/>
      <c r="S506" s="2855"/>
      <c r="T506" s="2855"/>
      <c r="U506" s="2855"/>
      <c r="V506" s="2855"/>
      <c r="W506" s="2855"/>
    </row>
    <row r="507" spans="1:23" s="2839" customFormat="1" ht="52.8">
      <c r="A507" s="2856" t="s">
        <v>362</v>
      </c>
      <c r="B507" s="2857" t="s">
        <v>1842</v>
      </c>
      <c r="C507" s="2856"/>
      <c r="D507" s="2856"/>
      <c r="E507" s="2856"/>
      <c r="F507" s="2856"/>
      <c r="G507" s="2858">
        <f>G508+G522+G535+G552+G559+G566+G573+G580</f>
        <v>5280367.04801</v>
      </c>
      <c r="H507" s="2858">
        <f t="shared" ref="H507:W507" si="189">H508+H522+H535+H552+H559+H566+H573+H580</f>
        <v>1846839</v>
      </c>
      <c r="I507" s="2858">
        <f t="shared" si="189"/>
        <v>2396908</v>
      </c>
      <c r="J507" s="2858">
        <f t="shared" si="189"/>
        <v>1036620</v>
      </c>
      <c r="K507" s="2858">
        <f t="shared" si="189"/>
        <v>2319882</v>
      </c>
      <c r="L507" s="2858">
        <f t="shared" si="189"/>
        <v>1262210</v>
      </c>
      <c r="M507" s="2858">
        <f t="shared" si="189"/>
        <v>771690</v>
      </c>
      <c r="N507" s="2858">
        <f t="shared" si="189"/>
        <v>285982</v>
      </c>
      <c r="O507" s="2858">
        <f t="shared" si="189"/>
        <v>2564960</v>
      </c>
      <c r="P507" s="2858">
        <f t="shared" si="189"/>
        <v>1428120</v>
      </c>
      <c r="Q507" s="2858">
        <f t="shared" si="189"/>
        <v>661998</v>
      </c>
      <c r="R507" s="2858">
        <f t="shared" si="189"/>
        <v>474842</v>
      </c>
      <c r="S507" s="2858">
        <f t="shared" si="189"/>
        <v>675461</v>
      </c>
      <c r="T507" s="2858">
        <f t="shared" si="189"/>
        <v>270211</v>
      </c>
      <c r="U507" s="2858">
        <f t="shared" si="189"/>
        <v>405250</v>
      </c>
      <c r="V507" s="2858">
        <f t="shared" si="189"/>
        <v>0</v>
      </c>
      <c r="W507" s="2858">
        <f t="shared" si="189"/>
        <v>0</v>
      </c>
    </row>
    <row r="508" spans="1:23" s="2839" customFormat="1" ht="39.6">
      <c r="A508" s="2856" t="s">
        <v>54</v>
      </c>
      <c r="B508" s="2857" t="s">
        <v>1843</v>
      </c>
      <c r="C508" s="2856"/>
      <c r="D508" s="2856"/>
      <c r="E508" s="2856"/>
      <c r="F508" s="2856"/>
      <c r="G508" s="2858">
        <f>G509+G515</f>
        <v>606619</v>
      </c>
      <c r="H508" s="2858">
        <f t="shared" ref="H508:W508" si="190">H509+H515</f>
        <v>0</v>
      </c>
      <c r="I508" s="2858">
        <f t="shared" si="190"/>
        <v>440000</v>
      </c>
      <c r="J508" s="2858">
        <f t="shared" si="190"/>
        <v>166619</v>
      </c>
      <c r="K508" s="2858">
        <f t="shared" si="190"/>
        <v>233883</v>
      </c>
      <c r="L508" s="2858">
        <f t="shared" si="190"/>
        <v>0</v>
      </c>
      <c r="M508" s="2858">
        <f t="shared" si="190"/>
        <v>126541</v>
      </c>
      <c r="N508" s="2858">
        <f t="shared" si="190"/>
        <v>107342</v>
      </c>
      <c r="O508" s="2858">
        <f t="shared" si="190"/>
        <v>266197</v>
      </c>
      <c r="P508" s="2858">
        <f t="shared" si="190"/>
        <v>0</v>
      </c>
      <c r="Q508" s="2858">
        <f t="shared" si="190"/>
        <v>146000</v>
      </c>
      <c r="R508" s="2858">
        <f t="shared" si="190"/>
        <v>120197</v>
      </c>
      <c r="S508" s="2858">
        <f t="shared" si="190"/>
        <v>90000</v>
      </c>
      <c r="T508" s="2858">
        <f t="shared" si="190"/>
        <v>0</v>
      </c>
      <c r="U508" s="2858">
        <f t="shared" si="190"/>
        <v>90000</v>
      </c>
      <c r="V508" s="2858">
        <f t="shared" si="190"/>
        <v>0</v>
      </c>
      <c r="W508" s="2858">
        <f t="shared" si="190"/>
        <v>0</v>
      </c>
    </row>
    <row r="509" spans="1:23" s="2834" customFormat="1">
      <c r="A509" s="2831">
        <v>1</v>
      </c>
      <c r="B509" s="2832" t="s">
        <v>1512</v>
      </c>
      <c r="C509" s="2831"/>
      <c r="D509" s="2831"/>
      <c r="E509" s="2831"/>
      <c r="F509" s="2831"/>
      <c r="G509" s="2872">
        <f>G511</f>
        <v>405458</v>
      </c>
      <c r="H509" s="2872">
        <f t="shared" ref="H509:W509" si="191">H511</f>
        <v>0</v>
      </c>
      <c r="I509" s="2872">
        <f t="shared" si="191"/>
        <v>280000</v>
      </c>
      <c r="J509" s="2872">
        <f t="shared" si="191"/>
        <v>125458</v>
      </c>
      <c r="K509" s="2872">
        <f t="shared" si="191"/>
        <v>172611</v>
      </c>
      <c r="L509" s="2872">
        <f t="shared" si="191"/>
        <v>0</v>
      </c>
      <c r="M509" s="2872">
        <f t="shared" si="191"/>
        <v>78000</v>
      </c>
      <c r="N509" s="2872">
        <f t="shared" si="191"/>
        <v>94611</v>
      </c>
      <c r="O509" s="2872">
        <f t="shared" si="191"/>
        <v>172611</v>
      </c>
      <c r="P509" s="2872">
        <f t="shared" si="191"/>
        <v>0</v>
      </c>
      <c r="Q509" s="2872">
        <f t="shared" si="191"/>
        <v>78000</v>
      </c>
      <c r="R509" s="2872">
        <f t="shared" si="191"/>
        <v>94611</v>
      </c>
      <c r="S509" s="2872">
        <f t="shared" si="191"/>
        <v>50000</v>
      </c>
      <c r="T509" s="2872">
        <f t="shared" si="191"/>
        <v>0</v>
      </c>
      <c r="U509" s="2872">
        <f t="shared" si="191"/>
        <v>50000</v>
      </c>
      <c r="V509" s="2872">
        <f t="shared" si="191"/>
        <v>0</v>
      </c>
      <c r="W509" s="2872">
        <f t="shared" si="191"/>
        <v>0</v>
      </c>
    </row>
    <row r="510" spans="1:23" s="2839" customFormat="1">
      <c r="A510" s="2835" t="s">
        <v>200</v>
      </c>
      <c r="B510" s="2836" t="s">
        <v>1197</v>
      </c>
      <c r="C510" s="2835"/>
      <c r="D510" s="2835"/>
      <c r="E510" s="2835"/>
      <c r="F510" s="2835"/>
      <c r="G510" s="2837"/>
      <c r="H510" s="2837"/>
      <c r="I510" s="2837"/>
      <c r="J510" s="2837"/>
      <c r="K510" s="2837"/>
      <c r="L510" s="2837"/>
      <c r="M510" s="2837"/>
      <c r="N510" s="2837"/>
      <c r="O510" s="2837"/>
      <c r="P510" s="2837"/>
      <c r="Q510" s="2837"/>
      <c r="R510" s="2837"/>
      <c r="S510" s="2837"/>
      <c r="T510" s="2837"/>
      <c r="U510" s="2837"/>
      <c r="V510" s="2837"/>
      <c r="W510" s="2838"/>
    </row>
    <row r="511" spans="1:23" s="2839" customFormat="1">
      <c r="A511" s="2835" t="s">
        <v>208</v>
      </c>
      <c r="B511" s="2836" t="s">
        <v>1198</v>
      </c>
      <c r="C511" s="2835"/>
      <c r="D511" s="2835"/>
      <c r="E511" s="2835"/>
      <c r="F511" s="2835"/>
      <c r="G511" s="2837">
        <f t="shared" ref="G511:W511" si="192">G512+G514</f>
        <v>405458</v>
      </c>
      <c r="H511" s="2837">
        <f t="shared" si="192"/>
        <v>0</v>
      </c>
      <c r="I511" s="2837">
        <f t="shared" si="192"/>
        <v>280000</v>
      </c>
      <c r="J511" s="2837">
        <f t="shared" si="192"/>
        <v>125458</v>
      </c>
      <c r="K511" s="2837">
        <f t="shared" si="192"/>
        <v>172611</v>
      </c>
      <c r="L511" s="2837">
        <f t="shared" si="192"/>
        <v>0</v>
      </c>
      <c r="M511" s="2837">
        <f t="shared" si="192"/>
        <v>78000</v>
      </c>
      <c r="N511" s="2837">
        <f t="shared" si="192"/>
        <v>94611</v>
      </c>
      <c r="O511" s="2837">
        <f t="shared" si="192"/>
        <v>172611</v>
      </c>
      <c r="P511" s="2837">
        <f t="shared" si="192"/>
        <v>0</v>
      </c>
      <c r="Q511" s="2837">
        <f t="shared" si="192"/>
        <v>78000</v>
      </c>
      <c r="R511" s="2837">
        <f t="shared" si="192"/>
        <v>94611</v>
      </c>
      <c r="S511" s="2837">
        <f t="shared" si="192"/>
        <v>50000</v>
      </c>
      <c r="T511" s="2837">
        <f t="shared" si="192"/>
        <v>0</v>
      </c>
      <c r="U511" s="2837">
        <f t="shared" si="192"/>
        <v>50000</v>
      </c>
      <c r="V511" s="2837">
        <f t="shared" si="192"/>
        <v>0</v>
      </c>
      <c r="W511" s="2837">
        <f t="shared" si="192"/>
        <v>0</v>
      </c>
    </row>
    <row r="512" spans="1:23" s="2844" customFormat="1" ht="52.8">
      <c r="A512" s="2840" t="s">
        <v>441</v>
      </c>
      <c r="B512" s="2841" t="s">
        <v>1540</v>
      </c>
      <c r="C512" s="2840"/>
      <c r="D512" s="2840"/>
      <c r="E512" s="2840"/>
      <c r="F512" s="2840"/>
      <c r="G512" s="2842">
        <f>G513</f>
        <v>405458</v>
      </c>
      <c r="H512" s="2842">
        <f t="shared" ref="H512:W512" si="193">H513</f>
        <v>0</v>
      </c>
      <c r="I512" s="2842">
        <f t="shared" si="193"/>
        <v>280000</v>
      </c>
      <c r="J512" s="2842">
        <f t="shared" si="193"/>
        <v>125458</v>
      </c>
      <c r="K512" s="2842">
        <f t="shared" si="193"/>
        <v>172611</v>
      </c>
      <c r="L512" s="2842">
        <f t="shared" si="193"/>
        <v>0</v>
      </c>
      <c r="M512" s="2842">
        <f t="shared" si="193"/>
        <v>78000</v>
      </c>
      <c r="N512" s="2842">
        <f t="shared" si="193"/>
        <v>94611</v>
      </c>
      <c r="O512" s="2842">
        <f t="shared" si="193"/>
        <v>172611</v>
      </c>
      <c r="P512" s="2842">
        <f t="shared" si="193"/>
        <v>0</v>
      </c>
      <c r="Q512" s="2842">
        <f t="shared" si="193"/>
        <v>78000</v>
      </c>
      <c r="R512" s="2842">
        <f t="shared" si="193"/>
        <v>94611</v>
      </c>
      <c r="S512" s="2842">
        <f t="shared" si="193"/>
        <v>50000</v>
      </c>
      <c r="T512" s="2842">
        <f t="shared" si="193"/>
        <v>0</v>
      </c>
      <c r="U512" s="2842">
        <f t="shared" si="193"/>
        <v>50000</v>
      </c>
      <c r="V512" s="2842">
        <f t="shared" si="193"/>
        <v>0</v>
      </c>
      <c r="W512" s="2842">
        <f t="shared" si="193"/>
        <v>0</v>
      </c>
    </row>
    <row r="513" spans="1:23" ht="66">
      <c r="A513" s="2848"/>
      <c r="B513" s="2849" t="s">
        <v>1844</v>
      </c>
      <c r="C513" s="2848" t="s">
        <v>1845</v>
      </c>
      <c r="D513" s="2848" t="s">
        <v>1846</v>
      </c>
      <c r="E513" s="2848" t="s">
        <v>1760</v>
      </c>
      <c r="F513" s="2848" t="s">
        <v>1847</v>
      </c>
      <c r="G513" s="2850">
        <v>405458</v>
      </c>
      <c r="H513" s="2850"/>
      <c r="I513" s="2850">
        <v>280000</v>
      </c>
      <c r="J513" s="2850">
        <v>125458</v>
      </c>
      <c r="K513" s="2850">
        <f>SUM(L513:N513)</f>
        <v>172611</v>
      </c>
      <c r="L513" s="2850"/>
      <c r="M513" s="2850">
        <v>78000</v>
      </c>
      <c r="N513" s="2850">
        <f>40000+24611+30000</f>
        <v>94611</v>
      </c>
      <c r="O513" s="2850">
        <f>SUM(P513:R513)</f>
        <v>172611</v>
      </c>
      <c r="P513" s="2850"/>
      <c r="Q513" s="2850">
        <v>78000</v>
      </c>
      <c r="R513" s="2850">
        <f>40000+24611+30000</f>
        <v>94611</v>
      </c>
      <c r="S513" s="2850">
        <f>SUM(T513:W513)</f>
        <v>50000</v>
      </c>
      <c r="T513" s="2850"/>
      <c r="U513" s="2850">
        <v>50000</v>
      </c>
      <c r="V513" s="2850"/>
      <c r="W513" s="2851"/>
    </row>
    <row r="514" spans="1:23" s="2847" customFormat="1" ht="26.4">
      <c r="A514" s="2845" t="s">
        <v>463</v>
      </c>
      <c r="B514" s="2841" t="s">
        <v>1541</v>
      </c>
      <c r="C514" s="2845"/>
      <c r="D514" s="2845"/>
      <c r="E514" s="2845"/>
      <c r="F514" s="2845"/>
      <c r="G514" s="2846"/>
      <c r="H514" s="2846"/>
      <c r="I514" s="2846"/>
      <c r="J514" s="2846"/>
      <c r="K514" s="2846"/>
      <c r="L514" s="2846"/>
      <c r="M514" s="2846"/>
      <c r="N514" s="2846"/>
      <c r="O514" s="2846"/>
      <c r="P514" s="2846"/>
      <c r="Q514" s="2846"/>
      <c r="R514" s="2846"/>
      <c r="S514" s="2846"/>
      <c r="T514" s="2846"/>
      <c r="U514" s="2846"/>
      <c r="V514" s="2846"/>
      <c r="W514" s="2846"/>
    </row>
    <row r="515" spans="1:23" s="2834" customFormat="1">
      <c r="A515" s="2831">
        <v>2</v>
      </c>
      <c r="B515" s="2832" t="s">
        <v>1525</v>
      </c>
      <c r="C515" s="2831"/>
      <c r="D515" s="2831"/>
      <c r="E515" s="2831"/>
      <c r="F515" s="2831"/>
      <c r="G515" s="2872">
        <f>G517</f>
        <v>201161</v>
      </c>
      <c r="H515" s="2872">
        <f t="shared" ref="H515:W515" si="194">H517</f>
        <v>0</v>
      </c>
      <c r="I515" s="2872">
        <f t="shared" si="194"/>
        <v>160000</v>
      </c>
      <c r="J515" s="2872">
        <f t="shared" si="194"/>
        <v>41161</v>
      </c>
      <c r="K515" s="2872">
        <f t="shared" si="194"/>
        <v>61272</v>
      </c>
      <c r="L515" s="2872">
        <f t="shared" si="194"/>
        <v>0</v>
      </c>
      <c r="M515" s="2872">
        <f t="shared" si="194"/>
        <v>48541</v>
      </c>
      <c r="N515" s="2872">
        <f t="shared" si="194"/>
        <v>12731</v>
      </c>
      <c r="O515" s="2872">
        <f t="shared" si="194"/>
        <v>93586</v>
      </c>
      <c r="P515" s="2872">
        <f t="shared" si="194"/>
        <v>0</v>
      </c>
      <c r="Q515" s="2872">
        <f t="shared" si="194"/>
        <v>68000</v>
      </c>
      <c r="R515" s="2872">
        <f t="shared" si="194"/>
        <v>25586</v>
      </c>
      <c r="S515" s="2872">
        <f t="shared" si="194"/>
        <v>40000</v>
      </c>
      <c r="T515" s="2872">
        <f t="shared" si="194"/>
        <v>0</v>
      </c>
      <c r="U515" s="2872">
        <f t="shared" si="194"/>
        <v>40000</v>
      </c>
      <c r="V515" s="2872">
        <f t="shared" si="194"/>
        <v>0</v>
      </c>
      <c r="W515" s="2872">
        <f t="shared" si="194"/>
        <v>0</v>
      </c>
    </row>
    <row r="516" spans="1:23" s="2839" customFormat="1">
      <c r="A516" s="2835" t="s">
        <v>200</v>
      </c>
      <c r="B516" s="2836" t="s">
        <v>1197</v>
      </c>
      <c r="C516" s="2835"/>
      <c r="D516" s="2835"/>
      <c r="E516" s="2835"/>
      <c r="F516" s="2835"/>
      <c r="G516" s="2837"/>
      <c r="H516" s="2837"/>
      <c r="I516" s="2837"/>
      <c r="J516" s="2837"/>
      <c r="K516" s="2837"/>
      <c r="L516" s="2837"/>
      <c r="M516" s="2837"/>
      <c r="N516" s="2837"/>
      <c r="O516" s="2837"/>
      <c r="P516" s="2837"/>
      <c r="Q516" s="2837"/>
      <c r="R516" s="2837"/>
      <c r="S516" s="2837"/>
      <c r="T516" s="2837"/>
      <c r="U516" s="2837"/>
      <c r="V516" s="2837"/>
      <c r="W516" s="2838"/>
    </row>
    <row r="517" spans="1:23" s="2839" customFormat="1">
      <c r="A517" s="2835" t="s">
        <v>208</v>
      </c>
      <c r="B517" s="2836" t="s">
        <v>1198</v>
      </c>
      <c r="C517" s="2835"/>
      <c r="D517" s="2835"/>
      <c r="E517" s="2835"/>
      <c r="F517" s="2835"/>
      <c r="G517" s="2837">
        <f t="shared" ref="G517:W517" si="195">G518+G519</f>
        <v>201161</v>
      </c>
      <c r="H517" s="2837">
        <f t="shared" si="195"/>
        <v>0</v>
      </c>
      <c r="I517" s="2837">
        <f t="shared" si="195"/>
        <v>160000</v>
      </c>
      <c r="J517" s="2837">
        <f t="shared" si="195"/>
        <v>41161</v>
      </c>
      <c r="K517" s="2837">
        <f t="shared" si="195"/>
        <v>61272</v>
      </c>
      <c r="L517" s="2837">
        <f t="shared" si="195"/>
        <v>0</v>
      </c>
      <c r="M517" s="2837">
        <f t="shared" si="195"/>
        <v>48541</v>
      </c>
      <c r="N517" s="2837">
        <f t="shared" si="195"/>
        <v>12731</v>
      </c>
      <c r="O517" s="2837">
        <f t="shared" si="195"/>
        <v>93586</v>
      </c>
      <c r="P517" s="2837">
        <f t="shared" si="195"/>
        <v>0</v>
      </c>
      <c r="Q517" s="2837">
        <f t="shared" si="195"/>
        <v>68000</v>
      </c>
      <c r="R517" s="2837">
        <f t="shared" si="195"/>
        <v>25586</v>
      </c>
      <c r="S517" s="2837">
        <f t="shared" si="195"/>
        <v>40000</v>
      </c>
      <c r="T517" s="2837">
        <f t="shared" si="195"/>
        <v>0</v>
      </c>
      <c r="U517" s="2837">
        <f t="shared" si="195"/>
        <v>40000</v>
      </c>
      <c r="V517" s="2837">
        <f t="shared" si="195"/>
        <v>0</v>
      </c>
      <c r="W517" s="2837">
        <f t="shared" si="195"/>
        <v>0</v>
      </c>
    </row>
    <row r="518" spans="1:23" s="2844" customFormat="1" ht="52.8">
      <c r="A518" s="2840" t="s">
        <v>441</v>
      </c>
      <c r="B518" s="2841" t="s">
        <v>1540</v>
      </c>
      <c r="C518" s="2840"/>
      <c r="D518" s="2840"/>
      <c r="E518" s="2840"/>
      <c r="F518" s="2840"/>
      <c r="G518" s="2842"/>
      <c r="H518" s="2842"/>
      <c r="I518" s="2842"/>
      <c r="J518" s="2842"/>
      <c r="K518" s="2842"/>
      <c r="L518" s="2842"/>
      <c r="M518" s="2842"/>
      <c r="N518" s="2842"/>
      <c r="O518" s="2842"/>
      <c r="P518" s="2842"/>
      <c r="Q518" s="2842"/>
      <c r="R518" s="2842"/>
      <c r="S518" s="2842"/>
      <c r="T518" s="2842"/>
      <c r="U518" s="2842"/>
      <c r="V518" s="2842"/>
      <c r="W518" s="2843"/>
    </row>
    <row r="519" spans="1:23" s="2847" customFormat="1" ht="26.4">
      <c r="A519" s="2845" t="s">
        <v>463</v>
      </c>
      <c r="B519" s="2841" t="s">
        <v>1541</v>
      </c>
      <c r="C519" s="2845"/>
      <c r="D519" s="2845"/>
      <c r="E519" s="2845"/>
      <c r="F519" s="2845"/>
      <c r="G519" s="2846">
        <f>G520+G521</f>
        <v>201161</v>
      </c>
      <c r="H519" s="2846">
        <f t="shared" ref="H519:W519" si="196">H520+H521</f>
        <v>0</v>
      </c>
      <c r="I519" s="2846">
        <f t="shared" si="196"/>
        <v>160000</v>
      </c>
      <c r="J519" s="2846">
        <f t="shared" si="196"/>
        <v>41161</v>
      </c>
      <c r="K519" s="2846">
        <f t="shared" si="196"/>
        <v>61272</v>
      </c>
      <c r="L519" s="2846">
        <f t="shared" si="196"/>
        <v>0</v>
      </c>
      <c r="M519" s="2846">
        <f t="shared" si="196"/>
        <v>48541</v>
      </c>
      <c r="N519" s="2846">
        <f t="shared" si="196"/>
        <v>12731</v>
      </c>
      <c r="O519" s="2846">
        <f t="shared" si="196"/>
        <v>93586</v>
      </c>
      <c r="P519" s="2846">
        <f t="shared" si="196"/>
        <v>0</v>
      </c>
      <c r="Q519" s="2846">
        <f t="shared" si="196"/>
        <v>68000</v>
      </c>
      <c r="R519" s="2846">
        <f t="shared" si="196"/>
        <v>25586</v>
      </c>
      <c r="S519" s="2846">
        <f t="shared" si="196"/>
        <v>40000</v>
      </c>
      <c r="T519" s="2846">
        <f t="shared" si="196"/>
        <v>0</v>
      </c>
      <c r="U519" s="2846">
        <f t="shared" si="196"/>
        <v>40000</v>
      </c>
      <c r="V519" s="2846">
        <f t="shared" si="196"/>
        <v>0</v>
      </c>
      <c r="W519" s="2846">
        <f t="shared" si="196"/>
        <v>0</v>
      </c>
    </row>
    <row r="520" spans="1:23" s="2868" customFormat="1" ht="39.6">
      <c r="A520" s="2866"/>
      <c r="B520" s="2849" t="s">
        <v>1633</v>
      </c>
      <c r="C520" s="2848" t="s">
        <v>32</v>
      </c>
      <c r="D520" s="2848" t="s">
        <v>1634</v>
      </c>
      <c r="E520" s="2848" t="s">
        <v>1635</v>
      </c>
      <c r="F520" s="2848" t="s">
        <v>1636</v>
      </c>
      <c r="G520" s="2850">
        <v>99981</v>
      </c>
      <c r="H520" s="2850"/>
      <c r="I520" s="2850">
        <v>80000</v>
      </c>
      <c r="J520" s="2850">
        <v>19981</v>
      </c>
      <c r="K520" s="2850">
        <f>SUM(L520:N520)</f>
        <v>44321</v>
      </c>
      <c r="L520" s="2850"/>
      <c r="M520" s="2850">
        <v>35000</v>
      </c>
      <c r="N520" s="2850">
        <v>9321</v>
      </c>
      <c r="O520" s="2850">
        <f>SUM(P520:R520)</f>
        <v>50112</v>
      </c>
      <c r="P520" s="2850"/>
      <c r="Q520" s="2850">
        <v>35000</v>
      </c>
      <c r="R520" s="2850">
        <v>15112</v>
      </c>
      <c r="S520" s="2850">
        <f>SUM(T520:W520)</f>
        <v>20000</v>
      </c>
      <c r="T520" s="2867"/>
      <c r="U520" s="2867">
        <v>20000</v>
      </c>
      <c r="V520" s="2867"/>
      <c r="W520" s="2867"/>
    </row>
    <row r="521" spans="1:23" ht="39.6">
      <c r="A521" s="2848"/>
      <c r="B521" s="2849" t="s">
        <v>1637</v>
      </c>
      <c r="C521" s="2848" t="s">
        <v>32</v>
      </c>
      <c r="D521" s="2848" t="s">
        <v>1638</v>
      </c>
      <c r="E521" s="2848" t="s">
        <v>1635</v>
      </c>
      <c r="F521" s="2848" t="s">
        <v>1639</v>
      </c>
      <c r="G521" s="2850">
        <v>101180</v>
      </c>
      <c r="H521" s="2850"/>
      <c r="I521" s="2850">
        <v>80000</v>
      </c>
      <c r="J521" s="2850">
        <v>21180</v>
      </c>
      <c r="K521" s="2850">
        <f>SUM(L521:N521)</f>
        <v>16951</v>
      </c>
      <c r="L521" s="2850"/>
      <c r="M521" s="2850">
        <v>13541</v>
      </c>
      <c r="N521" s="2850">
        <v>3410</v>
      </c>
      <c r="O521" s="2850">
        <f>SUM(P521:R521)</f>
        <v>43474</v>
      </c>
      <c r="P521" s="2850"/>
      <c r="Q521" s="2850">
        <v>33000</v>
      </c>
      <c r="R521" s="2850">
        <v>10474</v>
      </c>
      <c r="S521" s="2850">
        <f>SUM(T521:W521)</f>
        <v>20000</v>
      </c>
      <c r="T521" s="2850"/>
      <c r="U521" s="2850">
        <v>20000</v>
      </c>
      <c r="V521" s="2850"/>
      <c r="W521" s="2850"/>
    </row>
    <row r="522" spans="1:23" s="2839" customFormat="1" ht="39.6">
      <c r="A522" s="2856" t="s">
        <v>60</v>
      </c>
      <c r="B522" s="2857" t="s">
        <v>1848</v>
      </c>
      <c r="C522" s="2856"/>
      <c r="D522" s="2856"/>
      <c r="E522" s="2856"/>
      <c r="F522" s="2856"/>
      <c r="G522" s="2858">
        <f>G523+G529</f>
        <v>81286</v>
      </c>
      <c r="H522" s="2858">
        <f t="shared" ref="H522:W522" si="197">H523+H529</f>
        <v>0</v>
      </c>
      <c r="I522" s="2858">
        <f t="shared" si="197"/>
        <v>36763</v>
      </c>
      <c r="J522" s="2858">
        <f t="shared" si="197"/>
        <v>44523</v>
      </c>
      <c r="K522" s="2858">
        <f t="shared" si="197"/>
        <v>9716</v>
      </c>
      <c r="L522" s="2858">
        <f t="shared" si="197"/>
        <v>0</v>
      </c>
      <c r="M522" s="2858">
        <f t="shared" si="197"/>
        <v>9716</v>
      </c>
      <c r="N522" s="2858">
        <f t="shared" si="197"/>
        <v>0</v>
      </c>
      <c r="O522" s="2858">
        <f t="shared" si="197"/>
        <v>15500</v>
      </c>
      <c r="P522" s="2858">
        <f t="shared" si="197"/>
        <v>0</v>
      </c>
      <c r="Q522" s="2858">
        <f t="shared" si="197"/>
        <v>15500</v>
      </c>
      <c r="R522" s="2858">
        <f t="shared" si="197"/>
        <v>0</v>
      </c>
      <c r="S522" s="2858">
        <f t="shared" si="197"/>
        <v>6200</v>
      </c>
      <c r="T522" s="2858">
        <f t="shared" si="197"/>
        <v>0</v>
      </c>
      <c r="U522" s="2858">
        <f t="shared" si="197"/>
        <v>6200</v>
      </c>
      <c r="V522" s="2858">
        <f t="shared" si="197"/>
        <v>0</v>
      </c>
      <c r="W522" s="2858">
        <f t="shared" si="197"/>
        <v>0</v>
      </c>
    </row>
    <row r="523" spans="1:23" s="2834" customFormat="1">
      <c r="A523" s="2831">
        <v>1</v>
      </c>
      <c r="B523" s="2832" t="s">
        <v>1512</v>
      </c>
      <c r="C523" s="2831"/>
      <c r="D523" s="2831"/>
      <c r="E523" s="2831"/>
      <c r="F523" s="2831"/>
      <c r="G523" s="2872">
        <f>G525</f>
        <v>1363</v>
      </c>
      <c r="H523" s="2872">
        <f t="shared" ref="H523:W523" si="198">H525</f>
        <v>0</v>
      </c>
      <c r="I523" s="2872">
        <f t="shared" si="198"/>
        <v>1363</v>
      </c>
      <c r="J523" s="2872">
        <f t="shared" si="198"/>
        <v>0</v>
      </c>
      <c r="K523" s="2872">
        <f t="shared" si="198"/>
        <v>0</v>
      </c>
      <c r="L523" s="2872">
        <f t="shared" si="198"/>
        <v>0</v>
      </c>
      <c r="M523" s="2872">
        <f t="shared" si="198"/>
        <v>0</v>
      </c>
      <c r="N523" s="2872">
        <f t="shared" si="198"/>
        <v>0</v>
      </c>
      <c r="O523" s="2872">
        <f t="shared" si="198"/>
        <v>0</v>
      </c>
      <c r="P523" s="2872">
        <f t="shared" si="198"/>
        <v>0</v>
      </c>
      <c r="Q523" s="2872">
        <f t="shared" si="198"/>
        <v>0</v>
      </c>
      <c r="R523" s="2872">
        <f t="shared" si="198"/>
        <v>0</v>
      </c>
      <c r="S523" s="2872">
        <f t="shared" si="198"/>
        <v>1200</v>
      </c>
      <c r="T523" s="2872">
        <f t="shared" si="198"/>
        <v>0</v>
      </c>
      <c r="U523" s="2872">
        <f t="shared" si="198"/>
        <v>1200</v>
      </c>
      <c r="V523" s="2872">
        <f t="shared" si="198"/>
        <v>0</v>
      </c>
      <c r="W523" s="2872">
        <f t="shared" si="198"/>
        <v>0</v>
      </c>
    </row>
    <row r="524" spans="1:23" s="2839" customFormat="1">
      <c r="A524" s="2835" t="s">
        <v>200</v>
      </c>
      <c r="B524" s="2836" t="s">
        <v>1197</v>
      </c>
      <c r="C524" s="2835"/>
      <c r="D524" s="2835"/>
      <c r="E524" s="2835"/>
      <c r="F524" s="2835"/>
      <c r="G524" s="2837"/>
      <c r="H524" s="2837"/>
      <c r="I524" s="2837"/>
      <c r="J524" s="2837"/>
      <c r="K524" s="2837"/>
      <c r="L524" s="2837"/>
      <c r="M524" s="2837"/>
      <c r="N524" s="2837"/>
      <c r="O524" s="2837"/>
      <c r="P524" s="2837"/>
      <c r="Q524" s="2837"/>
      <c r="R524" s="2837"/>
      <c r="S524" s="2837"/>
      <c r="T524" s="2837"/>
      <c r="U524" s="2837"/>
      <c r="V524" s="2837"/>
      <c r="W524" s="2838"/>
    </row>
    <row r="525" spans="1:23" s="2839" customFormat="1">
      <c r="A525" s="2835" t="s">
        <v>208</v>
      </c>
      <c r="B525" s="2836" t="s">
        <v>1198</v>
      </c>
      <c r="C525" s="2835"/>
      <c r="D525" s="2835"/>
      <c r="E525" s="2835"/>
      <c r="F525" s="2835"/>
      <c r="G525" s="2837">
        <f t="shared" ref="G525:W525" si="199">G526+G527</f>
        <v>1363</v>
      </c>
      <c r="H525" s="2837">
        <f t="shared" si="199"/>
        <v>0</v>
      </c>
      <c r="I525" s="2837">
        <f t="shared" si="199"/>
        <v>1363</v>
      </c>
      <c r="J525" s="2837">
        <f t="shared" si="199"/>
        <v>0</v>
      </c>
      <c r="K525" s="2837">
        <f t="shared" si="199"/>
        <v>0</v>
      </c>
      <c r="L525" s="2837">
        <f t="shared" si="199"/>
        <v>0</v>
      </c>
      <c r="M525" s="2837">
        <f t="shared" si="199"/>
        <v>0</v>
      </c>
      <c r="N525" s="2837">
        <f t="shared" si="199"/>
        <v>0</v>
      </c>
      <c r="O525" s="2837">
        <f t="shared" si="199"/>
        <v>0</v>
      </c>
      <c r="P525" s="2837">
        <f t="shared" si="199"/>
        <v>0</v>
      </c>
      <c r="Q525" s="2837">
        <f t="shared" si="199"/>
        <v>0</v>
      </c>
      <c r="R525" s="2837">
        <f t="shared" si="199"/>
        <v>0</v>
      </c>
      <c r="S525" s="2837">
        <f t="shared" si="199"/>
        <v>1200</v>
      </c>
      <c r="T525" s="2837">
        <f t="shared" si="199"/>
        <v>0</v>
      </c>
      <c r="U525" s="2837">
        <f t="shared" si="199"/>
        <v>1200</v>
      </c>
      <c r="V525" s="2837">
        <f t="shared" si="199"/>
        <v>0</v>
      </c>
      <c r="W525" s="2837">
        <f t="shared" si="199"/>
        <v>0</v>
      </c>
    </row>
    <row r="526" spans="1:23" s="2844" customFormat="1" ht="52.8">
      <c r="A526" s="2840" t="s">
        <v>441</v>
      </c>
      <c r="B526" s="2841" t="s">
        <v>1540</v>
      </c>
      <c r="C526" s="2840"/>
      <c r="D526" s="2840"/>
      <c r="E526" s="2840"/>
      <c r="F526" s="2840"/>
      <c r="G526" s="2842"/>
      <c r="H526" s="2842"/>
      <c r="I526" s="2842"/>
      <c r="J526" s="2842"/>
      <c r="K526" s="2842"/>
      <c r="L526" s="2842"/>
      <c r="M526" s="2842"/>
      <c r="N526" s="2842"/>
      <c r="O526" s="2842"/>
      <c r="P526" s="2842"/>
      <c r="Q526" s="2842"/>
      <c r="R526" s="2842"/>
      <c r="S526" s="2842"/>
      <c r="T526" s="2842"/>
      <c r="U526" s="2842"/>
      <c r="V526" s="2842"/>
      <c r="W526" s="2842"/>
    </row>
    <row r="527" spans="1:23" s="2847" customFormat="1" ht="26.4">
      <c r="A527" s="2845" t="s">
        <v>463</v>
      </c>
      <c r="B527" s="2841" t="s">
        <v>1541</v>
      </c>
      <c r="C527" s="2845"/>
      <c r="D527" s="2845"/>
      <c r="E527" s="2845"/>
      <c r="F527" s="2845"/>
      <c r="G527" s="2846">
        <f>G528</f>
        <v>1363</v>
      </c>
      <c r="H527" s="2846">
        <f t="shared" ref="H527:W527" si="200">H528</f>
        <v>0</v>
      </c>
      <c r="I527" s="2846">
        <f t="shared" si="200"/>
        <v>1363</v>
      </c>
      <c r="J527" s="2846">
        <f t="shared" si="200"/>
        <v>0</v>
      </c>
      <c r="K527" s="2846">
        <f t="shared" si="200"/>
        <v>0</v>
      </c>
      <c r="L527" s="2846">
        <f t="shared" si="200"/>
        <v>0</v>
      </c>
      <c r="M527" s="2846">
        <f t="shared" si="200"/>
        <v>0</v>
      </c>
      <c r="N527" s="2846">
        <f t="shared" si="200"/>
        <v>0</v>
      </c>
      <c r="O527" s="2846">
        <f t="shared" si="200"/>
        <v>0</v>
      </c>
      <c r="P527" s="2846">
        <f t="shared" si="200"/>
        <v>0</v>
      </c>
      <c r="Q527" s="2846">
        <f t="shared" si="200"/>
        <v>0</v>
      </c>
      <c r="R527" s="2846">
        <f t="shared" si="200"/>
        <v>0</v>
      </c>
      <c r="S527" s="2846">
        <f t="shared" si="200"/>
        <v>1200</v>
      </c>
      <c r="T527" s="2846">
        <f t="shared" si="200"/>
        <v>0</v>
      </c>
      <c r="U527" s="2846">
        <f t="shared" si="200"/>
        <v>1200</v>
      </c>
      <c r="V527" s="2846">
        <f t="shared" si="200"/>
        <v>0</v>
      </c>
      <c r="W527" s="2846">
        <f t="shared" si="200"/>
        <v>0</v>
      </c>
    </row>
    <row r="528" spans="1:23" s="2854" customFormat="1" ht="66">
      <c r="A528" s="2848"/>
      <c r="B528" s="2849" t="s">
        <v>1849</v>
      </c>
      <c r="C528" s="2848"/>
      <c r="D528" s="2848"/>
      <c r="E528" s="2848"/>
      <c r="F528" s="2848"/>
      <c r="G528" s="2874">
        <v>1363</v>
      </c>
      <c r="H528" s="2874"/>
      <c r="I528" s="2874">
        <v>1363</v>
      </c>
      <c r="J528" s="2874"/>
      <c r="K528" s="2850">
        <f>SUM(L528:N528)</f>
        <v>0</v>
      </c>
      <c r="L528" s="2874"/>
      <c r="M528" s="2874"/>
      <c r="N528" s="2874"/>
      <c r="O528" s="2850">
        <f>SUM(P528:R528)</f>
        <v>0</v>
      </c>
      <c r="P528" s="2874"/>
      <c r="Q528" s="2874"/>
      <c r="R528" s="2874"/>
      <c r="S528" s="2850">
        <f>SUM(T528:W528)</f>
        <v>1200</v>
      </c>
      <c r="T528" s="2874"/>
      <c r="U528" s="2874">
        <v>1200</v>
      </c>
      <c r="V528" s="2874"/>
      <c r="W528" s="2874"/>
    </row>
    <row r="529" spans="1:23" s="2834" customFormat="1" ht="26.4">
      <c r="A529" s="2831">
        <v>2</v>
      </c>
      <c r="B529" s="2832" t="s">
        <v>1850</v>
      </c>
      <c r="C529" s="2831"/>
      <c r="D529" s="2831"/>
      <c r="E529" s="2831"/>
      <c r="F529" s="2831"/>
      <c r="G529" s="2872">
        <f>G531</f>
        <v>79923</v>
      </c>
      <c r="H529" s="2872">
        <f t="shared" ref="H529:W529" si="201">H531</f>
        <v>0</v>
      </c>
      <c r="I529" s="2872">
        <f t="shared" si="201"/>
        <v>35400</v>
      </c>
      <c r="J529" s="2872">
        <f t="shared" si="201"/>
        <v>44523</v>
      </c>
      <c r="K529" s="2872">
        <f t="shared" si="201"/>
        <v>9716</v>
      </c>
      <c r="L529" s="2872">
        <f t="shared" si="201"/>
        <v>0</v>
      </c>
      <c r="M529" s="2872">
        <f t="shared" si="201"/>
        <v>9716</v>
      </c>
      <c r="N529" s="2872">
        <f t="shared" si="201"/>
        <v>0</v>
      </c>
      <c r="O529" s="2872">
        <f t="shared" si="201"/>
        <v>15500</v>
      </c>
      <c r="P529" s="2872">
        <f t="shared" si="201"/>
        <v>0</v>
      </c>
      <c r="Q529" s="2872">
        <f t="shared" si="201"/>
        <v>15500</v>
      </c>
      <c r="R529" s="2872">
        <f t="shared" si="201"/>
        <v>0</v>
      </c>
      <c r="S529" s="2872">
        <f t="shared" si="201"/>
        <v>5000</v>
      </c>
      <c r="T529" s="2872">
        <f t="shared" si="201"/>
        <v>0</v>
      </c>
      <c r="U529" s="2872">
        <f t="shared" si="201"/>
        <v>5000</v>
      </c>
      <c r="V529" s="2872">
        <f t="shared" si="201"/>
        <v>0</v>
      </c>
      <c r="W529" s="2872">
        <f t="shared" si="201"/>
        <v>0</v>
      </c>
    </row>
    <row r="530" spans="1:23" s="2839" customFormat="1">
      <c r="A530" s="2835" t="s">
        <v>200</v>
      </c>
      <c r="B530" s="2836" t="s">
        <v>1197</v>
      </c>
      <c r="C530" s="2835"/>
      <c r="D530" s="2835"/>
      <c r="E530" s="2835"/>
      <c r="F530" s="2835"/>
      <c r="G530" s="2837"/>
      <c r="H530" s="2837"/>
      <c r="I530" s="2837"/>
      <c r="J530" s="2837"/>
      <c r="K530" s="2837"/>
      <c r="L530" s="2837"/>
      <c r="M530" s="2837"/>
      <c r="N530" s="2837"/>
      <c r="O530" s="2837"/>
      <c r="P530" s="2837"/>
      <c r="Q530" s="2837"/>
      <c r="R530" s="2837"/>
      <c r="S530" s="2837"/>
      <c r="T530" s="2837"/>
      <c r="U530" s="2837"/>
      <c r="V530" s="2837"/>
      <c r="W530" s="2838"/>
    </row>
    <row r="531" spans="1:23" s="2839" customFormat="1">
      <c r="A531" s="2835" t="s">
        <v>208</v>
      </c>
      <c r="B531" s="2836" t="s">
        <v>1198</v>
      </c>
      <c r="C531" s="2835"/>
      <c r="D531" s="2835"/>
      <c r="E531" s="2835"/>
      <c r="F531" s="2835"/>
      <c r="G531" s="2837">
        <f t="shared" ref="G531:W531" si="202">G532+G534</f>
        <v>79923</v>
      </c>
      <c r="H531" s="2837">
        <f t="shared" si="202"/>
        <v>0</v>
      </c>
      <c r="I531" s="2837">
        <f t="shared" si="202"/>
        <v>35400</v>
      </c>
      <c r="J531" s="2837">
        <f t="shared" si="202"/>
        <v>44523</v>
      </c>
      <c r="K531" s="2837">
        <f t="shared" si="202"/>
        <v>9716</v>
      </c>
      <c r="L531" s="2837">
        <f t="shared" si="202"/>
        <v>0</v>
      </c>
      <c r="M531" s="2837">
        <f t="shared" si="202"/>
        <v>9716</v>
      </c>
      <c r="N531" s="2837">
        <f t="shared" si="202"/>
        <v>0</v>
      </c>
      <c r="O531" s="2837">
        <f t="shared" si="202"/>
        <v>15500</v>
      </c>
      <c r="P531" s="2837">
        <f t="shared" si="202"/>
        <v>0</v>
      </c>
      <c r="Q531" s="2837">
        <f t="shared" si="202"/>
        <v>15500</v>
      </c>
      <c r="R531" s="2837">
        <f t="shared" si="202"/>
        <v>0</v>
      </c>
      <c r="S531" s="2837">
        <f t="shared" si="202"/>
        <v>5000</v>
      </c>
      <c r="T531" s="2837">
        <f t="shared" si="202"/>
        <v>0</v>
      </c>
      <c r="U531" s="2837">
        <f t="shared" si="202"/>
        <v>5000</v>
      </c>
      <c r="V531" s="2837">
        <f t="shared" si="202"/>
        <v>0</v>
      </c>
      <c r="W531" s="2837">
        <f t="shared" si="202"/>
        <v>0</v>
      </c>
    </row>
    <row r="532" spans="1:23" s="2844" customFormat="1" ht="52.8">
      <c r="A532" s="2840" t="s">
        <v>441</v>
      </c>
      <c r="B532" s="2841" t="s">
        <v>1540</v>
      </c>
      <c r="C532" s="2840"/>
      <c r="D532" s="2840"/>
      <c r="E532" s="2840"/>
      <c r="F532" s="2840"/>
      <c r="G532" s="2842">
        <f>G533</f>
        <v>79923</v>
      </c>
      <c r="H532" s="2842">
        <f t="shared" ref="H532:W532" si="203">H533</f>
        <v>0</v>
      </c>
      <c r="I532" s="2842">
        <f t="shared" si="203"/>
        <v>35400</v>
      </c>
      <c r="J532" s="2842">
        <f t="shared" si="203"/>
        <v>44523</v>
      </c>
      <c r="K532" s="2842">
        <f t="shared" si="203"/>
        <v>9716</v>
      </c>
      <c r="L532" s="2842">
        <f t="shared" si="203"/>
        <v>0</v>
      </c>
      <c r="M532" s="2842">
        <f t="shared" si="203"/>
        <v>9716</v>
      </c>
      <c r="N532" s="2842">
        <f t="shared" si="203"/>
        <v>0</v>
      </c>
      <c r="O532" s="2842">
        <f t="shared" si="203"/>
        <v>15500</v>
      </c>
      <c r="P532" s="2842">
        <f t="shared" si="203"/>
        <v>0</v>
      </c>
      <c r="Q532" s="2842">
        <f t="shared" si="203"/>
        <v>15500</v>
      </c>
      <c r="R532" s="2842">
        <f t="shared" si="203"/>
        <v>0</v>
      </c>
      <c r="S532" s="2842">
        <f t="shared" si="203"/>
        <v>5000</v>
      </c>
      <c r="T532" s="2842">
        <f t="shared" si="203"/>
        <v>0</v>
      </c>
      <c r="U532" s="2842">
        <f t="shared" si="203"/>
        <v>5000</v>
      </c>
      <c r="V532" s="2842">
        <f t="shared" si="203"/>
        <v>0</v>
      </c>
      <c r="W532" s="2842">
        <f t="shared" si="203"/>
        <v>0</v>
      </c>
    </row>
    <row r="533" spans="1:23" ht="66">
      <c r="A533" s="2848"/>
      <c r="B533" s="2849" t="s">
        <v>1851</v>
      </c>
      <c r="C533" s="2848"/>
      <c r="D533" s="2848"/>
      <c r="E533" s="2848"/>
      <c r="F533" s="2848"/>
      <c r="G533" s="2850">
        <v>79923</v>
      </c>
      <c r="H533" s="2850"/>
      <c r="I533" s="2850">
        <v>35400</v>
      </c>
      <c r="J533" s="2850">
        <v>44523</v>
      </c>
      <c r="K533" s="2850">
        <f>SUM(L533:N533)</f>
        <v>9716</v>
      </c>
      <c r="L533" s="2850"/>
      <c r="M533" s="2850">
        <f>8393+1218+105</f>
        <v>9716</v>
      </c>
      <c r="N533" s="2850"/>
      <c r="O533" s="2850">
        <f>SUM(P533:R533)</f>
        <v>15500</v>
      </c>
      <c r="P533" s="2850"/>
      <c r="Q533" s="2850">
        <f>14000+1500</f>
        <v>15500</v>
      </c>
      <c r="R533" s="2850"/>
      <c r="S533" s="2850">
        <f>SUM(T533:W533)</f>
        <v>5000</v>
      </c>
      <c r="T533" s="2850"/>
      <c r="U533" s="2850">
        <v>5000</v>
      </c>
      <c r="V533" s="2850"/>
      <c r="W533" s="2850"/>
    </row>
    <row r="534" spans="1:23" s="2847" customFormat="1" ht="26.4">
      <c r="A534" s="2845" t="s">
        <v>463</v>
      </c>
      <c r="B534" s="2841" t="s">
        <v>1541</v>
      </c>
      <c r="C534" s="2845"/>
      <c r="D534" s="2845"/>
      <c r="E534" s="2845"/>
      <c r="F534" s="2845"/>
      <c r="G534" s="2846"/>
      <c r="H534" s="2846"/>
      <c r="I534" s="2846"/>
      <c r="J534" s="2846"/>
      <c r="K534" s="2846"/>
      <c r="L534" s="2846"/>
      <c r="M534" s="2846"/>
      <c r="N534" s="2846"/>
      <c r="O534" s="2846"/>
      <c r="P534" s="2846"/>
      <c r="Q534" s="2846"/>
      <c r="R534" s="2846"/>
      <c r="S534" s="2846"/>
      <c r="T534" s="2846"/>
      <c r="U534" s="2846"/>
      <c r="V534" s="2846"/>
      <c r="W534" s="2846"/>
    </row>
    <row r="535" spans="1:23" s="2839" customFormat="1" ht="79.2">
      <c r="A535" s="2856" t="s">
        <v>315</v>
      </c>
      <c r="B535" s="2857" t="s">
        <v>1852</v>
      </c>
      <c r="C535" s="2856"/>
      <c r="D535" s="2856"/>
      <c r="E535" s="2856"/>
      <c r="F535" s="2856"/>
      <c r="G535" s="2858">
        <f t="shared" ref="G535:W535" si="204">G536+G546</f>
        <v>1324007</v>
      </c>
      <c r="H535" s="2858">
        <f t="shared" si="204"/>
        <v>0</v>
      </c>
      <c r="I535" s="2858">
        <f t="shared" si="204"/>
        <v>936672</v>
      </c>
      <c r="J535" s="2858">
        <f t="shared" si="204"/>
        <v>387335</v>
      </c>
      <c r="K535" s="2858">
        <f t="shared" si="204"/>
        <v>363832</v>
      </c>
      <c r="L535" s="2858">
        <f t="shared" si="204"/>
        <v>0</v>
      </c>
      <c r="M535" s="2858">
        <f t="shared" si="204"/>
        <v>246894</v>
      </c>
      <c r="N535" s="2858">
        <f t="shared" si="204"/>
        <v>116938</v>
      </c>
      <c r="O535" s="2858">
        <f t="shared" si="204"/>
        <v>314263</v>
      </c>
      <c r="P535" s="2858">
        <f t="shared" si="204"/>
        <v>0</v>
      </c>
      <c r="Q535" s="2858">
        <f t="shared" si="204"/>
        <v>141251</v>
      </c>
      <c r="R535" s="2858">
        <f t="shared" si="204"/>
        <v>173012</v>
      </c>
      <c r="S535" s="2858">
        <f t="shared" si="204"/>
        <v>202017</v>
      </c>
      <c r="T535" s="2858">
        <f t="shared" si="204"/>
        <v>0</v>
      </c>
      <c r="U535" s="2858">
        <f t="shared" si="204"/>
        <v>202017</v>
      </c>
      <c r="V535" s="2858">
        <f t="shared" si="204"/>
        <v>0</v>
      </c>
      <c r="W535" s="2858">
        <f t="shared" si="204"/>
        <v>0</v>
      </c>
    </row>
    <row r="536" spans="1:23" s="2834" customFormat="1" ht="26.4">
      <c r="A536" s="2831">
        <v>1</v>
      </c>
      <c r="B536" s="2832" t="s">
        <v>1510</v>
      </c>
      <c r="C536" s="2831"/>
      <c r="D536" s="2831"/>
      <c r="E536" s="2831"/>
      <c r="F536" s="2831"/>
      <c r="G536" s="2872">
        <f>G538</f>
        <v>864365</v>
      </c>
      <c r="H536" s="2872">
        <f t="shared" ref="H536:W536" si="205">H538</f>
        <v>0</v>
      </c>
      <c r="I536" s="2872">
        <f t="shared" si="205"/>
        <v>736672</v>
      </c>
      <c r="J536" s="2872">
        <f t="shared" si="205"/>
        <v>127693</v>
      </c>
      <c r="K536" s="2872">
        <f t="shared" si="205"/>
        <v>165224</v>
      </c>
      <c r="L536" s="2872">
        <f t="shared" si="205"/>
        <v>0</v>
      </c>
      <c r="M536" s="2872">
        <f t="shared" si="205"/>
        <v>145237</v>
      </c>
      <c r="N536" s="2872">
        <f t="shared" si="205"/>
        <v>19987</v>
      </c>
      <c r="O536" s="2872">
        <f t="shared" si="205"/>
        <v>187930</v>
      </c>
      <c r="P536" s="2872">
        <f t="shared" si="205"/>
        <v>0</v>
      </c>
      <c r="Q536" s="2872">
        <f t="shared" si="205"/>
        <v>121251</v>
      </c>
      <c r="R536" s="2872">
        <f t="shared" si="205"/>
        <v>66679</v>
      </c>
      <c r="S536" s="2872">
        <f t="shared" si="205"/>
        <v>124999</v>
      </c>
      <c r="T536" s="2872">
        <f t="shared" si="205"/>
        <v>0</v>
      </c>
      <c r="U536" s="2872">
        <f t="shared" si="205"/>
        <v>124999</v>
      </c>
      <c r="V536" s="2872">
        <f t="shared" si="205"/>
        <v>0</v>
      </c>
      <c r="W536" s="2872">
        <f t="shared" si="205"/>
        <v>0</v>
      </c>
    </row>
    <row r="537" spans="1:23" s="2839" customFormat="1">
      <c r="A537" s="2835" t="s">
        <v>200</v>
      </c>
      <c r="B537" s="2836" t="s">
        <v>1197</v>
      </c>
      <c r="C537" s="2835"/>
      <c r="D537" s="2835"/>
      <c r="E537" s="2835"/>
      <c r="F537" s="2835"/>
      <c r="G537" s="2837"/>
      <c r="H537" s="2837"/>
      <c r="I537" s="2837"/>
      <c r="J537" s="2837"/>
      <c r="K537" s="2837"/>
      <c r="L537" s="2837"/>
      <c r="M537" s="2837"/>
      <c r="N537" s="2837"/>
      <c r="O537" s="2837"/>
      <c r="P537" s="2837"/>
      <c r="Q537" s="2837"/>
      <c r="R537" s="2837"/>
      <c r="S537" s="2837"/>
      <c r="T537" s="2837"/>
      <c r="U537" s="2837"/>
      <c r="V537" s="2837"/>
      <c r="W537" s="2838"/>
    </row>
    <row r="538" spans="1:23" s="2839" customFormat="1">
      <c r="A538" s="2835" t="s">
        <v>208</v>
      </c>
      <c r="B538" s="2836" t="s">
        <v>1198</v>
      </c>
      <c r="C538" s="2835"/>
      <c r="D538" s="2835"/>
      <c r="E538" s="2835"/>
      <c r="F538" s="2835"/>
      <c r="G538" s="2837">
        <f>G539+G542</f>
        <v>864365</v>
      </c>
      <c r="H538" s="2837">
        <f t="shared" ref="H538:W538" si="206">H539+H542</f>
        <v>0</v>
      </c>
      <c r="I538" s="2837">
        <f t="shared" si="206"/>
        <v>736672</v>
      </c>
      <c r="J538" s="2837">
        <f t="shared" si="206"/>
        <v>127693</v>
      </c>
      <c r="K538" s="2837">
        <f t="shared" si="206"/>
        <v>165224</v>
      </c>
      <c r="L538" s="2837">
        <f t="shared" si="206"/>
        <v>0</v>
      </c>
      <c r="M538" s="2837">
        <f t="shared" si="206"/>
        <v>145237</v>
      </c>
      <c r="N538" s="2837">
        <f t="shared" si="206"/>
        <v>19987</v>
      </c>
      <c r="O538" s="2837">
        <f t="shared" si="206"/>
        <v>187930</v>
      </c>
      <c r="P538" s="2837">
        <f t="shared" si="206"/>
        <v>0</v>
      </c>
      <c r="Q538" s="2837">
        <f t="shared" si="206"/>
        <v>121251</v>
      </c>
      <c r="R538" s="2837">
        <f t="shared" si="206"/>
        <v>66679</v>
      </c>
      <c r="S538" s="2837">
        <f t="shared" si="206"/>
        <v>124999</v>
      </c>
      <c r="T538" s="2837">
        <f t="shared" si="206"/>
        <v>0</v>
      </c>
      <c r="U538" s="2837">
        <f t="shared" si="206"/>
        <v>124999</v>
      </c>
      <c r="V538" s="2837">
        <f t="shared" si="206"/>
        <v>0</v>
      </c>
      <c r="W538" s="2837">
        <f t="shared" si="206"/>
        <v>0</v>
      </c>
    </row>
    <row r="539" spans="1:23" s="2844" customFormat="1" ht="52.8">
      <c r="A539" s="2840" t="s">
        <v>441</v>
      </c>
      <c r="B539" s="2841" t="s">
        <v>1540</v>
      </c>
      <c r="C539" s="2840"/>
      <c r="D539" s="2840"/>
      <c r="E539" s="2840"/>
      <c r="F539" s="2840"/>
      <c r="G539" s="2842">
        <f>SUM(G540:G541)</f>
        <v>185641</v>
      </c>
      <c r="H539" s="2842">
        <f t="shared" ref="H539:W539" si="207">SUM(H540:H541)</f>
        <v>0</v>
      </c>
      <c r="I539" s="2842">
        <f t="shared" si="207"/>
        <v>156348</v>
      </c>
      <c r="J539" s="2842">
        <f t="shared" si="207"/>
        <v>29293</v>
      </c>
      <c r="K539" s="2842">
        <f t="shared" si="207"/>
        <v>38908</v>
      </c>
      <c r="L539" s="2842">
        <f t="shared" si="207"/>
        <v>0</v>
      </c>
      <c r="M539" s="2842">
        <f t="shared" si="207"/>
        <v>33903</v>
      </c>
      <c r="N539" s="2842">
        <f t="shared" si="207"/>
        <v>5005</v>
      </c>
      <c r="O539" s="2842">
        <f t="shared" si="207"/>
        <v>40624</v>
      </c>
      <c r="P539" s="2842">
        <f t="shared" si="207"/>
        <v>0</v>
      </c>
      <c r="Q539" s="2842">
        <f t="shared" si="207"/>
        <v>33945</v>
      </c>
      <c r="R539" s="2842">
        <f t="shared" si="207"/>
        <v>6679</v>
      </c>
      <c r="S539" s="2842">
        <f t="shared" si="207"/>
        <v>34999</v>
      </c>
      <c r="T539" s="2842">
        <f t="shared" si="207"/>
        <v>0</v>
      </c>
      <c r="U539" s="2842">
        <f t="shared" si="207"/>
        <v>34999</v>
      </c>
      <c r="V539" s="2842">
        <f t="shared" si="207"/>
        <v>0</v>
      </c>
      <c r="W539" s="2842">
        <f t="shared" si="207"/>
        <v>0</v>
      </c>
    </row>
    <row r="540" spans="1:23" ht="52.8">
      <c r="A540" s="2848"/>
      <c r="B540" s="2849" t="s">
        <v>1853</v>
      </c>
      <c r="C540" s="2848"/>
      <c r="D540" s="2848"/>
      <c r="E540" s="2848"/>
      <c r="F540" s="2848"/>
      <c r="G540" s="2850">
        <v>74831</v>
      </c>
      <c r="H540" s="2850"/>
      <c r="I540" s="2850">
        <v>67348</v>
      </c>
      <c r="J540" s="2850">
        <f>G540-I540</f>
        <v>7483</v>
      </c>
      <c r="K540" s="2850">
        <f>SUM(L540:N540)</f>
        <v>0</v>
      </c>
      <c r="L540" s="2850"/>
      <c r="M540" s="2850"/>
      <c r="N540" s="2850"/>
      <c r="O540" s="2850">
        <f>SUM(P540:R540)</f>
        <v>0</v>
      </c>
      <c r="P540" s="2850"/>
      <c r="Q540" s="2850"/>
      <c r="R540" s="2850"/>
      <c r="S540" s="2850">
        <f>SUM(T540:W540)</f>
        <v>14999</v>
      </c>
      <c r="T540" s="2850"/>
      <c r="U540" s="2850">
        <v>14999</v>
      </c>
      <c r="V540" s="2850"/>
      <c r="W540" s="2850"/>
    </row>
    <row r="541" spans="1:23" ht="66">
      <c r="A541" s="2848"/>
      <c r="B541" s="2849" t="s">
        <v>1854</v>
      </c>
      <c r="C541" s="2848" t="s">
        <v>30</v>
      </c>
      <c r="D541" s="2848" t="s">
        <v>1855</v>
      </c>
      <c r="E541" s="2848" t="s">
        <v>1760</v>
      </c>
      <c r="F541" s="2848" t="s">
        <v>1856</v>
      </c>
      <c r="G541" s="2850">
        <v>110810</v>
      </c>
      <c r="H541" s="2850"/>
      <c r="I541" s="2850">
        <v>89000</v>
      </c>
      <c r="J541" s="2850">
        <v>21810</v>
      </c>
      <c r="K541" s="2850">
        <f>SUM(L541:N541)</f>
        <v>38908</v>
      </c>
      <c r="L541" s="2850"/>
      <c r="M541" s="2850">
        <f>16458+17445</f>
        <v>33903</v>
      </c>
      <c r="N541" s="2850">
        <f>1678+3327</f>
        <v>5005</v>
      </c>
      <c r="O541" s="2850">
        <f>SUM(P541:R541)</f>
        <v>40624</v>
      </c>
      <c r="P541" s="2850"/>
      <c r="Q541" s="2850">
        <f>16500+17445</f>
        <v>33945</v>
      </c>
      <c r="R541" s="2850">
        <f>1679+5000</f>
        <v>6679</v>
      </c>
      <c r="S541" s="2850">
        <f>SUM(T541:W541)</f>
        <v>20000</v>
      </c>
      <c r="T541" s="2850"/>
      <c r="U541" s="2850">
        <v>20000</v>
      </c>
      <c r="V541" s="2850"/>
      <c r="W541" s="2850"/>
    </row>
    <row r="542" spans="1:23" s="2847" customFormat="1" ht="26.4">
      <c r="A542" s="2845" t="s">
        <v>463</v>
      </c>
      <c r="B542" s="2841" t="s">
        <v>1541</v>
      </c>
      <c r="C542" s="2845"/>
      <c r="D542" s="2845"/>
      <c r="E542" s="2845"/>
      <c r="F542" s="2845"/>
      <c r="G542" s="2846">
        <f>SUM(G543:G545)</f>
        <v>678724</v>
      </c>
      <c r="H542" s="2846">
        <f t="shared" ref="H542:W542" si="208">SUM(H543:H545)</f>
        <v>0</v>
      </c>
      <c r="I542" s="2846">
        <f t="shared" si="208"/>
        <v>580324</v>
      </c>
      <c r="J542" s="2846">
        <f t="shared" si="208"/>
        <v>98400</v>
      </c>
      <c r="K542" s="2846">
        <f t="shared" si="208"/>
        <v>126316</v>
      </c>
      <c r="L542" s="2846">
        <f t="shared" si="208"/>
        <v>0</v>
      </c>
      <c r="M542" s="2846">
        <f t="shared" si="208"/>
        <v>111334</v>
      </c>
      <c r="N542" s="2846">
        <f t="shared" si="208"/>
        <v>14982</v>
      </c>
      <c r="O542" s="2846">
        <f t="shared" si="208"/>
        <v>147306</v>
      </c>
      <c r="P542" s="2846">
        <f t="shared" si="208"/>
        <v>0</v>
      </c>
      <c r="Q542" s="2846">
        <f t="shared" si="208"/>
        <v>87306</v>
      </c>
      <c r="R542" s="2846">
        <f t="shared" si="208"/>
        <v>60000</v>
      </c>
      <c r="S542" s="2846">
        <f t="shared" si="208"/>
        <v>90000</v>
      </c>
      <c r="T542" s="2846">
        <f t="shared" si="208"/>
        <v>0</v>
      </c>
      <c r="U542" s="2846">
        <f t="shared" si="208"/>
        <v>90000</v>
      </c>
      <c r="V542" s="2846">
        <f t="shared" si="208"/>
        <v>0</v>
      </c>
      <c r="W542" s="2846">
        <f t="shared" si="208"/>
        <v>0</v>
      </c>
    </row>
    <row r="543" spans="1:23" ht="66">
      <c r="A543" s="2848"/>
      <c r="B543" s="2849" t="s">
        <v>1857</v>
      </c>
      <c r="C543" s="2848"/>
      <c r="D543" s="2848"/>
      <c r="E543" s="2848"/>
      <c r="F543" s="2848"/>
      <c r="G543" s="2850">
        <v>100324</v>
      </c>
      <c r="H543" s="2850"/>
      <c r="I543" s="2850">
        <v>100324</v>
      </c>
      <c r="J543" s="2850"/>
      <c r="K543" s="2850">
        <f>SUM(L543:N543)</f>
        <v>67585</v>
      </c>
      <c r="L543" s="2850"/>
      <c r="M543" s="2850">
        <v>67585</v>
      </c>
      <c r="N543" s="2850"/>
      <c r="O543" s="2850">
        <f>SUM(P543:R543)</f>
        <v>0</v>
      </c>
      <c r="P543" s="2850"/>
      <c r="Q543" s="2850"/>
      <c r="R543" s="2850"/>
      <c r="S543" s="2850">
        <f>SUM(T543:W543)</f>
        <v>20000</v>
      </c>
      <c r="T543" s="2850"/>
      <c r="U543" s="2850">
        <v>20000</v>
      </c>
      <c r="V543" s="2850"/>
      <c r="W543" s="2855"/>
    </row>
    <row r="544" spans="1:23" ht="105.6">
      <c r="A544" s="2848"/>
      <c r="B544" s="2849" t="s">
        <v>1858</v>
      </c>
      <c r="C544" s="2848" t="s">
        <v>1859</v>
      </c>
      <c r="D544" s="2848" t="s">
        <v>1860</v>
      </c>
      <c r="E544" s="2848" t="s">
        <v>1635</v>
      </c>
      <c r="F544" s="2848" t="s">
        <v>1861</v>
      </c>
      <c r="G544" s="2850">
        <v>349800</v>
      </c>
      <c r="H544" s="2850"/>
      <c r="I544" s="2850">
        <v>300000</v>
      </c>
      <c r="J544" s="2850">
        <v>49800</v>
      </c>
      <c r="K544" s="2850">
        <f>SUM(L544:N544)</f>
        <v>54835</v>
      </c>
      <c r="L544" s="2850"/>
      <c r="M544" s="2850">
        <f>9793+22000+8060</f>
        <v>39853</v>
      </c>
      <c r="N544" s="2850">
        <f>5000+9982</f>
        <v>14982</v>
      </c>
      <c r="O544" s="2850">
        <f>SUM(P544:R544)</f>
        <v>76800</v>
      </c>
      <c r="P544" s="2850"/>
      <c r="Q544" s="2850">
        <f>9800+22000+25000</f>
        <v>56800</v>
      </c>
      <c r="R544" s="2850">
        <f>5000+10000+5000</f>
        <v>20000</v>
      </c>
      <c r="S544" s="2850">
        <f>SUM(T544:W544)</f>
        <v>35000</v>
      </c>
      <c r="T544" s="2850"/>
      <c r="U544" s="2850">
        <v>35000</v>
      </c>
      <c r="V544" s="2850"/>
      <c r="W544" s="2850"/>
    </row>
    <row r="545" spans="1:23" ht="105.6">
      <c r="A545" s="2859"/>
      <c r="B545" s="2860" t="s">
        <v>1814</v>
      </c>
      <c r="C545" s="2859" t="s">
        <v>1659</v>
      </c>
      <c r="D545" s="2859" t="s">
        <v>1664</v>
      </c>
      <c r="E545" s="2859" t="s">
        <v>1615</v>
      </c>
      <c r="F545" s="2873" t="s">
        <v>1815</v>
      </c>
      <c r="G545" s="2855">
        <v>228600</v>
      </c>
      <c r="H545" s="2855"/>
      <c r="I545" s="2855">
        <v>180000</v>
      </c>
      <c r="J545" s="2855">
        <v>48600</v>
      </c>
      <c r="K545" s="2850">
        <f>SUM(L545:N545)</f>
        <v>3896</v>
      </c>
      <c r="L545" s="2855"/>
      <c r="M545" s="2855">
        <v>3896</v>
      </c>
      <c r="N545" s="2855"/>
      <c r="O545" s="2850">
        <f>SUM(P545:R545)</f>
        <v>70506</v>
      </c>
      <c r="P545" s="2855"/>
      <c r="Q545" s="2855">
        <v>30506</v>
      </c>
      <c r="R545" s="2855">
        <v>40000</v>
      </c>
      <c r="S545" s="2850">
        <f>SUM(T545:W545)</f>
        <v>35000</v>
      </c>
      <c r="T545" s="2855"/>
      <c r="U545" s="2855">
        <v>35000</v>
      </c>
      <c r="V545" s="2855"/>
      <c r="W545" s="2855"/>
    </row>
    <row r="546" spans="1:23" s="2834" customFormat="1">
      <c r="A546" s="2831">
        <v>2</v>
      </c>
      <c r="B546" s="2832" t="s">
        <v>1512</v>
      </c>
      <c r="C546" s="2831"/>
      <c r="D546" s="2831"/>
      <c r="E546" s="2831"/>
      <c r="F546" s="2831"/>
      <c r="G546" s="2872">
        <f>G548</f>
        <v>459642</v>
      </c>
      <c r="H546" s="2872">
        <f t="shared" ref="H546:W546" si="209">H548</f>
        <v>0</v>
      </c>
      <c r="I546" s="2872">
        <f t="shared" si="209"/>
        <v>200000</v>
      </c>
      <c r="J546" s="2872">
        <f t="shared" si="209"/>
        <v>259642</v>
      </c>
      <c r="K546" s="2872">
        <f t="shared" si="209"/>
        <v>198608</v>
      </c>
      <c r="L546" s="2872">
        <f t="shared" si="209"/>
        <v>0</v>
      </c>
      <c r="M546" s="2872">
        <f t="shared" si="209"/>
        <v>101657</v>
      </c>
      <c r="N546" s="2872">
        <f t="shared" si="209"/>
        <v>96951</v>
      </c>
      <c r="O546" s="2872">
        <f t="shared" si="209"/>
        <v>126333</v>
      </c>
      <c r="P546" s="2872">
        <f t="shared" si="209"/>
        <v>0</v>
      </c>
      <c r="Q546" s="2872">
        <f t="shared" si="209"/>
        <v>20000</v>
      </c>
      <c r="R546" s="2872">
        <f t="shared" si="209"/>
        <v>106333</v>
      </c>
      <c r="S546" s="2872">
        <f t="shared" si="209"/>
        <v>77018</v>
      </c>
      <c r="T546" s="2872">
        <f t="shared" si="209"/>
        <v>0</v>
      </c>
      <c r="U546" s="2872">
        <f t="shared" si="209"/>
        <v>77018</v>
      </c>
      <c r="V546" s="2872">
        <f t="shared" si="209"/>
        <v>0</v>
      </c>
      <c r="W546" s="2872">
        <f t="shared" si="209"/>
        <v>0</v>
      </c>
    </row>
    <row r="547" spans="1:23" s="2839" customFormat="1">
      <c r="A547" s="2835" t="s">
        <v>200</v>
      </c>
      <c r="B547" s="2836" t="s">
        <v>1197</v>
      </c>
      <c r="C547" s="2835"/>
      <c r="D547" s="2835"/>
      <c r="E547" s="2835"/>
      <c r="F547" s="2835"/>
      <c r="G547" s="2837"/>
      <c r="H547" s="2837"/>
      <c r="I547" s="2837"/>
      <c r="J547" s="2837"/>
      <c r="K547" s="2837"/>
      <c r="L547" s="2837"/>
      <c r="M547" s="2837"/>
      <c r="N547" s="2837"/>
      <c r="O547" s="2837"/>
      <c r="P547" s="2837"/>
      <c r="Q547" s="2837"/>
      <c r="R547" s="2837"/>
      <c r="S547" s="2837"/>
      <c r="T547" s="2837"/>
      <c r="U547" s="2837"/>
      <c r="V547" s="2837"/>
      <c r="W547" s="2838"/>
    </row>
    <row r="548" spans="1:23" s="2839" customFormat="1">
      <c r="A548" s="2835" t="s">
        <v>208</v>
      </c>
      <c r="B548" s="2836" t="s">
        <v>1198</v>
      </c>
      <c r="C548" s="2835"/>
      <c r="D548" s="2835"/>
      <c r="E548" s="2835"/>
      <c r="F548" s="2835"/>
      <c r="G548" s="2837">
        <f>G550</f>
        <v>459642</v>
      </c>
      <c r="H548" s="2837">
        <f t="shared" ref="H548:W548" si="210">H550</f>
        <v>0</v>
      </c>
      <c r="I548" s="2837">
        <f t="shared" si="210"/>
        <v>200000</v>
      </c>
      <c r="J548" s="2837">
        <f t="shared" si="210"/>
        <v>259642</v>
      </c>
      <c r="K548" s="2837">
        <f t="shared" si="210"/>
        <v>198608</v>
      </c>
      <c r="L548" s="2837">
        <f t="shared" si="210"/>
        <v>0</v>
      </c>
      <c r="M548" s="2837">
        <f t="shared" si="210"/>
        <v>101657</v>
      </c>
      <c r="N548" s="2837">
        <f t="shared" si="210"/>
        <v>96951</v>
      </c>
      <c r="O548" s="2837">
        <f t="shared" si="210"/>
        <v>126333</v>
      </c>
      <c r="P548" s="2837">
        <f t="shared" si="210"/>
        <v>0</v>
      </c>
      <c r="Q548" s="2837">
        <f t="shared" si="210"/>
        <v>20000</v>
      </c>
      <c r="R548" s="2837">
        <f t="shared" si="210"/>
        <v>106333</v>
      </c>
      <c r="S548" s="2837">
        <f t="shared" si="210"/>
        <v>77018</v>
      </c>
      <c r="T548" s="2837">
        <f t="shared" si="210"/>
        <v>0</v>
      </c>
      <c r="U548" s="2837">
        <f t="shared" si="210"/>
        <v>77018</v>
      </c>
      <c r="V548" s="2837">
        <f t="shared" si="210"/>
        <v>0</v>
      </c>
      <c r="W548" s="2837">
        <f t="shared" si="210"/>
        <v>0</v>
      </c>
    </row>
    <row r="549" spans="1:23" s="2844" customFormat="1" ht="52.8">
      <c r="A549" s="2840" t="s">
        <v>441</v>
      </c>
      <c r="B549" s="2841" t="s">
        <v>1540</v>
      </c>
      <c r="C549" s="2840"/>
      <c r="D549" s="2840"/>
      <c r="E549" s="2840"/>
      <c r="F549" s="2840"/>
      <c r="G549" s="2842"/>
      <c r="H549" s="2842"/>
      <c r="I549" s="2842"/>
      <c r="J549" s="2842"/>
      <c r="K549" s="2842"/>
      <c r="L549" s="2842"/>
      <c r="M549" s="2842"/>
      <c r="N549" s="2842"/>
      <c r="O549" s="2842"/>
      <c r="P549" s="2842"/>
      <c r="Q549" s="2842"/>
      <c r="R549" s="2842"/>
      <c r="S549" s="2842"/>
      <c r="T549" s="2842"/>
      <c r="U549" s="2842"/>
      <c r="V549" s="2842"/>
      <c r="W549" s="2842"/>
    </row>
    <row r="550" spans="1:23" s="2847" customFormat="1" ht="26.4">
      <c r="A550" s="2845" t="s">
        <v>463</v>
      </c>
      <c r="B550" s="2841" t="s">
        <v>1541</v>
      </c>
      <c r="C550" s="2845"/>
      <c r="D550" s="2845"/>
      <c r="E550" s="2845"/>
      <c r="F550" s="2845"/>
      <c r="G550" s="2846">
        <f>G551</f>
        <v>459642</v>
      </c>
      <c r="H550" s="2846">
        <f t="shared" ref="H550:W550" si="211">H551</f>
        <v>0</v>
      </c>
      <c r="I550" s="2846">
        <f t="shared" si="211"/>
        <v>200000</v>
      </c>
      <c r="J550" s="2846">
        <f t="shared" si="211"/>
        <v>259642</v>
      </c>
      <c r="K550" s="2846">
        <f t="shared" si="211"/>
        <v>198608</v>
      </c>
      <c r="L550" s="2846">
        <f t="shared" si="211"/>
        <v>0</v>
      </c>
      <c r="M550" s="2846">
        <f t="shared" si="211"/>
        <v>101657</v>
      </c>
      <c r="N550" s="2846">
        <f t="shared" si="211"/>
        <v>96951</v>
      </c>
      <c r="O550" s="2846">
        <f t="shared" si="211"/>
        <v>126333</v>
      </c>
      <c r="P550" s="2846">
        <f t="shared" si="211"/>
        <v>0</v>
      </c>
      <c r="Q550" s="2846">
        <f t="shared" si="211"/>
        <v>20000</v>
      </c>
      <c r="R550" s="2846">
        <f t="shared" si="211"/>
        <v>106333</v>
      </c>
      <c r="S550" s="2846">
        <f t="shared" si="211"/>
        <v>77018</v>
      </c>
      <c r="T550" s="2846">
        <f t="shared" si="211"/>
        <v>0</v>
      </c>
      <c r="U550" s="2846">
        <f t="shared" si="211"/>
        <v>77018</v>
      </c>
      <c r="V550" s="2846">
        <f t="shared" si="211"/>
        <v>0</v>
      </c>
      <c r="W550" s="2846">
        <f t="shared" si="211"/>
        <v>0</v>
      </c>
    </row>
    <row r="551" spans="1:23" ht="79.2">
      <c r="A551" s="2848"/>
      <c r="B551" s="2849" t="s">
        <v>1783</v>
      </c>
      <c r="C551" s="2848" t="s">
        <v>1784</v>
      </c>
      <c r="D551" s="2848" t="s">
        <v>1785</v>
      </c>
      <c r="E551" s="2848" t="s">
        <v>1615</v>
      </c>
      <c r="F551" s="2848" t="s">
        <v>1786</v>
      </c>
      <c r="G551" s="2850">
        <v>459642</v>
      </c>
      <c r="H551" s="2850"/>
      <c r="I551" s="2850">
        <v>200000</v>
      </c>
      <c r="J551" s="2850">
        <v>259642</v>
      </c>
      <c r="K551" s="2850">
        <f>SUM(L551:N551)</f>
        <v>198608</v>
      </c>
      <c r="L551" s="2850"/>
      <c r="M551" s="2850">
        <f>82000+19657</f>
        <v>101657</v>
      </c>
      <c r="N551" s="2850">
        <f>2261+23311+71341+38</f>
        <v>96951</v>
      </c>
      <c r="O551" s="2850">
        <f>SUM(P551:R551)</f>
        <v>126333</v>
      </c>
      <c r="P551" s="2850"/>
      <c r="Q551" s="2850">
        <v>20000</v>
      </c>
      <c r="R551" s="2850">
        <f>3000+23333+80000</f>
        <v>106333</v>
      </c>
      <c r="S551" s="2850">
        <f>SUM(T551:W551)</f>
        <v>77018</v>
      </c>
      <c r="T551" s="2850"/>
      <c r="U551" s="2850">
        <v>77018</v>
      </c>
      <c r="V551" s="2850"/>
      <c r="W551" s="2855"/>
    </row>
    <row r="552" spans="1:23" s="2839" customFormat="1" ht="39.6">
      <c r="A552" s="2856" t="s">
        <v>317</v>
      </c>
      <c r="B552" s="2857" t="s">
        <v>1862</v>
      </c>
      <c r="C552" s="2856"/>
      <c r="D552" s="2856"/>
      <c r="E552" s="2856"/>
      <c r="F552" s="2856"/>
      <c r="G552" s="2858">
        <f>G553</f>
        <v>234000</v>
      </c>
      <c r="H552" s="2858">
        <f t="shared" ref="H552:W552" si="212">H553</f>
        <v>0</v>
      </c>
      <c r="I552" s="2858">
        <f t="shared" si="212"/>
        <v>95464</v>
      </c>
      <c r="J552" s="2858">
        <f t="shared" si="212"/>
        <v>138536</v>
      </c>
      <c r="K552" s="2858">
        <f t="shared" si="212"/>
        <v>78840</v>
      </c>
      <c r="L552" s="2858">
        <f t="shared" si="212"/>
        <v>0</v>
      </c>
      <c r="M552" s="2858">
        <f t="shared" si="212"/>
        <v>50900</v>
      </c>
      <c r="N552" s="2858">
        <f t="shared" si="212"/>
        <v>27940</v>
      </c>
      <c r="O552" s="2858">
        <f t="shared" si="212"/>
        <v>105216</v>
      </c>
      <c r="P552" s="2858">
        <f t="shared" si="212"/>
        <v>0</v>
      </c>
      <c r="Q552" s="2858">
        <f t="shared" si="212"/>
        <v>50900</v>
      </c>
      <c r="R552" s="2858">
        <f t="shared" si="212"/>
        <v>54316</v>
      </c>
      <c r="S552" s="2858">
        <f t="shared" si="212"/>
        <v>15000</v>
      </c>
      <c r="T552" s="2858">
        <f t="shared" si="212"/>
        <v>0</v>
      </c>
      <c r="U552" s="2858">
        <f t="shared" si="212"/>
        <v>15000</v>
      </c>
      <c r="V552" s="2858">
        <f t="shared" si="212"/>
        <v>0</v>
      </c>
      <c r="W552" s="2858">
        <f t="shared" si="212"/>
        <v>0</v>
      </c>
    </row>
    <row r="553" spans="1:23" s="2834" customFormat="1" ht="39.6">
      <c r="A553" s="2831"/>
      <c r="B553" s="2832" t="s">
        <v>1504</v>
      </c>
      <c r="C553" s="2831"/>
      <c r="D553" s="2831"/>
      <c r="E553" s="2831"/>
      <c r="F553" s="2831"/>
      <c r="G553" s="2872">
        <f>G555</f>
        <v>234000</v>
      </c>
      <c r="H553" s="2872">
        <f t="shared" ref="H553:W553" si="213">H555</f>
        <v>0</v>
      </c>
      <c r="I553" s="2872">
        <f t="shared" si="213"/>
        <v>95464</v>
      </c>
      <c r="J553" s="2872">
        <f t="shared" si="213"/>
        <v>138536</v>
      </c>
      <c r="K553" s="2872">
        <f t="shared" si="213"/>
        <v>78840</v>
      </c>
      <c r="L553" s="2872">
        <f t="shared" si="213"/>
        <v>0</v>
      </c>
      <c r="M553" s="2872">
        <f t="shared" si="213"/>
        <v>50900</v>
      </c>
      <c r="N553" s="2872">
        <f t="shared" si="213"/>
        <v>27940</v>
      </c>
      <c r="O553" s="2872">
        <f t="shared" si="213"/>
        <v>105216</v>
      </c>
      <c r="P553" s="2872">
        <f t="shared" si="213"/>
        <v>0</v>
      </c>
      <c r="Q553" s="2872">
        <f t="shared" si="213"/>
        <v>50900</v>
      </c>
      <c r="R553" s="2872">
        <f t="shared" si="213"/>
        <v>54316</v>
      </c>
      <c r="S553" s="2872">
        <f t="shared" si="213"/>
        <v>15000</v>
      </c>
      <c r="T553" s="2872">
        <f t="shared" si="213"/>
        <v>0</v>
      </c>
      <c r="U553" s="2872">
        <f t="shared" si="213"/>
        <v>15000</v>
      </c>
      <c r="V553" s="2872">
        <f t="shared" si="213"/>
        <v>0</v>
      </c>
      <c r="W553" s="2872">
        <f t="shared" si="213"/>
        <v>0</v>
      </c>
    </row>
    <row r="554" spans="1:23" s="2839" customFormat="1">
      <c r="A554" s="2835" t="s">
        <v>200</v>
      </c>
      <c r="B554" s="2836" t="s">
        <v>1197</v>
      </c>
      <c r="C554" s="2835"/>
      <c r="D554" s="2835"/>
      <c r="E554" s="2835"/>
      <c r="F554" s="2835"/>
      <c r="G554" s="2837"/>
      <c r="H554" s="2837"/>
      <c r="I554" s="2837"/>
      <c r="J554" s="2837"/>
      <c r="K554" s="2837"/>
      <c r="L554" s="2837"/>
      <c r="M554" s="2837"/>
      <c r="N554" s="2837"/>
      <c r="O554" s="2837"/>
      <c r="P554" s="2837"/>
      <c r="Q554" s="2837"/>
      <c r="R554" s="2837"/>
      <c r="S554" s="2837"/>
      <c r="T554" s="2837"/>
      <c r="U554" s="2837"/>
      <c r="V554" s="2837"/>
      <c r="W554" s="2838"/>
    </row>
    <row r="555" spans="1:23" s="2839" customFormat="1">
      <c r="A555" s="2835" t="s">
        <v>208</v>
      </c>
      <c r="B555" s="2836" t="s">
        <v>1198</v>
      </c>
      <c r="C555" s="2835"/>
      <c r="D555" s="2835"/>
      <c r="E555" s="2835"/>
      <c r="F555" s="2835"/>
      <c r="G555" s="2837">
        <f>G556</f>
        <v>234000</v>
      </c>
      <c r="H555" s="2837">
        <f t="shared" ref="H555:W556" si="214">H556</f>
        <v>0</v>
      </c>
      <c r="I555" s="2837">
        <f t="shared" si="214"/>
        <v>95464</v>
      </c>
      <c r="J555" s="2837">
        <f t="shared" si="214"/>
        <v>138536</v>
      </c>
      <c r="K555" s="2837">
        <f t="shared" si="214"/>
        <v>78840</v>
      </c>
      <c r="L555" s="2837">
        <f t="shared" si="214"/>
        <v>0</v>
      </c>
      <c r="M555" s="2837">
        <f t="shared" si="214"/>
        <v>50900</v>
      </c>
      <c r="N555" s="2837">
        <f t="shared" si="214"/>
        <v>27940</v>
      </c>
      <c r="O555" s="2837">
        <f t="shared" si="214"/>
        <v>105216</v>
      </c>
      <c r="P555" s="2837">
        <f t="shared" si="214"/>
        <v>0</v>
      </c>
      <c r="Q555" s="2837">
        <f t="shared" si="214"/>
        <v>50900</v>
      </c>
      <c r="R555" s="2837">
        <f t="shared" si="214"/>
        <v>54316</v>
      </c>
      <c r="S555" s="2837">
        <f t="shared" si="214"/>
        <v>15000</v>
      </c>
      <c r="T555" s="2837">
        <f t="shared" si="214"/>
        <v>0</v>
      </c>
      <c r="U555" s="2837">
        <f t="shared" si="214"/>
        <v>15000</v>
      </c>
      <c r="V555" s="2837">
        <f t="shared" si="214"/>
        <v>0</v>
      </c>
      <c r="W555" s="2837">
        <f t="shared" si="214"/>
        <v>0</v>
      </c>
    </row>
    <row r="556" spans="1:23" s="2844" customFormat="1" ht="52.8">
      <c r="A556" s="2840" t="s">
        <v>441</v>
      </c>
      <c r="B556" s="2841" t="s">
        <v>1540</v>
      </c>
      <c r="C556" s="2840"/>
      <c r="D556" s="2840"/>
      <c r="E556" s="2840"/>
      <c r="F556" s="2840"/>
      <c r="G556" s="2842">
        <f>G557</f>
        <v>234000</v>
      </c>
      <c r="H556" s="2842">
        <f t="shared" si="214"/>
        <v>0</v>
      </c>
      <c r="I556" s="2842">
        <f t="shared" si="214"/>
        <v>95464</v>
      </c>
      <c r="J556" s="2842">
        <f t="shared" si="214"/>
        <v>138536</v>
      </c>
      <c r="K556" s="2842">
        <f t="shared" si="214"/>
        <v>78840</v>
      </c>
      <c r="L556" s="2842">
        <f t="shared" si="214"/>
        <v>0</v>
      </c>
      <c r="M556" s="2842">
        <f t="shared" si="214"/>
        <v>50900</v>
      </c>
      <c r="N556" s="2842">
        <f t="shared" si="214"/>
        <v>27940</v>
      </c>
      <c r="O556" s="2842">
        <f t="shared" si="214"/>
        <v>105216</v>
      </c>
      <c r="P556" s="2842">
        <f t="shared" si="214"/>
        <v>0</v>
      </c>
      <c r="Q556" s="2842">
        <f t="shared" si="214"/>
        <v>50900</v>
      </c>
      <c r="R556" s="2842">
        <f t="shared" si="214"/>
        <v>54316</v>
      </c>
      <c r="S556" s="2842">
        <f t="shared" si="214"/>
        <v>15000</v>
      </c>
      <c r="T556" s="2842">
        <f t="shared" si="214"/>
        <v>0</v>
      </c>
      <c r="U556" s="2842">
        <f t="shared" si="214"/>
        <v>15000</v>
      </c>
      <c r="V556" s="2842">
        <f t="shared" si="214"/>
        <v>0</v>
      </c>
      <c r="W556" s="2842">
        <f t="shared" si="214"/>
        <v>0</v>
      </c>
    </row>
    <row r="557" spans="1:23" ht="52.8">
      <c r="A557" s="2848"/>
      <c r="B557" s="2849" t="s">
        <v>1758</v>
      </c>
      <c r="C557" s="2848" t="s">
        <v>29</v>
      </c>
      <c r="D557" s="2848" t="s">
        <v>1759</v>
      </c>
      <c r="E557" s="2848" t="s">
        <v>1760</v>
      </c>
      <c r="F557" s="2848" t="s">
        <v>1761</v>
      </c>
      <c r="G557" s="2850">
        <v>234000</v>
      </c>
      <c r="H557" s="2850"/>
      <c r="I557" s="2850">
        <v>95464</v>
      </c>
      <c r="J557" s="2850">
        <v>138536</v>
      </c>
      <c r="K557" s="2850">
        <f>SUM(L557:N557)</f>
        <v>78840</v>
      </c>
      <c r="L557" s="2850"/>
      <c r="M557" s="2850">
        <v>50900</v>
      </c>
      <c r="N557" s="2850">
        <v>27940</v>
      </c>
      <c r="O557" s="2850">
        <f>SUM(P557:R557)</f>
        <v>105216</v>
      </c>
      <c r="P557" s="2850"/>
      <c r="Q557" s="2850">
        <v>50900</v>
      </c>
      <c r="R557" s="2850">
        <v>54316</v>
      </c>
      <c r="S557" s="2850">
        <f>SUM(T557:W557)</f>
        <v>15000</v>
      </c>
      <c r="T557" s="2850"/>
      <c r="U557" s="2850">
        <v>15000</v>
      </c>
      <c r="V557" s="2850"/>
      <c r="W557" s="2850"/>
    </row>
    <row r="558" spans="1:23" s="2847" customFormat="1" ht="26.4">
      <c r="A558" s="2845" t="s">
        <v>463</v>
      </c>
      <c r="B558" s="2841" t="s">
        <v>1541</v>
      </c>
      <c r="C558" s="2845"/>
      <c r="D558" s="2845"/>
      <c r="E558" s="2845"/>
      <c r="F558" s="2845"/>
      <c r="G558" s="2846"/>
      <c r="H558" s="2846"/>
      <c r="I558" s="2846"/>
      <c r="J558" s="2846"/>
      <c r="K558" s="2846"/>
      <c r="L558" s="2846"/>
      <c r="M558" s="2846"/>
      <c r="N558" s="2846"/>
      <c r="O558" s="2846"/>
      <c r="P558" s="2846"/>
      <c r="Q558" s="2846"/>
      <c r="R558" s="2846"/>
      <c r="S558" s="2846"/>
      <c r="T558" s="2846"/>
      <c r="U558" s="2846"/>
      <c r="V558" s="2846"/>
      <c r="W558" s="2846"/>
    </row>
    <row r="559" spans="1:23" s="2839" customFormat="1" ht="52.8">
      <c r="A559" s="2856" t="s">
        <v>319</v>
      </c>
      <c r="B559" s="2857" t="s">
        <v>1863</v>
      </c>
      <c r="C559" s="2856"/>
      <c r="D559" s="2856"/>
      <c r="E559" s="2856"/>
      <c r="F559" s="2856"/>
      <c r="G559" s="2858">
        <f>G560</f>
        <v>90910</v>
      </c>
      <c r="H559" s="2858">
        <f t="shared" ref="H559:W559" si="215">H560</f>
        <v>0</v>
      </c>
      <c r="I559" s="2858">
        <f t="shared" si="215"/>
        <v>40241</v>
      </c>
      <c r="J559" s="2858">
        <f t="shared" si="215"/>
        <v>50669</v>
      </c>
      <c r="K559" s="2858">
        <f t="shared" si="215"/>
        <v>42477</v>
      </c>
      <c r="L559" s="2858">
        <f t="shared" si="215"/>
        <v>0</v>
      </c>
      <c r="M559" s="2858">
        <f t="shared" si="215"/>
        <v>26703</v>
      </c>
      <c r="N559" s="2858">
        <f t="shared" si="215"/>
        <v>15774</v>
      </c>
      <c r="O559" s="2858">
        <f t="shared" si="215"/>
        <v>42516</v>
      </c>
      <c r="P559" s="2858">
        <f t="shared" si="215"/>
        <v>0</v>
      </c>
      <c r="Q559" s="2858">
        <f t="shared" si="215"/>
        <v>26741</v>
      </c>
      <c r="R559" s="2858">
        <f t="shared" si="215"/>
        <v>15775</v>
      </c>
      <c r="S559" s="2858">
        <f t="shared" si="215"/>
        <v>13500</v>
      </c>
      <c r="T559" s="2858">
        <f t="shared" si="215"/>
        <v>0</v>
      </c>
      <c r="U559" s="2858">
        <f t="shared" si="215"/>
        <v>13500</v>
      </c>
      <c r="V559" s="2858">
        <f t="shared" si="215"/>
        <v>0</v>
      </c>
      <c r="W559" s="2858">
        <f t="shared" si="215"/>
        <v>0</v>
      </c>
    </row>
    <row r="560" spans="1:23" s="2834" customFormat="1" ht="39.6">
      <c r="A560" s="2831"/>
      <c r="B560" s="2832" t="s">
        <v>1504</v>
      </c>
      <c r="C560" s="2831"/>
      <c r="D560" s="2831"/>
      <c r="E560" s="2831"/>
      <c r="F560" s="2831"/>
      <c r="G560" s="2872">
        <f>G562</f>
        <v>90910</v>
      </c>
      <c r="H560" s="2872">
        <f t="shared" ref="H560:W560" si="216">H562</f>
        <v>0</v>
      </c>
      <c r="I560" s="2872">
        <f t="shared" si="216"/>
        <v>40241</v>
      </c>
      <c r="J560" s="2872">
        <f t="shared" si="216"/>
        <v>50669</v>
      </c>
      <c r="K560" s="2872">
        <f t="shared" si="216"/>
        <v>42477</v>
      </c>
      <c r="L560" s="2872">
        <f t="shared" si="216"/>
        <v>0</v>
      </c>
      <c r="M560" s="2872">
        <f t="shared" si="216"/>
        <v>26703</v>
      </c>
      <c r="N560" s="2872">
        <f t="shared" si="216"/>
        <v>15774</v>
      </c>
      <c r="O560" s="2872">
        <f t="shared" si="216"/>
        <v>42516</v>
      </c>
      <c r="P560" s="2872">
        <f t="shared" si="216"/>
        <v>0</v>
      </c>
      <c r="Q560" s="2872">
        <f t="shared" si="216"/>
        <v>26741</v>
      </c>
      <c r="R560" s="2872">
        <f t="shared" si="216"/>
        <v>15775</v>
      </c>
      <c r="S560" s="2872">
        <f t="shared" si="216"/>
        <v>13500</v>
      </c>
      <c r="T560" s="2872">
        <f t="shared" si="216"/>
        <v>0</v>
      </c>
      <c r="U560" s="2872">
        <f t="shared" si="216"/>
        <v>13500</v>
      </c>
      <c r="V560" s="2872">
        <f t="shared" si="216"/>
        <v>0</v>
      </c>
      <c r="W560" s="2872">
        <f t="shared" si="216"/>
        <v>0</v>
      </c>
    </row>
    <row r="561" spans="1:23" s="2839" customFormat="1">
      <c r="A561" s="2835" t="s">
        <v>200</v>
      </c>
      <c r="B561" s="2836" t="s">
        <v>1197</v>
      </c>
      <c r="C561" s="2835"/>
      <c r="D561" s="2835"/>
      <c r="E561" s="2835"/>
      <c r="F561" s="2835"/>
      <c r="G561" s="2837"/>
      <c r="H561" s="2837"/>
      <c r="I561" s="2837"/>
      <c r="J561" s="2837"/>
      <c r="K561" s="2837"/>
      <c r="L561" s="2837"/>
      <c r="M561" s="2837"/>
      <c r="N561" s="2837"/>
      <c r="O561" s="2837"/>
      <c r="P561" s="2837"/>
      <c r="Q561" s="2837"/>
      <c r="R561" s="2837"/>
      <c r="S561" s="2837"/>
      <c r="T561" s="2837"/>
      <c r="U561" s="2837"/>
      <c r="V561" s="2837"/>
      <c r="W561" s="2838"/>
    </row>
    <row r="562" spans="1:23" s="2839" customFormat="1">
      <c r="A562" s="2835" t="s">
        <v>208</v>
      </c>
      <c r="B562" s="2836" t="s">
        <v>1198</v>
      </c>
      <c r="C562" s="2835"/>
      <c r="D562" s="2835"/>
      <c r="E562" s="2835"/>
      <c r="F562" s="2835"/>
      <c r="G562" s="2837">
        <f>G563</f>
        <v>90910</v>
      </c>
      <c r="H562" s="2837">
        <f t="shared" ref="H562:W563" si="217">H563</f>
        <v>0</v>
      </c>
      <c r="I562" s="2837">
        <f t="shared" si="217"/>
        <v>40241</v>
      </c>
      <c r="J562" s="2837">
        <f t="shared" si="217"/>
        <v>50669</v>
      </c>
      <c r="K562" s="2837">
        <f t="shared" si="217"/>
        <v>42477</v>
      </c>
      <c r="L562" s="2837">
        <f t="shared" si="217"/>
        <v>0</v>
      </c>
      <c r="M562" s="2837">
        <f t="shared" si="217"/>
        <v>26703</v>
      </c>
      <c r="N562" s="2837">
        <f t="shared" si="217"/>
        <v>15774</v>
      </c>
      <c r="O562" s="2837">
        <f t="shared" si="217"/>
        <v>42516</v>
      </c>
      <c r="P562" s="2837">
        <f t="shared" si="217"/>
        <v>0</v>
      </c>
      <c r="Q562" s="2837">
        <f t="shared" si="217"/>
        <v>26741</v>
      </c>
      <c r="R562" s="2837">
        <f t="shared" si="217"/>
        <v>15775</v>
      </c>
      <c r="S562" s="2837">
        <f t="shared" si="217"/>
        <v>13500</v>
      </c>
      <c r="T562" s="2837">
        <f t="shared" si="217"/>
        <v>0</v>
      </c>
      <c r="U562" s="2837">
        <f t="shared" si="217"/>
        <v>13500</v>
      </c>
      <c r="V562" s="2837">
        <f t="shared" si="217"/>
        <v>0</v>
      </c>
      <c r="W562" s="2837">
        <f t="shared" si="217"/>
        <v>0</v>
      </c>
    </row>
    <row r="563" spans="1:23" s="2844" customFormat="1" ht="52.8">
      <c r="A563" s="2840" t="s">
        <v>441</v>
      </c>
      <c r="B563" s="2841" t="s">
        <v>1540</v>
      </c>
      <c r="C563" s="2840"/>
      <c r="D563" s="2840"/>
      <c r="E563" s="2840"/>
      <c r="F563" s="2840"/>
      <c r="G563" s="2842">
        <f>G564</f>
        <v>90910</v>
      </c>
      <c r="H563" s="2842">
        <f t="shared" si="217"/>
        <v>0</v>
      </c>
      <c r="I563" s="2842">
        <f t="shared" si="217"/>
        <v>40241</v>
      </c>
      <c r="J563" s="2842">
        <f t="shared" si="217"/>
        <v>50669</v>
      </c>
      <c r="K563" s="2842">
        <f t="shared" si="217"/>
        <v>42477</v>
      </c>
      <c r="L563" s="2842">
        <f t="shared" si="217"/>
        <v>0</v>
      </c>
      <c r="M563" s="2842">
        <f t="shared" si="217"/>
        <v>26703</v>
      </c>
      <c r="N563" s="2842">
        <f t="shared" si="217"/>
        <v>15774</v>
      </c>
      <c r="O563" s="2842">
        <f t="shared" si="217"/>
        <v>42516</v>
      </c>
      <c r="P563" s="2842">
        <f t="shared" si="217"/>
        <v>0</v>
      </c>
      <c r="Q563" s="2842">
        <f t="shared" si="217"/>
        <v>26741</v>
      </c>
      <c r="R563" s="2842">
        <f t="shared" si="217"/>
        <v>15775</v>
      </c>
      <c r="S563" s="2842">
        <f t="shared" si="217"/>
        <v>13500</v>
      </c>
      <c r="T563" s="2842">
        <f t="shared" si="217"/>
        <v>0</v>
      </c>
      <c r="U563" s="2842">
        <f t="shared" si="217"/>
        <v>13500</v>
      </c>
      <c r="V563" s="2842">
        <f t="shared" si="217"/>
        <v>0</v>
      </c>
      <c r="W563" s="2842">
        <f t="shared" si="217"/>
        <v>0</v>
      </c>
    </row>
    <row r="564" spans="1:23" ht="26.4">
      <c r="A564" s="2848"/>
      <c r="B564" s="2849" t="s">
        <v>1864</v>
      </c>
      <c r="C564" s="2848"/>
      <c r="D564" s="2848"/>
      <c r="E564" s="2848"/>
      <c r="F564" s="2848"/>
      <c r="G564" s="2850">
        <v>90910</v>
      </c>
      <c r="H564" s="2850"/>
      <c r="I564" s="2850">
        <v>40241</v>
      </c>
      <c r="J564" s="2850">
        <f>G564-I564</f>
        <v>50669</v>
      </c>
      <c r="K564" s="2850">
        <f>SUM(L564:N564)</f>
        <v>42477</v>
      </c>
      <c r="L564" s="2850"/>
      <c r="M564" s="2850">
        <f>26684+19</f>
        <v>26703</v>
      </c>
      <c r="N564" s="2850">
        <v>15774</v>
      </c>
      <c r="O564" s="2850">
        <f>SUM(P564:R564)</f>
        <v>42516</v>
      </c>
      <c r="P564" s="2850"/>
      <c r="Q564" s="2850">
        <v>26741</v>
      </c>
      <c r="R564" s="2850">
        <v>15775</v>
      </c>
      <c r="S564" s="2850">
        <f>SUM(T564:W564)</f>
        <v>13500</v>
      </c>
      <c r="T564" s="2850"/>
      <c r="U564" s="2850">
        <v>13500</v>
      </c>
      <c r="V564" s="2850"/>
      <c r="W564" s="2850"/>
    </row>
    <row r="565" spans="1:23" s="2847" customFormat="1" ht="26.4">
      <c r="A565" s="2845" t="s">
        <v>463</v>
      </c>
      <c r="B565" s="2841" t="s">
        <v>1541</v>
      </c>
      <c r="C565" s="2845"/>
      <c r="D565" s="2845"/>
      <c r="E565" s="2845"/>
      <c r="F565" s="2845"/>
      <c r="G565" s="2846"/>
      <c r="H565" s="2846"/>
      <c r="I565" s="2846"/>
      <c r="J565" s="2846"/>
      <c r="K565" s="2846"/>
      <c r="L565" s="2846"/>
      <c r="M565" s="2846"/>
      <c r="N565" s="2846"/>
      <c r="O565" s="2846"/>
      <c r="P565" s="2846"/>
      <c r="Q565" s="2846"/>
      <c r="R565" s="2846"/>
      <c r="S565" s="2846"/>
      <c r="T565" s="2846"/>
      <c r="U565" s="2846"/>
      <c r="V565" s="2846"/>
      <c r="W565" s="2846"/>
    </row>
    <row r="566" spans="1:23" s="2839" customFormat="1" ht="26.4">
      <c r="A566" s="2856" t="s">
        <v>321</v>
      </c>
      <c r="B566" s="2857" t="s">
        <v>1865</v>
      </c>
      <c r="C566" s="2856"/>
      <c r="D566" s="2856"/>
      <c r="E566" s="2856"/>
      <c r="F566" s="2856"/>
      <c r="G566" s="2858">
        <f>G567</f>
        <v>90000</v>
      </c>
      <c r="H566" s="2858">
        <f t="shared" ref="H566:W566" si="218">H567</f>
        <v>0</v>
      </c>
      <c r="I566" s="2858">
        <f t="shared" si="218"/>
        <v>75000</v>
      </c>
      <c r="J566" s="2858">
        <f t="shared" si="218"/>
        <v>15000</v>
      </c>
      <c r="K566" s="2858">
        <f t="shared" si="218"/>
        <v>39013</v>
      </c>
      <c r="L566" s="2858">
        <f t="shared" si="218"/>
        <v>0</v>
      </c>
      <c r="M566" s="2858">
        <f t="shared" si="218"/>
        <v>33862</v>
      </c>
      <c r="N566" s="2858">
        <f t="shared" si="218"/>
        <v>5151</v>
      </c>
      <c r="O566" s="2858">
        <f t="shared" si="218"/>
        <v>70900</v>
      </c>
      <c r="P566" s="2858">
        <f t="shared" si="218"/>
        <v>0</v>
      </c>
      <c r="Q566" s="2858">
        <f t="shared" si="218"/>
        <v>65000</v>
      </c>
      <c r="R566" s="2858">
        <f t="shared" si="218"/>
        <v>5900</v>
      </c>
      <c r="S566" s="2858">
        <f t="shared" si="218"/>
        <v>10000</v>
      </c>
      <c r="T566" s="2858">
        <f t="shared" si="218"/>
        <v>0</v>
      </c>
      <c r="U566" s="2858">
        <f t="shared" si="218"/>
        <v>10000</v>
      </c>
      <c r="V566" s="2858">
        <f t="shared" si="218"/>
        <v>0</v>
      </c>
      <c r="W566" s="2858">
        <f t="shared" si="218"/>
        <v>0</v>
      </c>
    </row>
    <row r="567" spans="1:23" s="2834" customFormat="1">
      <c r="A567" s="2831"/>
      <c r="B567" s="2832" t="s">
        <v>1527</v>
      </c>
      <c r="C567" s="2831"/>
      <c r="D567" s="2831"/>
      <c r="E567" s="2831"/>
      <c r="F567" s="2831"/>
      <c r="G567" s="2872">
        <f>G569</f>
        <v>90000</v>
      </c>
      <c r="H567" s="2872">
        <f t="shared" ref="H567:W567" si="219">H569</f>
        <v>0</v>
      </c>
      <c r="I567" s="2872">
        <f t="shared" si="219"/>
        <v>75000</v>
      </c>
      <c r="J567" s="2872">
        <f t="shared" si="219"/>
        <v>15000</v>
      </c>
      <c r="K567" s="2872">
        <f t="shared" si="219"/>
        <v>39013</v>
      </c>
      <c r="L567" s="2872">
        <f t="shared" si="219"/>
        <v>0</v>
      </c>
      <c r="M567" s="2872">
        <f t="shared" si="219"/>
        <v>33862</v>
      </c>
      <c r="N567" s="2872">
        <f t="shared" si="219"/>
        <v>5151</v>
      </c>
      <c r="O567" s="2872">
        <f t="shared" si="219"/>
        <v>70900</v>
      </c>
      <c r="P567" s="2872">
        <f t="shared" si="219"/>
        <v>0</v>
      </c>
      <c r="Q567" s="2872">
        <f t="shared" si="219"/>
        <v>65000</v>
      </c>
      <c r="R567" s="2872">
        <f t="shared" si="219"/>
        <v>5900</v>
      </c>
      <c r="S567" s="2872">
        <f t="shared" si="219"/>
        <v>10000</v>
      </c>
      <c r="T567" s="2872">
        <f t="shared" si="219"/>
        <v>0</v>
      </c>
      <c r="U567" s="2872">
        <f t="shared" si="219"/>
        <v>10000</v>
      </c>
      <c r="V567" s="2872">
        <f t="shared" si="219"/>
        <v>0</v>
      </c>
      <c r="W567" s="2872">
        <f t="shared" si="219"/>
        <v>0</v>
      </c>
    </row>
    <row r="568" spans="1:23" s="2839" customFormat="1">
      <c r="A568" s="2835" t="s">
        <v>200</v>
      </c>
      <c r="B568" s="2836" t="s">
        <v>1197</v>
      </c>
      <c r="C568" s="2835"/>
      <c r="D568" s="2835"/>
      <c r="E568" s="2835"/>
      <c r="F568" s="2835"/>
      <c r="G568" s="2837"/>
      <c r="H568" s="2837"/>
      <c r="I568" s="2837"/>
      <c r="J568" s="2837"/>
      <c r="K568" s="2837"/>
      <c r="L568" s="2837"/>
      <c r="M568" s="2837"/>
      <c r="N568" s="2837"/>
      <c r="O568" s="2837"/>
      <c r="P568" s="2837"/>
      <c r="Q568" s="2837"/>
      <c r="R568" s="2837"/>
      <c r="S568" s="2837"/>
      <c r="T568" s="2837"/>
      <c r="U568" s="2837"/>
      <c r="V568" s="2837"/>
      <c r="W568" s="2838"/>
    </row>
    <row r="569" spans="1:23" s="2839" customFormat="1">
      <c r="A569" s="2835" t="s">
        <v>208</v>
      </c>
      <c r="B569" s="2836" t="s">
        <v>1198</v>
      </c>
      <c r="C569" s="2835"/>
      <c r="D569" s="2835"/>
      <c r="E569" s="2835"/>
      <c r="F569" s="2835"/>
      <c r="G569" s="2837">
        <f>G571</f>
        <v>90000</v>
      </c>
      <c r="H569" s="2837">
        <f t="shared" ref="H569:W569" si="220">H571</f>
        <v>0</v>
      </c>
      <c r="I569" s="2837">
        <f t="shared" si="220"/>
        <v>75000</v>
      </c>
      <c r="J569" s="2837">
        <f t="shared" si="220"/>
        <v>15000</v>
      </c>
      <c r="K569" s="2837">
        <f t="shared" si="220"/>
        <v>39013</v>
      </c>
      <c r="L569" s="2837">
        <f t="shared" si="220"/>
        <v>0</v>
      </c>
      <c r="M569" s="2837">
        <f t="shared" si="220"/>
        <v>33862</v>
      </c>
      <c r="N569" s="2837">
        <f t="shared" si="220"/>
        <v>5151</v>
      </c>
      <c r="O569" s="2837">
        <f t="shared" si="220"/>
        <v>70900</v>
      </c>
      <c r="P569" s="2837">
        <f t="shared" si="220"/>
        <v>0</v>
      </c>
      <c r="Q569" s="2837">
        <f t="shared" si="220"/>
        <v>65000</v>
      </c>
      <c r="R569" s="2837">
        <f t="shared" si="220"/>
        <v>5900</v>
      </c>
      <c r="S569" s="2837">
        <f t="shared" si="220"/>
        <v>10000</v>
      </c>
      <c r="T569" s="2837">
        <f t="shared" si="220"/>
        <v>0</v>
      </c>
      <c r="U569" s="2837">
        <f t="shared" si="220"/>
        <v>10000</v>
      </c>
      <c r="V569" s="2837">
        <f t="shared" si="220"/>
        <v>0</v>
      </c>
      <c r="W569" s="2837">
        <f t="shared" si="220"/>
        <v>0</v>
      </c>
    </row>
    <row r="570" spans="1:23" s="2844" customFormat="1" ht="52.8">
      <c r="A570" s="2840" t="s">
        <v>441</v>
      </c>
      <c r="B570" s="2841" t="s">
        <v>1540</v>
      </c>
      <c r="C570" s="2840"/>
      <c r="D570" s="2840"/>
      <c r="E570" s="2840"/>
      <c r="F570" s="2840"/>
      <c r="G570" s="2842"/>
      <c r="H570" s="2842"/>
      <c r="I570" s="2842"/>
      <c r="J570" s="2842"/>
      <c r="K570" s="2842"/>
      <c r="L570" s="2842"/>
      <c r="M570" s="2842"/>
      <c r="N570" s="2842"/>
      <c r="O570" s="2842"/>
      <c r="P570" s="2842"/>
      <c r="Q570" s="2842"/>
      <c r="R570" s="2842"/>
      <c r="S570" s="2842"/>
      <c r="T570" s="2842"/>
      <c r="U570" s="2842"/>
      <c r="V570" s="2842"/>
      <c r="W570" s="2842"/>
    </row>
    <row r="571" spans="1:23" s="2847" customFormat="1" ht="26.4">
      <c r="A571" s="2845" t="s">
        <v>463</v>
      </c>
      <c r="B571" s="2841" t="s">
        <v>1541</v>
      </c>
      <c r="C571" s="2845"/>
      <c r="D571" s="2845"/>
      <c r="E571" s="2845"/>
      <c r="F571" s="2845"/>
      <c r="G571" s="2846">
        <f>G572</f>
        <v>90000</v>
      </c>
      <c r="H571" s="2846">
        <f t="shared" ref="H571:W571" si="221">H572</f>
        <v>0</v>
      </c>
      <c r="I571" s="2846">
        <f t="shared" si="221"/>
        <v>75000</v>
      </c>
      <c r="J571" s="2846">
        <f t="shared" si="221"/>
        <v>15000</v>
      </c>
      <c r="K571" s="2846">
        <f t="shared" si="221"/>
        <v>39013</v>
      </c>
      <c r="L571" s="2846">
        <f t="shared" si="221"/>
        <v>0</v>
      </c>
      <c r="M571" s="2846">
        <f t="shared" si="221"/>
        <v>33862</v>
      </c>
      <c r="N571" s="2846">
        <f t="shared" si="221"/>
        <v>5151</v>
      </c>
      <c r="O571" s="2846">
        <f t="shared" si="221"/>
        <v>70900</v>
      </c>
      <c r="P571" s="2846">
        <f t="shared" si="221"/>
        <v>0</v>
      </c>
      <c r="Q571" s="2846">
        <f t="shared" si="221"/>
        <v>65000</v>
      </c>
      <c r="R571" s="2846">
        <f t="shared" si="221"/>
        <v>5900</v>
      </c>
      <c r="S571" s="2846">
        <f t="shared" si="221"/>
        <v>10000</v>
      </c>
      <c r="T571" s="2846">
        <f t="shared" si="221"/>
        <v>0</v>
      </c>
      <c r="U571" s="2846">
        <f t="shared" si="221"/>
        <v>10000</v>
      </c>
      <c r="V571" s="2846">
        <f t="shared" si="221"/>
        <v>0</v>
      </c>
      <c r="W571" s="2846">
        <f t="shared" si="221"/>
        <v>0</v>
      </c>
    </row>
    <row r="572" spans="1:23" ht="158.4">
      <c r="A572" s="2859"/>
      <c r="B572" s="2860" t="s">
        <v>1866</v>
      </c>
      <c r="C572" s="2859" t="s">
        <v>1867</v>
      </c>
      <c r="D572" s="2859" t="s">
        <v>1868</v>
      </c>
      <c r="E572" s="2859" t="s">
        <v>1582</v>
      </c>
      <c r="F572" s="2859" t="s">
        <v>1869</v>
      </c>
      <c r="G572" s="2855">
        <v>90000</v>
      </c>
      <c r="H572" s="2855"/>
      <c r="I572" s="2855">
        <v>75000</v>
      </c>
      <c r="J572" s="2855">
        <v>15000</v>
      </c>
      <c r="K572" s="2850">
        <f>SUM(L572:N572)</f>
        <v>39013</v>
      </c>
      <c r="L572" s="2855"/>
      <c r="M572" s="2855">
        <f>9999+18650+4985+228</f>
        <v>33862</v>
      </c>
      <c r="N572" s="2855">
        <f>3900+871+380</f>
        <v>5151</v>
      </c>
      <c r="O572" s="2850">
        <f>SUM(P572:R572)</f>
        <v>70900</v>
      </c>
      <c r="P572" s="2855"/>
      <c r="Q572" s="2855">
        <f>10000+39000+16000</f>
        <v>65000</v>
      </c>
      <c r="R572" s="2855">
        <v>5900</v>
      </c>
      <c r="S572" s="2850">
        <f>SUM(T572:W572)</f>
        <v>10000</v>
      </c>
      <c r="T572" s="2855"/>
      <c r="U572" s="2855">
        <v>10000</v>
      </c>
      <c r="V572" s="2855"/>
      <c r="W572" s="2855"/>
    </row>
    <row r="573" spans="1:23" s="2839" customFormat="1" ht="26.4">
      <c r="A573" s="2856" t="s">
        <v>579</v>
      </c>
      <c r="B573" s="2857" t="s">
        <v>1870</v>
      </c>
      <c r="C573" s="2856"/>
      <c r="D573" s="2856"/>
      <c r="E573" s="2856"/>
      <c r="F573" s="2856"/>
      <c r="G573" s="2858">
        <f>G574</f>
        <v>47803</v>
      </c>
      <c r="H573" s="2858">
        <f t="shared" ref="H573:W573" si="222">H574</f>
        <v>0</v>
      </c>
      <c r="I573" s="2858">
        <f t="shared" si="222"/>
        <v>30000</v>
      </c>
      <c r="J573" s="2858">
        <f t="shared" si="222"/>
        <v>17803</v>
      </c>
      <c r="K573" s="2858">
        <f t="shared" si="222"/>
        <v>11303</v>
      </c>
      <c r="L573" s="2858">
        <f t="shared" si="222"/>
        <v>0</v>
      </c>
      <c r="M573" s="2858">
        <f t="shared" si="222"/>
        <v>341</v>
      </c>
      <c r="N573" s="2858">
        <f t="shared" si="222"/>
        <v>10962</v>
      </c>
      <c r="O573" s="2858">
        <f t="shared" si="222"/>
        <v>11100</v>
      </c>
      <c r="P573" s="2858">
        <f t="shared" si="222"/>
        <v>0</v>
      </c>
      <c r="Q573" s="2858">
        <f t="shared" si="222"/>
        <v>0</v>
      </c>
      <c r="R573" s="2858">
        <f t="shared" si="222"/>
        <v>11100</v>
      </c>
      <c r="S573" s="2858">
        <f t="shared" si="222"/>
        <v>27000</v>
      </c>
      <c r="T573" s="2858">
        <f t="shared" si="222"/>
        <v>0</v>
      </c>
      <c r="U573" s="2858">
        <f t="shared" si="222"/>
        <v>27000</v>
      </c>
      <c r="V573" s="2858">
        <f t="shared" si="222"/>
        <v>0</v>
      </c>
      <c r="W573" s="2858">
        <f t="shared" si="222"/>
        <v>0</v>
      </c>
    </row>
    <row r="574" spans="1:23" s="2834" customFormat="1" ht="26.4">
      <c r="A574" s="2831"/>
      <c r="B574" s="2832" t="s">
        <v>1515</v>
      </c>
      <c r="C574" s="2831"/>
      <c r="D574" s="2831"/>
      <c r="E574" s="2831"/>
      <c r="F574" s="2831"/>
      <c r="G574" s="2872">
        <f>G576</f>
        <v>47803</v>
      </c>
      <c r="H574" s="2872">
        <f t="shared" ref="H574:W574" si="223">H576</f>
        <v>0</v>
      </c>
      <c r="I574" s="2872">
        <f t="shared" si="223"/>
        <v>30000</v>
      </c>
      <c r="J574" s="2872">
        <f t="shared" si="223"/>
        <v>17803</v>
      </c>
      <c r="K574" s="2872">
        <f t="shared" si="223"/>
        <v>11303</v>
      </c>
      <c r="L574" s="2872">
        <f t="shared" si="223"/>
        <v>0</v>
      </c>
      <c r="M574" s="2872">
        <f t="shared" si="223"/>
        <v>341</v>
      </c>
      <c r="N574" s="2872">
        <f t="shared" si="223"/>
        <v>10962</v>
      </c>
      <c r="O574" s="2872">
        <f t="shared" si="223"/>
        <v>11100</v>
      </c>
      <c r="P574" s="2872">
        <f t="shared" si="223"/>
        <v>0</v>
      </c>
      <c r="Q574" s="2872">
        <f t="shared" si="223"/>
        <v>0</v>
      </c>
      <c r="R574" s="2872">
        <f t="shared" si="223"/>
        <v>11100</v>
      </c>
      <c r="S574" s="2872">
        <f t="shared" si="223"/>
        <v>27000</v>
      </c>
      <c r="T574" s="2872">
        <f t="shared" si="223"/>
        <v>0</v>
      </c>
      <c r="U574" s="2872">
        <f t="shared" si="223"/>
        <v>27000</v>
      </c>
      <c r="V574" s="2872">
        <f t="shared" si="223"/>
        <v>0</v>
      </c>
      <c r="W574" s="2872">
        <f t="shared" si="223"/>
        <v>0</v>
      </c>
    </row>
    <row r="575" spans="1:23" s="2839" customFormat="1">
      <c r="A575" s="2835" t="s">
        <v>200</v>
      </c>
      <c r="B575" s="2836" t="s">
        <v>1197</v>
      </c>
      <c r="C575" s="2835"/>
      <c r="D575" s="2835"/>
      <c r="E575" s="2835"/>
      <c r="F575" s="2835"/>
      <c r="G575" s="2837"/>
      <c r="H575" s="2837"/>
      <c r="I575" s="2837"/>
      <c r="J575" s="2837"/>
      <c r="K575" s="2837"/>
      <c r="L575" s="2837"/>
      <c r="M575" s="2837"/>
      <c r="N575" s="2837"/>
      <c r="O575" s="2837"/>
      <c r="P575" s="2837"/>
      <c r="Q575" s="2837"/>
      <c r="R575" s="2837"/>
      <c r="S575" s="2837"/>
      <c r="T575" s="2837"/>
      <c r="U575" s="2837"/>
      <c r="V575" s="2837"/>
      <c r="W575" s="2838"/>
    </row>
    <row r="576" spans="1:23" s="2839" customFormat="1">
      <c r="A576" s="2835" t="s">
        <v>208</v>
      </c>
      <c r="B576" s="2836" t="s">
        <v>1198</v>
      </c>
      <c r="C576" s="2835"/>
      <c r="D576" s="2835"/>
      <c r="E576" s="2835"/>
      <c r="F576" s="2835"/>
      <c r="G576" s="2837">
        <f>G578</f>
        <v>47803</v>
      </c>
      <c r="H576" s="2837">
        <f t="shared" ref="H576:W576" si="224">H578</f>
        <v>0</v>
      </c>
      <c r="I576" s="2837">
        <f t="shared" si="224"/>
        <v>30000</v>
      </c>
      <c r="J576" s="2837">
        <f t="shared" si="224"/>
        <v>17803</v>
      </c>
      <c r="K576" s="2837">
        <f t="shared" si="224"/>
        <v>11303</v>
      </c>
      <c r="L576" s="2837">
        <f t="shared" si="224"/>
        <v>0</v>
      </c>
      <c r="M576" s="2837">
        <f t="shared" si="224"/>
        <v>341</v>
      </c>
      <c r="N576" s="2837">
        <f t="shared" si="224"/>
        <v>10962</v>
      </c>
      <c r="O576" s="2837">
        <f t="shared" si="224"/>
        <v>11100</v>
      </c>
      <c r="P576" s="2837">
        <f t="shared" si="224"/>
        <v>0</v>
      </c>
      <c r="Q576" s="2837">
        <f t="shared" si="224"/>
        <v>0</v>
      </c>
      <c r="R576" s="2837">
        <f t="shared" si="224"/>
        <v>11100</v>
      </c>
      <c r="S576" s="2837">
        <f t="shared" si="224"/>
        <v>27000</v>
      </c>
      <c r="T576" s="2837">
        <f t="shared" si="224"/>
        <v>0</v>
      </c>
      <c r="U576" s="2837">
        <f t="shared" si="224"/>
        <v>27000</v>
      </c>
      <c r="V576" s="2837">
        <f t="shared" si="224"/>
        <v>0</v>
      </c>
      <c r="W576" s="2837">
        <f t="shared" si="224"/>
        <v>0</v>
      </c>
    </row>
    <row r="577" spans="1:23" s="2844" customFormat="1" ht="52.8">
      <c r="A577" s="2840" t="s">
        <v>441</v>
      </c>
      <c r="B577" s="2841" t="s">
        <v>1540</v>
      </c>
      <c r="C577" s="2840"/>
      <c r="D577" s="2840"/>
      <c r="E577" s="2840"/>
      <c r="F577" s="2840"/>
      <c r="G577" s="2842"/>
      <c r="H577" s="2842"/>
      <c r="I577" s="2842"/>
      <c r="J577" s="2842"/>
      <c r="K577" s="2842"/>
      <c r="L577" s="2842"/>
      <c r="M577" s="2842"/>
      <c r="N577" s="2842"/>
      <c r="O577" s="2842"/>
      <c r="P577" s="2842"/>
      <c r="Q577" s="2842"/>
      <c r="R577" s="2842"/>
      <c r="S577" s="2842"/>
      <c r="T577" s="2842"/>
      <c r="U577" s="2842"/>
      <c r="V577" s="2842"/>
      <c r="W577" s="2842"/>
    </row>
    <row r="578" spans="1:23" s="2847" customFormat="1" ht="26.4">
      <c r="A578" s="2845" t="s">
        <v>463</v>
      </c>
      <c r="B578" s="2841" t="s">
        <v>1541</v>
      </c>
      <c r="C578" s="2845"/>
      <c r="D578" s="2845"/>
      <c r="E578" s="2845"/>
      <c r="F578" s="2845"/>
      <c r="G578" s="2846">
        <f>G579</f>
        <v>47803</v>
      </c>
      <c r="H578" s="2846">
        <f t="shared" ref="H578:W578" si="225">H579</f>
        <v>0</v>
      </c>
      <c r="I578" s="2846">
        <f t="shared" si="225"/>
        <v>30000</v>
      </c>
      <c r="J578" s="2846">
        <f t="shared" si="225"/>
        <v>17803</v>
      </c>
      <c r="K578" s="2846">
        <f t="shared" si="225"/>
        <v>11303</v>
      </c>
      <c r="L578" s="2846">
        <f t="shared" si="225"/>
        <v>0</v>
      </c>
      <c r="M578" s="2846">
        <f t="shared" si="225"/>
        <v>341</v>
      </c>
      <c r="N578" s="2846">
        <f t="shared" si="225"/>
        <v>10962</v>
      </c>
      <c r="O578" s="2846">
        <f t="shared" si="225"/>
        <v>11100</v>
      </c>
      <c r="P578" s="2846">
        <f t="shared" si="225"/>
        <v>0</v>
      </c>
      <c r="Q578" s="2846">
        <f t="shared" si="225"/>
        <v>0</v>
      </c>
      <c r="R578" s="2846">
        <f t="shared" si="225"/>
        <v>11100</v>
      </c>
      <c r="S578" s="2846">
        <f t="shared" si="225"/>
        <v>27000</v>
      </c>
      <c r="T578" s="2846">
        <f t="shared" si="225"/>
        <v>0</v>
      </c>
      <c r="U578" s="2846">
        <f t="shared" si="225"/>
        <v>27000</v>
      </c>
      <c r="V578" s="2846">
        <f t="shared" si="225"/>
        <v>0</v>
      </c>
      <c r="W578" s="2846">
        <f t="shared" si="225"/>
        <v>0</v>
      </c>
    </row>
    <row r="579" spans="1:23" ht="92.4">
      <c r="A579" s="2848"/>
      <c r="B579" s="2849" t="s">
        <v>1618</v>
      </c>
      <c r="C579" s="2848" t="s">
        <v>1619</v>
      </c>
      <c r="D579" s="2848" t="s">
        <v>1551</v>
      </c>
      <c r="E579" s="2848" t="s">
        <v>1620</v>
      </c>
      <c r="F579" s="2848" t="s">
        <v>1621</v>
      </c>
      <c r="G579" s="2850">
        <v>47803</v>
      </c>
      <c r="H579" s="2850"/>
      <c r="I579" s="2850">
        <v>30000</v>
      </c>
      <c r="J579" s="2850">
        <v>17803</v>
      </c>
      <c r="K579" s="2850">
        <f>SUM(L579:N579)</f>
        <v>11303</v>
      </c>
      <c r="L579" s="2850"/>
      <c r="M579" s="2850">
        <v>341</v>
      </c>
      <c r="N579" s="2850">
        <v>10962</v>
      </c>
      <c r="O579" s="2850">
        <f>SUM(P579:R579)</f>
        <v>11100</v>
      </c>
      <c r="P579" s="2850"/>
      <c r="Q579" s="2850"/>
      <c r="R579" s="2850">
        <v>11100</v>
      </c>
      <c r="S579" s="2850">
        <f>SUM(T579:W579)</f>
        <v>27000</v>
      </c>
      <c r="T579" s="2850"/>
      <c r="U579" s="2850">
        <v>27000</v>
      </c>
      <c r="V579" s="2850"/>
      <c r="W579" s="2850"/>
    </row>
    <row r="580" spans="1:23" s="2839" customFormat="1" ht="39.6">
      <c r="A580" s="2856" t="s">
        <v>1222</v>
      </c>
      <c r="B580" s="2857" t="s">
        <v>1871</v>
      </c>
      <c r="C580" s="2856"/>
      <c r="D580" s="2856"/>
      <c r="E580" s="2856"/>
      <c r="F580" s="2856"/>
      <c r="G580" s="2858">
        <f>G581+G587+G593+G599+G605+G611+G617</f>
        <v>2805742.04801</v>
      </c>
      <c r="H580" s="2858">
        <f t="shared" ref="H580:W580" si="226">H581+H587+H593+H599+H605+H611+H617</f>
        <v>1846839</v>
      </c>
      <c r="I580" s="2858">
        <f t="shared" si="226"/>
        <v>742768</v>
      </c>
      <c r="J580" s="2858">
        <f t="shared" si="226"/>
        <v>216135</v>
      </c>
      <c r="K580" s="2858">
        <f t="shared" si="226"/>
        <v>1540818</v>
      </c>
      <c r="L580" s="2858">
        <f t="shared" si="226"/>
        <v>1262210</v>
      </c>
      <c r="M580" s="2858">
        <f t="shared" si="226"/>
        <v>276733</v>
      </c>
      <c r="N580" s="2858">
        <f t="shared" si="226"/>
        <v>1875</v>
      </c>
      <c r="O580" s="2858">
        <f t="shared" si="226"/>
        <v>1739268</v>
      </c>
      <c r="P580" s="2858">
        <f t="shared" si="226"/>
        <v>1428120</v>
      </c>
      <c r="Q580" s="2858">
        <f t="shared" si="226"/>
        <v>216606</v>
      </c>
      <c r="R580" s="2858">
        <f t="shared" si="226"/>
        <v>94542</v>
      </c>
      <c r="S580" s="2858">
        <f t="shared" si="226"/>
        <v>311744</v>
      </c>
      <c r="T580" s="2858">
        <f t="shared" si="226"/>
        <v>270211</v>
      </c>
      <c r="U580" s="2858">
        <f t="shared" si="226"/>
        <v>41533</v>
      </c>
      <c r="V580" s="2858">
        <f t="shared" si="226"/>
        <v>0</v>
      </c>
      <c r="W580" s="2858">
        <f t="shared" si="226"/>
        <v>0</v>
      </c>
    </row>
    <row r="581" spans="1:23" s="2834" customFormat="1">
      <c r="A581" s="2831">
        <v>1</v>
      </c>
      <c r="B581" s="2832" t="s">
        <v>611</v>
      </c>
      <c r="C581" s="2831"/>
      <c r="D581" s="2831"/>
      <c r="E581" s="2831"/>
      <c r="F581" s="2831"/>
      <c r="G581" s="2872">
        <f>G583</f>
        <v>475208</v>
      </c>
      <c r="H581" s="2872">
        <f t="shared" ref="H581:W581" si="227">H583</f>
        <v>333936</v>
      </c>
      <c r="I581" s="2872">
        <f t="shared" si="227"/>
        <v>113017</v>
      </c>
      <c r="J581" s="2872">
        <f t="shared" si="227"/>
        <v>28255</v>
      </c>
      <c r="K581" s="2872">
        <f t="shared" si="227"/>
        <v>325120</v>
      </c>
      <c r="L581" s="2872">
        <f t="shared" si="227"/>
        <v>239358</v>
      </c>
      <c r="M581" s="2872">
        <f t="shared" si="227"/>
        <v>85762</v>
      </c>
      <c r="N581" s="2872">
        <f t="shared" si="227"/>
        <v>0</v>
      </c>
      <c r="O581" s="2872">
        <f t="shared" si="227"/>
        <v>393864</v>
      </c>
      <c r="P581" s="2872">
        <f t="shared" si="227"/>
        <v>319578</v>
      </c>
      <c r="Q581" s="2872">
        <f t="shared" si="227"/>
        <v>71576</v>
      </c>
      <c r="R581" s="2872">
        <f t="shared" si="227"/>
        <v>2710</v>
      </c>
      <c r="S581" s="2872">
        <f t="shared" si="227"/>
        <v>73000</v>
      </c>
      <c r="T581" s="2872">
        <f t="shared" si="227"/>
        <v>55000</v>
      </c>
      <c r="U581" s="2872">
        <f t="shared" si="227"/>
        <v>18000</v>
      </c>
      <c r="V581" s="2872">
        <f t="shared" si="227"/>
        <v>0</v>
      </c>
      <c r="W581" s="2872">
        <f t="shared" si="227"/>
        <v>0</v>
      </c>
    </row>
    <row r="582" spans="1:23" s="2839" customFormat="1">
      <c r="A582" s="2835" t="s">
        <v>200</v>
      </c>
      <c r="B582" s="2836" t="s">
        <v>1197</v>
      </c>
      <c r="C582" s="2835"/>
      <c r="D582" s="2835"/>
      <c r="E582" s="2835"/>
      <c r="F582" s="2835"/>
      <c r="G582" s="2837"/>
      <c r="H582" s="2837"/>
      <c r="I582" s="2837"/>
      <c r="J582" s="2837"/>
      <c r="K582" s="2837"/>
      <c r="L582" s="2837"/>
      <c r="M582" s="2837"/>
      <c r="N582" s="2837"/>
      <c r="O582" s="2837"/>
      <c r="P582" s="2837"/>
      <c r="Q582" s="2837"/>
      <c r="R582" s="2837"/>
      <c r="S582" s="2837"/>
      <c r="T582" s="2837"/>
      <c r="U582" s="2837"/>
      <c r="V582" s="2837"/>
      <c r="W582" s="2838"/>
    </row>
    <row r="583" spans="1:23" s="2839" customFormat="1">
      <c r="A583" s="2835" t="s">
        <v>208</v>
      </c>
      <c r="B583" s="2836" t="s">
        <v>1198</v>
      </c>
      <c r="C583" s="2835"/>
      <c r="D583" s="2835"/>
      <c r="E583" s="2835"/>
      <c r="F583" s="2835"/>
      <c r="G583" s="2837">
        <f>G584</f>
        <v>475208</v>
      </c>
      <c r="H583" s="2837">
        <f t="shared" ref="H583:W584" si="228">H584</f>
        <v>333936</v>
      </c>
      <c r="I583" s="2837">
        <f t="shared" si="228"/>
        <v>113017</v>
      </c>
      <c r="J583" s="2837">
        <f t="shared" si="228"/>
        <v>28255</v>
      </c>
      <c r="K583" s="2837">
        <f t="shared" si="228"/>
        <v>325120</v>
      </c>
      <c r="L583" s="2837">
        <f t="shared" si="228"/>
        <v>239358</v>
      </c>
      <c r="M583" s="2837">
        <f t="shared" si="228"/>
        <v>85762</v>
      </c>
      <c r="N583" s="2837">
        <f t="shared" si="228"/>
        <v>0</v>
      </c>
      <c r="O583" s="2837">
        <f t="shared" si="228"/>
        <v>393864</v>
      </c>
      <c r="P583" s="2837">
        <f t="shared" si="228"/>
        <v>319578</v>
      </c>
      <c r="Q583" s="2837">
        <f t="shared" si="228"/>
        <v>71576</v>
      </c>
      <c r="R583" s="2837">
        <f t="shared" si="228"/>
        <v>2710</v>
      </c>
      <c r="S583" s="2837">
        <f t="shared" si="228"/>
        <v>73000</v>
      </c>
      <c r="T583" s="2837">
        <f t="shared" si="228"/>
        <v>55000</v>
      </c>
      <c r="U583" s="2837">
        <f t="shared" si="228"/>
        <v>18000</v>
      </c>
      <c r="V583" s="2837">
        <f t="shared" si="228"/>
        <v>0</v>
      </c>
      <c r="W583" s="2837">
        <f t="shared" si="228"/>
        <v>0</v>
      </c>
    </row>
    <row r="584" spans="1:23" s="2844" customFormat="1" ht="52.8">
      <c r="A584" s="2840" t="s">
        <v>441</v>
      </c>
      <c r="B584" s="2841" t="s">
        <v>1540</v>
      </c>
      <c r="C584" s="2840"/>
      <c r="D584" s="2840"/>
      <c r="E584" s="2840"/>
      <c r="F584" s="2840"/>
      <c r="G584" s="2842">
        <f>G585</f>
        <v>475208</v>
      </c>
      <c r="H584" s="2842">
        <f t="shared" si="228"/>
        <v>333936</v>
      </c>
      <c r="I584" s="2842">
        <f t="shared" si="228"/>
        <v>113017</v>
      </c>
      <c r="J584" s="2842">
        <f t="shared" si="228"/>
        <v>28255</v>
      </c>
      <c r="K584" s="2842">
        <f t="shared" si="228"/>
        <v>325120</v>
      </c>
      <c r="L584" s="2842">
        <f t="shared" si="228"/>
        <v>239358</v>
      </c>
      <c r="M584" s="2842">
        <f t="shared" si="228"/>
        <v>85762</v>
      </c>
      <c r="N584" s="2842">
        <f t="shared" si="228"/>
        <v>0</v>
      </c>
      <c r="O584" s="2842">
        <f t="shared" si="228"/>
        <v>393864</v>
      </c>
      <c r="P584" s="2842">
        <f t="shared" si="228"/>
        <v>319578</v>
      </c>
      <c r="Q584" s="2842">
        <f t="shared" si="228"/>
        <v>71576</v>
      </c>
      <c r="R584" s="2842">
        <f t="shared" si="228"/>
        <v>2710</v>
      </c>
      <c r="S584" s="2842">
        <f t="shared" si="228"/>
        <v>73000</v>
      </c>
      <c r="T584" s="2842">
        <f t="shared" si="228"/>
        <v>55000</v>
      </c>
      <c r="U584" s="2842">
        <f t="shared" si="228"/>
        <v>18000</v>
      </c>
      <c r="V584" s="2842">
        <f t="shared" si="228"/>
        <v>0</v>
      </c>
      <c r="W584" s="2842">
        <f t="shared" si="228"/>
        <v>0</v>
      </c>
    </row>
    <row r="585" spans="1:23" ht="66">
      <c r="A585" s="2848"/>
      <c r="B585" s="2849" t="s">
        <v>1872</v>
      </c>
      <c r="C585" s="2848" t="s">
        <v>1873</v>
      </c>
      <c r="D585" s="2848" t="s">
        <v>1874</v>
      </c>
      <c r="E585" s="2848" t="s">
        <v>1875</v>
      </c>
      <c r="F585" s="2848" t="s">
        <v>1876</v>
      </c>
      <c r="G585" s="2850">
        <v>475208</v>
      </c>
      <c r="H585" s="2850">
        <v>333936</v>
      </c>
      <c r="I585" s="2850">
        <v>113017</v>
      </c>
      <c r="J585" s="2850">
        <v>28255</v>
      </c>
      <c r="K585" s="2850">
        <f t="shared" ref="K585" si="229">L585+M585+N585</f>
        <v>325120</v>
      </c>
      <c r="L585" s="2852">
        <f>223088+16270</f>
        <v>239358</v>
      </c>
      <c r="M585" s="2852">
        <f>71576+14186</f>
        <v>85762</v>
      </c>
      <c r="N585" s="2852"/>
      <c r="O585" s="2850">
        <f t="shared" ref="O585" si="230">P585+Q585+R585</f>
        <v>393864</v>
      </c>
      <c r="P585" s="2852">
        <f>223088+96490</f>
        <v>319578</v>
      </c>
      <c r="Q585" s="2852">
        <v>71576</v>
      </c>
      <c r="R585" s="2852">
        <v>2710</v>
      </c>
      <c r="S585" s="2850">
        <f>SUM(T585:W585)</f>
        <v>73000</v>
      </c>
      <c r="T585" s="2850">
        <v>55000</v>
      </c>
      <c r="U585" s="2850">
        <v>18000</v>
      </c>
      <c r="V585" s="2850"/>
      <c r="W585" s="2850"/>
    </row>
    <row r="586" spans="1:23" s="2847" customFormat="1" ht="26.4">
      <c r="A586" s="2845" t="s">
        <v>463</v>
      </c>
      <c r="B586" s="2841" t="s">
        <v>1541</v>
      </c>
      <c r="C586" s="2845"/>
      <c r="D586" s="2845"/>
      <c r="E586" s="2845"/>
      <c r="F586" s="2845"/>
      <c r="G586" s="2846"/>
      <c r="H586" s="2846"/>
      <c r="I586" s="2846"/>
      <c r="J586" s="2846"/>
      <c r="K586" s="2846"/>
      <c r="L586" s="2846"/>
      <c r="M586" s="2846"/>
      <c r="N586" s="2846"/>
      <c r="O586" s="2846"/>
      <c r="P586" s="2846"/>
      <c r="Q586" s="2846"/>
      <c r="R586" s="2846"/>
      <c r="S586" s="2846"/>
      <c r="T586" s="2846"/>
      <c r="U586" s="2846"/>
      <c r="V586" s="2846"/>
      <c r="W586" s="2846"/>
    </row>
    <row r="587" spans="1:23" s="2834" customFormat="1">
      <c r="A587" s="2831">
        <v>2</v>
      </c>
      <c r="B587" s="2832" t="s">
        <v>1877</v>
      </c>
      <c r="C587" s="2831"/>
      <c r="D587" s="2831"/>
      <c r="E587" s="2831"/>
      <c r="F587" s="2831"/>
      <c r="G587" s="2872">
        <f>G589</f>
        <v>517800</v>
      </c>
      <c r="H587" s="2872">
        <f t="shared" ref="H587:W587" si="231">H589</f>
        <v>357000</v>
      </c>
      <c r="I587" s="2872">
        <f t="shared" si="231"/>
        <v>160800</v>
      </c>
      <c r="J587" s="2872">
        <f t="shared" si="231"/>
        <v>0</v>
      </c>
      <c r="K587" s="2872">
        <f t="shared" si="231"/>
        <v>108622</v>
      </c>
      <c r="L587" s="2872">
        <f t="shared" si="231"/>
        <v>84972</v>
      </c>
      <c r="M587" s="2872">
        <f t="shared" si="231"/>
        <v>23650</v>
      </c>
      <c r="N587" s="2872">
        <f t="shared" si="231"/>
        <v>0</v>
      </c>
      <c r="O587" s="2872">
        <f t="shared" si="231"/>
        <v>118617</v>
      </c>
      <c r="P587" s="2872">
        <f t="shared" si="231"/>
        <v>95617</v>
      </c>
      <c r="Q587" s="2872">
        <f t="shared" si="231"/>
        <v>23000</v>
      </c>
      <c r="R587" s="2872">
        <f t="shared" si="231"/>
        <v>0</v>
      </c>
      <c r="S587" s="2872">
        <f t="shared" si="231"/>
        <v>33533</v>
      </c>
      <c r="T587" s="2872">
        <f t="shared" si="231"/>
        <v>20000</v>
      </c>
      <c r="U587" s="2872">
        <f t="shared" si="231"/>
        <v>13533</v>
      </c>
      <c r="V587" s="2872">
        <f t="shared" si="231"/>
        <v>0</v>
      </c>
      <c r="W587" s="2872">
        <f t="shared" si="231"/>
        <v>0</v>
      </c>
    </row>
    <row r="588" spans="1:23" s="2839" customFormat="1">
      <c r="A588" s="2835" t="s">
        <v>200</v>
      </c>
      <c r="B588" s="2836" t="s">
        <v>1197</v>
      </c>
      <c r="C588" s="2835"/>
      <c r="D588" s="2835"/>
      <c r="E588" s="2835"/>
      <c r="F588" s="2835"/>
      <c r="G588" s="2837"/>
      <c r="H588" s="2837"/>
      <c r="I588" s="2837"/>
      <c r="J588" s="2837"/>
      <c r="K588" s="2837"/>
      <c r="L588" s="2837"/>
      <c r="M588" s="2837"/>
      <c r="N588" s="2837"/>
      <c r="O588" s="2837"/>
      <c r="P588" s="2837"/>
      <c r="Q588" s="2837"/>
      <c r="R588" s="2837"/>
      <c r="S588" s="2837"/>
      <c r="T588" s="2837"/>
      <c r="U588" s="2837"/>
      <c r="V588" s="2837"/>
      <c r="W588" s="2838"/>
    </row>
    <row r="589" spans="1:23" s="2839" customFormat="1">
      <c r="A589" s="2835" t="s">
        <v>208</v>
      </c>
      <c r="B589" s="2836" t="s">
        <v>1198</v>
      </c>
      <c r="C589" s="2835"/>
      <c r="D589" s="2835"/>
      <c r="E589" s="2835"/>
      <c r="F589" s="2835"/>
      <c r="G589" s="2837">
        <f>G591</f>
        <v>517800</v>
      </c>
      <c r="H589" s="2837">
        <f t="shared" ref="H589:W589" si="232">H591</f>
        <v>357000</v>
      </c>
      <c r="I589" s="2837">
        <f t="shared" si="232"/>
        <v>160800</v>
      </c>
      <c r="J589" s="2837">
        <f t="shared" si="232"/>
        <v>0</v>
      </c>
      <c r="K589" s="2837">
        <f t="shared" si="232"/>
        <v>108622</v>
      </c>
      <c r="L589" s="2837">
        <f t="shared" si="232"/>
        <v>84972</v>
      </c>
      <c r="M589" s="2837">
        <f t="shared" si="232"/>
        <v>23650</v>
      </c>
      <c r="N589" s="2837">
        <f t="shared" si="232"/>
        <v>0</v>
      </c>
      <c r="O589" s="2837">
        <f t="shared" si="232"/>
        <v>118617</v>
      </c>
      <c r="P589" s="2837">
        <f t="shared" si="232"/>
        <v>95617</v>
      </c>
      <c r="Q589" s="2837">
        <f t="shared" si="232"/>
        <v>23000</v>
      </c>
      <c r="R589" s="2837">
        <f t="shared" si="232"/>
        <v>0</v>
      </c>
      <c r="S589" s="2837">
        <f t="shared" si="232"/>
        <v>33533</v>
      </c>
      <c r="T589" s="2837">
        <f t="shared" si="232"/>
        <v>20000</v>
      </c>
      <c r="U589" s="2837">
        <f t="shared" si="232"/>
        <v>13533</v>
      </c>
      <c r="V589" s="2837">
        <f t="shared" si="232"/>
        <v>0</v>
      </c>
      <c r="W589" s="2837">
        <f t="shared" si="232"/>
        <v>0</v>
      </c>
    </row>
    <row r="590" spans="1:23" s="2844" customFormat="1" ht="52.8">
      <c r="A590" s="2840" t="s">
        <v>441</v>
      </c>
      <c r="B590" s="2841" t="s">
        <v>1540</v>
      </c>
      <c r="C590" s="2840"/>
      <c r="D590" s="2840"/>
      <c r="E590" s="2840"/>
      <c r="F590" s="2840"/>
      <c r="G590" s="2842"/>
      <c r="H590" s="2842"/>
      <c r="I590" s="2842"/>
      <c r="J590" s="2842"/>
      <c r="K590" s="2842"/>
      <c r="L590" s="2842"/>
      <c r="M590" s="2842"/>
      <c r="N590" s="2842"/>
      <c r="O590" s="2842"/>
      <c r="P590" s="2842"/>
      <c r="Q590" s="2842"/>
      <c r="R590" s="2842"/>
      <c r="S590" s="2842"/>
      <c r="T590" s="2842"/>
      <c r="U590" s="2842"/>
      <c r="V590" s="2842"/>
      <c r="W590" s="2842"/>
    </row>
    <row r="591" spans="1:23" s="2847" customFormat="1" ht="26.4">
      <c r="A591" s="2845" t="s">
        <v>463</v>
      </c>
      <c r="B591" s="2841" t="s">
        <v>1541</v>
      </c>
      <c r="C591" s="2845"/>
      <c r="D591" s="2845"/>
      <c r="E591" s="2845"/>
      <c r="F591" s="2845"/>
      <c r="G591" s="2846">
        <f>G592</f>
        <v>517800</v>
      </c>
      <c r="H591" s="2846">
        <f t="shared" ref="H591:W591" si="233">H592</f>
        <v>357000</v>
      </c>
      <c r="I591" s="2846">
        <f t="shared" si="233"/>
        <v>160800</v>
      </c>
      <c r="J591" s="2846">
        <f t="shared" si="233"/>
        <v>0</v>
      </c>
      <c r="K591" s="2846">
        <f t="shared" si="233"/>
        <v>108622</v>
      </c>
      <c r="L591" s="2846">
        <f t="shared" si="233"/>
        <v>84972</v>
      </c>
      <c r="M591" s="2846">
        <f t="shared" si="233"/>
        <v>23650</v>
      </c>
      <c r="N591" s="2846">
        <f t="shared" si="233"/>
        <v>0</v>
      </c>
      <c r="O591" s="2846">
        <f t="shared" si="233"/>
        <v>118617</v>
      </c>
      <c r="P591" s="2846">
        <f t="shared" si="233"/>
        <v>95617</v>
      </c>
      <c r="Q591" s="2846">
        <f t="shared" si="233"/>
        <v>23000</v>
      </c>
      <c r="R591" s="2846">
        <f t="shared" si="233"/>
        <v>0</v>
      </c>
      <c r="S591" s="2846">
        <f t="shared" si="233"/>
        <v>33533</v>
      </c>
      <c r="T591" s="2846">
        <f t="shared" si="233"/>
        <v>20000</v>
      </c>
      <c r="U591" s="2846">
        <f t="shared" si="233"/>
        <v>13533</v>
      </c>
      <c r="V591" s="2846">
        <f t="shared" si="233"/>
        <v>0</v>
      </c>
      <c r="W591" s="2846">
        <f t="shared" si="233"/>
        <v>0</v>
      </c>
    </row>
    <row r="592" spans="1:23" ht="52.8">
      <c r="A592" s="2859"/>
      <c r="B592" s="2860" t="s">
        <v>1878</v>
      </c>
      <c r="C592" s="2859" t="s">
        <v>1879</v>
      </c>
      <c r="D592" s="2859"/>
      <c r="E592" s="2859"/>
      <c r="F592" s="2859" t="s">
        <v>1880</v>
      </c>
      <c r="G592" s="2855">
        <v>517800</v>
      </c>
      <c r="H592" s="2855">
        <v>357000</v>
      </c>
      <c r="I592" s="2855">
        <v>160800</v>
      </c>
      <c r="J592" s="2855"/>
      <c r="K592" s="2850">
        <f t="shared" ref="K592" si="234">L592+M592+N592</f>
        <v>108622</v>
      </c>
      <c r="L592" s="2852">
        <f>74797+341+9834</f>
        <v>84972</v>
      </c>
      <c r="M592" s="2852">
        <f>19672+1544+2434</f>
        <v>23650</v>
      </c>
      <c r="N592" s="2852"/>
      <c r="O592" s="2850">
        <f t="shared" ref="O592" si="235">P592+Q592+R592</f>
        <v>118617</v>
      </c>
      <c r="P592" s="2852">
        <f>74797+1200+19620</f>
        <v>95617</v>
      </c>
      <c r="Q592" s="2852">
        <f>23000</f>
        <v>23000</v>
      </c>
      <c r="R592" s="2852"/>
      <c r="S592" s="2850">
        <f>SUM(T592:W592)</f>
        <v>33533</v>
      </c>
      <c r="T592" s="2855">
        <v>20000</v>
      </c>
      <c r="U592" s="2855">
        <v>13533</v>
      </c>
      <c r="V592" s="2855"/>
      <c r="W592" s="2855"/>
    </row>
    <row r="593" spans="1:23" s="2834" customFormat="1">
      <c r="A593" s="2831">
        <v>3</v>
      </c>
      <c r="B593" s="2832" t="s">
        <v>1528</v>
      </c>
      <c r="C593" s="2831"/>
      <c r="D593" s="2831"/>
      <c r="E593" s="2831"/>
      <c r="F593" s="2831"/>
      <c r="G593" s="2872">
        <f>G595</f>
        <v>1096018</v>
      </c>
      <c r="H593" s="2872">
        <f t="shared" ref="H593:W593" si="236">H595</f>
        <v>874360</v>
      </c>
      <c r="I593" s="2872">
        <f t="shared" si="236"/>
        <v>221658</v>
      </c>
      <c r="J593" s="2872">
        <f t="shared" si="236"/>
        <v>0</v>
      </c>
      <c r="K593" s="2872">
        <f t="shared" si="236"/>
        <v>988593</v>
      </c>
      <c r="L593" s="2872">
        <f t="shared" si="236"/>
        <v>871601</v>
      </c>
      <c r="M593" s="2872">
        <f t="shared" si="236"/>
        <v>116992</v>
      </c>
      <c r="N593" s="2872">
        <f t="shared" si="236"/>
        <v>0</v>
      </c>
      <c r="O593" s="2872">
        <f t="shared" si="236"/>
        <v>982454</v>
      </c>
      <c r="P593" s="2872">
        <f t="shared" si="236"/>
        <v>871601</v>
      </c>
      <c r="Q593" s="2872">
        <f t="shared" si="236"/>
        <v>110853</v>
      </c>
      <c r="R593" s="2872">
        <f t="shared" si="236"/>
        <v>0</v>
      </c>
      <c r="S593" s="2872">
        <f t="shared" si="236"/>
        <v>10000</v>
      </c>
      <c r="T593" s="2872">
        <f t="shared" si="236"/>
        <v>0</v>
      </c>
      <c r="U593" s="2872">
        <f t="shared" si="236"/>
        <v>10000</v>
      </c>
      <c r="V593" s="2872">
        <f t="shared" si="236"/>
        <v>0</v>
      </c>
      <c r="W593" s="2872">
        <f t="shared" si="236"/>
        <v>0</v>
      </c>
    </row>
    <row r="594" spans="1:23" s="2839" customFormat="1">
      <c r="A594" s="2835" t="s">
        <v>200</v>
      </c>
      <c r="B594" s="2836" t="s">
        <v>1197</v>
      </c>
      <c r="C594" s="2835"/>
      <c r="D594" s="2835"/>
      <c r="E594" s="2835"/>
      <c r="F594" s="2835"/>
      <c r="G594" s="2837"/>
      <c r="H594" s="2837"/>
      <c r="I594" s="2837"/>
      <c r="J594" s="2837"/>
      <c r="K594" s="2837"/>
      <c r="L594" s="2837"/>
      <c r="M594" s="2837"/>
      <c r="N594" s="2837"/>
      <c r="O594" s="2837"/>
      <c r="P594" s="2837"/>
      <c r="Q594" s="2837"/>
      <c r="R594" s="2837"/>
      <c r="S594" s="2837"/>
      <c r="T594" s="2837"/>
      <c r="U594" s="2837"/>
      <c r="V594" s="2837"/>
      <c r="W594" s="2838"/>
    </row>
    <row r="595" spans="1:23" s="2839" customFormat="1">
      <c r="A595" s="2835" t="s">
        <v>208</v>
      </c>
      <c r="B595" s="2836" t="s">
        <v>1198</v>
      </c>
      <c r="C595" s="2835"/>
      <c r="D595" s="2835"/>
      <c r="E595" s="2835"/>
      <c r="F595" s="2835"/>
      <c r="G595" s="2837">
        <f>G596</f>
        <v>1096018</v>
      </c>
      <c r="H595" s="2837">
        <f t="shared" ref="H595:W596" si="237">H596</f>
        <v>874360</v>
      </c>
      <c r="I595" s="2837">
        <f t="shared" si="237"/>
        <v>221658</v>
      </c>
      <c r="J595" s="2837">
        <f t="shared" si="237"/>
        <v>0</v>
      </c>
      <c r="K595" s="2837">
        <f t="shared" si="237"/>
        <v>988593</v>
      </c>
      <c r="L595" s="2837">
        <f t="shared" si="237"/>
        <v>871601</v>
      </c>
      <c r="M595" s="2837">
        <f t="shared" si="237"/>
        <v>116992</v>
      </c>
      <c r="N595" s="2837">
        <f t="shared" si="237"/>
        <v>0</v>
      </c>
      <c r="O595" s="2837">
        <f t="shared" si="237"/>
        <v>982454</v>
      </c>
      <c r="P595" s="2837">
        <f t="shared" si="237"/>
        <v>871601</v>
      </c>
      <c r="Q595" s="2837">
        <f t="shared" si="237"/>
        <v>110853</v>
      </c>
      <c r="R595" s="2837">
        <f t="shared" si="237"/>
        <v>0</v>
      </c>
      <c r="S595" s="2837">
        <f t="shared" si="237"/>
        <v>10000</v>
      </c>
      <c r="T595" s="2837">
        <f t="shared" si="237"/>
        <v>0</v>
      </c>
      <c r="U595" s="2837">
        <f t="shared" si="237"/>
        <v>10000</v>
      </c>
      <c r="V595" s="2837">
        <f t="shared" si="237"/>
        <v>0</v>
      </c>
      <c r="W595" s="2837">
        <f t="shared" si="237"/>
        <v>0</v>
      </c>
    </row>
    <row r="596" spans="1:23" s="2844" customFormat="1" ht="52.8">
      <c r="A596" s="2840" t="s">
        <v>441</v>
      </c>
      <c r="B596" s="2841" t="s">
        <v>1540</v>
      </c>
      <c r="C596" s="2840"/>
      <c r="D596" s="2840"/>
      <c r="E596" s="2840"/>
      <c r="F596" s="2840"/>
      <c r="G596" s="2842">
        <f>G597</f>
        <v>1096018</v>
      </c>
      <c r="H596" s="2842">
        <f t="shared" si="237"/>
        <v>874360</v>
      </c>
      <c r="I596" s="2842">
        <f t="shared" si="237"/>
        <v>221658</v>
      </c>
      <c r="J596" s="2842">
        <f t="shared" si="237"/>
        <v>0</v>
      </c>
      <c r="K596" s="2842">
        <f t="shared" si="237"/>
        <v>988593</v>
      </c>
      <c r="L596" s="2842">
        <f t="shared" si="237"/>
        <v>871601</v>
      </c>
      <c r="M596" s="2842">
        <f t="shared" si="237"/>
        <v>116992</v>
      </c>
      <c r="N596" s="2842">
        <f t="shared" si="237"/>
        <v>0</v>
      </c>
      <c r="O596" s="2842">
        <f t="shared" si="237"/>
        <v>982454</v>
      </c>
      <c r="P596" s="2842">
        <f t="shared" si="237"/>
        <v>871601</v>
      </c>
      <c r="Q596" s="2842">
        <f t="shared" si="237"/>
        <v>110853</v>
      </c>
      <c r="R596" s="2842">
        <f t="shared" si="237"/>
        <v>0</v>
      </c>
      <c r="S596" s="2842">
        <f t="shared" si="237"/>
        <v>10000</v>
      </c>
      <c r="T596" s="2842">
        <f t="shared" si="237"/>
        <v>0</v>
      </c>
      <c r="U596" s="2842">
        <f t="shared" si="237"/>
        <v>10000</v>
      </c>
      <c r="V596" s="2842">
        <f t="shared" si="237"/>
        <v>0</v>
      </c>
      <c r="W596" s="2842">
        <f t="shared" si="237"/>
        <v>0</v>
      </c>
    </row>
    <row r="597" spans="1:23" ht="171.6">
      <c r="A597" s="2848"/>
      <c r="B597" s="2849" t="s">
        <v>1597</v>
      </c>
      <c r="C597" s="2848" t="s">
        <v>41</v>
      </c>
      <c r="D597" s="2848" t="s">
        <v>1881</v>
      </c>
      <c r="E597" s="2848" t="s">
        <v>1882</v>
      </c>
      <c r="F597" s="2848" t="s">
        <v>1883</v>
      </c>
      <c r="G597" s="2850">
        <v>1096018</v>
      </c>
      <c r="H597" s="2850">
        <v>874360</v>
      </c>
      <c r="I597" s="2850">
        <v>221658</v>
      </c>
      <c r="J597" s="2850"/>
      <c r="K597" s="2850">
        <f>SUM(L597:N597)</f>
        <v>988593</v>
      </c>
      <c r="L597" s="2852">
        <f>865692+5909</f>
        <v>871601</v>
      </c>
      <c r="M597" s="2852">
        <f>110853+6139</f>
        <v>116992</v>
      </c>
      <c r="N597" s="2850"/>
      <c r="O597" s="2850">
        <f>SUM(P597:R597)</f>
        <v>982454</v>
      </c>
      <c r="P597" s="2852">
        <f>865692+5909</f>
        <v>871601</v>
      </c>
      <c r="Q597" s="2852">
        <v>110853</v>
      </c>
      <c r="R597" s="2850"/>
      <c r="S597" s="2850">
        <f>SUM(T597:W597)</f>
        <v>10000</v>
      </c>
      <c r="T597" s="2850"/>
      <c r="U597" s="2850">
        <v>10000</v>
      </c>
      <c r="V597" s="2850"/>
      <c r="W597" s="2850"/>
    </row>
    <row r="598" spans="1:23" s="2847" customFormat="1" ht="26.4">
      <c r="A598" s="2845" t="s">
        <v>463</v>
      </c>
      <c r="B598" s="2841" t="s">
        <v>1541</v>
      </c>
      <c r="C598" s="2845"/>
      <c r="D598" s="2845"/>
      <c r="E598" s="2845"/>
      <c r="F598" s="2845"/>
      <c r="G598" s="2846"/>
      <c r="H598" s="2846"/>
      <c r="I598" s="2846"/>
      <c r="J598" s="2846"/>
      <c r="K598" s="2846"/>
      <c r="L598" s="2846"/>
      <c r="M598" s="2846"/>
      <c r="N598" s="2846"/>
      <c r="O598" s="2846"/>
      <c r="P598" s="2846"/>
      <c r="Q598" s="2846"/>
      <c r="R598" s="2846"/>
      <c r="S598" s="2846"/>
      <c r="T598" s="2846"/>
      <c r="U598" s="2846"/>
      <c r="V598" s="2846"/>
      <c r="W598" s="2846"/>
    </row>
    <row r="599" spans="1:23" s="2834" customFormat="1">
      <c r="A599" s="2831">
        <v>4</v>
      </c>
      <c r="B599" s="2832" t="s">
        <v>622</v>
      </c>
      <c r="C599" s="2831"/>
      <c r="D599" s="2831"/>
      <c r="E599" s="2831"/>
      <c r="F599" s="2831"/>
      <c r="G599" s="2872">
        <f>G601</f>
        <v>80650</v>
      </c>
      <c r="H599" s="2872">
        <f t="shared" ref="H599:W599" si="238">H601</f>
        <v>67050</v>
      </c>
      <c r="I599" s="2872">
        <f t="shared" si="238"/>
        <v>0</v>
      </c>
      <c r="J599" s="2872">
        <f t="shared" si="238"/>
        <v>13600</v>
      </c>
      <c r="K599" s="2872">
        <f t="shared" si="238"/>
        <v>0</v>
      </c>
      <c r="L599" s="2872">
        <f t="shared" si="238"/>
        <v>0</v>
      </c>
      <c r="M599" s="2872">
        <f t="shared" si="238"/>
        <v>0</v>
      </c>
      <c r="N599" s="2872">
        <f t="shared" si="238"/>
        <v>0</v>
      </c>
      <c r="O599" s="2872">
        <f t="shared" si="238"/>
        <v>0</v>
      </c>
      <c r="P599" s="2872">
        <f t="shared" si="238"/>
        <v>0</v>
      </c>
      <c r="Q599" s="2872">
        <f t="shared" si="238"/>
        <v>0</v>
      </c>
      <c r="R599" s="2872">
        <f t="shared" si="238"/>
        <v>0</v>
      </c>
      <c r="S599" s="2872">
        <f t="shared" si="238"/>
        <v>61444</v>
      </c>
      <c r="T599" s="2872">
        <f t="shared" si="238"/>
        <v>61444</v>
      </c>
      <c r="U599" s="2872">
        <f t="shared" si="238"/>
        <v>0</v>
      </c>
      <c r="V599" s="2872">
        <f t="shared" si="238"/>
        <v>0</v>
      </c>
      <c r="W599" s="2872">
        <f t="shared" si="238"/>
        <v>0</v>
      </c>
    </row>
    <row r="600" spans="1:23" s="2839" customFormat="1">
      <c r="A600" s="2835" t="s">
        <v>200</v>
      </c>
      <c r="B600" s="2836" t="s">
        <v>1197</v>
      </c>
      <c r="C600" s="2835"/>
      <c r="D600" s="2835"/>
      <c r="E600" s="2835"/>
      <c r="F600" s="2835"/>
      <c r="G600" s="2837"/>
      <c r="H600" s="2837"/>
      <c r="I600" s="2837"/>
      <c r="J600" s="2837"/>
      <c r="K600" s="2837"/>
      <c r="L600" s="2837"/>
      <c r="M600" s="2837"/>
      <c r="N600" s="2837"/>
      <c r="O600" s="2837"/>
      <c r="P600" s="2837"/>
      <c r="Q600" s="2837"/>
      <c r="R600" s="2837"/>
      <c r="S600" s="2837"/>
      <c r="T600" s="2837"/>
      <c r="U600" s="2837"/>
      <c r="V600" s="2837"/>
      <c r="W600" s="2838"/>
    </row>
    <row r="601" spans="1:23" s="2839" customFormat="1">
      <c r="A601" s="2835" t="s">
        <v>208</v>
      </c>
      <c r="B601" s="2836" t="s">
        <v>1198</v>
      </c>
      <c r="C601" s="2835"/>
      <c r="D601" s="2835"/>
      <c r="E601" s="2835"/>
      <c r="F601" s="2835"/>
      <c r="G601" s="2837">
        <f>G603</f>
        <v>80650</v>
      </c>
      <c r="H601" s="2837">
        <f t="shared" ref="H601:W601" si="239">H603</f>
        <v>67050</v>
      </c>
      <c r="I601" s="2837">
        <f t="shared" si="239"/>
        <v>0</v>
      </c>
      <c r="J601" s="2837">
        <f t="shared" si="239"/>
        <v>13600</v>
      </c>
      <c r="K601" s="2837">
        <f t="shared" si="239"/>
        <v>0</v>
      </c>
      <c r="L601" s="2837">
        <f t="shared" si="239"/>
        <v>0</v>
      </c>
      <c r="M601" s="2837">
        <f t="shared" si="239"/>
        <v>0</v>
      </c>
      <c r="N601" s="2837">
        <f t="shared" si="239"/>
        <v>0</v>
      </c>
      <c r="O601" s="2837">
        <f t="shared" si="239"/>
        <v>0</v>
      </c>
      <c r="P601" s="2837">
        <f t="shared" si="239"/>
        <v>0</v>
      </c>
      <c r="Q601" s="2837">
        <f t="shared" si="239"/>
        <v>0</v>
      </c>
      <c r="R601" s="2837">
        <f t="shared" si="239"/>
        <v>0</v>
      </c>
      <c r="S601" s="2837">
        <f t="shared" si="239"/>
        <v>61444</v>
      </c>
      <c r="T601" s="2837">
        <f t="shared" si="239"/>
        <v>61444</v>
      </c>
      <c r="U601" s="2837">
        <f t="shared" si="239"/>
        <v>0</v>
      </c>
      <c r="V601" s="2837">
        <f t="shared" si="239"/>
        <v>0</v>
      </c>
      <c r="W601" s="2837">
        <f t="shared" si="239"/>
        <v>0</v>
      </c>
    </row>
    <row r="602" spans="1:23" s="2844" customFormat="1" ht="52.8">
      <c r="A602" s="2840" t="s">
        <v>441</v>
      </c>
      <c r="B602" s="2841" t="s">
        <v>1540</v>
      </c>
      <c r="C602" s="2840"/>
      <c r="D602" s="2840"/>
      <c r="E602" s="2840"/>
      <c r="F602" s="2840"/>
      <c r="G602" s="2842"/>
      <c r="H602" s="2842"/>
      <c r="I602" s="2842"/>
      <c r="J602" s="2842"/>
      <c r="K602" s="2842"/>
      <c r="L602" s="2842"/>
      <c r="M602" s="2842"/>
      <c r="N602" s="2842"/>
      <c r="O602" s="2842"/>
      <c r="P602" s="2842"/>
      <c r="Q602" s="2842"/>
      <c r="R602" s="2842"/>
      <c r="S602" s="2842"/>
      <c r="T602" s="2842"/>
      <c r="U602" s="2842"/>
      <c r="V602" s="2842"/>
      <c r="W602" s="2842"/>
    </row>
    <row r="603" spans="1:23" s="2847" customFormat="1" ht="26.4">
      <c r="A603" s="2845" t="s">
        <v>463</v>
      </c>
      <c r="B603" s="2841" t="s">
        <v>1541</v>
      </c>
      <c r="C603" s="2845"/>
      <c r="D603" s="2845"/>
      <c r="E603" s="2845"/>
      <c r="F603" s="2845"/>
      <c r="G603" s="2846">
        <f>G604</f>
        <v>80650</v>
      </c>
      <c r="H603" s="2846">
        <f t="shared" ref="H603:W603" si="240">H604</f>
        <v>67050</v>
      </c>
      <c r="I603" s="2846">
        <f t="shared" si="240"/>
        <v>0</v>
      </c>
      <c r="J603" s="2846">
        <f t="shared" si="240"/>
        <v>13600</v>
      </c>
      <c r="K603" s="2846">
        <f t="shared" si="240"/>
        <v>0</v>
      </c>
      <c r="L603" s="2846">
        <f t="shared" si="240"/>
        <v>0</v>
      </c>
      <c r="M603" s="2846">
        <f t="shared" si="240"/>
        <v>0</v>
      </c>
      <c r="N603" s="2846">
        <f t="shared" si="240"/>
        <v>0</v>
      </c>
      <c r="O603" s="2846">
        <f t="shared" si="240"/>
        <v>0</v>
      </c>
      <c r="P603" s="2846">
        <f t="shared" si="240"/>
        <v>0</v>
      </c>
      <c r="Q603" s="2846">
        <f t="shared" si="240"/>
        <v>0</v>
      </c>
      <c r="R603" s="2846">
        <f t="shared" si="240"/>
        <v>0</v>
      </c>
      <c r="S603" s="2846">
        <f t="shared" si="240"/>
        <v>61444</v>
      </c>
      <c r="T603" s="2846">
        <f t="shared" si="240"/>
        <v>61444</v>
      </c>
      <c r="U603" s="2846">
        <f t="shared" si="240"/>
        <v>0</v>
      </c>
      <c r="V603" s="2846">
        <f t="shared" si="240"/>
        <v>0</v>
      </c>
      <c r="W603" s="2846">
        <f t="shared" si="240"/>
        <v>0</v>
      </c>
    </row>
    <row r="604" spans="1:23" ht="39.6">
      <c r="A604" s="2848"/>
      <c r="B604" s="2849" t="s">
        <v>1884</v>
      </c>
      <c r="C604" s="2848" t="s">
        <v>1607</v>
      </c>
      <c r="D604" s="2848" t="s">
        <v>1551</v>
      </c>
      <c r="E604" s="2848"/>
      <c r="F604" s="2848"/>
      <c r="G604" s="2850">
        <v>80650</v>
      </c>
      <c r="H604" s="2850">
        <v>67050</v>
      </c>
      <c r="I604" s="2850"/>
      <c r="J604" s="2850">
        <v>13600</v>
      </c>
      <c r="K604" s="2850">
        <f>SUM(L604:N604)</f>
        <v>0</v>
      </c>
      <c r="L604" s="2850"/>
      <c r="M604" s="2850"/>
      <c r="N604" s="2850"/>
      <c r="O604" s="2850">
        <f>SUM(P604:R604)</f>
        <v>0</v>
      </c>
      <c r="P604" s="2850"/>
      <c r="Q604" s="2850"/>
      <c r="R604" s="2850"/>
      <c r="S604" s="2850">
        <f>SUM(T604:W604)</f>
        <v>61444</v>
      </c>
      <c r="T604" s="2850">
        <v>61444</v>
      </c>
      <c r="U604" s="2850"/>
      <c r="V604" s="2850"/>
      <c r="W604" s="2851"/>
    </row>
    <row r="605" spans="1:23" s="2834" customFormat="1">
      <c r="A605" s="2831">
        <v>5</v>
      </c>
      <c r="B605" s="2832" t="s">
        <v>621</v>
      </c>
      <c r="C605" s="2831"/>
      <c r="D605" s="2831"/>
      <c r="E605" s="2831"/>
      <c r="F605" s="2831"/>
      <c r="G605" s="2872">
        <f>G607</f>
        <v>26301</v>
      </c>
      <c r="H605" s="2872">
        <f t="shared" ref="H605:W605" si="241">H607</f>
        <v>21359</v>
      </c>
      <c r="I605" s="2872">
        <f t="shared" si="241"/>
        <v>0</v>
      </c>
      <c r="J605" s="2872">
        <f t="shared" si="241"/>
        <v>4942</v>
      </c>
      <c r="K605" s="2872">
        <f t="shared" si="241"/>
        <v>2806</v>
      </c>
      <c r="L605" s="2872">
        <f t="shared" si="241"/>
        <v>2806</v>
      </c>
      <c r="M605" s="2872">
        <f t="shared" si="241"/>
        <v>0</v>
      </c>
      <c r="N605" s="2872">
        <f t="shared" si="241"/>
        <v>0</v>
      </c>
      <c r="O605" s="2872">
        <f t="shared" si="241"/>
        <v>7988</v>
      </c>
      <c r="P605" s="2872">
        <f t="shared" si="241"/>
        <v>0</v>
      </c>
      <c r="Q605" s="2872">
        <f t="shared" si="241"/>
        <v>7988</v>
      </c>
      <c r="R605" s="2872">
        <f t="shared" si="241"/>
        <v>0</v>
      </c>
      <c r="S605" s="2872">
        <f t="shared" si="241"/>
        <v>3323</v>
      </c>
      <c r="T605" s="2872">
        <f t="shared" si="241"/>
        <v>3323</v>
      </c>
      <c r="U605" s="2872">
        <f t="shared" si="241"/>
        <v>0</v>
      </c>
      <c r="V605" s="2872">
        <f t="shared" si="241"/>
        <v>0</v>
      </c>
      <c r="W605" s="2872">
        <f t="shared" si="241"/>
        <v>0</v>
      </c>
    </row>
    <row r="606" spans="1:23" s="2839" customFormat="1">
      <c r="A606" s="2835" t="s">
        <v>200</v>
      </c>
      <c r="B606" s="2836" t="s">
        <v>1197</v>
      </c>
      <c r="C606" s="2835"/>
      <c r="D606" s="2835"/>
      <c r="E606" s="2835"/>
      <c r="F606" s="2835"/>
      <c r="G606" s="2837"/>
      <c r="H606" s="2837"/>
      <c r="I606" s="2837"/>
      <c r="J606" s="2837"/>
      <c r="K606" s="2837"/>
      <c r="L606" s="2837"/>
      <c r="M606" s="2837"/>
      <c r="N606" s="2837"/>
      <c r="O606" s="2837"/>
      <c r="P606" s="2837"/>
      <c r="Q606" s="2837"/>
      <c r="R606" s="2837"/>
      <c r="S606" s="2837"/>
      <c r="T606" s="2837"/>
      <c r="U606" s="2837"/>
      <c r="V606" s="2837"/>
      <c r="W606" s="2838"/>
    </row>
    <row r="607" spans="1:23" s="2839" customFormat="1">
      <c r="A607" s="2835" t="s">
        <v>208</v>
      </c>
      <c r="B607" s="2836" t="s">
        <v>1198</v>
      </c>
      <c r="C607" s="2835"/>
      <c r="D607" s="2835"/>
      <c r="E607" s="2835"/>
      <c r="F607" s="2835"/>
      <c r="G607" s="2837">
        <f>G608</f>
        <v>26301</v>
      </c>
      <c r="H607" s="2837">
        <f t="shared" ref="H607:W608" si="242">H608</f>
        <v>21359</v>
      </c>
      <c r="I607" s="2837">
        <f t="shared" si="242"/>
        <v>0</v>
      </c>
      <c r="J607" s="2837">
        <f t="shared" si="242"/>
        <v>4942</v>
      </c>
      <c r="K607" s="2837">
        <f t="shared" si="242"/>
        <v>2806</v>
      </c>
      <c r="L607" s="2837">
        <f t="shared" si="242"/>
        <v>2806</v>
      </c>
      <c r="M607" s="2837">
        <f t="shared" si="242"/>
        <v>0</v>
      </c>
      <c r="N607" s="2837">
        <f t="shared" si="242"/>
        <v>0</v>
      </c>
      <c r="O607" s="2837">
        <f t="shared" si="242"/>
        <v>7988</v>
      </c>
      <c r="P607" s="2837">
        <f t="shared" si="242"/>
        <v>0</v>
      </c>
      <c r="Q607" s="2837">
        <f t="shared" si="242"/>
        <v>7988</v>
      </c>
      <c r="R607" s="2837">
        <f t="shared" si="242"/>
        <v>0</v>
      </c>
      <c r="S607" s="2837">
        <f t="shared" si="242"/>
        <v>3323</v>
      </c>
      <c r="T607" s="2837">
        <f t="shared" si="242"/>
        <v>3323</v>
      </c>
      <c r="U607" s="2837">
        <f t="shared" si="242"/>
        <v>0</v>
      </c>
      <c r="V607" s="2837">
        <f t="shared" si="242"/>
        <v>0</v>
      </c>
      <c r="W607" s="2837">
        <f t="shared" si="242"/>
        <v>0</v>
      </c>
    </row>
    <row r="608" spans="1:23" s="2844" customFormat="1" ht="52.8">
      <c r="A608" s="2840" t="s">
        <v>441</v>
      </c>
      <c r="B608" s="2841" t="s">
        <v>1540</v>
      </c>
      <c r="C608" s="2840"/>
      <c r="D608" s="2840"/>
      <c r="E608" s="2840"/>
      <c r="F608" s="2840"/>
      <c r="G608" s="2842">
        <f>G609</f>
        <v>26301</v>
      </c>
      <c r="H608" s="2842">
        <f t="shared" si="242"/>
        <v>21359</v>
      </c>
      <c r="I608" s="2842">
        <f t="shared" si="242"/>
        <v>0</v>
      </c>
      <c r="J608" s="2842">
        <f t="shared" si="242"/>
        <v>4942</v>
      </c>
      <c r="K608" s="2842">
        <f t="shared" si="242"/>
        <v>2806</v>
      </c>
      <c r="L608" s="2842">
        <f t="shared" si="242"/>
        <v>2806</v>
      </c>
      <c r="M608" s="2842">
        <f t="shared" si="242"/>
        <v>0</v>
      </c>
      <c r="N608" s="2842">
        <f t="shared" si="242"/>
        <v>0</v>
      </c>
      <c r="O608" s="2842">
        <f t="shared" si="242"/>
        <v>7988</v>
      </c>
      <c r="P608" s="2842">
        <f t="shared" si="242"/>
        <v>0</v>
      </c>
      <c r="Q608" s="2842">
        <f t="shared" si="242"/>
        <v>7988</v>
      </c>
      <c r="R608" s="2842">
        <f t="shared" si="242"/>
        <v>0</v>
      </c>
      <c r="S608" s="2842">
        <f t="shared" si="242"/>
        <v>3323</v>
      </c>
      <c r="T608" s="2842">
        <f t="shared" si="242"/>
        <v>3323</v>
      </c>
      <c r="U608" s="2842">
        <f t="shared" si="242"/>
        <v>0</v>
      </c>
      <c r="V608" s="2842">
        <f t="shared" si="242"/>
        <v>0</v>
      </c>
      <c r="W608" s="2842">
        <f t="shared" si="242"/>
        <v>0</v>
      </c>
    </row>
    <row r="609" spans="1:23" ht="66">
      <c r="A609" s="2848"/>
      <c r="B609" s="2849" t="s">
        <v>1885</v>
      </c>
      <c r="C609" s="2873" t="s">
        <v>1886</v>
      </c>
      <c r="D609" s="2873" t="s">
        <v>1664</v>
      </c>
      <c r="E609" s="2873" t="s">
        <v>1887</v>
      </c>
      <c r="F609" s="2873" t="s">
        <v>1888</v>
      </c>
      <c r="G609" s="2850">
        <v>26301</v>
      </c>
      <c r="H609" s="2850">
        <v>21359</v>
      </c>
      <c r="I609" s="2850"/>
      <c r="J609" s="2850">
        <v>4942</v>
      </c>
      <c r="K609" s="2850">
        <f>SUM(L609:N609)</f>
        <v>2806</v>
      </c>
      <c r="L609" s="2850">
        <v>2806</v>
      </c>
      <c r="M609" s="2850"/>
      <c r="N609" s="2850"/>
      <c r="O609" s="2850">
        <f>SUM(P609:R609)</f>
        <v>7988</v>
      </c>
      <c r="P609" s="2850"/>
      <c r="Q609" s="2850">
        <v>7988</v>
      </c>
      <c r="R609" s="2850"/>
      <c r="S609" s="2850">
        <f>SUM(T609:W609)</f>
        <v>3323</v>
      </c>
      <c r="T609" s="2850">
        <v>3323</v>
      </c>
      <c r="U609" s="2850"/>
      <c r="V609" s="2850"/>
      <c r="W609" s="2850"/>
    </row>
    <row r="610" spans="1:23" s="2847" customFormat="1" ht="26.4">
      <c r="A610" s="2845" t="s">
        <v>463</v>
      </c>
      <c r="B610" s="2841" t="s">
        <v>1541</v>
      </c>
      <c r="C610" s="2845"/>
      <c r="D610" s="2845"/>
      <c r="E610" s="2845"/>
      <c r="F610" s="2845"/>
      <c r="G610" s="2846"/>
      <c r="H610" s="2846"/>
      <c r="I610" s="2846"/>
      <c r="J610" s="2846"/>
      <c r="K610" s="2846"/>
      <c r="L610" s="2846"/>
      <c r="M610" s="2846"/>
      <c r="N610" s="2846"/>
      <c r="O610" s="2846"/>
      <c r="P610" s="2846"/>
      <c r="Q610" s="2846"/>
      <c r="R610" s="2846"/>
      <c r="S610" s="2846"/>
      <c r="T610" s="2846"/>
      <c r="U610" s="2846"/>
      <c r="V610" s="2846"/>
      <c r="W610" s="2846"/>
    </row>
    <row r="611" spans="1:23" s="2834" customFormat="1">
      <c r="A611" s="2831">
        <v>6</v>
      </c>
      <c r="B611" s="2832" t="s">
        <v>1511</v>
      </c>
      <c r="C611" s="2831"/>
      <c r="D611" s="2831"/>
      <c r="E611" s="2831"/>
      <c r="F611" s="2831"/>
      <c r="G611" s="2872">
        <f>G613</f>
        <v>64523.048009999999</v>
      </c>
      <c r="H611" s="2872">
        <f t="shared" ref="H611:W611" si="243">H613</f>
        <v>47307</v>
      </c>
      <c r="I611" s="2872">
        <f t="shared" si="243"/>
        <v>0</v>
      </c>
      <c r="J611" s="2872">
        <f t="shared" si="243"/>
        <v>17216</v>
      </c>
      <c r="K611" s="2872">
        <f t="shared" si="243"/>
        <v>500</v>
      </c>
      <c r="L611" s="2872">
        <f t="shared" si="243"/>
        <v>0</v>
      </c>
      <c r="M611" s="2872">
        <f t="shared" si="243"/>
        <v>0</v>
      </c>
      <c r="N611" s="2872">
        <f t="shared" si="243"/>
        <v>500</v>
      </c>
      <c r="O611" s="2872">
        <f t="shared" si="243"/>
        <v>5789</v>
      </c>
      <c r="P611" s="2872">
        <f t="shared" si="243"/>
        <v>0</v>
      </c>
      <c r="Q611" s="2872">
        <f t="shared" si="243"/>
        <v>3189</v>
      </c>
      <c r="R611" s="2872">
        <f t="shared" si="243"/>
        <v>2600</v>
      </c>
      <c r="S611" s="2872">
        <f t="shared" si="243"/>
        <v>10000</v>
      </c>
      <c r="T611" s="2872">
        <f t="shared" si="243"/>
        <v>10000</v>
      </c>
      <c r="U611" s="2872">
        <f t="shared" si="243"/>
        <v>0</v>
      </c>
      <c r="V611" s="2872">
        <f t="shared" si="243"/>
        <v>0</v>
      </c>
      <c r="W611" s="2872">
        <f t="shared" si="243"/>
        <v>0</v>
      </c>
    </row>
    <row r="612" spans="1:23" s="2839" customFormat="1">
      <c r="A612" s="2835" t="s">
        <v>200</v>
      </c>
      <c r="B612" s="2836" t="s">
        <v>1197</v>
      </c>
      <c r="C612" s="2835"/>
      <c r="D612" s="2835"/>
      <c r="E612" s="2835"/>
      <c r="F612" s="2835"/>
      <c r="G612" s="2837"/>
      <c r="H612" s="2837"/>
      <c r="I612" s="2837"/>
      <c r="J612" s="2837"/>
      <c r="K612" s="2837"/>
      <c r="L612" s="2837"/>
      <c r="M612" s="2837"/>
      <c r="N612" s="2837"/>
      <c r="O612" s="2837"/>
      <c r="P612" s="2837"/>
      <c r="Q612" s="2837"/>
      <c r="R612" s="2837"/>
      <c r="S612" s="2837"/>
      <c r="T612" s="2837"/>
      <c r="U612" s="2837"/>
      <c r="V612" s="2837"/>
      <c r="W612" s="2838"/>
    </row>
    <row r="613" spans="1:23" s="2839" customFormat="1">
      <c r="A613" s="2835" t="s">
        <v>208</v>
      </c>
      <c r="B613" s="2836" t="s">
        <v>1198</v>
      </c>
      <c r="C613" s="2835"/>
      <c r="D613" s="2835"/>
      <c r="E613" s="2835"/>
      <c r="F613" s="2835"/>
      <c r="G613" s="2837">
        <f>G615</f>
        <v>64523.048009999999</v>
      </c>
      <c r="H613" s="2837">
        <f t="shared" ref="H613:W613" si="244">H615</f>
        <v>47307</v>
      </c>
      <c r="I613" s="2837">
        <f t="shared" si="244"/>
        <v>0</v>
      </c>
      <c r="J613" s="2837">
        <f t="shared" si="244"/>
        <v>17216</v>
      </c>
      <c r="K613" s="2837">
        <f t="shared" si="244"/>
        <v>500</v>
      </c>
      <c r="L613" s="2837">
        <f t="shared" si="244"/>
        <v>0</v>
      </c>
      <c r="M613" s="2837">
        <f t="shared" si="244"/>
        <v>0</v>
      </c>
      <c r="N613" s="2837">
        <f t="shared" si="244"/>
        <v>500</v>
      </c>
      <c r="O613" s="2837">
        <f t="shared" si="244"/>
        <v>5789</v>
      </c>
      <c r="P613" s="2837">
        <f t="shared" si="244"/>
        <v>0</v>
      </c>
      <c r="Q613" s="2837">
        <f t="shared" si="244"/>
        <v>3189</v>
      </c>
      <c r="R613" s="2837">
        <f t="shared" si="244"/>
        <v>2600</v>
      </c>
      <c r="S613" s="2837">
        <f t="shared" si="244"/>
        <v>10000</v>
      </c>
      <c r="T613" s="2837">
        <f t="shared" si="244"/>
        <v>10000</v>
      </c>
      <c r="U613" s="2837">
        <f t="shared" si="244"/>
        <v>0</v>
      </c>
      <c r="V613" s="2837">
        <f t="shared" si="244"/>
        <v>0</v>
      </c>
      <c r="W613" s="2837">
        <f t="shared" si="244"/>
        <v>0</v>
      </c>
    </row>
    <row r="614" spans="1:23" s="2844" customFormat="1" ht="52.8">
      <c r="A614" s="2840" t="s">
        <v>441</v>
      </c>
      <c r="B614" s="2841" t="s">
        <v>1540</v>
      </c>
      <c r="C614" s="2840"/>
      <c r="D614" s="2840"/>
      <c r="E614" s="2840"/>
      <c r="F614" s="2840"/>
      <c r="G614" s="2842"/>
      <c r="H614" s="2842"/>
      <c r="I614" s="2842"/>
      <c r="J614" s="2842"/>
      <c r="K614" s="2842"/>
      <c r="L614" s="2842"/>
      <c r="M614" s="2842"/>
      <c r="N614" s="2842"/>
      <c r="O614" s="2842"/>
      <c r="P614" s="2842"/>
      <c r="Q614" s="2842"/>
      <c r="R614" s="2842"/>
      <c r="S614" s="2842"/>
      <c r="T614" s="2842"/>
      <c r="U614" s="2842"/>
      <c r="V614" s="2842"/>
      <c r="W614" s="2842"/>
    </row>
    <row r="615" spans="1:23" s="2847" customFormat="1" ht="26.4">
      <c r="A615" s="2845" t="s">
        <v>463</v>
      </c>
      <c r="B615" s="2841" t="s">
        <v>1541</v>
      </c>
      <c r="C615" s="2845"/>
      <c r="D615" s="2845"/>
      <c r="E615" s="2845"/>
      <c r="F615" s="2845"/>
      <c r="G615" s="2846">
        <f>G616</f>
        <v>64523.048009999999</v>
      </c>
      <c r="H615" s="2846">
        <f t="shared" ref="H615:W615" si="245">H616</f>
        <v>47307</v>
      </c>
      <c r="I615" s="2846">
        <f t="shared" si="245"/>
        <v>0</v>
      </c>
      <c r="J615" s="2846">
        <f t="shared" si="245"/>
        <v>17216</v>
      </c>
      <c r="K615" s="2846">
        <f t="shared" si="245"/>
        <v>500</v>
      </c>
      <c r="L615" s="2846">
        <f t="shared" si="245"/>
        <v>0</v>
      </c>
      <c r="M615" s="2846">
        <f t="shared" si="245"/>
        <v>0</v>
      </c>
      <c r="N615" s="2846">
        <f t="shared" si="245"/>
        <v>500</v>
      </c>
      <c r="O615" s="2846">
        <f t="shared" si="245"/>
        <v>5789</v>
      </c>
      <c r="P615" s="2846">
        <f t="shared" si="245"/>
        <v>0</v>
      </c>
      <c r="Q615" s="2846">
        <f t="shared" si="245"/>
        <v>3189</v>
      </c>
      <c r="R615" s="2846">
        <f t="shared" si="245"/>
        <v>2600</v>
      </c>
      <c r="S615" s="2846">
        <f t="shared" si="245"/>
        <v>10000</v>
      </c>
      <c r="T615" s="2846">
        <f t="shared" si="245"/>
        <v>10000</v>
      </c>
      <c r="U615" s="2846">
        <f t="shared" si="245"/>
        <v>0</v>
      </c>
      <c r="V615" s="2846">
        <f t="shared" si="245"/>
        <v>0</v>
      </c>
      <c r="W615" s="2846">
        <f t="shared" si="245"/>
        <v>0</v>
      </c>
    </row>
    <row r="616" spans="1:23" ht="118.8">
      <c r="A616" s="2848"/>
      <c r="B616" s="2849" t="s">
        <v>1643</v>
      </c>
      <c r="C616" s="2848" t="s">
        <v>1623</v>
      </c>
      <c r="D616" s="2848" t="s">
        <v>1644</v>
      </c>
      <c r="E616" s="2848" t="s">
        <v>1645</v>
      </c>
      <c r="F616" s="2848" t="s">
        <v>1646</v>
      </c>
      <c r="G616" s="2850">
        <v>64523.048009999999</v>
      </c>
      <c r="H616" s="2850">
        <v>47307</v>
      </c>
      <c r="I616" s="2850"/>
      <c r="J616" s="2850">
        <v>17216</v>
      </c>
      <c r="K616" s="2850">
        <f>SUM(L616:N616)</f>
        <v>500</v>
      </c>
      <c r="L616" s="2850"/>
      <c r="M616" s="2850"/>
      <c r="N616" s="2850">
        <v>500</v>
      </c>
      <c r="O616" s="2850">
        <f>SUM(P616:R616)</f>
        <v>5789</v>
      </c>
      <c r="P616" s="2850"/>
      <c r="Q616" s="2850">
        <v>3189</v>
      </c>
      <c r="R616" s="2850">
        <v>2600</v>
      </c>
      <c r="S616" s="2850">
        <f>SUM(T616:W616)</f>
        <v>10000</v>
      </c>
      <c r="T616" s="2850">
        <v>10000</v>
      </c>
      <c r="U616" s="2850"/>
      <c r="V616" s="2850"/>
      <c r="W616" s="2851"/>
    </row>
    <row r="617" spans="1:23" s="2834" customFormat="1" ht="26.4">
      <c r="A617" s="2831">
        <v>7</v>
      </c>
      <c r="B617" s="2832" t="s">
        <v>1510</v>
      </c>
      <c r="C617" s="2831"/>
      <c r="D617" s="2831"/>
      <c r="E617" s="2831"/>
      <c r="F617" s="2831"/>
      <c r="G617" s="2872">
        <f>G619</f>
        <v>545242</v>
      </c>
      <c r="H617" s="2872">
        <f t="shared" ref="H617:W617" si="246">H619</f>
        <v>145827</v>
      </c>
      <c r="I617" s="2872">
        <f t="shared" si="246"/>
        <v>247293</v>
      </c>
      <c r="J617" s="2872">
        <f t="shared" si="246"/>
        <v>152122</v>
      </c>
      <c r="K617" s="2872">
        <f t="shared" si="246"/>
        <v>115177</v>
      </c>
      <c r="L617" s="2872">
        <f t="shared" si="246"/>
        <v>63473</v>
      </c>
      <c r="M617" s="2872">
        <f t="shared" si="246"/>
        <v>50329</v>
      </c>
      <c r="N617" s="2872">
        <f t="shared" si="246"/>
        <v>1375</v>
      </c>
      <c r="O617" s="2872">
        <f t="shared" si="246"/>
        <v>230556</v>
      </c>
      <c r="P617" s="2872">
        <f t="shared" si="246"/>
        <v>141324</v>
      </c>
      <c r="Q617" s="2872">
        <f t="shared" si="246"/>
        <v>0</v>
      </c>
      <c r="R617" s="2872">
        <f t="shared" si="246"/>
        <v>89232</v>
      </c>
      <c r="S617" s="2872">
        <f t="shared" si="246"/>
        <v>120444</v>
      </c>
      <c r="T617" s="2872">
        <f t="shared" si="246"/>
        <v>120444</v>
      </c>
      <c r="U617" s="2872">
        <f t="shared" si="246"/>
        <v>0</v>
      </c>
      <c r="V617" s="2872">
        <f t="shared" si="246"/>
        <v>0</v>
      </c>
      <c r="W617" s="2872">
        <f t="shared" si="246"/>
        <v>0</v>
      </c>
    </row>
    <row r="618" spans="1:23" s="2839" customFormat="1">
      <c r="A618" s="2835" t="s">
        <v>200</v>
      </c>
      <c r="B618" s="2836" t="s">
        <v>1197</v>
      </c>
      <c r="C618" s="2835"/>
      <c r="D618" s="2835"/>
      <c r="E618" s="2835"/>
      <c r="F618" s="2835"/>
      <c r="G618" s="2837"/>
      <c r="H618" s="2837"/>
      <c r="I618" s="2837"/>
      <c r="J618" s="2837"/>
      <c r="K618" s="2837"/>
      <c r="L618" s="2837"/>
      <c r="M618" s="2837"/>
      <c r="N618" s="2837"/>
      <c r="O618" s="2837"/>
      <c r="P618" s="2837"/>
      <c r="Q618" s="2837"/>
      <c r="R618" s="2837"/>
      <c r="S618" s="2837"/>
      <c r="T618" s="2837"/>
      <c r="U618" s="2837"/>
      <c r="V618" s="2837"/>
      <c r="W618" s="2838"/>
    </row>
    <row r="619" spans="1:23" s="2839" customFormat="1">
      <c r="A619" s="2835" t="s">
        <v>208</v>
      </c>
      <c r="B619" s="2836" t="s">
        <v>1198</v>
      </c>
      <c r="C619" s="2835"/>
      <c r="D619" s="2835"/>
      <c r="E619" s="2835"/>
      <c r="F619" s="2835"/>
      <c r="G619" s="2837">
        <f>G620+G624</f>
        <v>545242</v>
      </c>
      <c r="H619" s="2837">
        <f t="shared" ref="H619:W619" si="247">H620+H624</f>
        <v>145827</v>
      </c>
      <c r="I619" s="2837">
        <f t="shared" si="247"/>
        <v>247293</v>
      </c>
      <c r="J619" s="2837">
        <f t="shared" si="247"/>
        <v>152122</v>
      </c>
      <c r="K619" s="2837">
        <f t="shared" si="247"/>
        <v>115177</v>
      </c>
      <c r="L619" s="2837">
        <f t="shared" si="247"/>
        <v>63473</v>
      </c>
      <c r="M619" s="2837">
        <f t="shared" si="247"/>
        <v>50329</v>
      </c>
      <c r="N619" s="2837">
        <f t="shared" si="247"/>
        <v>1375</v>
      </c>
      <c r="O619" s="2837">
        <f t="shared" si="247"/>
        <v>230556</v>
      </c>
      <c r="P619" s="2837">
        <f t="shared" si="247"/>
        <v>141324</v>
      </c>
      <c r="Q619" s="2837">
        <f t="shared" si="247"/>
        <v>0</v>
      </c>
      <c r="R619" s="2837">
        <f t="shared" si="247"/>
        <v>89232</v>
      </c>
      <c r="S619" s="2837">
        <f t="shared" si="247"/>
        <v>120444</v>
      </c>
      <c r="T619" s="2837">
        <f t="shared" si="247"/>
        <v>120444</v>
      </c>
      <c r="U619" s="2837">
        <f t="shared" si="247"/>
        <v>0</v>
      </c>
      <c r="V619" s="2837">
        <f t="shared" si="247"/>
        <v>0</v>
      </c>
      <c r="W619" s="2837">
        <f t="shared" si="247"/>
        <v>0</v>
      </c>
    </row>
    <row r="620" spans="1:23" s="2844" customFormat="1" ht="52.8">
      <c r="A620" s="2840" t="s">
        <v>441</v>
      </c>
      <c r="B620" s="2841" t="s">
        <v>1540</v>
      </c>
      <c r="C620" s="2840"/>
      <c r="D620" s="2840"/>
      <c r="E620" s="2840"/>
      <c r="F620" s="2840"/>
      <c r="G620" s="2842">
        <f>SUM(G621:G623)</f>
        <v>166795</v>
      </c>
      <c r="H620" s="2842">
        <f t="shared" ref="H620:W620" si="248">SUM(H621:H623)</f>
        <v>145827</v>
      </c>
      <c r="I620" s="2842">
        <f t="shared" si="248"/>
        <v>6406</v>
      </c>
      <c r="J620" s="2842">
        <f t="shared" si="248"/>
        <v>14562</v>
      </c>
      <c r="K620" s="2842">
        <f t="shared" si="248"/>
        <v>115177</v>
      </c>
      <c r="L620" s="2842">
        <f t="shared" si="248"/>
        <v>63473</v>
      </c>
      <c r="M620" s="2842">
        <f t="shared" si="248"/>
        <v>50329</v>
      </c>
      <c r="N620" s="2842">
        <f t="shared" si="248"/>
        <v>1375</v>
      </c>
      <c r="O620" s="2842">
        <f t="shared" si="248"/>
        <v>142996</v>
      </c>
      <c r="P620" s="2842">
        <f t="shared" si="248"/>
        <v>141324</v>
      </c>
      <c r="Q620" s="2842">
        <f t="shared" si="248"/>
        <v>0</v>
      </c>
      <c r="R620" s="2842">
        <f t="shared" si="248"/>
        <v>1672</v>
      </c>
      <c r="S620" s="2842">
        <f t="shared" si="248"/>
        <v>12800</v>
      </c>
      <c r="T620" s="2842">
        <f t="shared" si="248"/>
        <v>12800</v>
      </c>
      <c r="U620" s="2842">
        <f t="shared" si="248"/>
        <v>0</v>
      </c>
      <c r="V620" s="2842">
        <f t="shared" si="248"/>
        <v>0</v>
      </c>
      <c r="W620" s="2842">
        <f t="shared" si="248"/>
        <v>0</v>
      </c>
    </row>
    <row r="621" spans="1:23" ht="224.4">
      <c r="A621" s="2848"/>
      <c r="B621" s="2849" t="s">
        <v>1889</v>
      </c>
      <c r="C621" s="2848" t="s">
        <v>32</v>
      </c>
      <c r="D621" s="2848" t="s">
        <v>1890</v>
      </c>
      <c r="E621" s="2848" t="s">
        <v>1760</v>
      </c>
      <c r="F621" s="2848" t="s">
        <v>1891</v>
      </c>
      <c r="G621" s="2850">
        <v>36265</v>
      </c>
      <c r="H621" s="2850">
        <v>32987</v>
      </c>
      <c r="I621" s="2850">
        <v>3278</v>
      </c>
      <c r="J621" s="2850"/>
      <c r="K621" s="2850">
        <f>SUM(L621:N621)</f>
        <v>33257</v>
      </c>
      <c r="L621" s="2850">
        <f>27387+3000+2600</f>
        <v>32987</v>
      </c>
      <c r="M621" s="2850"/>
      <c r="N621" s="2850">
        <v>270</v>
      </c>
      <c r="O621" s="2850">
        <f>SUM(P621:R621)</f>
        <v>28755</v>
      </c>
      <c r="P621" s="2850">
        <f>27188+1297</f>
        <v>28485</v>
      </c>
      <c r="Q621" s="2850"/>
      <c r="R621" s="2850">
        <v>270</v>
      </c>
      <c r="S621" s="2850">
        <f>SUM(T621:W621)</f>
        <v>1800</v>
      </c>
      <c r="T621" s="2850">
        <v>1800</v>
      </c>
      <c r="U621" s="2850"/>
      <c r="V621" s="2850"/>
      <c r="W621" s="2850"/>
    </row>
    <row r="622" spans="1:23" ht="224.4">
      <c r="A622" s="2848"/>
      <c r="B622" s="2849" t="s">
        <v>1892</v>
      </c>
      <c r="C622" s="2848" t="s">
        <v>32</v>
      </c>
      <c r="D622" s="2848" t="s">
        <v>1893</v>
      </c>
      <c r="E622" s="2848" t="s">
        <v>1760</v>
      </c>
      <c r="F622" s="2848" t="s">
        <v>1894</v>
      </c>
      <c r="G622" s="2850">
        <v>36530</v>
      </c>
      <c r="H622" s="2850">
        <v>33402</v>
      </c>
      <c r="I622" s="2850">
        <v>3128</v>
      </c>
      <c r="J622" s="2850"/>
      <c r="K622" s="2850">
        <f>SUM(L622:N622)</f>
        <v>30761</v>
      </c>
      <c r="L622" s="2850">
        <f>25486+5000</f>
        <v>30486</v>
      </c>
      <c r="M622" s="2850"/>
      <c r="N622" s="2850">
        <v>275</v>
      </c>
      <c r="O622" s="2850">
        <f>SUM(P622:R622)</f>
        <v>33677</v>
      </c>
      <c r="P622" s="2850">
        <f>25488+5000+2914</f>
        <v>33402</v>
      </c>
      <c r="Q622" s="2850"/>
      <c r="R622" s="2850">
        <v>275</v>
      </c>
      <c r="S622" s="2850">
        <f>SUM(T622:W622)</f>
        <v>2000</v>
      </c>
      <c r="T622" s="2850">
        <v>2000</v>
      </c>
      <c r="U622" s="2850"/>
      <c r="V622" s="2850"/>
      <c r="W622" s="2850"/>
    </row>
    <row r="623" spans="1:23" ht="105.6">
      <c r="A623" s="2848"/>
      <c r="B623" s="2849" t="s">
        <v>1553</v>
      </c>
      <c r="C623" s="2848" t="s">
        <v>1554</v>
      </c>
      <c r="D623" s="2848" t="s">
        <v>1555</v>
      </c>
      <c r="E623" s="2848" t="s">
        <v>1556</v>
      </c>
      <c r="F623" s="2848" t="s">
        <v>1557</v>
      </c>
      <c r="G623" s="2850">
        <v>94000</v>
      </c>
      <c r="H623" s="2850">
        <v>79438</v>
      </c>
      <c r="I623" s="2850"/>
      <c r="J623" s="2850">
        <v>14562</v>
      </c>
      <c r="K623" s="2850">
        <f>SUM(L623:N623)</f>
        <v>51159</v>
      </c>
      <c r="L623" s="2850"/>
      <c r="M623" s="2850">
        <v>50329</v>
      </c>
      <c r="N623" s="2850">
        <v>830</v>
      </c>
      <c r="O623" s="2850">
        <f>SUM(P623:R623)</f>
        <v>80564</v>
      </c>
      <c r="P623" s="2850">
        <v>79437</v>
      </c>
      <c r="Q623" s="2851"/>
      <c r="R623" s="2850">
        <v>1127</v>
      </c>
      <c r="S623" s="2850">
        <f>SUM(T623:W623)</f>
        <v>9000</v>
      </c>
      <c r="T623" s="2850">
        <v>9000</v>
      </c>
      <c r="U623" s="2850"/>
      <c r="V623" s="2850"/>
      <c r="W623" s="2850"/>
    </row>
    <row r="624" spans="1:23" s="2847" customFormat="1" ht="26.4">
      <c r="A624" s="2845" t="s">
        <v>463</v>
      </c>
      <c r="B624" s="2841" t="s">
        <v>1541</v>
      </c>
      <c r="C624" s="2845"/>
      <c r="D624" s="2845"/>
      <c r="E624" s="2845"/>
      <c r="F624" s="2845"/>
      <c r="G624" s="2846">
        <f>G625</f>
        <v>378447</v>
      </c>
      <c r="H624" s="2846">
        <f t="shared" ref="H624:W624" si="249">H625</f>
        <v>0</v>
      </c>
      <c r="I624" s="2846">
        <f t="shared" si="249"/>
        <v>240887</v>
      </c>
      <c r="J624" s="2846">
        <f t="shared" si="249"/>
        <v>137560</v>
      </c>
      <c r="K624" s="2846">
        <f t="shared" si="249"/>
        <v>0</v>
      </c>
      <c r="L624" s="2846">
        <f t="shared" si="249"/>
        <v>0</v>
      </c>
      <c r="M624" s="2846">
        <f t="shared" si="249"/>
        <v>0</v>
      </c>
      <c r="N624" s="2846">
        <f t="shared" si="249"/>
        <v>0</v>
      </c>
      <c r="O624" s="2846">
        <f t="shared" si="249"/>
        <v>87560</v>
      </c>
      <c r="P624" s="2846">
        <f t="shared" si="249"/>
        <v>0</v>
      </c>
      <c r="Q624" s="2846">
        <f t="shared" si="249"/>
        <v>0</v>
      </c>
      <c r="R624" s="2846">
        <f t="shared" si="249"/>
        <v>87560</v>
      </c>
      <c r="S624" s="2846">
        <f t="shared" si="249"/>
        <v>107644</v>
      </c>
      <c r="T624" s="2846">
        <f t="shared" si="249"/>
        <v>107644</v>
      </c>
      <c r="U624" s="2846">
        <f t="shared" si="249"/>
        <v>0</v>
      </c>
      <c r="V624" s="2846">
        <f t="shared" si="249"/>
        <v>0</v>
      </c>
      <c r="W624" s="2846">
        <f t="shared" si="249"/>
        <v>0</v>
      </c>
    </row>
    <row r="625" spans="1:23" ht="79.2">
      <c r="A625" s="2848"/>
      <c r="B625" s="2860" t="s">
        <v>1816</v>
      </c>
      <c r="C625" s="2859" t="s">
        <v>1659</v>
      </c>
      <c r="D625" s="2859" t="s">
        <v>1664</v>
      </c>
      <c r="E625" s="2859" t="s">
        <v>1615</v>
      </c>
      <c r="F625" s="2873" t="s">
        <v>1817</v>
      </c>
      <c r="G625" s="2855">
        <v>378447</v>
      </c>
      <c r="H625" s="2855"/>
      <c r="I625" s="2855">
        <v>240887</v>
      </c>
      <c r="J625" s="2855">
        <v>137560</v>
      </c>
      <c r="K625" s="2850">
        <f>SUM(L625:N625)</f>
        <v>0</v>
      </c>
      <c r="L625" s="2855"/>
      <c r="M625" s="2855"/>
      <c r="N625" s="2855"/>
      <c r="O625" s="2850">
        <f>SUM(P625:R625)</f>
        <v>87560</v>
      </c>
      <c r="P625" s="2855"/>
      <c r="Q625" s="2855"/>
      <c r="R625" s="2855">
        <v>87560</v>
      </c>
      <c r="S625" s="2850">
        <f>SUM(T625:W625)</f>
        <v>107644</v>
      </c>
      <c r="T625" s="2850">
        <v>107644</v>
      </c>
      <c r="U625" s="2850"/>
      <c r="V625" s="2850"/>
      <c r="W625" s="2850"/>
    </row>
    <row r="626" spans="1:23">
      <c r="A626" s="2835"/>
      <c r="B626" s="2836"/>
      <c r="C626" s="2835"/>
      <c r="D626" s="2835"/>
      <c r="E626" s="2835"/>
      <c r="F626" s="2835"/>
      <c r="G626" s="2837"/>
      <c r="H626" s="2837"/>
      <c r="I626" s="2837"/>
      <c r="J626" s="2837"/>
      <c r="K626" s="2837"/>
      <c r="L626" s="2837"/>
      <c r="M626" s="2837"/>
      <c r="N626" s="2837"/>
      <c r="O626" s="2837"/>
      <c r="P626" s="2837"/>
      <c r="Q626" s="2837"/>
      <c r="R626" s="2837"/>
      <c r="S626" s="2837"/>
      <c r="T626" s="2837"/>
      <c r="U626" s="2837"/>
      <c r="V626" s="2837"/>
      <c r="W626" s="2837"/>
    </row>
    <row r="627" spans="1:23" ht="26.4">
      <c r="A627" s="2835" t="s">
        <v>371</v>
      </c>
      <c r="B627" s="2836" t="s">
        <v>1895</v>
      </c>
      <c r="C627" s="2835"/>
      <c r="D627" s="2835"/>
      <c r="E627" s="2835"/>
      <c r="F627" s="2835"/>
      <c r="G627" s="2837">
        <f>G628+G629</f>
        <v>0</v>
      </c>
      <c r="H627" s="2837">
        <f t="shared" ref="H627:W627" si="250">H628+H629</f>
        <v>0</v>
      </c>
      <c r="I627" s="2837">
        <f t="shared" si="250"/>
        <v>0</v>
      </c>
      <c r="J627" s="2837">
        <f t="shared" si="250"/>
        <v>0</v>
      </c>
      <c r="K627" s="2837">
        <f t="shared" si="250"/>
        <v>568955</v>
      </c>
      <c r="L627" s="2837">
        <f t="shared" si="250"/>
        <v>0</v>
      </c>
      <c r="M627" s="2837">
        <f t="shared" si="250"/>
        <v>337755</v>
      </c>
      <c r="N627" s="2837">
        <f t="shared" si="250"/>
        <v>231200</v>
      </c>
      <c r="O627" s="2837">
        <f t="shared" si="250"/>
        <v>568955</v>
      </c>
      <c r="P627" s="2837">
        <f t="shared" si="250"/>
        <v>0</v>
      </c>
      <c r="Q627" s="2837">
        <f t="shared" si="250"/>
        <v>337755</v>
      </c>
      <c r="R627" s="2837">
        <f t="shared" si="250"/>
        <v>231200</v>
      </c>
      <c r="S627" s="2837">
        <f t="shared" si="250"/>
        <v>250697</v>
      </c>
      <c r="T627" s="2837">
        <f t="shared" si="250"/>
        <v>0</v>
      </c>
      <c r="U627" s="2837">
        <f t="shared" si="250"/>
        <v>250697</v>
      </c>
      <c r="V627" s="2837">
        <f t="shared" si="250"/>
        <v>0</v>
      </c>
      <c r="W627" s="2837">
        <f t="shared" si="250"/>
        <v>0</v>
      </c>
    </row>
    <row r="628" spans="1:23" ht="39.6">
      <c r="A628" s="2835"/>
      <c r="B628" s="2836" t="s">
        <v>1402</v>
      </c>
      <c r="C628" s="2835"/>
      <c r="D628" s="2835"/>
      <c r="E628" s="2835"/>
      <c r="F628" s="2835"/>
      <c r="G628" s="2837"/>
      <c r="H628" s="2837"/>
      <c r="I628" s="2837"/>
      <c r="J628" s="2837"/>
      <c r="K628" s="2837">
        <v>160545</v>
      </c>
      <c r="L628" s="2837"/>
      <c r="M628" s="2837">
        <v>136545</v>
      </c>
      <c r="N628" s="2837">
        <f>K628-M628</f>
        <v>24000</v>
      </c>
      <c r="O628" s="2837">
        <v>160545</v>
      </c>
      <c r="P628" s="2837"/>
      <c r="Q628" s="2837">
        <v>136545</v>
      </c>
      <c r="R628" s="2837">
        <f>O628-Q628</f>
        <v>24000</v>
      </c>
      <c r="S628" s="2837">
        <f>SUM(T628:W628)</f>
        <v>99697</v>
      </c>
      <c r="T628" s="2837"/>
      <c r="U628" s="2837">
        <v>99697</v>
      </c>
      <c r="V628" s="2837"/>
      <c r="W628" s="2837"/>
    </row>
    <row r="629" spans="1:23" ht="39.6">
      <c r="A629" s="2835"/>
      <c r="B629" s="2836" t="s">
        <v>1405</v>
      </c>
      <c r="C629" s="2835"/>
      <c r="D629" s="2835"/>
      <c r="E629" s="2835"/>
      <c r="F629" s="2835"/>
      <c r="G629" s="2837"/>
      <c r="H629" s="2837"/>
      <c r="I629" s="2837"/>
      <c r="J629" s="2837"/>
      <c r="K629" s="2837">
        <v>408410</v>
      </c>
      <c r="L629" s="2837"/>
      <c r="M629" s="2837">
        <v>201210</v>
      </c>
      <c r="N629" s="2837">
        <f>K629-M629</f>
        <v>207200</v>
      </c>
      <c r="O629" s="2837">
        <v>408410</v>
      </c>
      <c r="P629" s="2837"/>
      <c r="Q629" s="2837">
        <v>201210</v>
      </c>
      <c r="R629" s="2837">
        <f>O629-Q629</f>
        <v>207200</v>
      </c>
      <c r="S629" s="2837">
        <f>SUM(T629:W629)</f>
        <v>151000</v>
      </c>
      <c r="T629" s="2837"/>
      <c r="U629" s="2837">
        <v>151000</v>
      </c>
      <c r="V629" s="2837"/>
      <c r="W629" s="2837"/>
    </row>
    <row r="630" spans="1:23">
      <c r="A630" s="2835"/>
      <c r="B630" s="2836"/>
      <c r="C630" s="2835"/>
      <c r="D630" s="2835"/>
      <c r="E630" s="2835"/>
      <c r="F630" s="2835"/>
      <c r="G630" s="2837"/>
      <c r="H630" s="2837"/>
      <c r="I630" s="2837"/>
      <c r="J630" s="2837"/>
      <c r="K630" s="2837"/>
      <c r="L630" s="2837"/>
      <c r="M630" s="2837"/>
      <c r="N630" s="2837"/>
      <c r="O630" s="2837"/>
      <c r="P630" s="2837"/>
      <c r="Q630" s="2837"/>
      <c r="R630" s="2837"/>
      <c r="S630" s="2837"/>
      <c r="T630" s="2837"/>
      <c r="U630" s="2837"/>
      <c r="V630" s="2837"/>
      <c r="W630" s="2837"/>
    </row>
    <row r="631" spans="1:23" ht="26.4">
      <c r="A631" s="2835" t="s">
        <v>912</v>
      </c>
      <c r="B631" s="2836" t="s">
        <v>1896</v>
      </c>
      <c r="C631" s="2835"/>
      <c r="D631" s="2835"/>
      <c r="E631" s="2835"/>
      <c r="F631" s="2835"/>
      <c r="G631" s="2837">
        <f>G632</f>
        <v>1600000</v>
      </c>
      <c r="H631" s="2837">
        <f t="shared" ref="H631:W631" si="251">H632</f>
        <v>0</v>
      </c>
      <c r="I631" s="2837">
        <f t="shared" si="251"/>
        <v>1400000</v>
      </c>
      <c r="J631" s="2837">
        <f t="shared" si="251"/>
        <v>200000</v>
      </c>
      <c r="K631" s="2837">
        <f t="shared" si="251"/>
        <v>107865</v>
      </c>
      <c r="L631" s="2837">
        <f t="shared" si="251"/>
        <v>0</v>
      </c>
      <c r="M631" s="2837">
        <f t="shared" si="251"/>
        <v>105865</v>
      </c>
      <c r="N631" s="2837">
        <f t="shared" si="251"/>
        <v>2000</v>
      </c>
      <c r="O631" s="2837">
        <f t="shared" si="251"/>
        <v>801500</v>
      </c>
      <c r="P631" s="2837">
        <f t="shared" si="251"/>
        <v>0</v>
      </c>
      <c r="Q631" s="2837">
        <f t="shared" si="251"/>
        <v>732000</v>
      </c>
      <c r="R631" s="2837">
        <f t="shared" si="251"/>
        <v>69500</v>
      </c>
      <c r="S631" s="2837">
        <f t="shared" si="251"/>
        <v>300000</v>
      </c>
      <c r="T631" s="2837">
        <f t="shared" si="251"/>
        <v>0</v>
      </c>
      <c r="U631" s="2837">
        <f t="shared" si="251"/>
        <v>300000</v>
      </c>
      <c r="V631" s="2837">
        <f t="shared" si="251"/>
        <v>0</v>
      </c>
      <c r="W631" s="2837">
        <f t="shared" si="251"/>
        <v>0</v>
      </c>
    </row>
    <row r="632" spans="1:23" s="2834" customFormat="1">
      <c r="A632" s="2831"/>
      <c r="B632" s="2832" t="s">
        <v>622</v>
      </c>
      <c r="C632" s="2831"/>
      <c r="D632" s="2831"/>
      <c r="E632" s="2831"/>
      <c r="F632" s="2831"/>
      <c r="G632" s="2833">
        <f>G633+G634</f>
        <v>1600000</v>
      </c>
      <c r="H632" s="2833">
        <f t="shared" ref="H632:W632" si="252">H633+H634</f>
        <v>0</v>
      </c>
      <c r="I632" s="2833">
        <f t="shared" si="252"/>
        <v>1400000</v>
      </c>
      <c r="J632" s="2833">
        <f t="shared" si="252"/>
        <v>200000</v>
      </c>
      <c r="K632" s="2833">
        <f t="shared" si="252"/>
        <v>107865</v>
      </c>
      <c r="L632" s="2833">
        <f t="shared" si="252"/>
        <v>0</v>
      </c>
      <c r="M632" s="2833">
        <f t="shared" si="252"/>
        <v>105865</v>
      </c>
      <c r="N632" s="2833">
        <f t="shared" si="252"/>
        <v>2000</v>
      </c>
      <c r="O632" s="2833">
        <f t="shared" si="252"/>
        <v>801500</v>
      </c>
      <c r="P632" s="2833">
        <f t="shared" si="252"/>
        <v>0</v>
      </c>
      <c r="Q632" s="2833">
        <f t="shared" si="252"/>
        <v>732000</v>
      </c>
      <c r="R632" s="2833">
        <f t="shared" si="252"/>
        <v>69500</v>
      </c>
      <c r="S632" s="2833">
        <f t="shared" si="252"/>
        <v>300000</v>
      </c>
      <c r="T632" s="2833">
        <f t="shared" si="252"/>
        <v>0</v>
      </c>
      <c r="U632" s="2833">
        <f t="shared" si="252"/>
        <v>300000</v>
      </c>
      <c r="V632" s="2833">
        <f t="shared" si="252"/>
        <v>0</v>
      </c>
      <c r="W632" s="2833">
        <f t="shared" si="252"/>
        <v>0</v>
      </c>
    </row>
    <row r="633" spans="1:23">
      <c r="A633" s="2835" t="s">
        <v>200</v>
      </c>
      <c r="B633" s="2836" t="s">
        <v>1197</v>
      </c>
      <c r="C633" s="2835"/>
      <c r="D633" s="2835"/>
      <c r="E633" s="2835"/>
      <c r="F633" s="2835"/>
      <c r="G633" s="2837"/>
      <c r="H633" s="2837"/>
      <c r="I633" s="2837"/>
      <c r="J633" s="2837"/>
      <c r="K633" s="2837"/>
      <c r="L633" s="2837"/>
      <c r="M633" s="2837"/>
      <c r="N633" s="2837"/>
      <c r="O633" s="2837"/>
      <c r="P633" s="2837"/>
      <c r="Q633" s="2837"/>
      <c r="R633" s="2837"/>
      <c r="S633" s="2837"/>
      <c r="T633" s="2837"/>
      <c r="U633" s="2837"/>
      <c r="V633" s="2837"/>
      <c r="W633" s="2851"/>
    </row>
    <row r="634" spans="1:23">
      <c r="A634" s="2835" t="s">
        <v>208</v>
      </c>
      <c r="B634" s="2836" t="s">
        <v>1198</v>
      </c>
      <c r="C634" s="2835"/>
      <c r="D634" s="2835"/>
      <c r="E634" s="2835"/>
      <c r="F634" s="2835"/>
      <c r="G634" s="2837">
        <f>G636</f>
        <v>1600000</v>
      </c>
      <c r="H634" s="2837">
        <f t="shared" ref="H634:W634" si="253">H636</f>
        <v>0</v>
      </c>
      <c r="I634" s="2837">
        <f t="shared" si="253"/>
        <v>1400000</v>
      </c>
      <c r="J634" s="2837">
        <f t="shared" si="253"/>
        <v>200000</v>
      </c>
      <c r="K634" s="2837">
        <f t="shared" si="253"/>
        <v>107865</v>
      </c>
      <c r="L634" s="2837">
        <f t="shared" si="253"/>
        <v>0</v>
      </c>
      <c r="M634" s="2837">
        <f t="shared" si="253"/>
        <v>105865</v>
      </c>
      <c r="N634" s="2837">
        <f t="shared" si="253"/>
        <v>2000</v>
      </c>
      <c r="O634" s="2837">
        <f t="shared" si="253"/>
        <v>801500</v>
      </c>
      <c r="P634" s="2837">
        <f t="shared" si="253"/>
        <v>0</v>
      </c>
      <c r="Q634" s="2837">
        <f t="shared" si="253"/>
        <v>732000</v>
      </c>
      <c r="R634" s="2837">
        <f t="shared" si="253"/>
        <v>69500</v>
      </c>
      <c r="S634" s="2837">
        <f t="shared" si="253"/>
        <v>300000</v>
      </c>
      <c r="T634" s="2837">
        <f t="shared" si="253"/>
        <v>0</v>
      </c>
      <c r="U634" s="2837">
        <f t="shared" si="253"/>
        <v>300000</v>
      </c>
      <c r="V634" s="2837">
        <f t="shared" si="253"/>
        <v>0</v>
      </c>
      <c r="W634" s="2837">
        <f t="shared" si="253"/>
        <v>0</v>
      </c>
    </row>
    <row r="635" spans="1:23" ht="52.8">
      <c r="A635" s="2835" t="s">
        <v>441</v>
      </c>
      <c r="B635" s="2836" t="s">
        <v>1540</v>
      </c>
      <c r="C635" s="2835"/>
      <c r="D635" s="2835"/>
      <c r="E635" s="2835"/>
      <c r="F635" s="2835"/>
      <c r="G635" s="2837"/>
      <c r="H635" s="2837"/>
      <c r="I635" s="2837"/>
      <c r="J635" s="2837"/>
      <c r="K635" s="2837"/>
      <c r="L635" s="2837"/>
      <c r="M635" s="2837"/>
      <c r="N635" s="2837"/>
      <c r="O635" s="2837"/>
      <c r="P635" s="2837"/>
      <c r="Q635" s="2837"/>
      <c r="R635" s="2837"/>
      <c r="S635" s="2837"/>
      <c r="T635" s="2837"/>
      <c r="U635" s="2837"/>
      <c r="V635" s="2837"/>
      <c r="W635" s="2837"/>
    </row>
    <row r="636" spans="1:23" ht="39.6">
      <c r="A636" s="2835" t="s">
        <v>463</v>
      </c>
      <c r="B636" s="2836" t="s">
        <v>1897</v>
      </c>
      <c r="C636" s="2835"/>
      <c r="D636" s="2835"/>
      <c r="E636" s="2835"/>
      <c r="F636" s="2835"/>
      <c r="G636" s="2837">
        <f>G637</f>
        <v>1600000</v>
      </c>
      <c r="H636" s="2837">
        <f t="shared" ref="H636:W636" si="254">H637</f>
        <v>0</v>
      </c>
      <c r="I636" s="2837">
        <f t="shared" si="254"/>
        <v>1400000</v>
      </c>
      <c r="J636" s="2837">
        <f t="shared" si="254"/>
        <v>200000</v>
      </c>
      <c r="K636" s="2837">
        <f t="shared" si="254"/>
        <v>107865</v>
      </c>
      <c r="L636" s="2837">
        <f t="shared" si="254"/>
        <v>0</v>
      </c>
      <c r="M636" s="2837">
        <f t="shared" si="254"/>
        <v>105865</v>
      </c>
      <c r="N636" s="2837">
        <f t="shared" si="254"/>
        <v>2000</v>
      </c>
      <c r="O636" s="2837">
        <f t="shared" si="254"/>
        <v>801500</v>
      </c>
      <c r="P636" s="2837">
        <f t="shared" si="254"/>
        <v>0</v>
      </c>
      <c r="Q636" s="2837">
        <f t="shared" si="254"/>
        <v>732000</v>
      </c>
      <c r="R636" s="2837">
        <f t="shared" si="254"/>
        <v>69500</v>
      </c>
      <c r="S636" s="2837">
        <f t="shared" si="254"/>
        <v>300000</v>
      </c>
      <c r="T636" s="2837">
        <f t="shared" si="254"/>
        <v>0</v>
      </c>
      <c r="U636" s="2837">
        <f t="shared" si="254"/>
        <v>300000</v>
      </c>
      <c r="V636" s="2837">
        <f t="shared" si="254"/>
        <v>0</v>
      </c>
      <c r="W636" s="2837">
        <f t="shared" si="254"/>
        <v>0</v>
      </c>
    </row>
    <row r="637" spans="1:23" ht="52.8">
      <c r="A637" s="2848"/>
      <c r="B637" s="2849" t="s">
        <v>1898</v>
      </c>
      <c r="C637" s="2848" t="s">
        <v>41</v>
      </c>
      <c r="D637" s="2848" t="s">
        <v>1899</v>
      </c>
      <c r="E637" s="2848" t="s">
        <v>1615</v>
      </c>
      <c r="F637" s="2848" t="s">
        <v>1900</v>
      </c>
      <c r="G637" s="2850">
        <v>1600000</v>
      </c>
      <c r="H637" s="2850"/>
      <c r="I637" s="2850">
        <v>1400000</v>
      </c>
      <c r="J637" s="2850">
        <v>200000</v>
      </c>
      <c r="K637" s="2850">
        <f>SUM(L637:N637)</f>
        <v>107865</v>
      </c>
      <c r="L637" s="2850"/>
      <c r="M637" s="2850">
        <v>105865</v>
      </c>
      <c r="N637" s="2850">
        <v>2000</v>
      </c>
      <c r="O637" s="2850">
        <f>SUM(P637:R637)</f>
        <v>801500</v>
      </c>
      <c r="P637" s="2850"/>
      <c r="Q637" s="2850">
        <v>732000</v>
      </c>
      <c r="R637" s="2850">
        <v>69500</v>
      </c>
      <c r="S637" s="2850">
        <f>T637+U637+V637+W637</f>
        <v>300000</v>
      </c>
      <c r="T637" s="2850"/>
      <c r="U637" s="2850">
        <v>300000</v>
      </c>
      <c r="V637" s="2850"/>
      <c r="W637" s="2850"/>
    </row>
    <row r="638" spans="1:23">
      <c r="A638" s="2875"/>
      <c r="B638" s="2876"/>
      <c r="C638" s="2875"/>
      <c r="D638" s="2875"/>
      <c r="E638" s="2875"/>
      <c r="F638" s="2875"/>
      <c r="G638" s="2877"/>
      <c r="H638" s="2877"/>
      <c r="I638" s="2877"/>
      <c r="J638" s="2877"/>
      <c r="K638" s="2877"/>
      <c r="L638" s="2877"/>
      <c r="M638" s="2877"/>
      <c r="N638" s="2877"/>
      <c r="O638" s="2877"/>
      <c r="P638" s="2877"/>
      <c r="Q638" s="2877"/>
      <c r="R638" s="2877"/>
      <c r="S638" s="2877"/>
      <c r="T638" s="2877"/>
      <c r="U638" s="2877"/>
      <c r="V638" s="2877"/>
      <c r="W638" s="2877"/>
    </row>
  </sheetData>
  <mergeCells count="24">
    <mergeCell ref="A6:A9"/>
    <mergeCell ref="B6:B9"/>
    <mergeCell ref="C6:C9"/>
    <mergeCell ref="D6:D9"/>
    <mergeCell ref="E6:E9"/>
    <mergeCell ref="A1:C1"/>
    <mergeCell ref="U1:W1"/>
    <mergeCell ref="A3:V3"/>
    <mergeCell ref="A4:V4"/>
    <mergeCell ref="U5:W5"/>
    <mergeCell ref="O8:O9"/>
    <mergeCell ref="P8:R8"/>
    <mergeCell ref="S8:S9"/>
    <mergeCell ref="T8:W8"/>
    <mergeCell ref="F6:J6"/>
    <mergeCell ref="K6:N7"/>
    <mergeCell ref="O6:R7"/>
    <mergeCell ref="S6:W7"/>
    <mergeCell ref="F7:F9"/>
    <mergeCell ref="G7:J7"/>
    <mergeCell ref="G8:G9"/>
    <mergeCell ref="H8:J8"/>
    <mergeCell ref="K8:K9"/>
    <mergeCell ref="L8:N8"/>
  </mergeCells>
  <printOptions horizontalCentered="1"/>
  <pageMargins left="0" right="0" top="0.5" bottom="0.5" header="0.3" footer="0.3"/>
  <pageSetup paperSize="9" scale="66" orientation="landscape" r:id="rId1"/>
  <headerFooter>
    <oddFooter>Page &amp;P</oddFooter>
  </headerFooter>
  <colBreaks count="1" manualBreakCount="1">
    <brk id="2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166"/>
  <sheetViews>
    <sheetView showZeros="0" zoomScale="85" zoomScaleNormal="85" workbookViewId="0">
      <pane xSplit="2" ySplit="11" topLeftCell="C83" activePane="bottomRight" state="frozen"/>
      <selection activeCell="B140" sqref="B140"/>
      <selection pane="topRight" activeCell="B140" sqref="B140"/>
      <selection pane="bottomLeft" activeCell="B140" sqref="B140"/>
      <selection pane="bottomRight" activeCell="B140" sqref="B140"/>
    </sheetView>
  </sheetViews>
  <sheetFormatPr defaultRowHeight="15.6"/>
  <cols>
    <col min="1" max="1" width="4.5546875" style="430" customWidth="1"/>
    <col min="2" max="2" width="28.88671875" style="521" customWidth="1"/>
    <col min="3" max="3" width="12.44140625" style="1469" customWidth="1"/>
    <col min="4" max="4" width="11.6640625" style="430" customWidth="1"/>
    <col min="5" max="5" width="13.6640625" style="430" hidden="1" customWidth="1"/>
    <col min="6" max="6" width="11.33203125" style="430" customWidth="1"/>
    <col min="7" max="7" width="11.44140625" style="430" customWidth="1"/>
    <col min="8" max="8" width="9.6640625" style="430" customWidth="1"/>
    <col min="9" max="9" width="10" style="430" customWidth="1"/>
    <col min="10" max="10" width="9" style="430" hidden="1" customWidth="1"/>
    <col min="11" max="11" width="9.109375" style="430" hidden="1" customWidth="1"/>
    <col min="12" max="12" width="9.109375" style="430" customWidth="1"/>
    <col min="13" max="13" width="14.6640625" style="430" customWidth="1"/>
    <col min="14" max="14" width="14.33203125" style="1423" customWidth="1"/>
    <col min="15" max="15" width="12.5546875" style="1424" customWidth="1"/>
    <col min="16" max="16" width="22.88671875" style="430" customWidth="1"/>
    <col min="17" max="17" width="8.88671875" style="430"/>
    <col min="18" max="18" width="12.88671875" style="430" bestFit="1" customWidth="1"/>
    <col min="19" max="260" width="8.88671875" style="430"/>
    <col min="261" max="261" width="4.5546875" style="430" customWidth="1"/>
    <col min="262" max="262" width="47" style="430" customWidth="1"/>
    <col min="263" max="263" width="13.6640625" style="430" customWidth="1"/>
    <col min="264" max="264" width="12.109375" style="430" customWidth="1"/>
    <col min="265" max="265" width="11.109375" style="430" customWidth="1"/>
    <col min="266" max="267" width="9" style="430" customWidth="1"/>
    <col min="268" max="268" width="11.33203125" style="430" customWidth="1"/>
    <col min="269" max="269" width="12.33203125" style="430" customWidth="1"/>
    <col min="270" max="270" width="14.33203125" style="430" customWidth="1"/>
    <col min="271" max="271" width="12" style="430" customWidth="1"/>
    <col min="272" max="273" width="8.88671875" style="430"/>
    <col min="274" max="274" width="12.88671875" style="430" bestFit="1" customWidth="1"/>
    <col min="275" max="516" width="8.88671875" style="430"/>
    <col min="517" max="517" width="4.5546875" style="430" customWidth="1"/>
    <col min="518" max="518" width="47" style="430" customWidth="1"/>
    <col min="519" max="519" width="13.6640625" style="430" customWidth="1"/>
    <col min="520" max="520" width="12.109375" style="430" customWidth="1"/>
    <col min="521" max="521" width="11.109375" style="430" customWidth="1"/>
    <col min="522" max="523" width="9" style="430" customWidth="1"/>
    <col min="524" max="524" width="11.33203125" style="430" customWidth="1"/>
    <col min="525" max="525" width="12.33203125" style="430" customWidth="1"/>
    <col min="526" max="526" width="14.33203125" style="430" customWidth="1"/>
    <col min="527" max="527" width="12" style="430" customWidth="1"/>
    <col min="528" max="529" width="8.88671875" style="430"/>
    <col min="530" max="530" width="12.88671875" style="430" bestFit="1" customWidth="1"/>
    <col min="531" max="772" width="8.88671875" style="430"/>
    <col min="773" max="773" width="4.5546875" style="430" customWidth="1"/>
    <col min="774" max="774" width="47" style="430" customWidth="1"/>
    <col min="775" max="775" width="13.6640625" style="430" customWidth="1"/>
    <col min="776" max="776" width="12.109375" style="430" customWidth="1"/>
    <col min="777" max="777" width="11.109375" style="430" customWidth="1"/>
    <col min="778" max="779" width="9" style="430" customWidth="1"/>
    <col min="780" max="780" width="11.33203125" style="430" customWidth="1"/>
    <col min="781" max="781" width="12.33203125" style="430" customWidth="1"/>
    <col min="782" max="782" width="14.33203125" style="430" customWidth="1"/>
    <col min="783" max="783" width="12" style="430" customWidth="1"/>
    <col min="784" max="785" width="8.88671875" style="430"/>
    <col min="786" max="786" width="12.88671875" style="430" bestFit="1" customWidth="1"/>
    <col min="787" max="1028" width="8.88671875" style="430"/>
    <col min="1029" max="1029" width="4.5546875" style="430" customWidth="1"/>
    <col min="1030" max="1030" width="47" style="430" customWidth="1"/>
    <col min="1031" max="1031" width="13.6640625" style="430" customWidth="1"/>
    <col min="1032" max="1032" width="12.109375" style="430" customWidth="1"/>
    <col min="1033" max="1033" width="11.109375" style="430" customWidth="1"/>
    <col min="1034" max="1035" width="9" style="430" customWidth="1"/>
    <col min="1036" max="1036" width="11.33203125" style="430" customWidth="1"/>
    <col min="1037" max="1037" width="12.33203125" style="430" customWidth="1"/>
    <col min="1038" max="1038" width="14.33203125" style="430" customWidth="1"/>
    <col min="1039" max="1039" width="12" style="430" customWidth="1"/>
    <col min="1040" max="1041" width="8.88671875" style="430"/>
    <col min="1042" max="1042" width="12.88671875" style="430" bestFit="1" customWidth="1"/>
    <col min="1043" max="1284" width="8.88671875" style="430"/>
    <col min="1285" max="1285" width="4.5546875" style="430" customWidth="1"/>
    <col min="1286" max="1286" width="47" style="430" customWidth="1"/>
    <col min="1287" max="1287" width="13.6640625" style="430" customWidth="1"/>
    <col min="1288" max="1288" width="12.109375" style="430" customWidth="1"/>
    <col min="1289" max="1289" width="11.109375" style="430" customWidth="1"/>
    <col min="1290" max="1291" width="9" style="430" customWidth="1"/>
    <col min="1292" max="1292" width="11.33203125" style="430" customWidth="1"/>
    <col min="1293" max="1293" width="12.33203125" style="430" customWidth="1"/>
    <col min="1294" max="1294" width="14.33203125" style="430" customWidth="1"/>
    <col min="1295" max="1295" width="12" style="430" customWidth="1"/>
    <col min="1296" max="1297" width="8.88671875" style="430"/>
    <col min="1298" max="1298" width="12.88671875" style="430" bestFit="1" customWidth="1"/>
    <col min="1299" max="1540" width="8.88671875" style="430"/>
    <col min="1541" max="1541" width="4.5546875" style="430" customWidth="1"/>
    <col min="1542" max="1542" width="47" style="430" customWidth="1"/>
    <col min="1543" max="1543" width="13.6640625" style="430" customWidth="1"/>
    <col min="1544" max="1544" width="12.109375" style="430" customWidth="1"/>
    <col min="1545" max="1545" width="11.109375" style="430" customWidth="1"/>
    <col min="1546" max="1547" width="9" style="430" customWidth="1"/>
    <col min="1548" max="1548" width="11.33203125" style="430" customWidth="1"/>
    <col min="1549" max="1549" width="12.33203125" style="430" customWidth="1"/>
    <col min="1550" max="1550" width="14.33203125" style="430" customWidth="1"/>
    <col min="1551" max="1551" width="12" style="430" customWidth="1"/>
    <col min="1552" max="1553" width="8.88671875" style="430"/>
    <col min="1554" max="1554" width="12.88671875" style="430" bestFit="1" customWidth="1"/>
    <col min="1555" max="1796" width="8.88671875" style="430"/>
    <col min="1797" max="1797" width="4.5546875" style="430" customWidth="1"/>
    <col min="1798" max="1798" width="47" style="430" customWidth="1"/>
    <col min="1799" max="1799" width="13.6640625" style="430" customWidth="1"/>
    <col min="1800" max="1800" width="12.109375" style="430" customWidth="1"/>
    <col min="1801" max="1801" width="11.109375" style="430" customWidth="1"/>
    <col min="1802" max="1803" width="9" style="430" customWidth="1"/>
    <col min="1804" max="1804" width="11.33203125" style="430" customWidth="1"/>
    <col min="1805" max="1805" width="12.33203125" style="430" customWidth="1"/>
    <col min="1806" max="1806" width="14.33203125" style="430" customWidth="1"/>
    <col min="1807" max="1807" width="12" style="430" customWidth="1"/>
    <col min="1808" max="1809" width="8.88671875" style="430"/>
    <col min="1810" max="1810" width="12.88671875" style="430" bestFit="1" customWidth="1"/>
    <col min="1811" max="2052" width="8.88671875" style="430"/>
    <col min="2053" max="2053" width="4.5546875" style="430" customWidth="1"/>
    <col min="2054" max="2054" width="47" style="430" customWidth="1"/>
    <col min="2055" max="2055" width="13.6640625" style="430" customWidth="1"/>
    <col min="2056" max="2056" width="12.109375" style="430" customWidth="1"/>
    <col min="2057" max="2057" width="11.109375" style="430" customWidth="1"/>
    <col min="2058" max="2059" width="9" style="430" customWidth="1"/>
    <col min="2060" max="2060" width="11.33203125" style="430" customWidth="1"/>
    <col min="2061" max="2061" width="12.33203125" style="430" customWidth="1"/>
    <col min="2062" max="2062" width="14.33203125" style="430" customWidth="1"/>
    <col min="2063" max="2063" width="12" style="430" customWidth="1"/>
    <col min="2064" max="2065" width="8.88671875" style="430"/>
    <col min="2066" max="2066" width="12.88671875" style="430" bestFit="1" customWidth="1"/>
    <col min="2067" max="2308" width="8.88671875" style="430"/>
    <col min="2309" max="2309" width="4.5546875" style="430" customWidth="1"/>
    <col min="2310" max="2310" width="47" style="430" customWidth="1"/>
    <col min="2311" max="2311" width="13.6640625" style="430" customWidth="1"/>
    <col min="2312" max="2312" width="12.109375" style="430" customWidth="1"/>
    <col min="2313" max="2313" width="11.109375" style="430" customWidth="1"/>
    <col min="2314" max="2315" width="9" style="430" customWidth="1"/>
    <col min="2316" max="2316" width="11.33203125" style="430" customWidth="1"/>
    <col min="2317" max="2317" width="12.33203125" style="430" customWidth="1"/>
    <col min="2318" max="2318" width="14.33203125" style="430" customWidth="1"/>
    <col min="2319" max="2319" width="12" style="430" customWidth="1"/>
    <col min="2320" max="2321" width="8.88671875" style="430"/>
    <col min="2322" max="2322" width="12.88671875" style="430" bestFit="1" customWidth="1"/>
    <col min="2323" max="2564" width="8.88671875" style="430"/>
    <col min="2565" max="2565" width="4.5546875" style="430" customWidth="1"/>
    <col min="2566" max="2566" width="47" style="430" customWidth="1"/>
    <col min="2567" max="2567" width="13.6640625" style="430" customWidth="1"/>
    <col min="2568" max="2568" width="12.109375" style="430" customWidth="1"/>
    <col min="2569" max="2569" width="11.109375" style="430" customWidth="1"/>
    <col min="2570" max="2571" width="9" style="430" customWidth="1"/>
    <col min="2572" max="2572" width="11.33203125" style="430" customWidth="1"/>
    <col min="2573" max="2573" width="12.33203125" style="430" customWidth="1"/>
    <col min="2574" max="2574" width="14.33203125" style="430" customWidth="1"/>
    <col min="2575" max="2575" width="12" style="430" customWidth="1"/>
    <col min="2576" max="2577" width="8.88671875" style="430"/>
    <col min="2578" max="2578" width="12.88671875" style="430" bestFit="1" customWidth="1"/>
    <col min="2579" max="2820" width="8.88671875" style="430"/>
    <col min="2821" max="2821" width="4.5546875" style="430" customWidth="1"/>
    <col min="2822" max="2822" width="47" style="430" customWidth="1"/>
    <col min="2823" max="2823" width="13.6640625" style="430" customWidth="1"/>
    <col min="2824" max="2824" width="12.109375" style="430" customWidth="1"/>
    <col min="2825" max="2825" width="11.109375" style="430" customWidth="1"/>
    <col min="2826" max="2827" width="9" style="430" customWidth="1"/>
    <col min="2828" max="2828" width="11.33203125" style="430" customWidth="1"/>
    <col min="2829" max="2829" width="12.33203125" style="430" customWidth="1"/>
    <col min="2830" max="2830" width="14.33203125" style="430" customWidth="1"/>
    <col min="2831" max="2831" width="12" style="430" customWidth="1"/>
    <col min="2832" max="2833" width="8.88671875" style="430"/>
    <col min="2834" max="2834" width="12.88671875" style="430" bestFit="1" customWidth="1"/>
    <col min="2835" max="3076" width="8.88671875" style="430"/>
    <col min="3077" max="3077" width="4.5546875" style="430" customWidth="1"/>
    <col min="3078" max="3078" width="47" style="430" customWidth="1"/>
    <col min="3079" max="3079" width="13.6640625" style="430" customWidth="1"/>
    <col min="3080" max="3080" width="12.109375" style="430" customWidth="1"/>
    <col min="3081" max="3081" width="11.109375" style="430" customWidth="1"/>
    <col min="3082" max="3083" width="9" style="430" customWidth="1"/>
    <col min="3084" max="3084" width="11.33203125" style="430" customWidth="1"/>
    <col min="3085" max="3085" width="12.33203125" style="430" customWidth="1"/>
    <col min="3086" max="3086" width="14.33203125" style="430" customWidth="1"/>
    <col min="3087" max="3087" width="12" style="430" customWidth="1"/>
    <col min="3088" max="3089" width="8.88671875" style="430"/>
    <col min="3090" max="3090" width="12.88671875" style="430" bestFit="1" customWidth="1"/>
    <col min="3091" max="3332" width="8.88671875" style="430"/>
    <col min="3333" max="3333" width="4.5546875" style="430" customWidth="1"/>
    <col min="3334" max="3334" width="47" style="430" customWidth="1"/>
    <col min="3335" max="3335" width="13.6640625" style="430" customWidth="1"/>
    <col min="3336" max="3336" width="12.109375" style="430" customWidth="1"/>
    <col min="3337" max="3337" width="11.109375" style="430" customWidth="1"/>
    <col min="3338" max="3339" width="9" style="430" customWidth="1"/>
    <col min="3340" max="3340" width="11.33203125" style="430" customWidth="1"/>
    <col min="3341" max="3341" width="12.33203125" style="430" customWidth="1"/>
    <col min="3342" max="3342" width="14.33203125" style="430" customWidth="1"/>
    <col min="3343" max="3343" width="12" style="430" customWidth="1"/>
    <col min="3344" max="3345" width="8.88671875" style="430"/>
    <col min="3346" max="3346" width="12.88671875" style="430" bestFit="1" customWidth="1"/>
    <col min="3347" max="3588" width="8.88671875" style="430"/>
    <col min="3589" max="3589" width="4.5546875" style="430" customWidth="1"/>
    <col min="3590" max="3590" width="47" style="430" customWidth="1"/>
    <col min="3591" max="3591" width="13.6640625" style="430" customWidth="1"/>
    <col min="3592" max="3592" width="12.109375" style="430" customWidth="1"/>
    <col min="3593" max="3593" width="11.109375" style="430" customWidth="1"/>
    <col min="3594" max="3595" width="9" style="430" customWidth="1"/>
    <col min="3596" max="3596" width="11.33203125" style="430" customWidth="1"/>
    <col min="3597" max="3597" width="12.33203125" style="430" customWidth="1"/>
    <col min="3598" max="3598" width="14.33203125" style="430" customWidth="1"/>
    <col min="3599" max="3599" width="12" style="430" customWidth="1"/>
    <col min="3600" max="3601" width="8.88671875" style="430"/>
    <col min="3602" max="3602" width="12.88671875" style="430" bestFit="1" customWidth="1"/>
    <col min="3603" max="3844" width="8.88671875" style="430"/>
    <col min="3845" max="3845" width="4.5546875" style="430" customWidth="1"/>
    <col min="3846" max="3846" width="47" style="430" customWidth="1"/>
    <col min="3847" max="3847" width="13.6640625" style="430" customWidth="1"/>
    <col min="3848" max="3848" width="12.109375" style="430" customWidth="1"/>
    <col min="3849" max="3849" width="11.109375" style="430" customWidth="1"/>
    <col min="3850" max="3851" width="9" style="430" customWidth="1"/>
    <col min="3852" max="3852" width="11.33203125" style="430" customWidth="1"/>
    <col min="3853" max="3853" width="12.33203125" style="430" customWidth="1"/>
    <col min="3854" max="3854" width="14.33203125" style="430" customWidth="1"/>
    <col min="3855" max="3855" width="12" style="430" customWidth="1"/>
    <col min="3856" max="3857" width="8.88671875" style="430"/>
    <col min="3858" max="3858" width="12.88671875" style="430" bestFit="1" customWidth="1"/>
    <col min="3859" max="4100" width="8.88671875" style="430"/>
    <col min="4101" max="4101" width="4.5546875" style="430" customWidth="1"/>
    <col min="4102" max="4102" width="47" style="430" customWidth="1"/>
    <col min="4103" max="4103" width="13.6640625" style="430" customWidth="1"/>
    <col min="4104" max="4104" width="12.109375" style="430" customWidth="1"/>
    <col min="4105" max="4105" width="11.109375" style="430" customWidth="1"/>
    <col min="4106" max="4107" width="9" style="430" customWidth="1"/>
    <col min="4108" max="4108" width="11.33203125" style="430" customWidth="1"/>
    <col min="4109" max="4109" width="12.33203125" style="430" customWidth="1"/>
    <col min="4110" max="4110" width="14.33203125" style="430" customWidth="1"/>
    <col min="4111" max="4111" width="12" style="430" customWidth="1"/>
    <col min="4112" max="4113" width="8.88671875" style="430"/>
    <col min="4114" max="4114" width="12.88671875" style="430" bestFit="1" customWidth="1"/>
    <col min="4115" max="4356" width="8.88671875" style="430"/>
    <col min="4357" max="4357" width="4.5546875" style="430" customWidth="1"/>
    <col min="4358" max="4358" width="47" style="430" customWidth="1"/>
    <col min="4359" max="4359" width="13.6640625" style="430" customWidth="1"/>
    <col min="4360" max="4360" width="12.109375" style="430" customWidth="1"/>
    <col min="4361" max="4361" width="11.109375" style="430" customWidth="1"/>
    <col min="4362" max="4363" width="9" style="430" customWidth="1"/>
    <col min="4364" max="4364" width="11.33203125" style="430" customWidth="1"/>
    <col min="4365" max="4365" width="12.33203125" style="430" customWidth="1"/>
    <col min="4366" max="4366" width="14.33203125" style="430" customWidth="1"/>
    <col min="4367" max="4367" width="12" style="430" customWidth="1"/>
    <col min="4368" max="4369" width="8.88671875" style="430"/>
    <col min="4370" max="4370" width="12.88671875" style="430" bestFit="1" customWidth="1"/>
    <col min="4371" max="4612" width="8.88671875" style="430"/>
    <col min="4613" max="4613" width="4.5546875" style="430" customWidth="1"/>
    <col min="4614" max="4614" width="47" style="430" customWidth="1"/>
    <col min="4615" max="4615" width="13.6640625" style="430" customWidth="1"/>
    <col min="4616" max="4616" width="12.109375" style="430" customWidth="1"/>
    <col min="4617" max="4617" width="11.109375" style="430" customWidth="1"/>
    <col min="4618" max="4619" width="9" style="430" customWidth="1"/>
    <col min="4620" max="4620" width="11.33203125" style="430" customWidth="1"/>
    <col min="4621" max="4621" width="12.33203125" style="430" customWidth="1"/>
    <col min="4622" max="4622" width="14.33203125" style="430" customWidth="1"/>
    <col min="4623" max="4623" width="12" style="430" customWidth="1"/>
    <col min="4624" max="4625" width="8.88671875" style="430"/>
    <col min="4626" max="4626" width="12.88671875" style="430" bestFit="1" customWidth="1"/>
    <col min="4627" max="4868" width="8.88671875" style="430"/>
    <col min="4869" max="4869" width="4.5546875" style="430" customWidth="1"/>
    <col min="4870" max="4870" width="47" style="430" customWidth="1"/>
    <col min="4871" max="4871" width="13.6640625" style="430" customWidth="1"/>
    <col min="4872" max="4872" width="12.109375" style="430" customWidth="1"/>
    <col min="4873" max="4873" width="11.109375" style="430" customWidth="1"/>
    <col min="4874" max="4875" width="9" style="430" customWidth="1"/>
    <col min="4876" max="4876" width="11.33203125" style="430" customWidth="1"/>
    <col min="4877" max="4877" width="12.33203125" style="430" customWidth="1"/>
    <col min="4878" max="4878" width="14.33203125" style="430" customWidth="1"/>
    <col min="4879" max="4879" width="12" style="430" customWidth="1"/>
    <col min="4880" max="4881" width="8.88671875" style="430"/>
    <col min="4882" max="4882" width="12.88671875" style="430" bestFit="1" customWidth="1"/>
    <col min="4883" max="5124" width="8.88671875" style="430"/>
    <col min="5125" max="5125" width="4.5546875" style="430" customWidth="1"/>
    <col min="5126" max="5126" width="47" style="430" customWidth="1"/>
    <col min="5127" max="5127" width="13.6640625" style="430" customWidth="1"/>
    <col min="5128" max="5128" width="12.109375" style="430" customWidth="1"/>
    <col min="5129" max="5129" width="11.109375" style="430" customWidth="1"/>
    <col min="5130" max="5131" width="9" style="430" customWidth="1"/>
    <col min="5132" max="5132" width="11.33203125" style="430" customWidth="1"/>
    <col min="5133" max="5133" width="12.33203125" style="430" customWidth="1"/>
    <col min="5134" max="5134" width="14.33203125" style="430" customWidth="1"/>
    <col min="5135" max="5135" width="12" style="430" customWidth="1"/>
    <col min="5136" max="5137" width="8.88671875" style="430"/>
    <col min="5138" max="5138" width="12.88671875" style="430" bestFit="1" customWidth="1"/>
    <col min="5139" max="5380" width="8.88671875" style="430"/>
    <col min="5381" max="5381" width="4.5546875" style="430" customWidth="1"/>
    <col min="5382" max="5382" width="47" style="430" customWidth="1"/>
    <col min="5383" max="5383" width="13.6640625" style="430" customWidth="1"/>
    <col min="5384" max="5384" width="12.109375" style="430" customWidth="1"/>
    <col min="5385" max="5385" width="11.109375" style="430" customWidth="1"/>
    <col min="5386" max="5387" width="9" style="430" customWidth="1"/>
    <col min="5388" max="5388" width="11.33203125" style="430" customWidth="1"/>
    <col min="5389" max="5389" width="12.33203125" style="430" customWidth="1"/>
    <col min="5390" max="5390" width="14.33203125" style="430" customWidth="1"/>
    <col min="5391" max="5391" width="12" style="430" customWidth="1"/>
    <col min="5392" max="5393" width="8.88671875" style="430"/>
    <col min="5394" max="5394" width="12.88671875" style="430" bestFit="1" customWidth="1"/>
    <col min="5395" max="5636" width="8.88671875" style="430"/>
    <col min="5637" max="5637" width="4.5546875" style="430" customWidth="1"/>
    <col min="5638" max="5638" width="47" style="430" customWidth="1"/>
    <col min="5639" max="5639" width="13.6640625" style="430" customWidth="1"/>
    <col min="5640" max="5640" width="12.109375" style="430" customWidth="1"/>
    <col min="5641" max="5641" width="11.109375" style="430" customWidth="1"/>
    <col min="5642" max="5643" width="9" style="430" customWidth="1"/>
    <col min="5644" max="5644" width="11.33203125" style="430" customWidth="1"/>
    <col min="5645" max="5645" width="12.33203125" style="430" customWidth="1"/>
    <col min="5646" max="5646" width="14.33203125" style="430" customWidth="1"/>
    <col min="5647" max="5647" width="12" style="430" customWidth="1"/>
    <col min="5648" max="5649" width="8.88671875" style="430"/>
    <col min="5650" max="5650" width="12.88671875" style="430" bestFit="1" customWidth="1"/>
    <col min="5651" max="5892" width="8.88671875" style="430"/>
    <col min="5893" max="5893" width="4.5546875" style="430" customWidth="1"/>
    <col min="5894" max="5894" width="47" style="430" customWidth="1"/>
    <col min="5895" max="5895" width="13.6640625" style="430" customWidth="1"/>
    <col min="5896" max="5896" width="12.109375" style="430" customWidth="1"/>
    <col min="5897" max="5897" width="11.109375" style="430" customWidth="1"/>
    <col min="5898" max="5899" width="9" style="430" customWidth="1"/>
    <col min="5900" max="5900" width="11.33203125" style="430" customWidth="1"/>
    <col min="5901" max="5901" width="12.33203125" style="430" customWidth="1"/>
    <col min="5902" max="5902" width="14.33203125" style="430" customWidth="1"/>
    <col min="5903" max="5903" width="12" style="430" customWidth="1"/>
    <col min="5904" max="5905" width="8.88671875" style="430"/>
    <col min="5906" max="5906" width="12.88671875" style="430" bestFit="1" customWidth="1"/>
    <col min="5907" max="6148" width="8.88671875" style="430"/>
    <col min="6149" max="6149" width="4.5546875" style="430" customWidth="1"/>
    <col min="6150" max="6150" width="47" style="430" customWidth="1"/>
    <col min="6151" max="6151" width="13.6640625" style="430" customWidth="1"/>
    <col min="6152" max="6152" width="12.109375" style="430" customWidth="1"/>
    <col min="6153" max="6153" width="11.109375" style="430" customWidth="1"/>
    <col min="6154" max="6155" width="9" style="430" customWidth="1"/>
    <col min="6156" max="6156" width="11.33203125" style="430" customWidth="1"/>
    <col min="6157" max="6157" width="12.33203125" style="430" customWidth="1"/>
    <col min="6158" max="6158" width="14.33203125" style="430" customWidth="1"/>
    <col min="6159" max="6159" width="12" style="430" customWidth="1"/>
    <col min="6160" max="6161" width="8.88671875" style="430"/>
    <col min="6162" max="6162" width="12.88671875" style="430" bestFit="1" customWidth="1"/>
    <col min="6163" max="6404" width="8.88671875" style="430"/>
    <col min="6405" max="6405" width="4.5546875" style="430" customWidth="1"/>
    <col min="6406" max="6406" width="47" style="430" customWidth="1"/>
    <col min="6407" max="6407" width="13.6640625" style="430" customWidth="1"/>
    <col min="6408" max="6408" width="12.109375" style="430" customWidth="1"/>
    <col min="6409" max="6409" width="11.109375" style="430" customWidth="1"/>
    <col min="6410" max="6411" width="9" style="430" customWidth="1"/>
    <col min="6412" max="6412" width="11.33203125" style="430" customWidth="1"/>
    <col min="6413" max="6413" width="12.33203125" style="430" customWidth="1"/>
    <col min="6414" max="6414" width="14.33203125" style="430" customWidth="1"/>
    <col min="6415" max="6415" width="12" style="430" customWidth="1"/>
    <col min="6416" max="6417" width="8.88671875" style="430"/>
    <col min="6418" max="6418" width="12.88671875" style="430" bestFit="1" customWidth="1"/>
    <col min="6419" max="6660" width="8.88671875" style="430"/>
    <col min="6661" max="6661" width="4.5546875" style="430" customWidth="1"/>
    <col min="6662" max="6662" width="47" style="430" customWidth="1"/>
    <col min="6663" max="6663" width="13.6640625" style="430" customWidth="1"/>
    <col min="6664" max="6664" width="12.109375" style="430" customWidth="1"/>
    <col min="6665" max="6665" width="11.109375" style="430" customWidth="1"/>
    <col min="6666" max="6667" width="9" style="430" customWidth="1"/>
    <col min="6668" max="6668" width="11.33203125" style="430" customWidth="1"/>
    <col min="6669" max="6669" width="12.33203125" style="430" customWidth="1"/>
    <col min="6670" max="6670" width="14.33203125" style="430" customWidth="1"/>
    <col min="6671" max="6671" width="12" style="430" customWidth="1"/>
    <col min="6672" max="6673" width="8.88671875" style="430"/>
    <col min="6674" max="6674" width="12.88671875" style="430" bestFit="1" customWidth="1"/>
    <col min="6675" max="6916" width="8.88671875" style="430"/>
    <col min="6917" max="6917" width="4.5546875" style="430" customWidth="1"/>
    <col min="6918" max="6918" width="47" style="430" customWidth="1"/>
    <col min="6919" max="6919" width="13.6640625" style="430" customWidth="1"/>
    <col min="6920" max="6920" width="12.109375" style="430" customWidth="1"/>
    <col min="6921" max="6921" width="11.109375" style="430" customWidth="1"/>
    <col min="6922" max="6923" width="9" style="430" customWidth="1"/>
    <col min="6924" max="6924" width="11.33203125" style="430" customWidth="1"/>
    <col min="6925" max="6925" width="12.33203125" style="430" customWidth="1"/>
    <col min="6926" max="6926" width="14.33203125" style="430" customWidth="1"/>
    <col min="6927" max="6927" width="12" style="430" customWidth="1"/>
    <col min="6928" max="6929" width="8.88671875" style="430"/>
    <col min="6930" max="6930" width="12.88671875" style="430" bestFit="1" customWidth="1"/>
    <col min="6931" max="7172" width="8.88671875" style="430"/>
    <col min="7173" max="7173" width="4.5546875" style="430" customWidth="1"/>
    <col min="7174" max="7174" width="47" style="430" customWidth="1"/>
    <col min="7175" max="7175" width="13.6640625" style="430" customWidth="1"/>
    <col min="7176" max="7176" width="12.109375" style="430" customWidth="1"/>
    <col min="7177" max="7177" width="11.109375" style="430" customWidth="1"/>
    <col min="7178" max="7179" width="9" style="430" customWidth="1"/>
    <col min="7180" max="7180" width="11.33203125" style="430" customWidth="1"/>
    <col min="7181" max="7181" width="12.33203125" style="430" customWidth="1"/>
    <col min="7182" max="7182" width="14.33203125" style="430" customWidth="1"/>
    <col min="7183" max="7183" width="12" style="430" customWidth="1"/>
    <col min="7184" max="7185" width="8.88671875" style="430"/>
    <col min="7186" max="7186" width="12.88671875" style="430" bestFit="1" customWidth="1"/>
    <col min="7187" max="7428" width="8.88671875" style="430"/>
    <col min="7429" max="7429" width="4.5546875" style="430" customWidth="1"/>
    <col min="7430" max="7430" width="47" style="430" customWidth="1"/>
    <col min="7431" max="7431" width="13.6640625" style="430" customWidth="1"/>
    <col min="7432" max="7432" width="12.109375" style="430" customWidth="1"/>
    <col min="7433" max="7433" width="11.109375" style="430" customWidth="1"/>
    <col min="7434" max="7435" width="9" style="430" customWidth="1"/>
    <col min="7436" max="7436" width="11.33203125" style="430" customWidth="1"/>
    <col min="7437" max="7437" width="12.33203125" style="430" customWidth="1"/>
    <col min="7438" max="7438" width="14.33203125" style="430" customWidth="1"/>
    <col min="7439" max="7439" width="12" style="430" customWidth="1"/>
    <col min="7440" max="7441" width="8.88671875" style="430"/>
    <col min="7442" max="7442" width="12.88671875" style="430" bestFit="1" customWidth="1"/>
    <col min="7443" max="7684" width="8.88671875" style="430"/>
    <col min="7685" max="7685" width="4.5546875" style="430" customWidth="1"/>
    <col min="7686" max="7686" width="47" style="430" customWidth="1"/>
    <col min="7687" max="7687" width="13.6640625" style="430" customWidth="1"/>
    <col min="7688" max="7688" width="12.109375" style="430" customWidth="1"/>
    <col min="7689" max="7689" width="11.109375" style="430" customWidth="1"/>
    <col min="7690" max="7691" width="9" style="430" customWidth="1"/>
    <col min="7692" max="7692" width="11.33203125" style="430" customWidth="1"/>
    <col min="7693" max="7693" width="12.33203125" style="430" customWidth="1"/>
    <col min="7694" max="7694" width="14.33203125" style="430" customWidth="1"/>
    <col min="7695" max="7695" width="12" style="430" customWidth="1"/>
    <col min="7696" max="7697" width="8.88671875" style="430"/>
    <col min="7698" max="7698" width="12.88671875" style="430" bestFit="1" customWidth="1"/>
    <col min="7699" max="7940" width="8.88671875" style="430"/>
    <col min="7941" max="7941" width="4.5546875" style="430" customWidth="1"/>
    <col min="7942" max="7942" width="47" style="430" customWidth="1"/>
    <col min="7943" max="7943" width="13.6640625" style="430" customWidth="1"/>
    <col min="7944" max="7944" width="12.109375" style="430" customWidth="1"/>
    <col min="7945" max="7945" width="11.109375" style="430" customWidth="1"/>
    <col min="7946" max="7947" width="9" style="430" customWidth="1"/>
    <col min="7948" max="7948" width="11.33203125" style="430" customWidth="1"/>
    <col min="7949" max="7949" width="12.33203125" style="430" customWidth="1"/>
    <col min="7950" max="7950" width="14.33203125" style="430" customWidth="1"/>
    <col min="7951" max="7951" width="12" style="430" customWidth="1"/>
    <col min="7952" max="7953" width="8.88671875" style="430"/>
    <col min="7954" max="7954" width="12.88671875" style="430" bestFit="1" customWidth="1"/>
    <col min="7955" max="8196" width="8.88671875" style="430"/>
    <col min="8197" max="8197" width="4.5546875" style="430" customWidth="1"/>
    <col min="8198" max="8198" width="47" style="430" customWidth="1"/>
    <col min="8199" max="8199" width="13.6640625" style="430" customWidth="1"/>
    <col min="8200" max="8200" width="12.109375" style="430" customWidth="1"/>
    <col min="8201" max="8201" width="11.109375" style="430" customWidth="1"/>
    <col min="8202" max="8203" width="9" style="430" customWidth="1"/>
    <col min="8204" max="8204" width="11.33203125" style="430" customWidth="1"/>
    <col min="8205" max="8205" width="12.33203125" style="430" customWidth="1"/>
    <col min="8206" max="8206" width="14.33203125" style="430" customWidth="1"/>
    <col min="8207" max="8207" width="12" style="430" customWidth="1"/>
    <col min="8208" max="8209" width="8.88671875" style="430"/>
    <col min="8210" max="8210" width="12.88671875" style="430" bestFit="1" customWidth="1"/>
    <col min="8211" max="8452" width="8.88671875" style="430"/>
    <col min="8453" max="8453" width="4.5546875" style="430" customWidth="1"/>
    <col min="8454" max="8454" width="47" style="430" customWidth="1"/>
    <col min="8455" max="8455" width="13.6640625" style="430" customWidth="1"/>
    <col min="8456" max="8456" width="12.109375" style="430" customWidth="1"/>
    <col min="8457" max="8457" width="11.109375" style="430" customWidth="1"/>
    <col min="8458" max="8459" width="9" style="430" customWidth="1"/>
    <col min="8460" max="8460" width="11.33203125" style="430" customWidth="1"/>
    <col min="8461" max="8461" width="12.33203125" style="430" customWidth="1"/>
    <col min="8462" max="8462" width="14.33203125" style="430" customWidth="1"/>
    <col min="8463" max="8463" width="12" style="430" customWidth="1"/>
    <col min="8464" max="8465" width="8.88671875" style="430"/>
    <col min="8466" max="8466" width="12.88671875" style="430" bestFit="1" customWidth="1"/>
    <col min="8467" max="8708" width="8.88671875" style="430"/>
    <col min="8709" max="8709" width="4.5546875" style="430" customWidth="1"/>
    <col min="8710" max="8710" width="47" style="430" customWidth="1"/>
    <col min="8711" max="8711" width="13.6640625" style="430" customWidth="1"/>
    <col min="8712" max="8712" width="12.109375" style="430" customWidth="1"/>
    <col min="8713" max="8713" width="11.109375" style="430" customWidth="1"/>
    <col min="8714" max="8715" width="9" style="430" customWidth="1"/>
    <col min="8716" max="8716" width="11.33203125" style="430" customWidth="1"/>
    <col min="8717" max="8717" width="12.33203125" style="430" customWidth="1"/>
    <col min="8718" max="8718" width="14.33203125" style="430" customWidth="1"/>
    <col min="8719" max="8719" width="12" style="430" customWidth="1"/>
    <col min="8720" max="8721" width="8.88671875" style="430"/>
    <col min="8722" max="8722" width="12.88671875" style="430" bestFit="1" customWidth="1"/>
    <col min="8723" max="8964" width="8.88671875" style="430"/>
    <col min="8965" max="8965" width="4.5546875" style="430" customWidth="1"/>
    <col min="8966" max="8966" width="47" style="430" customWidth="1"/>
    <col min="8967" max="8967" width="13.6640625" style="430" customWidth="1"/>
    <col min="8968" max="8968" width="12.109375" style="430" customWidth="1"/>
    <col min="8969" max="8969" width="11.109375" style="430" customWidth="1"/>
    <col min="8970" max="8971" width="9" style="430" customWidth="1"/>
    <col min="8972" max="8972" width="11.33203125" style="430" customWidth="1"/>
    <col min="8973" max="8973" width="12.33203125" style="430" customWidth="1"/>
    <col min="8974" max="8974" width="14.33203125" style="430" customWidth="1"/>
    <col min="8975" max="8975" width="12" style="430" customWidth="1"/>
    <col min="8976" max="8977" width="8.88671875" style="430"/>
    <col min="8978" max="8978" width="12.88671875" style="430" bestFit="1" customWidth="1"/>
    <col min="8979" max="9220" width="8.88671875" style="430"/>
    <col min="9221" max="9221" width="4.5546875" style="430" customWidth="1"/>
    <col min="9222" max="9222" width="47" style="430" customWidth="1"/>
    <col min="9223" max="9223" width="13.6640625" style="430" customWidth="1"/>
    <col min="9224" max="9224" width="12.109375" style="430" customWidth="1"/>
    <col min="9225" max="9225" width="11.109375" style="430" customWidth="1"/>
    <col min="9226" max="9227" width="9" style="430" customWidth="1"/>
    <col min="9228" max="9228" width="11.33203125" style="430" customWidth="1"/>
    <col min="9229" max="9229" width="12.33203125" style="430" customWidth="1"/>
    <col min="9230" max="9230" width="14.33203125" style="430" customWidth="1"/>
    <col min="9231" max="9231" width="12" style="430" customWidth="1"/>
    <col min="9232" max="9233" width="8.88671875" style="430"/>
    <col min="9234" max="9234" width="12.88671875" style="430" bestFit="1" customWidth="1"/>
    <col min="9235" max="9476" width="8.88671875" style="430"/>
    <col min="9477" max="9477" width="4.5546875" style="430" customWidth="1"/>
    <col min="9478" max="9478" width="47" style="430" customWidth="1"/>
    <col min="9479" max="9479" width="13.6640625" style="430" customWidth="1"/>
    <col min="9480" max="9480" width="12.109375" style="430" customWidth="1"/>
    <col min="9481" max="9481" width="11.109375" style="430" customWidth="1"/>
    <col min="9482" max="9483" width="9" style="430" customWidth="1"/>
    <col min="9484" max="9484" width="11.33203125" style="430" customWidth="1"/>
    <col min="9485" max="9485" width="12.33203125" style="430" customWidth="1"/>
    <col min="9486" max="9486" width="14.33203125" style="430" customWidth="1"/>
    <col min="9487" max="9487" width="12" style="430" customWidth="1"/>
    <col min="9488" max="9489" width="8.88671875" style="430"/>
    <col min="9490" max="9490" width="12.88671875" style="430" bestFit="1" customWidth="1"/>
    <col min="9491" max="9732" width="8.88671875" style="430"/>
    <col min="9733" max="9733" width="4.5546875" style="430" customWidth="1"/>
    <col min="9734" max="9734" width="47" style="430" customWidth="1"/>
    <col min="9735" max="9735" width="13.6640625" style="430" customWidth="1"/>
    <col min="9736" max="9736" width="12.109375" style="430" customWidth="1"/>
    <col min="9737" max="9737" width="11.109375" style="430" customWidth="1"/>
    <col min="9738" max="9739" width="9" style="430" customWidth="1"/>
    <col min="9740" max="9740" width="11.33203125" style="430" customWidth="1"/>
    <col min="9741" max="9741" width="12.33203125" style="430" customWidth="1"/>
    <col min="9742" max="9742" width="14.33203125" style="430" customWidth="1"/>
    <col min="9743" max="9743" width="12" style="430" customWidth="1"/>
    <col min="9744" max="9745" width="8.88671875" style="430"/>
    <col min="9746" max="9746" width="12.88671875" style="430" bestFit="1" customWidth="1"/>
    <col min="9747" max="9988" width="8.88671875" style="430"/>
    <col min="9989" max="9989" width="4.5546875" style="430" customWidth="1"/>
    <col min="9990" max="9990" width="47" style="430" customWidth="1"/>
    <col min="9991" max="9991" width="13.6640625" style="430" customWidth="1"/>
    <col min="9992" max="9992" width="12.109375" style="430" customWidth="1"/>
    <col min="9993" max="9993" width="11.109375" style="430" customWidth="1"/>
    <col min="9994" max="9995" width="9" style="430" customWidth="1"/>
    <col min="9996" max="9996" width="11.33203125" style="430" customWidth="1"/>
    <col min="9997" max="9997" width="12.33203125" style="430" customWidth="1"/>
    <col min="9998" max="9998" width="14.33203125" style="430" customWidth="1"/>
    <col min="9999" max="9999" width="12" style="430" customWidth="1"/>
    <col min="10000" max="10001" width="8.88671875" style="430"/>
    <col min="10002" max="10002" width="12.88671875" style="430" bestFit="1" customWidth="1"/>
    <col min="10003" max="10244" width="8.88671875" style="430"/>
    <col min="10245" max="10245" width="4.5546875" style="430" customWidth="1"/>
    <col min="10246" max="10246" width="47" style="430" customWidth="1"/>
    <col min="10247" max="10247" width="13.6640625" style="430" customWidth="1"/>
    <col min="10248" max="10248" width="12.109375" style="430" customWidth="1"/>
    <col min="10249" max="10249" width="11.109375" style="430" customWidth="1"/>
    <col min="10250" max="10251" width="9" style="430" customWidth="1"/>
    <col min="10252" max="10252" width="11.33203125" style="430" customWidth="1"/>
    <col min="10253" max="10253" width="12.33203125" style="430" customWidth="1"/>
    <col min="10254" max="10254" width="14.33203125" style="430" customWidth="1"/>
    <col min="10255" max="10255" width="12" style="430" customWidth="1"/>
    <col min="10256" max="10257" width="8.88671875" style="430"/>
    <col min="10258" max="10258" width="12.88671875" style="430" bestFit="1" customWidth="1"/>
    <col min="10259" max="10500" width="8.88671875" style="430"/>
    <col min="10501" max="10501" width="4.5546875" style="430" customWidth="1"/>
    <col min="10502" max="10502" width="47" style="430" customWidth="1"/>
    <col min="10503" max="10503" width="13.6640625" style="430" customWidth="1"/>
    <col min="10504" max="10504" width="12.109375" style="430" customWidth="1"/>
    <col min="10505" max="10505" width="11.109375" style="430" customWidth="1"/>
    <col min="10506" max="10507" width="9" style="430" customWidth="1"/>
    <col min="10508" max="10508" width="11.33203125" style="430" customWidth="1"/>
    <col min="10509" max="10509" width="12.33203125" style="430" customWidth="1"/>
    <col min="10510" max="10510" width="14.33203125" style="430" customWidth="1"/>
    <col min="10511" max="10511" width="12" style="430" customWidth="1"/>
    <col min="10512" max="10513" width="8.88671875" style="430"/>
    <col min="10514" max="10514" width="12.88671875" style="430" bestFit="1" customWidth="1"/>
    <col min="10515" max="10756" width="8.88671875" style="430"/>
    <col min="10757" max="10757" width="4.5546875" style="430" customWidth="1"/>
    <col min="10758" max="10758" width="47" style="430" customWidth="1"/>
    <col min="10759" max="10759" width="13.6640625" style="430" customWidth="1"/>
    <col min="10760" max="10760" width="12.109375" style="430" customWidth="1"/>
    <col min="10761" max="10761" width="11.109375" style="430" customWidth="1"/>
    <col min="10762" max="10763" width="9" style="430" customWidth="1"/>
    <col min="10764" max="10764" width="11.33203125" style="430" customWidth="1"/>
    <col min="10765" max="10765" width="12.33203125" style="430" customWidth="1"/>
    <col min="10766" max="10766" width="14.33203125" style="430" customWidth="1"/>
    <col min="10767" max="10767" width="12" style="430" customWidth="1"/>
    <col min="10768" max="10769" width="8.88671875" style="430"/>
    <col min="10770" max="10770" width="12.88671875" style="430" bestFit="1" customWidth="1"/>
    <col min="10771" max="11012" width="8.88671875" style="430"/>
    <col min="11013" max="11013" width="4.5546875" style="430" customWidth="1"/>
    <col min="11014" max="11014" width="47" style="430" customWidth="1"/>
    <col min="11015" max="11015" width="13.6640625" style="430" customWidth="1"/>
    <col min="11016" max="11016" width="12.109375" style="430" customWidth="1"/>
    <col min="11017" max="11017" width="11.109375" style="430" customWidth="1"/>
    <col min="11018" max="11019" width="9" style="430" customWidth="1"/>
    <col min="11020" max="11020" width="11.33203125" style="430" customWidth="1"/>
    <col min="11021" max="11021" width="12.33203125" style="430" customWidth="1"/>
    <col min="11022" max="11022" width="14.33203125" style="430" customWidth="1"/>
    <col min="11023" max="11023" width="12" style="430" customWidth="1"/>
    <col min="11024" max="11025" width="8.88671875" style="430"/>
    <col min="11026" max="11026" width="12.88671875" style="430" bestFit="1" customWidth="1"/>
    <col min="11027" max="11268" width="8.88671875" style="430"/>
    <col min="11269" max="11269" width="4.5546875" style="430" customWidth="1"/>
    <col min="11270" max="11270" width="47" style="430" customWidth="1"/>
    <col min="11271" max="11271" width="13.6640625" style="430" customWidth="1"/>
    <col min="11272" max="11272" width="12.109375" style="430" customWidth="1"/>
    <col min="11273" max="11273" width="11.109375" style="430" customWidth="1"/>
    <col min="11274" max="11275" width="9" style="430" customWidth="1"/>
    <col min="11276" max="11276" width="11.33203125" style="430" customWidth="1"/>
    <col min="11277" max="11277" width="12.33203125" style="430" customWidth="1"/>
    <col min="11278" max="11278" width="14.33203125" style="430" customWidth="1"/>
    <col min="11279" max="11279" width="12" style="430" customWidth="1"/>
    <col min="11280" max="11281" width="8.88671875" style="430"/>
    <col min="11282" max="11282" width="12.88671875" style="430" bestFit="1" customWidth="1"/>
    <col min="11283" max="11524" width="8.88671875" style="430"/>
    <col min="11525" max="11525" width="4.5546875" style="430" customWidth="1"/>
    <col min="11526" max="11526" width="47" style="430" customWidth="1"/>
    <col min="11527" max="11527" width="13.6640625" style="430" customWidth="1"/>
    <col min="11528" max="11528" width="12.109375" style="430" customWidth="1"/>
    <col min="11529" max="11529" width="11.109375" style="430" customWidth="1"/>
    <col min="11530" max="11531" width="9" style="430" customWidth="1"/>
    <col min="11532" max="11532" width="11.33203125" style="430" customWidth="1"/>
    <col min="11533" max="11533" width="12.33203125" style="430" customWidth="1"/>
    <col min="11534" max="11534" width="14.33203125" style="430" customWidth="1"/>
    <col min="11535" max="11535" width="12" style="430" customWidth="1"/>
    <col min="11536" max="11537" width="8.88671875" style="430"/>
    <col min="11538" max="11538" width="12.88671875" style="430" bestFit="1" customWidth="1"/>
    <col min="11539" max="11780" width="8.88671875" style="430"/>
    <col min="11781" max="11781" width="4.5546875" style="430" customWidth="1"/>
    <col min="11782" max="11782" width="47" style="430" customWidth="1"/>
    <col min="11783" max="11783" width="13.6640625" style="430" customWidth="1"/>
    <col min="11784" max="11784" width="12.109375" style="430" customWidth="1"/>
    <col min="11785" max="11785" width="11.109375" style="430" customWidth="1"/>
    <col min="11786" max="11787" width="9" style="430" customWidth="1"/>
    <col min="11788" max="11788" width="11.33203125" style="430" customWidth="1"/>
    <col min="11789" max="11789" width="12.33203125" style="430" customWidth="1"/>
    <col min="11790" max="11790" width="14.33203125" style="430" customWidth="1"/>
    <col min="11791" max="11791" width="12" style="430" customWidth="1"/>
    <col min="11792" max="11793" width="8.88671875" style="430"/>
    <col min="11794" max="11794" width="12.88671875" style="430" bestFit="1" customWidth="1"/>
    <col min="11795" max="12036" width="8.88671875" style="430"/>
    <col min="12037" max="12037" width="4.5546875" style="430" customWidth="1"/>
    <col min="12038" max="12038" width="47" style="430" customWidth="1"/>
    <col min="12039" max="12039" width="13.6640625" style="430" customWidth="1"/>
    <col min="12040" max="12040" width="12.109375" style="430" customWidth="1"/>
    <col min="12041" max="12041" width="11.109375" style="430" customWidth="1"/>
    <col min="12042" max="12043" width="9" style="430" customWidth="1"/>
    <col min="12044" max="12044" width="11.33203125" style="430" customWidth="1"/>
    <col min="12045" max="12045" width="12.33203125" style="430" customWidth="1"/>
    <col min="12046" max="12046" width="14.33203125" style="430" customWidth="1"/>
    <col min="12047" max="12047" width="12" style="430" customWidth="1"/>
    <col min="12048" max="12049" width="8.88671875" style="430"/>
    <col min="12050" max="12050" width="12.88671875" style="430" bestFit="1" customWidth="1"/>
    <col min="12051" max="12292" width="8.88671875" style="430"/>
    <col min="12293" max="12293" width="4.5546875" style="430" customWidth="1"/>
    <col min="12294" max="12294" width="47" style="430" customWidth="1"/>
    <col min="12295" max="12295" width="13.6640625" style="430" customWidth="1"/>
    <col min="12296" max="12296" width="12.109375" style="430" customWidth="1"/>
    <col min="12297" max="12297" width="11.109375" style="430" customWidth="1"/>
    <col min="12298" max="12299" width="9" style="430" customWidth="1"/>
    <col min="12300" max="12300" width="11.33203125" style="430" customWidth="1"/>
    <col min="12301" max="12301" width="12.33203125" style="430" customWidth="1"/>
    <col min="12302" max="12302" width="14.33203125" style="430" customWidth="1"/>
    <col min="12303" max="12303" width="12" style="430" customWidth="1"/>
    <col min="12304" max="12305" width="8.88671875" style="430"/>
    <col min="12306" max="12306" width="12.88671875" style="430" bestFit="1" customWidth="1"/>
    <col min="12307" max="12548" width="8.88671875" style="430"/>
    <col min="12549" max="12549" width="4.5546875" style="430" customWidth="1"/>
    <col min="12550" max="12550" width="47" style="430" customWidth="1"/>
    <col min="12551" max="12551" width="13.6640625" style="430" customWidth="1"/>
    <col min="12552" max="12552" width="12.109375" style="430" customWidth="1"/>
    <col min="12553" max="12553" width="11.109375" style="430" customWidth="1"/>
    <col min="12554" max="12555" width="9" style="430" customWidth="1"/>
    <col min="12556" max="12556" width="11.33203125" style="430" customWidth="1"/>
    <col min="12557" max="12557" width="12.33203125" style="430" customWidth="1"/>
    <col min="12558" max="12558" width="14.33203125" style="430" customWidth="1"/>
    <col min="12559" max="12559" width="12" style="430" customWidth="1"/>
    <col min="12560" max="12561" width="8.88671875" style="430"/>
    <col min="12562" max="12562" width="12.88671875" style="430" bestFit="1" customWidth="1"/>
    <col min="12563" max="12804" width="8.88671875" style="430"/>
    <col min="12805" max="12805" width="4.5546875" style="430" customWidth="1"/>
    <col min="12806" max="12806" width="47" style="430" customWidth="1"/>
    <col min="12807" max="12807" width="13.6640625" style="430" customWidth="1"/>
    <col min="12808" max="12808" width="12.109375" style="430" customWidth="1"/>
    <col min="12809" max="12809" width="11.109375" style="430" customWidth="1"/>
    <col min="12810" max="12811" width="9" style="430" customWidth="1"/>
    <col min="12812" max="12812" width="11.33203125" style="430" customWidth="1"/>
    <col min="12813" max="12813" width="12.33203125" style="430" customWidth="1"/>
    <col min="12814" max="12814" width="14.33203125" style="430" customWidth="1"/>
    <col min="12815" max="12815" width="12" style="430" customWidth="1"/>
    <col min="12816" max="12817" width="8.88671875" style="430"/>
    <col min="12818" max="12818" width="12.88671875" style="430" bestFit="1" customWidth="1"/>
    <col min="12819" max="13060" width="8.88671875" style="430"/>
    <col min="13061" max="13061" width="4.5546875" style="430" customWidth="1"/>
    <col min="13062" max="13062" width="47" style="430" customWidth="1"/>
    <col min="13063" max="13063" width="13.6640625" style="430" customWidth="1"/>
    <col min="13064" max="13064" width="12.109375" style="430" customWidth="1"/>
    <col min="13065" max="13065" width="11.109375" style="430" customWidth="1"/>
    <col min="13066" max="13067" width="9" style="430" customWidth="1"/>
    <col min="13068" max="13068" width="11.33203125" style="430" customWidth="1"/>
    <col min="13069" max="13069" width="12.33203125" style="430" customWidth="1"/>
    <col min="13070" max="13070" width="14.33203125" style="430" customWidth="1"/>
    <col min="13071" max="13071" width="12" style="430" customWidth="1"/>
    <col min="13072" max="13073" width="8.88671875" style="430"/>
    <col min="13074" max="13074" width="12.88671875" style="430" bestFit="1" customWidth="1"/>
    <col min="13075" max="13316" width="8.88671875" style="430"/>
    <col min="13317" max="13317" width="4.5546875" style="430" customWidth="1"/>
    <col min="13318" max="13318" width="47" style="430" customWidth="1"/>
    <col min="13319" max="13319" width="13.6640625" style="430" customWidth="1"/>
    <col min="13320" max="13320" width="12.109375" style="430" customWidth="1"/>
    <col min="13321" max="13321" width="11.109375" style="430" customWidth="1"/>
    <col min="13322" max="13323" width="9" style="430" customWidth="1"/>
    <col min="13324" max="13324" width="11.33203125" style="430" customWidth="1"/>
    <col min="13325" max="13325" width="12.33203125" style="430" customWidth="1"/>
    <col min="13326" max="13326" width="14.33203125" style="430" customWidth="1"/>
    <col min="13327" max="13327" width="12" style="430" customWidth="1"/>
    <col min="13328" max="13329" width="8.88671875" style="430"/>
    <col min="13330" max="13330" width="12.88671875" style="430" bestFit="1" customWidth="1"/>
    <col min="13331" max="13572" width="8.88671875" style="430"/>
    <col min="13573" max="13573" width="4.5546875" style="430" customWidth="1"/>
    <col min="13574" max="13574" width="47" style="430" customWidth="1"/>
    <col min="13575" max="13575" width="13.6640625" style="430" customWidth="1"/>
    <col min="13576" max="13576" width="12.109375" style="430" customWidth="1"/>
    <col min="13577" max="13577" width="11.109375" style="430" customWidth="1"/>
    <col min="13578" max="13579" width="9" style="430" customWidth="1"/>
    <col min="13580" max="13580" width="11.33203125" style="430" customWidth="1"/>
    <col min="13581" max="13581" width="12.33203125" style="430" customWidth="1"/>
    <col min="13582" max="13582" width="14.33203125" style="430" customWidth="1"/>
    <col min="13583" max="13583" width="12" style="430" customWidth="1"/>
    <col min="13584" max="13585" width="8.88671875" style="430"/>
    <col min="13586" max="13586" width="12.88671875" style="430" bestFit="1" customWidth="1"/>
    <col min="13587" max="13828" width="8.88671875" style="430"/>
    <col min="13829" max="13829" width="4.5546875" style="430" customWidth="1"/>
    <col min="13830" max="13830" width="47" style="430" customWidth="1"/>
    <col min="13831" max="13831" width="13.6640625" style="430" customWidth="1"/>
    <col min="13832" max="13832" width="12.109375" style="430" customWidth="1"/>
    <col min="13833" max="13833" width="11.109375" style="430" customWidth="1"/>
    <col min="13834" max="13835" width="9" style="430" customWidth="1"/>
    <col min="13836" max="13836" width="11.33203125" style="430" customWidth="1"/>
    <col min="13837" max="13837" width="12.33203125" style="430" customWidth="1"/>
    <col min="13838" max="13838" width="14.33203125" style="430" customWidth="1"/>
    <col min="13839" max="13839" width="12" style="430" customWidth="1"/>
    <col min="13840" max="13841" width="8.88671875" style="430"/>
    <col min="13842" max="13842" width="12.88671875" style="430" bestFit="1" customWidth="1"/>
    <col min="13843" max="14084" width="8.88671875" style="430"/>
    <col min="14085" max="14085" width="4.5546875" style="430" customWidth="1"/>
    <col min="14086" max="14086" width="47" style="430" customWidth="1"/>
    <col min="14087" max="14087" width="13.6640625" style="430" customWidth="1"/>
    <col min="14088" max="14088" width="12.109375" style="430" customWidth="1"/>
    <col min="14089" max="14089" width="11.109375" style="430" customWidth="1"/>
    <col min="14090" max="14091" width="9" style="430" customWidth="1"/>
    <col min="14092" max="14092" width="11.33203125" style="430" customWidth="1"/>
    <col min="14093" max="14093" width="12.33203125" style="430" customWidth="1"/>
    <col min="14094" max="14094" width="14.33203125" style="430" customWidth="1"/>
    <col min="14095" max="14095" width="12" style="430" customWidth="1"/>
    <col min="14096" max="14097" width="8.88671875" style="430"/>
    <col min="14098" max="14098" width="12.88671875" style="430" bestFit="1" customWidth="1"/>
    <col min="14099" max="14340" width="8.88671875" style="430"/>
    <col min="14341" max="14341" width="4.5546875" style="430" customWidth="1"/>
    <col min="14342" max="14342" width="47" style="430" customWidth="1"/>
    <col min="14343" max="14343" width="13.6640625" style="430" customWidth="1"/>
    <col min="14344" max="14344" width="12.109375" style="430" customWidth="1"/>
    <col min="14345" max="14345" width="11.109375" style="430" customWidth="1"/>
    <col min="14346" max="14347" width="9" style="430" customWidth="1"/>
    <col min="14348" max="14348" width="11.33203125" style="430" customWidth="1"/>
    <col min="14349" max="14349" width="12.33203125" style="430" customWidth="1"/>
    <col min="14350" max="14350" width="14.33203125" style="430" customWidth="1"/>
    <col min="14351" max="14351" width="12" style="430" customWidth="1"/>
    <col min="14352" max="14353" width="8.88671875" style="430"/>
    <col min="14354" max="14354" width="12.88671875" style="430" bestFit="1" customWidth="1"/>
    <col min="14355" max="14596" width="8.88671875" style="430"/>
    <col min="14597" max="14597" width="4.5546875" style="430" customWidth="1"/>
    <col min="14598" max="14598" width="47" style="430" customWidth="1"/>
    <col min="14599" max="14599" width="13.6640625" style="430" customWidth="1"/>
    <col min="14600" max="14600" width="12.109375" style="430" customWidth="1"/>
    <col min="14601" max="14601" width="11.109375" style="430" customWidth="1"/>
    <col min="14602" max="14603" width="9" style="430" customWidth="1"/>
    <col min="14604" max="14604" width="11.33203125" style="430" customWidth="1"/>
    <col min="14605" max="14605" width="12.33203125" style="430" customWidth="1"/>
    <col min="14606" max="14606" width="14.33203125" style="430" customWidth="1"/>
    <col min="14607" max="14607" width="12" style="430" customWidth="1"/>
    <col min="14608" max="14609" width="8.88671875" style="430"/>
    <col min="14610" max="14610" width="12.88671875" style="430" bestFit="1" customWidth="1"/>
    <col min="14611" max="14852" width="8.88671875" style="430"/>
    <col min="14853" max="14853" width="4.5546875" style="430" customWidth="1"/>
    <col min="14854" max="14854" width="47" style="430" customWidth="1"/>
    <col min="14855" max="14855" width="13.6640625" style="430" customWidth="1"/>
    <col min="14856" max="14856" width="12.109375" style="430" customWidth="1"/>
    <col min="14857" max="14857" width="11.109375" style="430" customWidth="1"/>
    <col min="14858" max="14859" width="9" style="430" customWidth="1"/>
    <col min="14860" max="14860" width="11.33203125" style="430" customWidth="1"/>
    <col min="14861" max="14861" width="12.33203125" style="430" customWidth="1"/>
    <col min="14862" max="14862" width="14.33203125" style="430" customWidth="1"/>
    <col min="14863" max="14863" width="12" style="430" customWidth="1"/>
    <col min="14864" max="14865" width="8.88671875" style="430"/>
    <col min="14866" max="14866" width="12.88671875" style="430" bestFit="1" customWidth="1"/>
    <col min="14867" max="15108" width="8.88671875" style="430"/>
    <col min="15109" max="15109" width="4.5546875" style="430" customWidth="1"/>
    <col min="15110" max="15110" width="47" style="430" customWidth="1"/>
    <col min="15111" max="15111" width="13.6640625" style="430" customWidth="1"/>
    <col min="15112" max="15112" width="12.109375" style="430" customWidth="1"/>
    <col min="15113" max="15113" width="11.109375" style="430" customWidth="1"/>
    <col min="15114" max="15115" width="9" style="430" customWidth="1"/>
    <col min="15116" max="15116" width="11.33203125" style="430" customWidth="1"/>
    <col min="15117" max="15117" width="12.33203125" style="430" customWidth="1"/>
    <col min="15118" max="15118" width="14.33203125" style="430" customWidth="1"/>
    <col min="15119" max="15119" width="12" style="430" customWidth="1"/>
    <col min="15120" max="15121" width="8.88671875" style="430"/>
    <col min="15122" max="15122" width="12.88671875" style="430" bestFit="1" customWidth="1"/>
    <col min="15123" max="15364" width="8.88671875" style="430"/>
    <col min="15365" max="15365" width="4.5546875" style="430" customWidth="1"/>
    <col min="15366" max="15366" width="47" style="430" customWidth="1"/>
    <col min="15367" max="15367" width="13.6640625" style="430" customWidth="1"/>
    <col min="15368" max="15368" width="12.109375" style="430" customWidth="1"/>
    <col min="15369" max="15369" width="11.109375" style="430" customWidth="1"/>
    <col min="15370" max="15371" width="9" style="430" customWidth="1"/>
    <col min="15372" max="15372" width="11.33203125" style="430" customWidth="1"/>
    <col min="15373" max="15373" width="12.33203125" style="430" customWidth="1"/>
    <col min="15374" max="15374" width="14.33203125" style="430" customWidth="1"/>
    <col min="15375" max="15375" width="12" style="430" customWidth="1"/>
    <col min="15376" max="15377" width="8.88671875" style="430"/>
    <col min="15378" max="15378" width="12.88671875" style="430" bestFit="1" customWidth="1"/>
    <col min="15379" max="15620" width="8.88671875" style="430"/>
    <col min="15621" max="15621" width="4.5546875" style="430" customWidth="1"/>
    <col min="15622" max="15622" width="47" style="430" customWidth="1"/>
    <col min="15623" max="15623" width="13.6640625" style="430" customWidth="1"/>
    <col min="15624" max="15624" width="12.109375" style="430" customWidth="1"/>
    <col min="15625" max="15625" width="11.109375" style="430" customWidth="1"/>
    <col min="15626" max="15627" width="9" style="430" customWidth="1"/>
    <col min="15628" max="15628" width="11.33203125" style="430" customWidth="1"/>
    <col min="15629" max="15629" width="12.33203125" style="430" customWidth="1"/>
    <col min="15630" max="15630" width="14.33203125" style="430" customWidth="1"/>
    <col min="15631" max="15631" width="12" style="430" customWidth="1"/>
    <col min="15632" max="15633" width="8.88671875" style="430"/>
    <col min="15634" max="15634" width="12.88671875" style="430" bestFit="1" customWidth="1"/>
    <col min="15635" max="15876" width="8.88671875" style="430"/>
    <col min="15877" max="15877" width="4.5546875" style="430" customWidth="1"/>
    <col min="15878" max="15878" width="47" style="430" customWidth="1"/>
    <col min="15879" max="15879" width="13.6640625" style="430" customWidth="1"/>
    <col min="15880" max="15880" width="12.109375" style="430" customWidth="1"/>
    <col min="15881" max="15881" width="11.109375" style="430" customWidth="1"/>
    <col min="15882" max="15883" width="9" style="430" customWidth="1"/>
    <col min="15884" max="15884" width="11.33203125" style="430" customWidth="1"/>
    <col min="15885" max="15885" width="12.33203125" style="430" customWidth="1"/>
    <col min="15886" max="15886" width="14.33203125" style="430" customWidth="1"/>
    <col min="15887" max="15887" width="12" style="430" customWidth="1"/>
    <col min="15888" max="15889" width="8.88671875" style="430"/>
    <col min="15890" max="15890" width="12.88671875" style="430" bestFit="1" customWidth="1"/>
    <col min="15891" max="16132" width="8.88671875" style="430"/>
    <col min="16133" max="16133" width="4.5546875" style="430" customWidth="1"/>
    <col min="16134" max="16134" width="47" style="430" customWidth="1"/>
    <col min="16135" max="16135" width="13.6640625" style="430" customWidth="1"/>
    <col min="16136" max="16136" width="12.109375" style="430" customWidth="1"/>
    <col min="16137" max="16137" width="11.109375" style="430" customWidth="1"/>
    <col min="16138" max="16139" width="9" style="430" customWidth="1"/>
    <col min="16140" max="16140" width="11.33203125" style="430" customWidth="1"/>
    <col min="16141" max="16141" width="12.33203125" style="430" customWidth="1"/>
    <col min="16142" max="16142" width="14.33203125" style="430" customWidth="1"/>
    <col min="16143" max="16143" width="12" style="430" customWidth="1"/>
    <col min="16144" max="16145" width="8.88671875" style="430"/>
    <col min="16146" max="16146" width="12.88671875" style="430" bestFit="1" customWidth="1"/>
    <col min="16147" max="16384" width="8.88671875" style="430"/>
  </cols>
  <sheetData>
    <row r="1" spans="1:18">
      <c r="A1" s="2980" t="s">
        <v>69</v>
      </c>
      <c r="B1" s="2980"/>
      <c r="C1" s="1447"/>
      <c r="D1" s="429"/>
      <c r="E1" s="429"/>
      <c r="G1" s="2980" t="s">
        <v>976</v>
      </c>
      <c r="H1" s="2980"/>
      <c r="I1" s="2980"/>
      <c r="J1" s="431"/>
      <c r="K1" s="431"/>
      <c r="L1" s="1527"/>
      <c r="M1" s="432"/>
      <c r="N1" s="1438"/>
      <c r="O1" s="1439"/>
    </row>
    <row r="2" spans="1:18">
      <c r="A2" s="427"/>
      <c r="B2" s="428"/>
      <c r="C2" s="1447"/>
      <c r="D2" s="433"/>
      <c r="E2" s="433"/>
      <c r="F2" s="434"/>
      <c r="G2" s="435"/>
      <c r="H2" s="435"/>
      <c r="I2" s="435"/>
      <c r="J2" s="435"/>
      <c r="K2" s="435"/>
      <c r="L2" s="435"/>
      <c r="M2" s="436"/>
      <c r="N2" s="437" t="s">
        <v>253</v>
      </c>
      <c r="O2" s="437" t="s">
        <v>254</v>
      </c>
      <c r="P2" s="434"/>
      <c r="Q2" s="434"/>
      <c r="R2" s="434">
        <v>5171497</v>
      </c>
    </row>
    <row r="3" spans="1:18">
      <c r="A3" s="2980" t="s">
        <v>255</v>
      </c>
      <c r="B3" s="2980"/>
      <c r="C3" s="2980"/>
      <c r="D3" s="2980"/>
      <c r="E3" s="2980"/>
      <c r="F3" s="2980"/>
      <c r="G3" s="2980"/>
      <c r="H3" s="2980"/>
      <c r="I3" s="2980"/>
      <c r="J3" s="431"/>
      <c r="K3" s="431"/>
      <c r="L3" s="1527"/>
      <c r="M3" s="1440">
        <f>N3+O3</f>
        <v>9166448</v>
      </c>
      <c r="N3" s="438">
        <f>'Bieu so 01'!I52</f>
        <v>4824643</v>
      </c>
      <c r="O3" s="438">
        <f>'Bieu so 01'!J52</f>
        <v>4341805</v>
      </c>
      <c r="P3" s="439"/>
    </row>
    <row r="4" spans="1:18">
      <c r="A4" s="2980" t="s">
        <v>904</v>
      </c>
      <c r="B4" s="2980"/>
      <c r="C4" s="2980"/>
      <c r="D4" s="2980"/>
      <c r="E4" s="2980"/>
      <c r="F4" s="2980"/>
      <c r="G4" s="2980"/>
      <c r="H4" s="2980"/>
      <c r="I4" s="2980"/>
      <c r="J4" s="431"/>
      <c r="K4" s="431"/>
      <c r="L4" s="1527"/>
      <c r="M4" s="1004" t="s">
        <v>256</v>
      </c>
      <c r="N4" s="1005">
        <f>N3-F12</f>
        <v>54500</v>
      </c>
      <c r="O4" s="1422">
        <f>O3-G12</f>
        <v>-0.30358000006526709</v>
      </c>
    </row>
    <row r="5" spans="1:18">
      <c r="A5" s="3024" t="s">
        <v>986</v>
      </c>
      <c r="B5" s="3024"/>
      <c r="C5" s="3024"/>
      <c r="D5" s="3024"/>
      <c r="E5" s="3024"/>
      <c r="F5" s="3024"/>
      <c r="G5" s="3024"/>
      <c r="H5" s="3024"/>
      <c r="I5" s="3024"/>
      <c r="J5" s="431"/>
      <c r="K5" s="440"/>
      <c r="L5" s="440"/>
      <c r="N5" s="1423">
        <v>54500</v>
      </c>
      <c r="O5" s="523"/>
    </row>
    <row r="6" spans="1:18">
      <c r="A6" s="431"/>
      <c r="B6" s="441"/>
      <c r="C6" s="1448"/>
      <c r="D6" s="431"/>
      <c r="E6" s="431"/>
      <c r="I6" s="431"/>
      <c r="J6" s="431"/>
      <c r="K6" s="431"/>
      <c r="L6" s="1527"/>
      <c r="M6" s="439"/>
      <c r="N6" s="1425">
        <f>N4-N5</f>
        <v>0</v>
      </c>
      <c r="O6" s="523"/>
    </row>
    <row r="7" spans="1:18">
      <c r="A7" s="442"/>
      <c r="B7" s="1546"/>
      <c r="C7" s="1449"/>
      <c r="D7" s="1492"/>
      <c r="E7" s="439"/>
      <c r="F7" s="1629"/>
      <c r="H7" s="443" t="s">
        <v>987</v>
      </c>
      <c r="I7" s="443"/>
      <c r="J7" s="443"/>
      <c r="K7" s="443"/>
      <c r="L7" s="443"/>
      <c r="M7" s="443"/>
      <c r="O7" s="523">
        <f>N6-O6</f>
        <v>0</v>
      </c>
    </row>
    <row r="8" spans="1:18">
      <c r="A8" s="3026" t="s">
        <v>49</v>
      </c>
      <c r="B8" s="3027" t="s">
        <v>257</v>
      </c>
      <c r="C8" s="3030" t="s">
        <v>910</v>
      </c>
      <c r="D8" s="3027" t="s">
        <v>909</v>
      </c>
      <c r="E8" s="3027" t="s">
        <v>258</v>
      </c>
      <c r="F8" s="3026" t="s">
        <v>911</v>
      </c>
      <c r="G8" s="3026"/>
      <c r="H8" s="3026" t="s">
        <v>119</v>
      </c>
      <c r="I8" s="3026"/>
      <c r="J8" s="3027" t="s">
        <v>259</v>
      </c>
      <c r="K8" s="3027" t="s">
        <v>260</v>
      </c>
      <c r="L8" s="3027" t="s">
        <v>948</v>
      </c>
      <c r="N8" s="3025"/>
    </row>
    <row r="9" spans="1:18">
      <c r="A9" s="3026"/>
      <c r="B9" s="3027"/>
      <c r="C9" s="3030"/>
      <c r="D9" s="3027"/>
      <c r="E9" s="3027"/>
      <c r="F9" s="3026"/>
      <c r="G9" s="3026"/>
      <c r="H9" s="3026"/>
      <c r="I9" s="3026"/>
      <c r="J9" s="3027"/>
      <c r="K9" s="3027"/>
      <c r="L9" s="3027"/>
      <c r="M9" s="434"/>
      <c r="N9" s="3025"/>
    </row>
    <row r="10" spans="1:18" ht="46.95" customHeight="1">
      <c r="A10" s="3026"/>
      <c r="B10" s="3027"/>
      <c r="C10" s="3030"/>
      <c r="D10" s="3027"/>
      <c r="E10" s="3027"/>
      <c r="F10" s="1630" t="s">
        <v>261</v>
      </c>
      <c r="G10" s="1630" t="s">
        <v>262</v>
      </c>
      <c r="H10" s="1630" t="s">
        <v>120</v>
      </c>
      <c r="I10" s="1630" t="s">
        <v>905</v>
      </c>
      <c r="J10" s="3027"/>
      <c r="K10" s="3027"/>
      <c r="L10" s="3027"/>
      <c r="M10" s="434"/>
      <c r="N10" s="3025"/>
    </row>
    <row r="11" spans="1:18" s="446" customFormat="1">
      <c r="A11" s="1631" t="s">
        <v>80</v>
      </c>
      <c r="B11" s="1632" t="s">
        <v>81</v>
      </c>
      <c r="C11" s="1633">
        <v>1</v>
      </c>
      <c r="D11" s="1631" t="s">
        <v>436</v>
      </c>
      <c r="E11" s="1631"/>
      <c r="F11" s="1631">
        <v>3</v>
      </c>
      <c r="G11" s="1631">
        <v>4</v>
      </c>
      <c r="H11" s="1631" t="s">
        <v>913</v>
      </c>
      <c r="I11" s="1631" t="s">
        <v>914</v>
      </c>
      <c r="J11" s="1631"/>
      <c r="K11" s="444"/>
      <c r="L11" s="1631">
        <v>7</v>
      </c>
      <c r="M11" s="445"/>
      <c r="N11" s="1753"/>
    </row>
    <row r="12" spans="1:18" ht="40.200000000000003" customHeight="1">
      <c r="A12" s="447"/>
      <c r="B12" s="1476" t="s">
        <v>263</v>
      </c>
      <c r="C12" s="1477">
        <f>SUM(C13,C88,C140,C157)</f>
        <v>8814223</v>
      </c>
      <c r="D12" s="1477">
        <f>SUM(D13,D88,D140,D157)</f>
        <v>9111948.303580001</v>
      </c>
      <c r="E12" s="1477"/>
      <c r="F12" s="1477">
        <f>SUM(F13,F88,F140,F157)</f>
        <v>4770143</v>
      </c>
      <c r="G12" s="1477">
        <f>SUM(G13,G88,G140,G157)</f>
        <v>4341805.3035800001</v>
      </c>
      <c r="H12" s="1477">
        <f>D12-C12</f>
        <v>297725.303580001</v>
      </c>
      <c r="I12" s="448">
        <f>D12/C12%</f>
        <v>103.37778274477513</v>
      </c>
      <c r="J12" s="448"/>
      <c r="K12" s="448"/>
      <c r="L12" s="448"/>
      <c r="M12" s="439">
        <v>8549748</v>
      </c>
      <c r="N12" s="1754">
        <f>D12-M12</f>
        <v>562200.303580001</v>
      </c>
    </row>
    <row r="13" spans="1:18" ht="40.799999999999997" customHeight="1">
      <c r="A13" s="449" t="s">
        <v>80</v>
      </c>
      <c r="B13" s="450" t="s">
        <v>264</v>
      </c>
      <c r="C13" s="451">
        <f>SUM(C14,C34,C84,C85,C86,C87)</f>
        <v>6843602</v>
      </c>
      <c r="D13" s="451">
        <f>SUM(D14,D34,D84,D85,D86,D87)</f>
        <v>7210322.3035800001</v>
      </c>
      <c r="E13" s="451"/>
      <c r="F13" s="451">
        <f>SUM(F14,F34,F84,F85,F86,F87)</f>
        <v>3366824</v>
      </c>
      <c r="G13" s="451">
        <f>SUM(G14,G34,G84,G85,G86,G87)</f>
        <v>3843498.3035800001</v>
      </c>
      <c r="H13" s="1477">
        <f t="shared" ref="H13:H76" si="0">D13-C13</f>
        <v>366720.30358000007</v>
      </c>
      <c r="I13" s="448">
        <f t="shared" ref="I13:I76" si="1">D13/C13%</f>
        <v>105.35858607177916</v>
      </c>
      <c r="J13" s="452">
        <f>D13/$D$12%</f>
        <v>79.130412765260431</v>
      </c>
      <c r="K13" s="452">
        <f>K14/D12%</f>
        <v>2.6581526506423101E-4</v>
      </c>
      <c r="L13" s="452"/>
      <c r="M13" s="439">
        <v>3153532</v>
      </c>
      <c r="N13" s="1754">
        <f>F13-M13</f>
        <v>213292</v>
      </c>
      <c r="O13" s="523"/>
    </row>
    <row r="14" spans="1:18" ht="20.399999999999999" customHeight="1">
      <c r="A14" s="1829" t="s">
        <v>54</v>
      </c>
      <c r="B14" s="1830" t="s">
        <v>265</v>
      </c>
      <c r="C14" s="1831">
        <f>SUM(C15,C29,C33)</f>
        <v>1578230</v>
      </c>
      <c r="D14" s="1832">
        <f>SUM(D15,D29,D33)</f>
        <v>1713785</v>
      </c>
      <c r="E14" s="1832"/>
      <c r="F14" s="1832">
        <f>SUM(F15,F29,F33)</f>
        <v>1298690</v>
      </c>
      <c r="G14" s="1832">
        <f>SUM(G15,G29,G33)</f>
        <v>415095</v>
      </c>
      <c r="H14" s="1833">
        <f t="shared" si="0"/>
        <v>135555</v>
      </c>
      <c r="I14" s="1834">
        <f t="shared" si="1"/>
        <v>108.58905229275835</v>
      </c>
      <c r="J14" s="1835">
        <f>D14/$D$13%</f>
        <v>23.768493665658859</v>
      </c>
      <c r="K14" s="1836">
        <f>G14/D14%</f>
        <v>24.22094953567688</v>
      </c>
      <c r="L14" s="1836">
        <f>D14/$D$13%</f>
        <v>23.768493665658859</v>
      </c>
      <c r="M14" s="439">
        <f>D14+D90+D97-G14</f>
        <v>2524848</v>
      </c>
      <c r="N14" s="1755">
        <f>N13-F83</f>
        <v>143144</v>
      </c>
    </row>
    <row r="15" spans="1:18" s="457" customFormat="1" ht="36.6" customHeight="1">
      <c r="A15" s="1823" t="s">
        <v>916</v>
      </c>
      <c r="B15" s="1824" t="s">
        <v>266</v>
      </c>
      <c r="C15" s="1825">
        <f>624730</f>
        <v>624730</v>
      </c>
      <c r="D15" s="1826">
        <f>F15+G15</f>
        <v>627785</v>
      </c>
      <c r="E15" s="1826"/>
      <c r="F15" s="1827">
        <f>627785-G15</f>
        <v>420710</v>
      </c>
      <c r="G15" s="1827">
        <f>'Bieu so 03'!D26</f>
        <v>207075</v>
      </c>
      <c r="H15" s="1661">
        <f t="shared" si="0"/>
        <v>3055</v>
      </c>
      <c r="I15" s="1801">
        <f t="shared" si="1"/>
        <v>100.48901125286123</v>
      </c>
      <c r="J15" s="1824"/>
      <c r="K15" s="1828">
        <f>G15/D15%</f>
        <v>32.985018756421383</v>
      </c>
      <c r="L15" s="1822">
        <f t="shared" ref="L15:L61" si="2">D15/$D$13%</f>
        <v>8.7067536452330057</v>
      </c>
      <c r="N15" s="1756">
        <f>N14-F80-F81</f>
        <v>74620</v>
      </c>
      <c r="O15" s="1521"/>
    </row>
    <row r="16" spans="1:18" s="457" customFormat="1" ht="31.2" hidden="1">
      <c r="A16" s="459">
        <v>1</v>
      </c>
      <c r="B16" s="460" t="s">
        <v>267</v>
      </c>
      <c r="C16" s="1451"/>
      <c r="D16" s="461">
        <f>F16+G16</f>
        <v>0</v>
      </c>
      <c r="E16" s="461"/>
      <c r="F16" s="462"/>
      <c r="G16" s="462"/>
      <c r="H16" s="1471">
        <f t="shared" si="0"/>
        <v>0</v>
      </c>
      <c r="I16" s="1774" t="e">
        <f t="shared" si="1"/>
        <v>#DIV/0!</v>
      </c>
      <c r="J16" s="463"/>
      <c r="K16" s="1775"/>
      <c r="L16" s="1771">
        <f t="shared" si="2"/>
        <v>0</v>
      </c>
      <c r="N16" s="1757"/>
      <c r="O16" s="1426"/>
    </row>
    <row r="17" spans="1:15" s="457" customFormat="1" ht="16.2" hidden="1">
      <c r="A17" s="459">
        <v>2</v>
      </c>
      <c r="B17" s="460" t="s">
        <v>268</v>
      </c>
      <c r="C17" s="1451"/>
      <c r="D17" s="461">
        <f t="shared" ref="D17:D33" si="3">F17+G17</f>
        <v>0</v>
      </c>
      <c r="E17" s="461"/>
      <c r="F17" s="462"/>
      <c r="G17" s="462"/>
      <c r="H17" s="1471">
        <f t="shared" si="0"/>
        <v>0</v>
      </c>
      <c r="I17" s="1774" t="e">
        <f t="shared" si="1"/>
        <v>#DIV/0!</v>
      </c>
      <c r="J17" s="463"/>
      <c r="K17" s="1775"/>
      <c r="L17" s="1771">
        <f t="shared" si="2"/>
        <v>0</v>
      </c>
      <c r="N17" s="1757"/>
      <c r="O17" s="1426"/>
    </row>
    <row r="18" spans="1:15" s="457" customFormat="1" ht="16.2" hidden="1">
      <c r="A18" s="459">
        <v>3</v>
      </c>
      <c r="B18" s="464" t="s">
        <v>269</v>
      </c>
      <c r="C18" s="1452"/>
      <c r="D18" s="461">
        <f t="shared" si="3"/>
        <v>0</v>
      </c>
      <c r="E18" s="461"/>
      <c r="F18" s="462"/>
      <c r="G18" s="462"/>
      <c r="H18" s="1471">
        <f t="shared" si="0"/>
        <v>0</v>
      </c>
      <c r="I18" s="1774" t="e">
        <f t="shared" si="1"/>
        <v>#DIV/0!</v>
      </c>
      <c r="J18" s="463"/>
      <c r="K18" s="1775"/>
      <c r="L18" s="1771">
        <f t="shared" si="2"/>
        <v>0</v>
      </c>
      <c r="N18" s="1757"/>
      <c r="O18" s="1426"/>
    </row>
    <row r="19" spans="1:15" s="457" customFormat="1" ht="31.2" hidden="1">
      <c r="A19" s="459">
        <v>4</v>
      </c>
      <c r="B19" s="464" t="s">
        <v>270</v>
      </c>
      <c r="C19" s="1452"/>
      <c r="D19" s="461">
        <f t="shared" si="3"/>
        <v>0</v>
      </c>
      <c r="E19" s="461"/>
      <c r="F19" s="462"/>
      <c r="G19" s="462"/>
      <c r="H19" s="1471">
        <f t="shared" si="0"/>
        <v>0</v>
      </c>
      <c r="I19" s="1774" t="e">
        <f t="shared" si="1"/>
        <v>#DIV/0!</v>
      </c>
      <c r="J19" s="463"/>
      <c r="K19" s="1775"/>
      <c r="L19" s="1771">
        <f t="shared" si="2"/>
        <v>0</v>
      </c>
      <c r="N19" s="1757"/>
      <c r="O19" s="1426"/>
    </row>
    <row r="20" spans="1:15" s="457" customFormat="1" ht="16.2" hidden="1">
      <c r="A20" s="459">
        <v>5</v>
      </c>
      <c r="B20" s="464" t="s">
        <v>271</v>
      </c>
      <c r="C20" s="1452"/>
      <c r="D20" s="461">
        <f t="shared" si="3"/>
        <v>0</v>
      </c>
      <c r="E20" s="461"/>
      <c r="F20" s="462"/>
      <c r="G20" s="462"/>
      <c r="H20" s="1471">
        <f t="shared" si="0"/>
        <v>0</v>
      </c>
      <c r="I20" s="1774" t="e">
        <f t="shared" si="1"/>
        <v>#DIV/0!</v>
      </c>
      <c r="J20" s="463"/>
      <c r="K20" s="1775"/>
      <c r="L20" s="1771">
        <f t="shared" si="2"/>
        <v>0</v>
      </c>
      <c r="N20" s="1757"/>
      <c r="O20" s="1426"/>
    </row>
    <row r="21" spans="1:15" s="457" customFormat="1" ht="16.2" hidden="1">
      <c r="A21" s="459">
        <v>6</v>
      </c>
      <c r="B21" s="464" t="s">
        <v>272</v>
      </c>
      <c r="C21" s="1452"/>
      <c r="D21" s="461">
        <f t="shared" si="3"/>
        <v>0</v>
      </c>
      <c r="E21" s="461"/>
      <c r="F21" s="462"/>
      <c r="G21" s="462"/>
      <c r="H21" s="1471">
        <f t="shared" si="0"/>
        <v>0</v>
      </c>
      <c r="I21" s="1774" t="e">
        <f t="shared" si="1"/>
        <v>#DIV/0!</v>
      </c>
      <c r="J21" s="463"/>
      <c r="K21" s="1775"/>
      <c r="L21" s="1771">
        <f t="shared" si="2"/>
        <v>0</v>
      </c>
      <c r="N21" s="1757"/>
      <c r="O21" s="1426"/>
    </row>
    <row r="22" spans="1:15" s="457" customFormat="1" ht="16.2" hidden="1">
      <c r="A22" s="459">
        <v>7</v>
      </c>
      <c r="B22" s="464" t="s">
        <v>273</v>
      </c>
      <c r="C22" s="1452"/>
      <c r="D22" s="461">
        <f t="shared" si="3"/>
        <v>0</v>
      </c>
      <c r="E22" s="461"/>
      <c r="F22" s="462"/>
      <c r="G22" s="462"/>
      <c r="H22" s="1471">
        <f t="shared" si="0"/>
        <v>0</v>
      </c>
      <c r="I22" s="1774" t="e">
        <f t="shared" si="1"/>
        <v>#DIV/0!</v>
      </c>
      <c r="J22" s="463"/>
      <c r="K22" s="1775"/>
      <c r="L22" s="1771">
        <f t="shared" si="2"/>
        <v>0</v>
      </c>
      <c r="N22" s="1757"/>
      <c r="O22" s="1426"/>
    </row>
    <row r="23" spans="1:15" s="457" customFormat="1" ht="16.2" hidden="1">
      <c r="A23" s="459">
        <v>8</v>
      </c>
      <c r="B23" s="464" t="s">
        <v>274</v>
      </c>
      <c r="C23" s="1452"/>
      <c r="D23" s="461">
        <f t="shared" si="3"/>
        <v>0</v>
      </c>
      <c r="E23" s="461"/>
      <c r="F23" s="462"/>
      <c r="G23" s="462"/>
      <c r="H23" s="1471">
        <f t="shared" si="0"/>
        <v>0</v>
      </c>
      <c r="I23" s="1774" t="e">
        <f t="shared" si="1"/>
        <v>#DIV/0!</v>
      </c>
      <c r="J23" s="463"/>
      <c r="K23" s="1775"/>
      <c r="L23" s="1771">
        <f t="shared" si="2"/>
        <v>0</v>
      </c>
      <c r="N23" s="1757"/>
      <c r="O23" s="1426"/>
    </row>
    <row r="24" spans="1:15" s="457" customFormat="1" ht="16.2" hidden="1">
      <c r="A24" s="459">
        <v>9</v>
      </c>
      <c r="B24" s="464" t="s">
        <v>275</v>
      </c>
      <c r="C24" s="1452"/>
      <c r="D24" s="461">
        <f t="shared" si="3"/>
        <v>0</v>
      </c>
      <c r="E24" s="461"/>
      <c r="F24" s="462"/>
      <c r="G24" s="462"/>
      <c r="H24" s="1471">
        <f t="shared" si="0"/>
        <v>0</v>
      </c>
      <c r="I24" s="1774" t="e">
        <f t="shared" si="1"/>
        <v>#DIV/0!</v>
      </c>
      <c r="J24" s="463"/>
      <c r="K24" s="1775"/>
      <c r="L24" s="1771">
        <f t="shared" si="2"/>
        <v>0</v>
      </c>
      <c r="N24" s="1757"/>
      <c r="O24" s="1426"/>
    </row>
    <row r="25" spans="1:15" s="457" customFormat="1" ht="16.2" hidden="1">
      <c r="A25" s="459">
        <v>10</v>
      </c>
      <c r="B25" s="464" t="s">
        <v>276</v>
      </c>
      <c r="C25" s="1452"/>
      <c r="D25" s="461">
        <f t="shared" si="3"/>
        <v>0</v>
      </c>
      <c r="E25" s="461"/>
      <c r="F25" s="462"/>
      <c r="G25" s="462"/>
      <c r="H25" s="1471">
        <f t="shared" si="0"/>
        <v>0</v>
      </c>
      <c r="I25" s="1774" t="e">
        <f t="shared" si="1"/>
        <v>#DIV/0!</v>
      </c>
      <c r="J25" s="463"/>
      <c r="K25" s="1775"/>
      <c r="L25" s="1771">
        <f t="shared" si="2"/>
        <v>0</v>
      </c>
      <c r="N25" s="1757"/>
      <c r="O25" s="1426"/>
    </row>
    <row r="26" spans="1:15" s="457" customFormat="1" ht="46.8" hidden="1">
      <c r="A26" s="459">
        <v>11</v>
      </c>
      <c r="B26" s="464" t="s">
        <v>277</v>
      </c>
      <c r="C26" s="1452"/>
      <c r="D26" s="461">
        <f t="shared" si="3"/>
        <v>0</v>
      </c>
      <c r="E26" s="461"/>
      <c r="F26" s="462"/>
      <c r="G26" s="462"/>
      <c r="H26" s="1471">
        <f t="shared" si="0"/>
        <v>0</v>
      </c>
      <c r="I26" s="1774" t="e">
        <f t="shared" si="1"/>
        <v>#DIV/0!</v>
      </c>
      <c r="J26" s="463"/>
      <c r="K26" s="1775"/>
      <c r="L26" s="1771">
        <f t="shared" si="2"/>
        <v>0</v>
      </c>
      <c r="N26" s="1757"/>
      <c r="O26" s="1426"/>
    </row>
    <row r="27" spans="1:15" s="457" customFormat="1" ht="16.2" hidden="1">
      <c r="A27" s="459">
        <v>12</v>
      </c>
      <c r="B27" s="464" t="s">
        <v>278</v>
      </c>
      <c r="C27" s="1452"/>
      <c r="D27" s="461">
        <f t="shared" si="3"/>
        <v>0</v>
      </c>
      <c r="E27" s="461"/>
      <c r="F27" s="462"/>
      <c r="G27" s="462"/>
      <c r="H27" s="1471">
        <f t="shared" si="0"/>
        <v>0</v>
      </c>
      <c r="I27" s="1774" t="e">
        <f t="shared" si="1"/>
        <v>#DIV/0!</v>
      </c>
      <c r="J27" s="463"/>
      <c r="K27" s="1775"/>
      <c r="L27" s="1771">
        <f t="shared" si="2"/>
        <v>0</v>
      </c>
      <c r="N27" s="1757"/>
      <c r="O27" s="1426"/>
    </row>
    <row r="28" spans="1:15" s="457" customFormat="1" ht="16.2" hidden="1">
      <c r="A28" s="459">
        <v>13</v>
      </c>
      <c r="B28" s="464" t="s">
        <v>279</v>
      </c>
      <c r="C28" s="1452"/>
      <c r="D28" s="461">
        <f t="shared" si="3"/>
        <v>0</v>
      </c>
      <c r="E28" s="461"/>
      <c r="F28" s="462"/>
      <c r="G28" s="462"/>
      <c r="H28" s="1471">
        <f t="shared" si="0"/>
        <v>0</v>
      </c>
      <c r="I28" s="1774" t="e">
        <f t="shared" si="1"/>
        <v>#DIV/0!</v>
      </c>
      <c r="J28" s="463"/>
      <c r="K28" s="1775"/>
      <c r="L28" s="1771">
        <f t="shared" si="2"/>
        <v>0</v>
      </c>
      <c r="N28" s="1757"/>
      <c r="O28" s="1426"/>
    </row>
    <row r="29" spans="1:15" s="457" customFormat="1" ht="38.4" customHeight="1">
      <c r="A29" s="465" t="s">
        <v>280</v>
      </c>
      <c r="B29" s="454" t="s">
        <v>281</v>
      </c>
      <c r="C29" s="1450">
        <v>103500</v>
      </c>
      <c r="D29" s="455">
        <f>SUM(D30:D32)</f>
        <v>126000</v>
      </c>
      <c r="E29" s="455"/>
      <c r="F29" s="455">
        <f>SUM(F30:F32)</f>
        <v>78480</v>
      </c>
      <c r="G29" s="455">
        <f>SUM(G30:G32)</f>
        <v>47520</v>
      </c>
      <c r="H29" s="1471">
        <f t="shared" si="0"/>
        <v>22500</v>
      </c>
      <c r="I29" s="1774">
        <f t="shared" si="1"/>
        <v>121.73913043478261</v>
      </c>
      <c r="J29" s="454"/>
      <c r="K29" s="1775">
        <f>G29/D29%</f>
        <v>37.714285714285715</v>
      </c>
      <c r="L29" s="1771">
        <f t="shared" si="2"/>
        <v>1.7474946985024469</v>
      </c>
      <c r="M29" s="458"/>
      <c r="N29" s="1758"/>
      <c r="O29" s="1426"/>
    </row>
    <row r="30" spans="1:15" s="457" customFormat="1" ht="31.2">
      <c r="A30" s="466"/>
      <c r="B30" s="467" t="s">
        <v>4</v>
      </c>
      <c r="C30" s="1453">
        <v>46000</v>
      </c>
      <c r="D30" s="461">
        <f t="shared" si="3"/>
        <v>66560</v>
      </c>
      <c r="E30" s="461"/>
      <c r="F30" s="468">
        <f>87200*40%</f>
        <v>34880</v>
      </c>
      <c r="G30" s="468">
        <f>'Bieu so 03'!D33+10560</f>
        <v>31680</v>
      </c>
      <c r="H30" s="1493">
        <f t="shared" si="0"/>
        <v>20560</v>
      </c>
      <c r="I30" s="1776">
        <f t="shared" si="1"/>
        <v>144.69565217391303</v>
      </c>
      <c r="J30" s="1777"/>
      <c r="K30" s="1778">
        <f>G30/D30%</f>
        <v>47.596153846153847</v>
      </c>
      <c r="L30" s="1773"/>
      <c r="N30" s="1759"/>
      <c r="O30" s="1426"/>
    </row>
    <row r="31" spans="1:15" s="457" customFormat="1" ht="31.2">
      <c r="A31" s="466"/>
      <c r="B31" s="467" t="s">
        <v>282</v>
      </c>
      <c r="C31" s="1453">
        <v>34500</v>
      </c>
      <c r="D31" s="461">
        <f t="shared" si="3"/>
        <v>42000</v>
      </c>
      <c r="E31" s="461"/>
      <c r="F31" s="468">
        <f>87200*30%</f>
        <v>26160</v>
      </c>
      <c r="G31" s="468">
        <f>'Bieu so 03'!D34</f>
        <v>15840</v>
      </c>
      <c r="H31" s="1493">
        <f t="shared" si="0"/>
        <v>7500</v>
      </c>
      <c r="I31" s="1776">
        <f t="shared" si="1"/>
        <v>121.73913043478261</v>
      </c>
      <c r="J31" s="1777"/>
      <c r="K31" s="1778">
        <f t="shared" ref="K31:K33" si="4">G31/D31%</f>
        <v>37.714285714285715</v>
      </c>
      <c r="L31" s="1773"/>
      <c r="N31" s="1759"/>
      <c r="O31" s="1426"/>
    </row>
    <row r="32" spans="1:15" s="457" customFormat="1" ht="31.2">
      <c r="A32" s="466"/>
      <c r="B32" s="467" t="s">
        <v>283</v>
      </c>
      <c r="C32" s="1453">
        <v>23000</v>
      </c>
      <c r="D32" s="461">
        <f t="shared" si="3"/>
        <v>17440</v>
      </c>
      <c r="E32" s="461"/>
      <c r="F32" s="468">
        <f>87200*20%</f>
        <v>17440</v>
      </c>
      <c r="G32" s="468"/>
      <c r="H32" s="1493">
        <f t="shared" si="0"/>
        <v>-5560</v>
      </c>
      <c r="I32" s="1776">
        <f t="shared" si="1"/>
        <v>75.826086956521735</v>
      </c>
      <c r="J32" s="1777"/>
      <c r="K32" s="1778">
        <f t="shared" si="4"/>
        <v>0</v>
      </c>
      <c r="L32" s="1773"/>
      <c r="N32" s="1759"/>
      <c r="O32" s="1426"/>
    </row>
    <row r="33" spans="1:16" s="457" customFormat="1" ht="31.2">
      <c r="A33" s="1810" t="s">
        <v>284</v>
      </c>
      <c r="B33" s="1811" t="s">
        <v>285</v>
      </c>
      <c r="C33" s="1812">
        <v>850000</v>
      </c>
      <c r="D33" s="1813">
        <f t="shared" si="3"/>
        <v>960000</v>
      </c>
      <c r="E33" s="1813"/>
      <c r="F33" s="1814">
        <f>960000-G33</f>
        <v>799500</v>
      </c>
      <c r="G33" s="1814">
        <f>'Bieu so 03'!D36</f>
        <v>160500</v>
      </c>
      <c r="H33" s="1646">
        <f t="shared" si="0"/>
        <v>110000</v>
      </c>
      <c r="I33" s="1815">
        <f t="shared" si="1"/>
        <v>112.94117647058823</v>
      </c>
      <c r="J33" s="1813"/>
      <c r="K33" s="1803">
        <f t="shared" si="4"/>
        <v>16.71875</v>
      </c>
      <c r="L33" s="1816">
        <f t="shared" si="2"/>
        <v>13.314245321923405</v>
      </c>
      <c r="M33" s="458"/>
      <c r="N33" s="1756"/>
      <c r="O33" s="1426"/>
    </row>
    <row r="34" spans="1:16" ht="27.6" customHeight="1">
      <c r="A34" s="470" t="s">
        <v>60</v>
      </c>
      <c r="B34" s="471" t="s">
        <v>286</v>
      </c>
      <c r="C34" s="1454">
        <v>5033370</v>
      </c>
      <c r="D34" s="472">
        <f>SUM(D35,D45,D46,D47,D48,D57,D58,D59,D60,D61,D70,D76,D77,D81,D82,D83)</f>
        <v>5350237.3035800001</v>
      </c>
      <c r="E34" s="472"/>
      <c r="F34" s="472">
        <f>SUM(F35,F45,F46,F47,F48,F57,F58,F59,F60,F61,F70,F76,F77,F81,F82,F83)</f>
        <v>2009103</v>
      </c>
      <c r="G34" s="472">
        <f>SUM(G35,G45,G46,G47,G48,G57,G58,G59,G60,G61,G70,G76,G77,G81,G82)</f>
        <v>3341134.3035800001</v>
      </c>
      <c r="H34" s="1470">
        <f t="shared" si="0"/>
        <v>316867.30358000007</v>
      </c>
      <c r="I34" s="1779">
        <f t="shared" si="1"/>
        <v>106.29533103229051</v>
      </c>
      <c r="J34" s="463">
        <f>D34/$D$13%</f>
        <v>74.202470823302193</v>
      </c>
      <c r="K34" s="1837">
        <v>3396528</v>
      </c>
      <c r="L34" s="1535">
        <f t="shared" si="2"/>
        <v>74.202470823302193</v>
      </c>
      <c r="M34" s="434">
        <v>5336237</v>
      </c>
      <c r="N34" s="1754"/>
      <c r="O34" s="523"/>
      <c r="P34" s="439"/>
    </row>
    <row r="35" spans="1:16" ht="31.2">
      <c r="A35" s="1817">
        <v>1</v>
      </c>
      <c r="B35" s="1818" t="s">
        <v>267</v>
      </c>
      <c r="C35" s="1819">
        <v>2244790</v>
      </c>
      <c r="D35" s="1658">
        <f>F35+G35</f>
        <v>2357829</v>
      </c>
      <c r="E35" s="1658"/>
      <c r="F35" s="1658">
        <f>F36+F37+F44</f>
        <v>473223</v>
      </c>
      <c r="G35" s="1658">
        <f>G36+G37+G44</f>
        <v>1884606</v>
      </c>
      <c r="H35" s="1661">
        <f t="shared" si="0"/>
        <v>113039</v>
      </c>
      <c r="I35" s="1801">
        <f t="shared" si="1"/>
        <v>105.03561580370547</v>
      </c>
      <c r="J35" s="1820">
        <f>D35/$D$34%</f>
        <v>44.069615350001534</v>
      </c>
      <c r="K35" s="1821">
        <f>K34-G34</f>
        <v>55393.696419999935</v>
      </c>
      <c r="L35" s="1822">
        <f t="shared" si="2"/>
        <v>32.700743472026396</v>
      </c>
      <c r="M35" s="439">
        <f>D34-M34</f>
        <v>14000.303580000065</v>
      </c>
      <c r="N35" s="1756"/>
      <c r="O35" s="523"/>
      <c r="P35" s="439"/>
    </row>
    <row r="36" spans="1:16">
      <c r="A36" s="469"/>
      <c r="B36" s="475" t="s">
        <v>287</v>
      </c>
      <c r="C36" s="1455">
        <v>2104572</v>
      </c>
      <c r="D36" s="473">
        <f t="shared" ref="D36:D69" si="5">F36+G36</f>
        <v>2202493</v>
      </c>
      <c r="E36" s="473"/>
      <c r="F36" s="456">
        <f>'Bieu so 04'!K58</f>
        <v>343811</v>
      </c>
      <c r="G36" s="1114">
        <f>'Bieu so 03'!D44</f>
        <v>1858682</v>
      </c>
      <c r="H36" s="1471">
        <f t="shared" si="0"/>
        <v>97921</v>
      </c>
      <c r="I36" s="1774">
        <f t="shared" si="1"/>
        <v>104.65277500603447</v>
      </c>
      <c r="J36" s="474"/>
      <c r="K36" s="1782"/>
      <c r="L36" s="1771">
        <f>D36/$D$13%</f>
        <v>30.546387626894841</v>
      </c>
      <c r="M36" s="439"/>
      <c r="N36" s="1756"/>
      <c r="O36" s="523"/>
      <c r="P36" s="439"/>
    </row>
    <row r="37" spans="1:16">
      <c r="A37" s="469"/>
      <c r="B37" s="475" t="s">
        <v>288</v>
      </c>
      <c r="C37" s="1455">
        <v>140218</v>
      </c>
      <c r="D37" s="473">
        <f t="shared" si="5"/>
        <v>151336</v>
      </c>
      <c r="E37" s="473"/>
      <c r="F37" s="456">
        <f>'Bieu so 04'!K62+'Bieu so 04'!AD247-'Bieu so 04'!AD236</f>
        <v>125412</v>
      </c>
      <c r="G37" s="1114">
        <f>'Bieu so 03'!D45</f>
        <v>25924</v>
      </c>
      <c r="H37" s="1471">
        <f t="shared" si="0"/>
        <v>11118</v>
      </c>
      <c r="I37" s="1774">
        <f t="shared" si="1"/>
        <v>107.92908185824929</v>
      </c>
      <c r="J37" s="474"/>
      <c r="K37" s="1782"/>
      <c r="L37" s="1771">
        <f t="shared" si="2"/>
        <v>2.0988798229568757</v>
      </c>
      <c r="M37" s="439">
        <f>SUM(F39:F43)</f>
        <v>125412</v>
      </c>
      <c r="N37" s="1756"/>
      <c r="O37" s="523">
        <f>SUM(F39:F43)</f>
        <v>125412</v>
      </c>
    </row>
    <row r="38" spans="1:16" ht="16.2">
      <c r="A38" s="469"/>
      <c r="B38" s="476" t="s">
        <v>289</v>
      </c>
      <c r="C38" s="1456"/>
      <c r="D38" s="461"/>
      <c r="E38" s="461"/>
      <c r="F38" s="462"/>
      <c r="G38" s="462"/>
      <c r="H38" s="1471">
        <f t="shared" si="0"/>
        <v>0</v>
      </c>
      <c r="I38" s="1774"/>
      <c r="J38" s="474"/>
      <c r="K38" s="1781">
        <f>F34+F84+F85+F86</f>
        <v>2068134</v>
      </c>
      <c r="L38" s="1771">
        <f t="shared" si="2"/>
        <v>0</v>
      </c>
      <c r="M38" s="434"/>
      <c r="N38" s="1759"/>
      <c r="O38" s="523">
        <f>F37-O37</f>
        <v>0</v>
      </c>
    </row>
    <row r="39" spans="1:16" ht="31.2">
      <c r="A39" s="469"/>
      <c r="B39" s="476" t="s">
        <v>927</v>
      </c>
      <c r="C39" s="1456">
        <v>21273</v>
      </c>
      <c r="D39" s="473">
        <f t="shared" si="5"/>
        <v>36892</v>
      </c>
      <c r="E39" s="473"/>
      <c r="F39" s="468">
        <v>36892</v>
      </c>
      <c r="G39" s="462"/>
      <c r="H39" s="1493">
        <f t="shared" si="0"/>
        <v>15619</v>
      </c>
      <c r="I39" s="1776">
        <f t="shared" si="1"/>
        <v>173.42170826869742</v>
      </c>
      <c r="J39" s="1494"/>
      <c r="K39" s="1783"/>
      <c r="L39" s="1773"/>
      <c r="M39" s="489">
        <f>M37-F37</f>
        <v>0</v>
      </c>
      <c r="N39" s="1759"/>
      <c r="O39" s="486"/>
      <c r="P39" s="439"/>
    </row>
    <row r="40" spans="1:16" ht="31.2">
      <c r="A40" s="469"/>
      <c r="B40" s="476" t="s">
        <v>928</v>
      </c>
      <c r="C40" s="1456">
        <v>35473</v>
      </c>
      <c r="D40" s="473">
        <f t="shared" si="5"/>
        <v>34255</v>
      </c>
      <c r="E40" s="473"/>
      <c r="F40" s="468">
        <f>'Bieu so 04'!AD74</f>
        <v>34255</v>
      </c>
      <c r="G40" s="462"/>
      <c r="H40" s="1493">
        <f t="shared" si="0"/>
        <v>-1218</v>
      </c>
      <c r="I40" s="1776">
        <f t="shared" si="1"/>
        <v>96.566402616074186</v>
      </c>
      <c r="J40" s="1494"/>
      <c r="K40" s="1783"/>
      <c r="L40" s="1773"/>
      <c r="M40" s="439"/>
      <c r="N40" s="1759"/>
      <c r="O40" s="486"/>
    </row>
    <row r="41" spans="1:16" ht="46.8">
      <c r="A41" s="469"/>
      <c r="B41" s="477" t="s">
        <v>929</v>
      </c>
      <c r="C41" s="1457">
        <v>2000</v>
      </c>
      <c r="D41" s="461">
        <f t="shared" si="5"/>
        <v>2345</v>
      </c>
      <c r="E41" s="461"/>
      <c r="F41" s="468">
        <f>'Bieu so 04'!AD71</f>
        <v>2345</v>
      </c>
      <c r="G41" s="478"/>
      <c r="H41" s="1493">
        <f t="shared" si="0"/>
        <v>345</v>
      </c>
      <c r="I41" s="1776">
        <f t="shared" si="1"/>
        <v>117.25</v>
      </c>
      <c r="J41" s="1494"/>
      <c r="K41" s="1783"/>
      <c r="L41" s="1773"/>
      <c r="M41" s="439"/>
      <c r="N41" s="1756"/>
      <c r="O41" s="486"/>
      <c r="P41" s="439"/>
    </row>
    <row r="42" spans="1:16" ht="78">
      <c r="A42" s="469"/>
      <c r="B42" s="476" t="s">
        <v>930</v>
      </c>
      <c r="C42" s="1456">
        <v>4926</v>
      </c>
      <c r="D42" s="461">
        <f t="shared" si="5"/>
        <v>1725</v>
      </c>
      <c r="E42" s="461"/>
      <c r="F42" s="468">
        <f>'Bieu so 04'!AD72</f>
        <v>1725</v>
      </c>
      <c r="G42" s="478"/>
      <c r="H42" s="1493">
        <f t="shared" si="0"/>
        <v>-3201</v>
      </c>
      <c r="I42" s="1776">
        <f t="shared" si="1"/>
        <v>35.018270401948847</v>
      </c>
      <c r="J42" s="1494"/>
      <c r="K42" s="1783"/>
      <c r="L42" s="1773"/>
      <c r="M42" s="439"/>
      <c r="N42" s="1756"/>
      <c r="O42" s="486"/>
    </row>
    <row r="43" spans="1:16" ht="46.8">
      <c r="A43" s="469"/>
      <c r="B43" s="477" t="s">
        <v>931</v>
      </c>
      <c r="C43" s="1456">
        <v>51697</v>
      </c>
      <c r="D43" s="461">
        <f t="shared" si="5"/>
        <v>50195</v>
      </c>
      <c r="E43" s="461"/>
      <c r="F43" s="468">
        <f>51870-1648-27</f>
        <v>50195</v>
      </c>
      <c r="G43" s="478"/>
      <c r="H43" s="1493">
        <f t="shared" si="0"/>
        <v>-1502</v>
      </c>
      <c r="I43" s="1776">
        <f t="shared" si="1"/>
        <v>97.094608971507043</v>
      </c>
      <c r="J43" s="1494"/>
      <c r="K43" s="1783"/>
      <c r="L43" s="1773"/>
      <c r="M43" s="439"/>
      <c r="N43" s="1756"/>
    </row>
    <row r="44" spans="1:16" ht="46.8">
      <c r="A44" s="1667"/>
      <c r="B44" s="1668" t="s">
        <v>932</v>
      </c>
      <c r="C44" s="1669"/>
      <c r="D44" s="461">
        <f t="shared" si="5"/>
        <v>4000</v>
      </c>
      <c r="E44" s="1670"/>
      <c r="F44" s="1671">
        <f>'Bieu so 04'!K79</f>
        <v>4000</v>
      </c>
      <c r="G44" s="1670"/>
      <c r="H44" s="1471"/>
      <c r="I44" s="1774"/>
      <c r="J44" s="1784"/>
      <c r="K44" s="1785"/>
      <c r="L44" s="1772"/>
      <c r="M44" s="439"/>
      <c r="N44" s="1756"/>
    </row>
    <row r="45" spans="1:16">
      <c r="A45" s="469">
        <v>2</v>
      </c>
      <c r="B45" s="460" t="s">
        <v>268</v>
      </c>
      <c r="C45" s="1451">
        <v>34697</v>
      </c>
      <c r="D45" s="473">
        <f t="shared" si="5"/>
        <v>31343</v>
      </c>
      <c r="E45" s="473"/>
      <c r="F45" s="456">
        <f>'Bieu so 04'!K140</f>
        <v>29491</v>
      </c>
      <c r="G45" s="456">
        <f>'Bieu so 03'!D46</f>
        <v>1852</v>
      </c>
      <c r="H45" s="1471">
        <f t="shared" si="0"/>
        <v>-3354</v>
      </c>
      <c r="I45" s="1774">
        <f t="shared" si="1"/>
        <v>90.333458224053942</v>
      </c>
      <c r="J45" s="1780">
        <f>D45/$D$34%</f>
        <v>0.58582448257066055</v>
      </c>
      <c r="K45" s="1782">
        <f>G45/D45%</f>
        <v>5.9088153654723543</v>
      </c>
      <c r="L45" s="1771">
        <f t="shared" si="2"/>
        <v>0.43469624075525554</v>
      </c>
      <c r="N45" s="1760"/>
    </row>
    <row r="46" spans="1:16">
      <c r="A46" s="469">
        <v>3</v>
      </c>
      <c r="B46" s="464" t="s">
        <v>269</v>
      </c>
      <c r="C46" s="1452">
        <v>57139</v>
      </c>
      <c r="D46" s="473">
        <f t="shared" si="5"/>
        <v>57000</v>
      </c>
      <c r="E46" s="473"/>
      <c r="F46" s="456">
        <f>'Bieu so 04'!K240+'Bieu so 04'!K242</f>
        <v>33028</v>
      </c>
      <c r="G46" s="456">
        <f>'Bieu so 03'!D50</f>
        <v>23972</v>
      </c>
      <c r="H46" s="1471">
        <f t="shared" si="0"/>
        <v>-139</v>
      </c>
      <c r="I46" s="1774">
        <f t="shared" si="1"/>
        <v>99.75673357951662</v>
      </c>
      <c r="J46" s="1786"/>
      <c r="K46" s="1782">
        <f>G46/D46%</f>
        <v>42.056140350877193</v>
      </c>
      <c r="L46" s="1771">
        <f>D46/$D$13%</f>
        <v>0.79053331598920218</v>
      </c>
      <c r="M46" s="439"/>
      <c r="N46" s="1760"/>
    </row>
    <row r="47" spans="1:16" ht="31.2">
      <c r="A47" s="469">
        <v>4</v>
      </c>
      <c r="B47" s="464" t="s">
        <v>270</v>
      </c>
      <c r="C47" s="1452">
        <v>31882</v>
      </c>
      <c r="D47" s="473">
        <f t="shared" si="5"/>
        <v>32967</v>
      </c>
      <c r="E47" s="473"/>
      <c r="F47" s="456">
        <f>'Bieu so 04'!K241</f>
        <v>21143</v>
      </c>
      <c r="G47" s="456">
        <f>'Bieu so 03'!D51</f>
        <v>11824</v>
      </c>
      <c r="H47" s="1471">
        <f t="shared" si="0"/>
        <v>1085</v>
      </c>
      <c r="I47" s="1774">
        <f t="shared" si="1"/>
        <v>103.4031742048805</v>
      </c>
      <c r="J47" s="1786"/>
      <c r="K47" s="1782">
        <f>G47/D47%</f>
        <v>35.866169199502529</v>
      </c>
      <c r="L47" s="1771">
        <f t="shared" si="2"/>
        <v>0.45721950575817594</v>
      </c>
      <c r="N47" s="1761"/>
    </row>
    <row r="48" spans="1:16">
      <c r="A48" s="469">
        <v>5</v>
      </c>
      <c r="B48" s="464" t="s">
        <v>271</v>
      </c>
      <c r="C48" s="1452">
        <v>577364</v>
      </c>
      <c r="D48" s="473">
        <f>F48+G48</f>
        <v>590892</v>
      </c>
      <c r="E48" s="473"/>
      <c r="F48" s="462">
        <f>'Bieu so 04'!K80</f>
        <v>590892</v>
      </c>
      <c r="G48" s="462">
        <f>SUM(G50:G56)</f>
        <v>0</v>
      </c>
      <c r="H48" s="1471">
        <f t="shared" si="0"/>
        <v>13528</v>
      </c>
      <c r="I48" s="1774">
        <f t="shared" si="1"/>
        <v>102.3430626086836</v>
      </c>
      <c r="J48" s="474"/>
      <c r="K48" s="1782">
        <f>G48/D48%</f>
        <v>0</v>
      </c>
      <c r="L48" s="1771">
        <f t="shared" si="2"/>
        <v>8.1950844237103802</v>
      </c>
      <c r="N48" s="1755"/>
    </row>
    <row r="49" spans="1:15">
      <c r="A49" s="469"/>
      <c r="B49" s="476" t="s">
        <v>290</v>
      </c>
      <c r="C49" s="1456"/>
      <c r="D49" s="461"/>
      <c r="E49" s="461"/>
      <c r="F49" s="462"/>
      <c r="G49" s="462"/>
      <c r="H49" s="1471">
        <f t="shared" si="0"/>
        <v>0</v>
      </c>
      <c r="I49" s="1774"/>
      <c r="J49" s="474"/>
      <c r="K49" s="1782"/>
      <c r="L49" s="1771">
        <f t="shared" si="2"/>
        <v>0</v>
      </c>
      <c r="N49" s="1427"/>
    </row>
    <row r="50" spans="1:15" ht="16.2">
      <c r="A50" s="469"/>
      <c r="B50" s="477" t="s">
        <v>291</v>
      </c>
      <c r="C50" s="1457">
        <v>169406</v>
      </c>
      <c r="D50" s="461">
        <f t="shared" si="5"/>
        <v>173213</v>
      </c>
      <c r="E50" s="461"/>
      <c r="F50" s="480">
        <v>173213</v>
      </c>
      <c r="G50" s="462"/>
      <c r="H50" s="1493">
        <f t="shared" si="0"/>
        <v>3807</v>
      </c>
      <c r="I50" s="1776">
        <f t="shared" si="1"/>
        <v>102.24726396939896</v>
      </c>
      <c r="J50" s="1494"/>
      <c r="K50" s="1783"/>
      <c r="L50" s="1773"/>
      <c r="N50" s="1762"/>
    </row>
    <row r="51" spans="1:15" ht="31.2">
      <c r="A51" s="469"/>
      <c r="B51" s="481" t="s">
        <v>292</v>
      </c>
      <c r="C51" s="1458">
        <v>66774</v>
      </c>
      <c r="D51" s="461">
        <f t="shared" si="5"/>
        <v>66774</v>
      </c>
      <c r="E51" s="461"/>
      <c r="F51" s="468">
        <f>'Bieu so 04'!K115</f>
        <v>66774</v>
      </c>
      <c r="G51" s="462"/>
      <c r="H51" s="1493">
        <f t="shared" si="0"/>
        <v>0</v>
      </c>
      <c r="I51" s="1776">
        <f t="shared" si="1"/>
        <v>100</v>
      </c>
      <c r="J51" s="1494"/>
      <c r="K51" s="1783"/>
      <c r="L51" s="1773"/>
      <c r="M51" s="439"/>
      <c r="N51" s="1759"/>
    </row>
    <row r="52" spans="1:15" ht="31.2">
      <c r="A52" s="469"/>
      <c r="B52" s="481" t="s">
        <v>293</v>
      </c>
      <c r="C52" s="1458">
        <v>15450</v>
      </c>
      <c r="D52" s="461">
        <f t="shared" si="5"/>
        <v>15450</v>
      </c>
      <c r="E52" s="461"/>
      <c r="F52" s="468">
        <f>'Bieu so 04'!K116</f>
        <v>15450</v>
      </c>
      <c r="G52" s="462"/>
      <c r="H52" s="1493">
        <f t="shared" si="0"/>
        <v>0</v>
      </c>
      <c r="I52" s="1776">
        <f t="shared" si="1"/>
        <v>100</v>
      </c>
      <c r="J52" s="1494"/>
      <c r="K52" s="1783"/>
      <c r="L52" s="1773"/>
      <c r="N52" s="1759"/>
    </row>
    <row r="53" spans="1:15" ht="31.2">
      <c r="A53" s="469"/>
      <c r="B53" s="481" t="s">
        <v>294</v>
      </c>
      <c r="C53" s="1458">
        <v>303759</v>
      </c>
      <c r="D53" s="461">
        <f t="shared" si="5"/>
        <v>303759</v>
      </c>
      <c r="E53" s="461"/>
      <c r="F53" s="468">
        <f>'Bieu so 04'!K117</f>
        <v>303759</v>
      </c>
      <c r="G53" s="462"/>
      <c r="H53" s="1493">
        <f t="shared" si="0"/>
        <v>0</v>
      </c>
      <c r="I53" s="1776">
        <f t="shared" si="1"/>
        <v>100</v>
      </c>
      <c r="J53" s="1494"/>
      <c r="K53" s="1783"/>
      <c r="L53" s="1773"/>
      <c r="N53" s="1759"/>
    </row>
    <row r="54" spans="1:15" ht="31.2">
      <c r="A54" s="469"/>
      <c r="B54" s="481" t="s">
        <v>897</v>
      </c>
      <c r="C54" s="1458">
        <v>3921</v>
      </c>
      <c r="D54" s="461">
        <f t="shared" si="5"/>
        <v>4278</v>
      </c>
      <c r="E54" s="461"/>
      <c r="F54" s="468">
        <f>'Bieu so 04'!K118</f>
        <v>4278</v>
      </c>
      <c r="G54" s="462"/>
      <c r="H54" s="1493">
        <f t="shared" si="0"/>
        <v>357</v>
      </c>
      <c r="I54" s="1776">
        <f t="shared" si="1"/>
        <v>109.10482019892885</v>
      </c>
      <c r="J54" s="1494"/>
      <c r="K54" s="1783"/>
      <c r="L54" s="1773"/>
      <c r="N54" s="1759"/>
    </row>
    <row r="55" spans="1:15" ht="31.2">
      <c r="A55" s="469"/>
      <c r="B55" s="481" t="s">
        <v>295</v>
      </c>
      <c r="C55" s="1458">
        <v>15337</v>
      </c>
      <c r="D55" s="461">
        <f t="shared" si="5"/>
        <v>15337</v>
      </c>
      <c r="E55" s="461"/>
      <c r="F55" s="468">
        <f>'2019 (co TK)'!K113</f>
        <v>15337</v>
      </c>
      <c r="G55" s="462"/>
      <c r="H55" s="1493">
        <f t="shared" si="0"/>
        <v>0</v>
      </c>
      <c r="I55" s="1776">
        <f t="shared" si="1"/>
        <v>100</v>
      </c>
      <c r="J55" s="1494"/>
      <c r="K55" s="1783"/>
      <c r="L55" s="1773"/>
      <c r="N55" s="1759"/>
    </row>
    <row r="56" spans="1:15" ht="31.2">
      <c r="A56" s="469"/>
      <c r="B56" s="481" t="s">
        <v>296</v>
      </c>
      <c r="C56" s="1458">
        <v>2717</v>
      </c>
      <c r="D56" s="461">
        <f t="shared" si="5"/>
        <v>2717</v>
      </c>
      <c r="E56" s="461"/>
      <c r="F56" s="468">
        <f>'Bieu so 04'!K120</f>
        <v>2717</v>
      </c>
      <c r="G56" s="462"/>
      <c r="H56" s="1493">
        <f t="shared" si="0"/>
        <v>0</v>
      </c>
      <c r="I56" s="1776">
        <f t="shared" si="1"/>
        <v>100</v>
      </c>
      <c r="J56" s="1494"/>
      <c r="K56" s="1783"/>
      <c r="L56" s="1773"/>
      <c r="N56" s="1759"/>
    </row>
    <row r="57" spans="1:15">
      <c r="A57" s="469">
        <v>6</v>
      </c>
      <c r="B57" s="464" t="s">
        <v>272</v>
      </c>
      <c r="C57" s="1452">
        <v>40377</v>
      </c>
      <c r="D57" s="473">
        <f t="shared" si="5"/>
        <v>41097.30358</v>
      </c>
      <c r="E57" s="473"/>
      <c r="F57" s="456">
        <f>'Bieu so 04'!K122-'Bieu so 04'!K127</f>
        <v>21704</v>
      </c>
      <c r="G57" s="456">
        <f>'Bieu so 03'!D52</f>
        <v>19393.30358</v>
      </c>
      <c r="H57" s="1471">
        <f t="shared" si="0"/>
        <v>720.30357999999978</v>
      </c>
      <c r="I57" s="1774">
        <f t="shared" si="1"/>
        <v>101.78394526586919</v>
      </c>
      <c r="J57" s="1786"/>
      <c r="K57" s="1782">
        <f t="shared" ref="K57:K61" si="6">G57/D57%</f>
        <v>47.188749359794372</v>
      </c>
      <c r="L57" s="1771">
        <f t="shared" si="2"/>
        <v>0.56997873118091769</v>
      </c>
      <c r="M57" s="439">
        <f>F57+F58</f>
        <v>30344</v>
      </c>
      <c r="N57" s="1761"/>
    </row>
    <row r="58" spans="1:15">
      <c r="A58" s="469">
        <v>7</v>
      </c>
      <c r="B58" s="464" t="s">
        <v>274</v>
      </c>
      <c r="C58" s="1452">
        <v>9321</v>
      </c>
      <c r="D58" s="473">
        <f>F58+G58</f>
        <v>8640</v>
      </c>
      <c r="E58" s="473"/>
      <c r="F58" s="456">
        <f>'Bieu so 04'!K127</f>
        <v>8640</v>
      </c>
      <c r="G58" s="462"/>
      <c r="H58" s="1471">
        <f t="shared" si="0"/>
        <v>-681</v>
      </c>
      <c r="I58" s="1774">
        <f t="shared" si="1"/>
        <v>92.693916961699401</v>
      </c>
      <c r="J58" s="1786"/>
      <c r="K58" s="1782">
        <f t="shared" si="6"/>
        <v>0</v>
      </c>
      <c r="L58" s="1771">
        <f t="shared" si="2"/>
        <v>0.11982820789731065</v>
      </c>
      <c r="N58" s="1761"/>
      <c r="O58" s="523"/>
    </row>
    <row r="59" spans="1:15">
      <c r="A59" s="469">
        <v>8</v>
      </c>
      <c r="B59" s="464" t="s">
        <v>273</v>
      </c>
      <c r="C59" s="1452">
        <v>17899</v>
      </c>
      <c r="D59" s="473">
        <f t="shared" si="5"/>
        <v>18126</v>
      </c>
      <c r="E59" s="473"/>
      <c r="F59" s="456">
        <f>'Bieu so 04'!K130</f>
        <v>9412</v>
      </c>
      <c r="G59" s="456">
        <f>'Bieu so 03'!D53</f>
        <v>8714</v>
      </c>
      <c r="H59" s="1471">
        <f t="shared" si="0"/>
        <v>227</v>
      </c>
      <c r="I59" s="1774">
        <f t="shared" si="1"/>
        <v>101.26822727526677</v>
      </c>
      <c r="J59" s="474"/>
      <c r="K59" s="1782">
        <f t="shared" si="6"/>
        <v>48.07458898819376</v>
      </c>
      <c r="L59" s="1771">
        <f t="shared" si="2"/>
        <v>0.25138959448456633</v>
      </c>
      <c r="N59" s="1761"/>
    </row>
    <row r="60" spans="1:15">
      <c r="A60" s="469">
        <v>9</v>
      </c>
      <c r="B60" s="464" t="s">
        <v>275</v>
      </c>
      <c r="C60" s="1452">
        <v>61447</v>
      </c>
      <c r="D60" s="473">
        <f t="shared" si="5"/>
        <v>63914</v>
      </c>
      <c r="E60" s="473"/>
      <c r="F60" s="456">
        <f>'Bieu so 04'!K42</f>
        <v>27550</v>
      </c>
      <c r="G60" s="482">
        <f>'Bieu so 03'!D47</f>
        <v>36364</v>
      </c>
      <c r="H60" s="1471">
        <f t="shared" si="0"/>
        <v>2467</v>
      </c>
      <c r="I60" s="1774">
        <f t="shared" si="1"/>
        <v>104.01484205901021</v>
      </c>
      <c r="J60" s="474"/>
      <c r="K60" s="1782">
        <f t="shared" si="6"/>
        <v>56.89520292893576</v>
      </c>
      <c r="L60" s="1771">
        <f t="shared" si="2"/>
        <v>0.88642362031813804</v>
      </c>
      <c r="M60" s="439">
        <f>F60+F61</f>
        <v>333584</v>
      </c>
      <c r="N60" s="1760"/>
      <c r="O60" s="523"/>
    </row>
    <row r="61" spans="1:15">
      <c r="A61" s="469">
        <v>10</v>
      </c>
      <c r="B61" s="464" t="s">
        <v>276</v>
      </c>
      <c r="C61" s="1452">
        <v>617543</v>
      </c>
      <c r="D61" s="473">
        <f t="shared" si="5"/>
        <v>597889</v>
      </c>
      <c r="E61" s="473"/>
      <c r="F61" s="456">
        <f>SUM(F63,F64,F65,F66,F67,F68,F69)</f>
        <v>306034</v>
      </c>
      <c r="G61" s="456">
        <f>SUM(G63:G69)</f>
        <v>291855</v>
      </c>
      <c r="H61" s="1471">
        <f t="shared" si="0"/>
        <v>-19654</v>
      </c>
      <c r="I61" s="1774">
        <f t="shared" si="1"/>
        <v>96.817387615113432</v>
      </c>
      <c r="J61" s="474"/>
      <c r="K61" s="1782">
        <f t="shared" si="6"/>
        <v>48.81424478456703</v>
      </c>
      <c r="L61" s="1771">
        <f t="shared" si="2"/>
        <v>8.2921258554994406</v>
      </c>
      <c r="M61" s="439">
        <v>306222</v>
      </c>
      <c r="N61" s="1760"/>
      <c r="O61" s="1501"/>
    </row>
    <row r="62" spans="1:15">
      <c r="A62" s="469"/>
      <c r="B62" s="476" t="s">
        <v>297</v>
      </c>
      <c r="C62" s="1456"/>
      <c r="D62" s="473">
        <f t="shared" si="5"/>
        <v>0</v>
      </c>
      <c r="E62" s="473"/>
      <c r="F62" s="462"/>
      <c r="G62" s="462"/>
      <c r="H62" s="1471">
        <f t="shared" si="0"/>
        <v>0</v>
      </c>
      <c r="I62" s="1774"/>
      <c r="J62" s="474"/>
      <c r="K62" s="1782"/>
      <c r="L62" s="474"/>
      <c r="M62" s="439">
        <f>F61-M61</f>
        <v>-188</v>
      </c>
      <c r="N62" s="1427"/>
    </row>
    <row r="63" spans="1:15" ht="31.2">
      <c r="A63" s="469"/>
      <c r="B63" s="476" t="s">
        <v>298</v>
      </c>
      <c r="C63" s="1456">
        <v>84235</v>
      </c>
      <c r="D63" s="461">
        <f t="shared" si="5"/>
        <v>84235</v>
      </c>
      <c r="E63" s="461"/>
      <c r="F63" s="480"/>
      <c r="G63" s="480">
        <f>'Bieu so 03'!D56</f>
        <v>84235</v>
      </c>
      <c r="H63" s="1471">
        <f t="shared" si="0"/>
        <v>0</v>
      </c>
      <c r="I63" s="1774">
        <f t="shared" si="1"/>
        <v>100</v>
      </c>
      <c r="J63" s="474"/>
      <c r="K63" s="1782"/>
      <c r="L63" s="474"/>
      <c r="M63" s="439"/>
      <c r="N63" s="1427"/>
    </row>
    <row r="64" spans="1:15" ht="31.2">
      <c r="A64" s="469"/>
      <c r="B64" s="476" t="s">
        <v>299</v>
      </c>
      <c r="C64" s="1456">
        <v>35010</v>
      </c>
      <c r="D64" s="461">
        <f t="shared" si="5"/>
        <v>35010</v>
      </c>
      <c r="E64" s="461"/>
      <c r="F64" s="480"/>
      <c r="G64" s="480">
        <f>'Bieu so 03'!D57</f>
        <v>35010</v>
      </c>
      <c r="H64" s="1471">
        <f t="shared" si="0"/>
        <v>0</v>
      </c>
      <c r="I64" s="1774">
        <f t="shared" si="1"/>
        <v>100</v>
      </c>
      <c r="J64" s="474"/>
      <c r="K64" s="1782"/>
      <c r="L64" s="474"/>
      <c r="M64" s="439"/>
      <c r="N64" s="1427"/>
    </row>
    <row r="65" spans="1:15" ht="31.2">
      <c r="A65" s="469"/>
      <c r="B65" s="476" t="s">
        <v>300</v>
      </c>
      <c r="C65" s="1456">
        <v>77487</v>
      </c>
      <c r="D65" s="461">
        <f t="shared" si="5"/>
        <v>77487</v>
      </c>
      <c r="E65" s="461"/>
      <c r="F65" s="480">
        <f>'Bieu so 04'!K28</f>
        <v>66687</v>
      </c>
      <c r="G65" s="480">
        <f>'Bieu so 03'!D58</f>
        <v>10800</v>
      </c>
      <c r="H65" s="1471">
        <f t="shared" si="0"/>
        <v>0</v>
      </c>
      <c r="I65" s="1774">
        <f t="shared" si="1"/>
        <v>100</v>
      </c>
      <c r="J65" s="474"/>
      <c r="K65" s="1782"/>
      <c r="L65" s="474"/>
      <c r="M65" s="439"/>
      <c r="N65" s="1427"/>
    </row>
    <row r="66" spans="1:15">
      <c r="A66" s="469"/>
      <c r="B66" s="476" t="s">
        <v>301</v>
      </c>
      <c r="C66" s="1456">
        <v>55000</v>
      </c>
      <c r="D66" s="461">
        <f t="shared" si="5"/>
        <v>55000</v>
      </c>
      <c r="E66" s="461"/>
      <c r="F66" s="480"/>
      <c r="G66" s="480">
        <f>'Bieu so 03'!D59</f>
        <v>55000</v>
      </c>
      <c r="H66" s="1471">
        <f t="shared" si="0"/>
        <v>0</v>
      </c>
      <c r="I66" s="1774">
        <f t="shared" si="1"/>
        <v>100</v>
      </c>
      <c r="J66" s="474"/>
      <c r="K66" s="1782"/>
      <c r="L66" s="474"/>
      <c r="N66" s="1427"/>
    </row>
    <row r="67" spans="1:15" ht="46.8">
      <c r="A67" s="469"/>
      <c r="B67" s="479" t="s">
        <v>302</v>
      </c>
      <c r="C67" s="1458">
        <v>60000</v>
      </c>
      <c r="D67" s="461">
        <f t="shared" si="5"/>
        <v>60000</v>
      </c>
      <c r="E67" s="461"/>
      <c r="F67" s="480">
        <f>'Bieu so 04'!K54</f>
        <v>60000</v>
      </c>
      <c r="G67" s="480">
        <v>0</v>
      </c>
      <c r="H67" s="1471">
        <f t="shared" si="0"/>
        <v>0</v>
      </c>
      <c r="I67" s="1774">
        <f t="shared" si="1"/>
        <v>100</v>
      </c>
      <c r="J67" s="474"/>
      <c r="K67" s="1782"/>
      <c r="L67" s="474"/>
      <c r="N67" s="1427"/>
    </row>
    <row r="68" spans="1:15" ht="46.8">
      <c r="A68" s="469"/>
      <c r="B68" s="997" t="s">
        <v>303</v>
      </c>
      <c r="C68" s="1459">
        <v>11500</v>
      </c>
      <c r="D68" s="998">
        <f t="shared" si="5"/>
        <v>14000</v>
      </c>
      <c r="E68" s="998"/>
      <c r="F68" s="1412">
        <f>'Bieu so 04'!K55</f>
        <v>8720</v>
      </c>
      <c r="G68" s="480">
        <f>'Bieu so 03'!D60</f>
        <v>5280</v>
      </c>
      <c r="H68" s="1471">
        <f t="shared" si="0"/>
        <v>2500</v>
      </c>
      <c r="I68" s="1774">
        <f t="shared" si="1"/>
        <v>121.73913043478261</v>
      </c>
      <c r="J68" s="999"/>
      <c r="K68" s="1782"/>
      <c r="L68" s="474"/>
      <c r="M68" s="439"/>
      <c r="N68" s="1427"/>
    </row>
    <row r="69" spans="1:15">
      <c r="A69" s="469"/>
      <c r="B69" s="476" t="s">
        <v>304</v>
      </c>
      <c r="C69" s="1456">
        <v>294311</v>
      </c>
      <c r="D69" s="461">
        <f t="shared" si="5"/>
        <v>272157</v>
      </c>
      <c r="E69" s="461"/>
      <c r="F69" s="480">
        <f>171478+843+508-2014-188</f>
        <v>170627</v>
      </c>
      <c r="G69" s="480">
        <f>'Bieu so 03'!D61</f>
        <v>101530</v>
      </c>
      <c r="H69" s="1471">
        <f t="shared" si="0"/>
        <v>-22154</v>
      </c>
      <c r="I69" s="1774">
        <f t="shared" si="1"/>
        <v>92.472588520306743</v>
      </c>
      <c r="J69" s="474"/>
      <c r="K69" s="1782"/>
      <c r="L69" s="474"/>
      <c r="N69" s="1427"/>
    </row>
    <row r="70" spans="1:15">
      <c r="A70" s="469">
        <v>11</v>
      </c>
      <c r="B70" s="464" t="s">
        <v>278</v>
      </c>
      <c r="C70" s="1452">
        <v>199833</v>
      </c>
      <c r="D70" s="473">
        <f>F70+G70</f>
        <v>216272</v>
      </c>
      <c r="E70" s="473"/>
      <c r="F70" s="456">
        <f>SUM(F72:F75)</f>
        <v>34917</v>
      </c>
      <c r="G70" s="456">
        <f>'Bieu so 03'!D62</f>
        <v>181355</v>
      </c>
      <c r="H70" s="1471">
        <f t="shared" si="0"/>
        <v>16439</v>
      </c>
      <c r="I70" s="1774">
        <f t="shared" si="1"/>
        <v>108.22636901813014</v>
      </c>
      <c r="J70" s="474"/>
      <c r="K70" s="1782">
        <f>G70/D70%</f>
        <v>83.855052896352746</v>
      </c>
      <c r="L70" s="1771">
        <f t="shared" ref="L70" si="7">D70/$D$13%</f>
        <v>2.9994775669406444</v>
      </c>
      <c r="N70" s="1760"/>
    </row>
    <row r="71" spans="1:15">
      <c r="A71" s="483"/>
      <c r="B71" s="464" t="s">
        <v>290</v>
      </c>
      <c r="C71" s="1452"/>
      <c r="D71" s="461"/>
      <c r="E71" s="461"/>
      <c r="F71" s="468"/>
      <c r="G71" s="468"/>
      <c r="H71" s="1471">
        <f t="shared" si="0"/>
        <v>0</v>
      </c>
      <c r="I71" s="1774"/>
      <c r="J71" s="474"/>
      <c r="K71" s="1782"/>
      <c r="L71" s="474"/>
      <c r="N71" s="1427"/>
    </row>
    <row r="72" spans="1:15">
      <c r="A72" s="483"/>
      <c r="B72" s="484" t="s">
        <v>305</v>
      </c>
      <c r="C72" s="1457">
        <v>51750</v>
      </c>
      <c r="D72" s="461">
        <f t="shared" ref="D72:D83" si="8">F72+G72</f>
        <v>62089</v>
      </c>
      <c r="E72" s="461"/>
      <c r="F72" s="468">
        <f>'Bieu so 04'!K132</f>
        <v>34917</v>
      </c>
      <c r="G72" s="591">
        <f>'Bieu so 03'!D64</f>
        <v>27172</v>
      </c>
      <c r="H72" s="1493">
        <f t="shared" si="0"/>
        <v>10339</v>
      </c>
      <c r="I72" s="1776">
        <f t="shared" si="1"/>
        <v>119.97874396135266</v>
      </c>
      <c r="J72" s="474"/>
      <c r="K72" s="1782"/>
      <c r="L72" s="474"/>
      <c r="N72" s="1427"/>
    </row>
    <row r="73" spans="1:15" ht="31.2">
      <c r="A73" s="485"/>
      <c r="B73" s="484" t="s">
        <v>306</v>
      </c>
      <c r="C73" s="1457">
        <v>7254</v>
      </c>
      <c r="D73" s="461">
        <f t="shared" si="8"/>
        <v>7082</v>
      </c>
      <c r="E73" s="461"/>
      <c r="F73" s="468"/>
      <c r="G73" s="591">
        <f>'Bieu so 03'!D65</f>
        <v>7082</v>
      </c>
      <c r="H73" s="1493">
        <f t="shared" si="0"/>
        <v>-172</v>
      </c>
      <c r="I73" s="1776">
        <f t="shared" si="1"/>
        <v>97.628894403087941</v>
      </c>
      <c r="J73" s="474"/>
      <c r="K73" s="1782"/>
      <c r="L73" s="474"/>
      <c r="N73" s="1427"/>
    </row>
    <row r="74" spans="1:15" ht="16.2">
      <c r="A74" s="485"/>
      <c r="B74" s="476" t="s">
        <v>307</v>
      </c>
      <c r="C74" s="1456">
        <v>130778</v>
      </c>
      <c r="D74" s="461">
        <f t="shared" si="8"/>
        <v>147101</v>
      </c>
      <c r="E74" s="461"/>
      <c r="F74" s="468"/>
      <c r="G74" s="591">
        <f>'Bieu so 03'!D66</f>
        <v>147101</v>
      </c>
      <c r="H74" s="1493">
        <f t="shared" si="0"/>
        <v>16323</v>
      </c>
      <c r="I74" s="1776">
        <f t="shared" si="1"/>
        <v>112.48145712581628</v>
      </c>
      <c r="J74" s="474"/>
      <c r="K74" s="1782"/>
      <c r="L74" s="474"/>
      <c r="M74" s="1748"/>
      <c r="N74" s="1427"/>
    </row>
    <row r="75" spans="1:15" ht="16.2">
      <c r="A75" s="485"/>
      <c r="B75" s="476" t="s">
        <v>308</v>
      </c>
      <c r="C75" s="1456">
        <v>10051</v>
      </c>
      <c r="D75" s="461">
        <f t="shared" si="8"/>
        <v>0</v>
      </c>
      <c r="E75" s="461"/>
      <c r="F75" s="478"/>
      <c r="G75" s="591">
        <f>'Bieu so 03'!D67</f>
        <v>0</v>
      </c>
      <c r="H75" s="1493">
        <f t="shared" si="0"/>
        <v>-10051</v>
      </c>
      <c r="I75" s="1776">
        <f t="shared" si="1"/>
        <v>0</v>
      </c>
      <c r="J75" s="474"/>
      <c r="K75" s="1782"/>
      <c r="L75" s="474"/>
      <c r="N75" s="1427"/>
    </row>
    <row r="76" spans="1:15" ht="46.8">
      <c r="A76" s="469">
        <v>12</v>
      </c>
      <c r="B76" s="464" t="s">
        <v>309</v>
      </c>
      <c r="C76" s="1452">
        <f>897544+210156</f>
        <v>1107700</v>
      </c>
      <c r="D76" s="473">
        <f t="shared" si="8"/>
        <v>1159859</v>
      </c>
      <c r="E76" s="473"/>
      <c r="F76" s="456">
        <f>'Bieu so 04'!K149</f>
        <v>304084</v>
      </c>
      <c r="G76" s="456">
        <f>'Bieu so 03'!D68</f>
        <v>855775</v>
      </c>
      <c r="H76" s="1471">
        <f t="shared" si="0"/>
        <v>52159</v>
      </c>
      <c r="I76" s="1774">
        <f t="shared" si="1"/>
        <v>104.70876591134784</v>
      </c>
      <c r="J76" s="474"/>
      <c r="K76" s="1782">
        <f>G76/D76%</f>
        <v>73.782675307946917</v>
      </c>
      <c r="L76" s="1771">
        <f t="shared" ref="L76:L77" si="9">D76/$D$13%</f>
        <v>16.086090900875792</v>
      </c>
      <c r="M76" s="439"/>
      <c r="N76" s="1760"/>
    </row>
    <row r="77" spans="1:15">
      <c r="A77" s="469">
        <v>13</v>
      </c>
      <c r="B77" s="464" t="s">
        <v>310</v>
      </c>
      <c r="C77" s="1452">
        <v>33378</v>
      </c>
      <c r="D77" s="473">
        <f t="shared" si="8"/>
        <v>73631</v>
      </c>
      <c r="E77" s="473"/>
      <c r="F77" s="473">
        <f>SUM(F78:F80)</f>
        <v>48207</v>
      </c>
      <c r="G77" s="473">
        <f>'Bieu so 03'!D69</f>
        <v>25424</v>
      </c>
      <c r="H77" s="1471">
        <f t="shared" ref="H77:H140" si="10">D77-C77</f>
        <v>40253</v>
      </c>
      <c r="I77" s="1774">
        <f t="shared" ref="I77:I140" si="11">D77/C77%</f>
        <v>220.59739948469053</v>
      </c>
      <c r="J77" s="474"/>
      <c r="K77" s="1782">
        <f>G77/D77%</f>
        <v>34.528934823647653</v>
      </c>
      <c r="L77" s="1771">
        <f t="shared" si="9"/>
        <v>1.0211887471859815</v>
      </c>
      <c r="M77" s="489"/>
      <c r="N77" s="1760"/>
    </row>
    <row r="78" spans="1:15">
      <c r="A78" s="469"/>
      <c r="B78" s="477" t="s">
        <v>311</v>
      </c>
      <c r="C78" s="1457">
        <v>8780</v>
      </c>
      <c r="D78" s="473">
        <f t="shared" si="8"/>
        <v>9400</v>
      </c>
      <c r="E78" s="473"/>
      <c r="F78" s="456">
        <f>'Bieu so 04'!K221</f>
        <v>7913</v>
      </c>
      <c r="G78" s="482">
        <v>1487</v>
      </c>
      <c r="H78" s="1493">
        <f t="shared" si="10"/>
        <v>620</v>
      </c>
      <c r="I78" s="1776">
        <f t="shared" si="11"/>
        <v>107.0615034168565</v>
      </c>
      <c r="J78" s="474"/>
      <c r="K78" s="1782"/>
      <c r="L78" s="474"/>
      <c r="N78" s="1427"/>
    </row>
    <row r="79" spans="1:15" ht="31.2">
      <c r="A79" s="453"/>
      <c r="B79" s="1000" t="s">
        <v>312</v>
      </c>
      <c r="C79" s="1460">
        <v>1273</v>
      </c>
      <c r="D79" s="455">
        <f t="shared" si="8"/>
        <v>2400</v>
      </c>
      <c r="E79" s="455"/>
      <c r="F79" s="1001">
        <f>'Bieu so 04'!L236</f>
        <v>2400</v>
      </c>
      <c r="G79" s="1002"/>
      <c r="H79" s="1493">
        <f t="shared" si="10"/>
        <v>1127</v>
      </c>
      <c r="I79" s="1776">
        <f t="shared" si="11"/>
        <v>188.5310290652003</v>
      </c>
      <c r="J79" s="1003"/>
      <c r="K79" s="1782"/>
      <c r="L79" s="474"/>
      <c r="M79" s="439"/>
      <c r="N79" s="1427"/>
      <c r="O79" s="523"/>
    </row>
    <row r="80" spans="1:15">
      <c r="A80" s="469"/>
      <c r="B80" s="477" t="s">
        <v>313</v>
      </c>
      <c r="C80" s="1457">
        <v>23325</v>
      </c>
      <c r="D80" s="473">
        <f t="shared" si="8"/>
        <v>61831</v>
      </c>
      <c r="E80" s="473"/>
      <c r="F80" s="1538">
        <f>'Bieu so 04'!K233</f>
        <v>37894</v>
      </c>
      <c r="G80" s="482">
        <f>'Bieu so 03'!D69-G78</f>
        <v>23937</v>
      </c>
      <c r="H80" s="1493">
        <f t="shared" si="10"/>
        <v>38506</v>
      </c>
      <c r="I80" s="1776">
        <f t="shared" si="11"/>
        <v>265.08467309753485</v>
      </c>
      <c r="J80" s="474"/>
      <c r="K80" s="1782"/>
      <c r="L80" s="474"/>
      <c r="M80" s="489" t="s">
        <v>989</v>
      </c>
      <c r="N80" s="1427"/>
    </row>
    <row r="81" spans="1:16" ht="31.2">
      <c r="A81" s="469">
        <v>14</v>
      </c>
      <c r="B81" s="487" t="s">
        <v>939</v>
      </c>
      <c r="C81" s="1452"/>
      <c r="D81" s="473">
        <f t="shared" si="8"/>
        <v>30630</v>
      </c>
      <c r="E81" s="473"/>
      <c r="F81" s="1717">
        <f>'Bieu so 04'!T247+'Bieu so 04'!AB247</f>
        <v>30630</v>
      </c>
      <c r="G81" s="482">
        <f>'Bieu so 03'!D70</f>
        <v>0</v>
      </c>
      <c r="H81" s="1493"/>
      <c r="I81" s="1776"/>
      <c r="J81" s="474"/>
      <c r="K81" s="1782"/>
      <c r="L81" s="1771">
        <f t="shared" ref="L81" si="12">D81/$D$13%</f>
        <v>0.42480763980261865</v>
      </c>
      <c r="M81" s="489" t="s">
        <v>989</v>
      </c>
      <c r="N81" s="1427"/>
      <c r="O81" s="1501"/>
    </row>
    <row r="82" spans="1:16" ht="31.2" hidden="1">
      <c r="A82" s="469">
        <v>15</v>
      </c>
      <c r="B82" s="487" t="s">
        <v>314</v>
      </c>
      <c r="C82" s="1452"/>
      <c r="D82" s="473">
        <f t="shared" si="8"/>
        <v>0</v>
      </c>
      <c r="E82" s="473"/>
      <c r="F82" s="1006"/>
      <c r="G82" s="482"/>
      <c r="H82" s="1471">
        <f t="shared" si="10"/>
        <v>0</v>
      </c>
      <c r="I82" s="1774" t="e">
        <f t="shared" si="11"/>
        <v>#DIV/0!</v>
      </c>
      <c r="J82" s="474"/>
      <c r="K82" s="1782" t="e">
        <f>G82/D82%</f>
        <v>#DIV/0!</v>
      </c>
      <c r="L82" s="474"/>
      <c r="M82" s="439"/>
      <c r="N82" s="1760"/>
    </row>
    <row r="83" spans="1:16" ht="60" customHeight="1">
      <c r="A83" s="1525">
        <v>15</v>
      </c>
      <c r="B83" s="475" t="s">
        <v>988</v>
      </c>
      <c r="C83" s="1452">
        <v>210156</v>
      </c>
      <c r="D83" s="1114">
        <f t="shared" si="8"/>
        <v>70148</v>
      </c>
      <c r="E83" s="1114"/>
      <c r="F83" s="1537">
        <f>'Bieu so 04'!K235</f>
        <v>70148</v>
      </c>
      <c r="G83" s="482"/>
      <c r="H83" s="1471">
        <f t="shared" si="10"/>
        <v>-140008</v>
      </c>
      <c r="I83" s="1774">
        <f t="shared" si="11"/>
        <v>33.379013685072046</v>
      </c>
      <c r="J83" s="1787"/>
      <c r="K83" s="1782"/>
      <c r="L83" s="1771">
        <f t="shared" ref="L83:L87" si="13">D83/$D$13%</f>
        <v>0.97288300087737822</v>
      </c>
      <c r="M83" s="1672" t="s">
        <v>989</v>
      </c>
      <c r="N83" s="1760"/>
    </row>
    <row r="84" spans="1:16" ht="46.8">
      <c r="A84" s="470" t="s">
        <v>315</v>
      </c>
      <c r="B84" s="471" t="s">
        <v>316</v>
      </c>
      <c r="C84" s="1454">
        <v>100</v>
      </c>
      <c r="D84" s="472">
        <f>F84</f>
        <v>0</v>
      </c>
      <c r="E84" s="472"/>
      <c r="F84" s="488">
        <f>'Bieu so 04'!K245</f>
        <v>0</v>
      </c>
      <c r="G84" s="472"/>
      <c r="H84" s="1470">
        <f t="shared" si="10"/>
        <v>-100</v>
      </c>
      <c r="I84" s="1779">
        <f t="shared" si="11"/>
        <v>0</v>
      </c>
      <c r="J84" s="474"/>
      <c r="K84" s="1782">
        <f>F84+F85+F86</f>
        <v>59031</v>
      </c>
      <c r="L84" s="1535">
        <f t="shared" si="13"/>
        <v>0</v>
      </c>
      <c r="N84" s="1427"/>
    </row>
    <row r="85" spans="1:16" ht="31.2">
      <c r="A85" s="470" t="s">
        <v>317</v>
      </c>
      <c r="B85" s="471" t="s">
        <v>318</v>
      </c>
      <c r="C85" s="1454">
        <v>1000</v>
      </c>
      <c r="D85" s="472">
        <f>F85</f>
        <v>1000</v>
      </c>
      <c r="E85" s="472"/>
      <c r="F85" s="488">
        <f>'Bieu so 04'!K244</f>
        <v>1000</v>
      </c>
      <c r="G85" s="472"/>
      <c r="H85" s="1470">
        <f t="shared" si="10"/>
        <v>0</v>
      </c>
      <c r="I85" s="1779">
        <f t="shared" si="11"/>
        <v>100</v>
      </c>
      <c r="J85" s="463"/>
      <c r="K85" s="1775"/>
      <c r="L85" s="1535">
        <f t="shared" si="13"/>
        <v>1.3869005543670213E-2</v>
      </c>
      <c r="N85" s="1763"/>
    </row>
    <row r="86" spans="1:16" ht="21" customHeight="1">
      <c r="A86" s="470" t="s">
        <v>319</v>
      </c>
      <c r="B86" s="471" t="s">
        <v>320</v>
      </c>
      <c r="C86" s="1454">
        <v>137890</v>
      </c>
      <c r="D86" s="472">
        <f>F86+G86</f>
        <v>145300</v>
      </c>
      <c r="E86" s="472"/>
      <c r="F86" s="1716">
        <f>'Bieu so 04'!K243</f>
        <v>58031</v>
      </c>
      <c r="G86" s="1520">
        <f>'Bieu so 03'!D71</f>
        <v>87269</v>
      </c>
      <c r="H86" s="1470">
        <f t="shared" si="10"/>
        <v>7410</v>
      </c>
      <c r="I86" s="1779">
        <f t="shared" si="11"/>
        <v>105.37384871999419</v>
      </c>
      <c r="J86" s="463"/>
      <c r="K86" s="1775"/>
      <c r="L86" s="1535">
        <f t="shared" si="13"/>
        <v>2.0151665054952823</v>
      </c>
      <c r="M86" s="489" t="s">
        <v>989</v>
      </c>
      <c r="N86" s="1763"/>
      <c r="P86" s="430">
        <v>145200</v>
      </c>
    </row>
    <row r="87" spans="1:16" ht="31.2">
      <c r="A87" s="1478" t="s">
        <v>321</v>
      </c>
      <c r="B87" s="1479" t="s">
        <v>322</v>
      </c>
      <c r="C87" s="1480">
        <v>93012</v>
      </c>
      <c r="D87" s="1481">
        <f>F87+G87</f>
        <v>0</v>
      </c>
      <c r="E87" s="1481"/>
      <c r="F87" s="1482"/>
      <c r="G87" s="1483"/>
      <c r="H87" s="1484">
        <f t="shared" si="10"/>
        <v>-93012</v>
      </c>
      <c r="I87" s="1799">
        <f t="shared" si="11"/>
        <v>0</v>
      </c>
      <c r="J87" s="1485"/>
      <c r="K87" s="1803"/>
      <c r="L87" s="1634">
        <f t="shared" si="13"/>
        <v>0</v>
      </c>
      <c r="M87" s="439"/>
      <c r="N87" s="1427"/>
      <c r="P87" s="439">
        <f>P86-D86</f>
        <v>-100</v>
      </c>
    </row>
    <row r="88" spans="1:16" ht="31.2">
      <c r="A88" s="1487" t="s">
        <v>81</v>
      </c>
      <c r="B88" s="1488" t="s">
        <v>323</v>
      </c>
      <c r="C88" s="1489">
        <v>1894822</v>
      </c>
      <c r="D88" s="1490">
        <f>D89+D96</f>
        <v>1747626</v>
      </c>
      <c r="E88" s="1490"/>
      <c r="F88" s="1490">
        <f>F89+F96</f>
        <v>1286119</v>
      </c>
      <c r="G88" s="1490">
        <f>G89+G96</f>
        <v>461507</v>
      </c>
      <c r="H88" s="1477">
        <f t="shared" si="10"/>
        <v>-147196</v>
      </c>
      <c r="I88" s="448">
        <f t="shared" si="11"/>
        <v>92.231671365436952</v>
      </c>
      <c r="J88" s="452">
        <f>D88/$D$12%</f>
        <v>19.179498629435528</v>
      </c>
      <c r="K88" s="1491"/>
      <c r="L88" s="1491"/>
      <c r="M88" s="491"/>
      <c r="N88" s="1764"/>
      <c r="P88" s="489"/>
    </row>
    <row r="89" spans="1:16" ht="31.2">
      <c r="A89" s="1804" t="s">
        <v>54</v>
      </c>
      <c r="B89" s="1805" t="s">
        <v>324</v>
      </c>
      <c r="C89" s="1806">
        <v>178753</v>
      </c>
      <c r="D89" s="1807">
        <f>D90+D93</f>
        <v>322200</v>
      </c>
      <c r="E89" s="1807"/>
      <c r="F89" s="1807">
        <f>F90+F93</f>
        <v>13341</v>
      </c>
      <c r="G89" s="1808">
        <f>G90+G93</f>
        <v>308859</v>
      </c>
      <c r="H89" s="1474">
        <f t="shared" si="10"/>
        <v>143447</v>
      </c>
      <c r="I89" s="1809">
        <f t="shared" si="11"/>
        <v>180.24872309835359</v>
      </c>
      <c r="J89" s="1475">
        <f>D89/$D$12%</f>
        <v>3.5360165495387039</v>
      </c>
      <c r="K89" s="1486"/>
      <c r="L89" s="1486"/>
      <c r="M89" s="491"/>
      <c r="N89" s="1765"/>
    </row>
    <row r="90" spans="1:16">
      <c r="A90" s="1635">
        <v>1</v>
      </c>
      <c r="B90" s="1636" t="s">
        <v>325</v>
      </c>
      <c r="C90" s="1461">
        <v>125505</v>
      </c>
      <c r="D90" s="498">
        <f>D91+D92</f>
        <v>250697</v>
      </c>
      <c r="E90" s="498"/>
      <c r="F90" s="498">
        <f>F91+F92</f>
        <v>0</v>
      </c>
      <c r="G90" s="494">
        <f>G91+G92</f>
        <v>250697</v>
      </c>
      <c r="H90" s="1470">
        <f t="shared" si="10"/>
        <v>125192</v>
      </c>
      <c r="I90" s="1779">
        <f t="shared" si="11"/>
        <v>199.75060754551612</v>
      </c>
      <c r="J90" s="463"/>
      <c r="K90" s="1775"/>
      <c r="L90" s="463"/>
      <c r="M90" s="495"/>
      <c r="N90" s="1766"/>
    </row>
    <row r="91" spans="1:16" ht="31.2">
      <c r="A91" s="469"/>
      <c r="B91" s="460" t="s">
        <v>326</v>
      </c>
      <c r="C91" s="1451">
        <v>44505</v>
      </c>
      <c r="D91" s="473">
        <f>F91+G91</f>
        <v>99697</v>
      </c>
      <c r="E91" s="473"/>
      <c r="F91" s="496"/>
      <c r="G91" s="497">
        <f>'BSCD CDCS 2019 (hoan chinh)-05 '!C26</f>
        <v>99697</v>
      </c>
      <c r="H91" s="1471">
        <f t="shared" si="10"/>
        <v>55192</v>
      </c>
      <c r="I91" s="1774">
        <f t="shared" si="11"/>
        <v>224.01303224356812</v>
      </c>
      <c r="J91" s="463"/>
      <c r="K91" s="1775"/>
      <c r="L91" s="463"/>
      <c r="M91" s="495"/>
      <c r="N91" s="1427"/>
    </row>
    <row r="92" spans="1:16" ht="31.2">
      <c r="A92" s="469"/>
      <c r="B92" s="460" t="s">
        <v>327</v>
      </c>
      <c r="C92" s="1451">
        <v>81000</v>
      </c>
      <c r="D92" s="473">
        <f>F92+G92</f>
        <v>151000</v>
      </c>
      <c r="E92" s="473"/>
      <c r="F92" s="496"/>
      <c r="G92" s="497">
        <f>'BSCD CDCS 2019 (hoan chinh)-05 '!C27</f>
        <v>151000</v>
      </c>
      <c r="H92" s="1471">
        <f t="shared" si="10"/>
        <v>70000</v>
      </c>
      <c r="I92" s="1774">
        <f t="shared" si="11"/>
        <v>186.41975308641975</v>
      </c>
      <c r="J92" s="463"/>
      <c r="K92" s="1775"/>
      <c r="L92" s="463"/>
      <c r="M92" s="495"/>
      <c r="N92" s="1427"/>
    </row>
    <row r="93" spans="1:16">
      <c r="A93" s="492">
        <v>2</v>
      </c>
      <c r="B93" s="493" t="s">
        <v>328</v>
      </c>
      <c r="C93" s="1461">
        <v>53248</v>
      </c>
      <c r="D93" s="498">
        <f>D94+D95</f>
        <v>71503</v>
      </c>
      <c r="E93" s="498"/>
      <c r="F93" s="498">
        <f>F94+F95</f>
        <v>13341</v>
      </c>
      <c r="G93" s="494">
        <f>G94+G95</f>
        <v>58162</v>
      </c>
      <c r="H93" s="1470">
        <f t="shared" si="10"/>
        <v>18255</v>
      </c>
      <c r="I93" s="1779">
        <f t="shared" si="11"/>
        <v>134.28297776442307</v>
      </c>
      <c r="J93" s="463"/>
      <c r="K93" s="1775"/>
      <c r="L93" s="463"/>
      <c r="M93" s="495"/>
      <c r="N93" s="1766"/>
    </row>
    <row r="94" spans="1:16" ht="31.2">
      <c r="A94" s="469"/>
      <c r="B94" s="460" t="s">
        <v>326</v>
      </c>
      <c r="C94" s="1451">
        <v>19348</v>
      </c>
      <c r="D94" s="473">
        <f>F94+G94</f>
        <v>27703</v>
      </c>
      <c r="E94" s="473"/>
      <c r="F94" s="496">
        <f>27703-G94</f>
        <v>4788</v>
      </c>
      <c r="G94" s="462">
        <f>'BSCD CDCS 2019 (hoan chinh)-05 '!C29</f>
        <v>22915</v>
      </c>
      <c r="H94" s="1471">
        <f t="shared" si="10"/>
        <v>8355</v>
      </c>
      <c r="I94" s="1774">
        <f t="shared" si="11"/>
        <v>143.1827579077941</v>
      </c>
      <c r="J94" s="463"/>
      <c r="K94" s="1775"/>
      <c r="L94" s="463"/>
      <c r="M94" s="495"/>
      <c r="N94" s="1427"/>
    </row>
    <row r="95" spans="1:16" ht="31.2">
      <c r="A95" s="1637"/>
      <c r="B95" s="1638" t="s">
        <v>327</v>
      </c>
      <c r="C95" s="1451">
        <v>33900</v>
      </c>
      <c r="D95" s="473">
        <f>F95+G95</f>
        <v>43800</v>
      </c>
      <c r="E95" s="473"/>
      <c r="F95" s="496">
        <f>43800-G95</f>
        <v>8553</v>
      </c>
      <c r="G95" s="462">
        <f>'BSCD CDCS 2019 (hoan chinh)-05 '!C30</f>
        <v>35247</v>
      </c>
      <c r="H95" s="1471">
        <f t="shared" si="10"/>
        <v>9900</v>
      </c>
      <c r="I95" s="1774">
        <f t="shared" si="11"/>
        <v>129.20353982300884</v>
      </c>
      <c r="J95" s="463"/>
      <c r="K95" s="1775"/>
      <c r="L95" s="463"/>
      <c r="M95" s="495"/>
      <c r="N95" s="1427"/>
    </row>
    <row r="96" spans="1:16" ht="46.8">
      <c r="A96" s="1487" t="s">
        <v>60</v>
      </c>
      <c r="B96" s="1488" t="s">
        <v>329</v>
      </c>
      <c r="C96" s="1788">
        <v>1716069</v>
      </c>
      <c r="D96" s="1789">
        <f>D97+D106</f>
        <v>1425426</v>
      </c>
      <c r="E96" s="1789">
        <f>E97+E106</f>
        <v>58.130361190004884</v>
      </c>
      <c r="F96" s="1789">
        <f>F97+F106</f>
        <v>1272778</v>
      </c>
      <c r="G96" s="1789">
        <f>G97+G106</f>
        <v>152648</v>
      </c>
      <c r="H96" s="1470">
        <f t="shared" si="10"/>
        <v>-290643</v>
      </c>
      <c r="I96" s="1779">
        <f t="shared" si="11"/>
        <v>83.06344325315591</v>
      </c>
      <c r="J96" s="463">
        <f>D96/$D$12%</f>
        <v>15.643482079896824</v>
      </c>
      <c r="K96" s="490"/>
      <c r="L96" s="490"/>
      <c r="M96" s="495"/>
      <c r="N96" s="1767"/>
    </row>
    <row r="97" spans="1:14">
      <c r="A97" s="1635">
        <v>1</v>
      </c>
      <c r="B97" s="1636" t="s">
        <v>325</v>
      </c>
      <c r="C97" s="1461">
        <v>1356818</v>
      </c>
      <c r="D97" s="498">
        <f>D98+D102+D105</f>
        <v>975461</v>
      </c>
      <c r="E97" s="498">
        <f>E98+E102+E105</f>
        <v>58.130361190004884</v>
      </c>
      <c r="F97" s="498">
        <f>F98+F102+F105</f>
        <v>975461</v>
      </c>
      <c r="G97" s="494">
        <f>G98+G102+G105</f>
        <v>0</v>
      </c>
      <c r="H97" s="1470">
        <f t="shared" si="10"/>
        <v>-381357</v>
      </c>
      <c r="I97" s="1779">
        <f t="shared" si="11"/>
        <v>71.89328266576652</v>
      </c>
      <c r="J97" s="1536"/>
      <c r="K97" s="1790"/>
      <c r="L97" s="1536"/>
      <c r="M97" s="491">
        <v>675461</v>
      </c>
      <c r="N97" s="1763">
        <f>D97-M97</f>
        <v>300000</v>
      </c>
    </row>
    <row r="98" spans="1:14" ht="20.399999999999999" customHeight="1">
      <c r="A98" s="483" t="s">
        <v>200</v>
      </c>
      <c r="B98" s="499" t="s">
        <v>330</v>
      </c>
      <c r="C98" s="1462">
        <v>697140</v>
      </c>
      <c r="D98" s="472">
        <f t="shared" ref="D98:D140" si="14">F98+G98</f>
        <v>405250</v>
      </c>
      <c r="E98" s="472">
        <f>G98+I98</f>
        <v>58.130361190004884</v>
      </c>
      <c r="F98" s="472">
        <f>F99+F100</f>
        <v>405250</v>
      </c>
      <c r="G98" s="472">
        <f>G99+G100</f>
        <v>0</v>
      </c>
      <c r="H98" s="1470">
        <f t="shared" si="10"/>
        <v>-291890</v>
      </c>
      <c r="I98" s="1779">
        <f t="shared" si="11"/>
        <v>58.130361190004884</v>
      </c>
      <c r="J98" s="463"/>
      <c r="K98" s="1775"/>
      <c r="L98" s="463"/>
      <c r="M98" s="491"/>
      <c r="N98" s="1768"/>
    </row>
    <row r="99" spans="1:14" ht="31.2">
      <c r="A99" s="469"/>
      <c r="B99" s="460" t="s">
        <v>331</v>
      </c>
      <c r="C99" s="1451">
        <v>350000</v>
      </c>
      <c r="D99" s="473">
        <f t="shared" si="14"/>
        <v>405250</v>
      </c>
      <c r="E99" s="473">
        <v>12163</v>
      </c>
      <c r="F99" s="456">
        <v>405250</v>
      </c>
      <c r="G99" s="500"/>
      <c r="H99" s="1471">
        <f t="shared" si="10"/>
        <v>55250</v>
      </c>
      <c r="I99" s="1774">
        <f t="shared" si="11"/>
        <v>115.78571428571429</v>
      </c>
      <c r="J99" s="463"/>
      <c r="K99" s="1775"/>
      <c r="L99" s="463"/>
      <c r="M99" s="491"/>
      <c r="N99" s="1768"/>
    </row>
    <row r="100" spans="1:14" ht="31.2" hidden="1">
      <c r="A100" s="469"/>
      <c r="B100" s="460" t="s">
        <v>332</v>
      </c>
      <c r="C100" s="1451"/>
      <c r="D100" s="473">
        <f t="shared" si="14"/>
        <v>0</v>
      </c>
      <c r="E100" s="473"/>
      <c r="F100" s="501"/>
      <c r="G100" s="500"/>
      <c r="H100" s="1471">
        <f t="shared" si="10"/>
        <v>0</v>
      </c>
      <c r="I100" s="1774" t="e">
        <f t="shared" si="11"/>
        <v>#DIV/0!</v>
      </c>
      <c r="J100" s="463"/>
      <c r="K100" s="1775"/>
      <c r="L100" s="463"/>
      <c r="M100" s="491"/>
      <c r="N100" s="1768"/>
    </row>
    <row r="101" spans="1:14">
      <c r="A101" s="469"/>
      <c r="B101" s="460" t="s">
        <v>997</v>
      </c>
      <c r="C101" s="1451">
        <v>347140</v>
      </c>
      <c r="D101" s="473"/>
      <c r="E101" s="473"/>
      <c r="F101" s="501"/>
      <c r="G101" s="500"/>
      <c r="H101" s="1471">
        <f t="shared" si="10"/>
        <v>-347140</v>
      </c>
      <c r="I101" s="1774">
        <f t="shared" si="11"/>
        <v>0</v>
      </c>
      <c r="J101" s="463"/>
      <c r="K101" s="1775"/>
      <c r="L101" s="463"/>
      <c r="M101" s="491"/>
      <c r="N101" s="1768"/>
    </row>
    <row r="102" spans="1:14">
      <c r="A102" s="483" t="s">
        <v>208</v>
      </c>
      <c r="B102" s="499" t="s">
        <v>333</v>
      </c>
      <c r="C102" s="1462">
        <v>159678</v>
      </c>
      <c r="D102" s="472">
        <f t="shared" si="14"/>
        <v>270211</v>
      </c>
      <c r="E102" s="472"/>
      <c r="F102" s="502">
        <v>270211</v>
      </c>
      <c r="G102" s="503"/>
      <c r="H102" s="1470">
        <f t="shared" si="10"/>
        <v>110533</v>
      </c>
      <c r="I102" s="1779">
        <f t="shared" si="11"/>
        <v>169.22243515074086</v>
      </c>
      <c r="J102" s="463"/>
      <c r="K102" s="1775"/>
      <c r="L102" s="463"/>
      <c r="M102" s="491"/>
      <c r="N102" s="1768"/>
    </row>
    <row r="103" spans="1:14">
      <c r="A103" s="469"/>
      <c r="B103" s="476" t="s">
        <v>290</v>
      </c>
      <c r="C103" s="1456"/>
      <c r="D103" s="473">
        <f t="shared" si="14"/>
        <v>0</v>
      </c>
      <c r="E103" s="473"/>
      <c r="F103" s="500"/>
      <c r="G103" s="500"/>
      <c r="H103" s="1470">
        <f t="shared" si="10"/>
        <v>0</v>
      </c>
      <c r="I103" s="1779"/>
      <c r="J103" s="463"/>
      <c r="K103" s="1775"/>
      <c r="L103" s="463"/>
      <c r="M103" s="491"/>
      <c r="N103" s="1768"/>
    </row>
    <row r="104" spans="1:14" ht="31.2">
      <c r="A104" s="469"/>
      <c r="B104" s="487" t="s">
        <v>334</v>
      </c>
      <c r="C104" s="1452">
        <v>29602</v>
      </c>
      <c r="D104" s="473">
        <f t="shared" si="14"/>
        <v>120444</v>
      </c>
      <c r="E104" s="473"/>
      <c r="F104" s="497">
        <v>120444</v>
      </c>
      <c r="G104" s="500"/>
      <c r="H104" s="1471">
        <f t="shared" si="10"/>
        <v>90842</v>
      </c>
      <c r="I104" s="1774">
        <f t="shared" si="11"/>
        <v>406.87791365448282</v>
      </c>
      <c r="J104" s="463"/>
      <c r="K104" s="1775"/>
      <c r="L104" s="463"/>
      <c r="M104" s="491"/>
      <c r="N104" s="1768"/>
    </row>
    <row r="105" spans="1:14" ht="22.8" customHeight="1">
      <c r="A105" s="483" t="s">
        <v>335</v>
      </c>
      <c r="B105" s="504" t="s">
        <v>336</v>
      </c>
      <c r="C105" s="1463">
        <v>500000</v>
      </c>
      <c r="D105" s="472">
        <f t="shared" si="14"/>
        <v>300000</v>
      </c>
      <c r="E105" s="472"/>
      <c r="F105" s="502">
        <v>300000</v>
      </c>
      <c r="G105" s="503"/>
      <c r="H105" s="1470">
        <f t="shared" si="10"/>
        <v>-200000</v>
      </c>
      <c r="I105" s="1779">
        <f t="shared" si="11"/>
        <v>60</v>
      </c>
      <c r="J105" s="463"/>
      <c r="K105" s="1775"/>
      <c r="L105" s="463"/>
      <c r="M105" s="491"/>
      <c r="N105" s="1768"/>
    </row>
    <row r="106" spans="1:14" ht="22.2" customHeight="1">
      <c r="A106" s="492">
        <v>2</v>
      </c>
      <c r="B106" s="493" t="s">
        <v>328</v>
      </c>
      <c r="C106" s="1461">
        <v>359251</v>
      </c>
      <c r="D106" s="498">
        <f>D107+D132</f>
        <v>449965</v>
      </c>
      <c r="E106" s="498"/>
      <c r="F106" s="498">
        <f>F107+F132</f>
        <v>297317</v>
      </c>
      <c r="G106" s="498">
        <f>G107+G132</f>
        <v>152648</v>
      </c>
      <c r="H106" s="1470">
        <f t="shared" si="10"/>
        <v>90714</v>
      </c>
      <c r="I106" s="1779">
        <f t="shared" si="11"/>
        <v>125.25086916946647</v>
      </c>
      <c r="J106" s="1536"/>
      <c r="K106" s="1790"/>
      <c r="L106" s="1536"/>
      <c r="M106" s="491"/>
      <c r="N106" s="1769"/>
    </row>
    <row r="107" spans="1:14" ht="19.8" customHeight="1">
      <c r="A107" s="505" t="s">
        <v>351</v>
      </c>
      <c r="B107" s="506" t="s">
        <v>330</v>
      </c>
      <c r="C107" s="1464">
        <v>241741</v>
      </c>
      <c r="D107" s="472">
        <f>SUM(D108:D120,D129,D130,D131)</f>
        <v>333145</v>
      </c>
      <c r="E107" s="472"/>
      <c r="F107" s="472">
        <f>SUM(F108:F120,F129,F130,F131)</f>
        <v>187232</v>
      </c>
      <c r="G107" s="472">
        <f>SUM(G108:G120,G129,G130,G131)</f>
        <v>145913</v>
      </c>
      <c r="H107" s="1470">
        <f t="shared" si="10"/>
        <v>91404</v>
      </c>
      <c r="I107" s="1779">
        <f t="shared" si="11"/>
        <v>137.81071477324906</v>
      </c>
      <c r="J107" s="463"/>
      <c r="K107" s="1775"/>
      <c r="L107" s="463"/>
      <c r="M107" s="491"/>
      <c r="N107" s="1768"/>
    </row>
    <row r="108" spans="1:14" ht="46.8">
      <c r="A108" s="505"/>
      <c r="B108" s="487" t="s">
        <v>945</v>
      </c>
      <c r="C108" s="1452">
        <v>605</v>
      </c>
      <c r="D108" s="473">
        <f t="shared" si="14"/>
        <v>605</v>
      </c>
      <c r="E108" s="473"/>
      <c r="F108" s="501">
        <v>605</v>
      </c>
      <c r="G108" s="501"/>
      <c r="H108" s="1471">
        <f t="shared" si="10"/>
        <v>0</v>
      </c>
      <c r="I108" s="1774">
        <f t="shared" si="11"/>
        <v>100</v>
      </c>
      <c r="J108" s="463"/>
      <c r="K108" s="1775"/>
      <c r="L108" s="463"/>
      <c r="M108" s="491"/>
      <c r="N108" s="1749"/>
    </row>
    <row r="109" spans="1:14" ht="31.2">
      <c r="A109" s="505"/>
      <c r="B109" s="475" t="s">
        <v>337</v>
      </c>
      <c r="C109" s="1455">
        <v>400</v>
      </c>
      <c r="D109" s="473">
        <f t="shared" si="14"/>
        <v>560</v>
      </c>
      <c r="E109" s="473"/>
      <c r="F109" s="501">
        <v>560</v>
      </c>
      <c r="G109" s="501"/>
      <c r="H109" s="1471">
        <f t="shared" si="10"/>
        <v>160</v>
      </c>
      <c r="I109" s="1774">
        <f t="shared" si="11"/>
        <v>140</v>
      </c>
      <c r="J109" s="463"/>
      <c r="K109" s="1775"/>
      <c r="L109" s="463"/>
      <c r="M109" s="491"/>
      <c r="N109" s="1750"/>
    </row>
    <row r="110" spans="1:14" ht="21.75" customHeight="1">
      <c r="A110" s="505"/>
      <c r="B110" s="475" t="s">
        <v>338</v>
      </c>
      <c r="C110" s="1455">
        <v>501</v>
      </c>
      <c r="D110" s="473">
        <f t="shared" si="14"/>
        <v>440</v>
      </c>
      <c r="E110" s="473"/>
      <c r="F110" s="501">
        <v>440</v>
      </c>
      <c r="G110" s="501"/>
      <c r="H110" s="1471">
        <f t="shared" si="10"/>
        <v>-61</v>
      </c>
      <c r="I110" s="1774">
        <f t="shared" si="11"/>
        <v>87.824351297405187</v>
      </c>
      <c r="J110" s="463"/>
      <c r="K110" s="1775"/>
      <c r="L110" s="463"/>
      <c r="M110" s="491"/>
      <c r="N110" s="1750"/>
    </row>
    <row r="111" spans="1:14" ht="35.25" customHeight="1">
      <c r="A111" s="505"/>
      <c r="B111" s="487" t="s">
        <v>938</v>
      </c>
      <c r="C111" s="1452">
        <v>5457</v>
      </c>
      <c r="D111" s="473">
        <f t="shared" si="14"/>
        <v>2339</v>
      </c>
      <c r="E111" s="473"/>
      <c r="F111" s="1420">
        <v>2339</v>
      </c>
      <c r="G111" s="501"/>
      <c r="H111" s="1471">
        <f t="shared" si="10"/>
        <v>-3118</v>
      </c>
      <c r="I111" s="1774">
        <f t="shared" si="11"/>
        <v>42.862378596298335</v>
      </c>
      <c r="J111" s="463"/>
      <c r="K111" s="1775"/>
      <c r="L111" s="463"/>
      <c r="M111" s="491"/>
      <c r="N111" s="1749"/>
    </row>
    <row r="112" spans="1:14" ht="50.25" customHeight="1">
      <c r="A112" s="505"/>
      <c r="B112" s="487" t="s">
        <v>940</v>
      </c>
      <c r="C112" s="1452"/>
      <c r="D112" s="473">
        <f t="shared" si="14"/>
        <v>10000</v>
      </c>
      <c r="E112" s="473"/>
      <c r="F112" s="1420">
        <v>10000</v>
      </c>
      <c r="G112" s="501"/>
      <c r="H112" s="1471">
        <f t="shared" si="10"/>
        <v>10000</v>
      </c>
      <c r="I112" s="1774"/>
      <c r="J112" s="463"/>
      <c r="K112" s="1775"/>
      <c r="L112" s="463"/>
      <c r="M112" s="491"/>
      <c r="N112" s="1749"/>
    </row>
    <row r="113" spans="1:14" ht="62.4">
      <c r="A113" s="505"/>
      <c r="B113" s="475" t="s">
        <v>339</v>
      </c>
      <c r="C113" s="1455">
        <v>30659</v>
      </c>
      <c r="D113" s="473">
        <f t="shared" si="14"/>
        <v>57406</v>
      </c>
      <c r="E113" s="473"/>
      <c r="F113" s="501">
        <v>57406</v>
      </c>
      <c r="G113" s="501"/>
      <c r="H113" s="1471">
        <f t="shared" si="10"/>
        <v>26747</v>
      </c>
      <c r="I113" s="1774">
        <f t="shared" si="11"/>
        <v>187.24028833295282</v>
      </c>
      <c r="J113" s="463"/>
      <c r="K113" s="1775"/>
      <c r="L113" s="463"/>
      <c r="M113" s="491"/>
      <c r="N113" s="1750"/>
    </row>
    <row r="114" spans="1:14" ht="31.2">
      <c r="A114" s="505"/>
      <c r="B114" s="475" t="s">
        <v>340</v>
      </c>
      <c r="C114" s="1455">
        <v>10446</v>
      </c>
      <c r="D114" s="473">
        <f t="shared" si="14"/>
        <v>12789</v>
      </c>
      <c r="E114" s="473"/>
      <c r="F114" s="501">
        <v>12789</v>
      </c>
      <c r="G114" s="501"/>
      <c r="H114" s="1471">
        <f t="shared" si="10"/>
        <v>2343</v>
      </c>
      <c r="I114" s="1774">
        <f t="shared" si="11"/>
        <v>122.42963813900059</v>
      </c>
      <c r="J114" s="463"/>
      <c r="K114" s="1775"/>
      <c r="L114" s="463"/>
      <c r="M114" s="491"/>
      <c r="N114" s="1750"/>
    </row>
    <row r="115" spans="1:14" ht="109.2">
      <c r="A115" s="505"/>
      <c r="B115" s="475" t="s">
        <v>341</v>
      </c>
      <c r="C115" s="1455">
        <v>19823</v>
      </c>
      <c r="D115" s="473">
        <f t="shared" si="14"/>
        <v>39100</v>
      </c>
      <c r="E115" s="473"/>
      <c r="F115" s="501">
        <v>39100</v>
      </c>
      <c r="G115" s="501"/>
      <c r="H115" s="1471">
        <f t="shared" si="10"/>
        <v>19277</v>
      </c>
      <c r="I115" s="1774">
        <f t="shared" si="11"/>
        <v>197.24562377036776</v>
      </c>
      <c r="J115" s="463"/>
      <c r="K115" s="1775"/>
      <c r="L115" s="463"/>
      <c r="M115" s="491"/>
      <c r="N115" s="1750"/>
    </row>
    <row r="116" spans="1:14" ht="26.25" customHeight="1">
      <c r="A116" s="505"/>
      <c r="B116" s="487" t="s">
        <v>900</v>
      </c>
      <c r="C116" s="1452"/>
      <c r="D116" s="473">
        <f t="shared" si="14"/>
        <v>30624</v>
      </c>
      <c r="E116" s="473"/>
      <c r="F116" s="501"/>
      <c r="G116" s="501">
        <v>30624</v>
      </c>
      <c r="H116" s="1471">
        <f t="shared" si="10"/>
        <v>30624</v>
      </c>
      <c r="I116" s="1774"/>
      <c r="J116" s="463"/>
      <c r="K116" s="1775"/>
      <c r="L116" s="463"/>
      <c r="M116" s="491"/>
      <c r="N116" s="1749"/>
    </row>
    <row r="117" spans="1:14" ht="46.8">
      <c r="A117" s="505"/>
      <c r="B117" s="487" t="s">
        <v>947</v>
      </c>
      <c r="C117" s="1452">
        <v>1500</v>
      </c>
      <c r="D117" s="473">
        <f t="shared" si="14"/>
        <v>1200</v>
      </c>
      <c r="E117" s="473"/>
      <c r="F117" s="501">
        <v>1200</v>
      </c>
      <c r="G117" s="501"/>
      <c r="H117" s="1471">
        <f t="shared" si="10"/>
        <v>-300</v>
      </c>
      <c r="I117" s="1774">
        <f t="shared" si="11"/>
        <v>80</v>
      </c>
      <c r="J117" s="463"/>
      <c r="K117" s="1775"/>
      <c r="L117" s="463"/>
      <c r="M117" s="491"/>
      <c r="N117" s="1749"/>
    </row>
    <row r="118" spans="1:14" ht="46.8">
      <c r="A118" s="505"/>
      <c r="B118" s="475" t="s">
        <v>342</v>
      </c>
      <c r="C118" s="1455">
        <v>17389</v>
      </c>
      <c r="D118" s="1414">
        <f t="shared" si="14"/>
        <v>23626</v>
      </c>
      <c r="E118" s="1414"/>
      <c r="F118" s="1415">
        <f>'Bieu so 02'!D94</f>
        <v>8419</v>
      </c>
      <c r="G118" s="1415">
        <f>'Bieu so 02'!E94</f>
        <v>15207</v>
      </c>
      <c r="H118" s="1471">
        <f t="shared" si="10"/>
        <v>6237</v>
      </c>
      <c r="I118" s="1774">
        <f t="shared" si="11"/>
        <v>135.86750244407386</v>
      </c>
      <c r="J118" s="1416"/>
      <c r="K118" s="1775"/>
      <c r="L118" s="463"/>
      <c r="M118" s="491"/>
      <c r="N118" s="1750"/>
    </row>
    <row r="119" spans="1:14" ht="18.600000000000001" customHeight="1">
      <c r="A119" s="505"/>
      <c r="B119" s="487" t="s">
        <v>901</v>
      </c>
      <c r="C119" s="1452"/>
      <c r="D119" s="1414">
        <f t="shared" si="14"/>
        <v>29244</v>
      </c>
      <c r="E119" s="1414"/>
      <c r="F119" s="1415">
        <v>29244</v>
      </c>
      <c r="G119" s="1415"/>
      <c r="H119" s="1471"/>
      <c r="I119" s="1774"/>
      <c r="J119" s="1416"/>
      <c r="K119" s="1775"/>
      <c r="L119" s="463"/>
      <c r="M119" s="491"/>
      <c r="N119" s="1749"/>
    </row>
    <row r="120" spans="1:14" ht="31.2">
      <c r="A120" s="505"/>
      <c r="B120" s="487" t="s">
        <v>343</v>
      </c>
      <c r="C120" s="1452">
        <f>SUM(C121:C127)</f>
        <v>16093</v>
      </c>
      <c r="D120" s="473">
        <f t="shared" si="14"/>
        <v>22730</v>
      </c>
      <c r="E120" s="473"/>
      <c r="F120" s="501">
        <f>SUM(F121:F128)</f>
        <v>22730</v>
      </c>
      <c r="G120" s="501">
        <f>SUM(G121:G127)</f>
        <v>0</v>
      </c>
      <c r="H120" s="1471">
        <f t="shared" si="10"/>
        <v>6637</v>
      </c>
      <c r="I120" s="1774">
        <f t="shared" si="11"/>
        <v>141.24153358603118</v>
      </c>
      <c r="J120" s="463"/>
      <c r="K120" s="1775"/>
      <c r="L120" s="463"/>
      <c r="M120" s="491"/>
      <c r="N120" s="1749"/>
    </row>
    <row r="121" spans="1:14" ht="31.2">
      <c r="A121" s="505"/>
      <c r="B121" s="476" t="s">
        <v>344</v>
      </c>
      <c r="C121" s="1456">
        <v>2541</v>
      </c>
      <c r="D121" s="473">
        <f t="shared" si="14"/>
        <v>4720</v>
      </c>
      <c r="E121" s="473"/>
      <c r="F121" s="508">
        <v>4720</v>
      </c>
      <c r="G121" s="508"/>
      <c r="H121" s="1471">
        <f t="shared" si="10"/>
        <v>2179</v>
      </c>
      <c r="I121" s="1774">
        <f t="shared" si="11"/>
        <v>185.75364029909485</v>
      </c>
      <c r="J121" s="463"/>
      <c r="K121" s="1775"/>
      <c r="L121" s="463"/>
      <c r="M121" s="491"/>
      <c r="N121" s="1751"/>
    </row>
    <row r="122" spans="1:14" ht="31.2">
      <c r="A122" s="505"/>
      <c r="B122" s="476" t="s">
        <v>345</v>
      </c>
      <c r="C122" s="1456">
        <v>1298</v>
      </c>
      <c r="D122" s="473">
        <f t="shared" si="14"/>
        <v>6831</v>
      </c>
      <c r="E122" s="473"/>
      <c r="F122" s="508">
        <v>6831</v>
      </c>
      <c r="G122" s="508"/>
      <c r="H122" s="1471">
        <f t="shared" si="10"/>
        <v>5533</v>
      </c>
      <c r="I122" s="1774">
        <f t="shared" si="11"/>
        <v>526.27118644067798</v>
      </c>
      <c r="J122" s="463"/>
      <c r="K122" s="1775"/>
      <c r="L122" s="463"/>
      <c r="M122" s="491"/>
      <c r="N122" s="1751"/>
    </row>
    <row r="123" spans="1:14">
      <c r="A123" s="505"/>
      <c r="B123" s="476" t="s">
        <v>346</v>
      </c>
      <c r="C123" s="1456">
        <v>6705</v>
      </c>
      <c r="D123" s="473">
        <f t="shared" si="14"/>
        <v>5980</v>
      </c>
      <c r="E123" s="473"/>
      <c r="F123" s="508">
        <v>5980</v>
      </c>
      <c r="G123" s="508"/>
      <c r="H123" s="1471">
        <f t="shared" si="10"/>
        <v>-725</v>
      </c>
      <c r="I123" s="1774">
        <f t="shared" si="11"/>
        <v>89.187173750932146</v>
      </c>
      <c r="J123" s="463"/>
      <c r="K123" s="1775"/>
      <c r="L123" s="463"/>
      <c r="M123" s="491"/>
      <c r="N123" s="1751"/>
    </row>
    <row r="124" spans="1:14">
      <c r="A124" s="505"/>
      <c r="B124" s="476" t="s">
        <v>347</v>
      </c>
      <c r="C124" s="1456">
        <v>2289</v>
      </c>
      <c r="D124" s="473">
        <f t="shared" si="14"/>
        <v>1339</v>
      </c>
      <c r="E124" s="473"/>
      <c r="F124" s="508">
        <v>1339</v>
      </c>
      <c r="G124" s="508"/>
      <c r="H124" s="1471">
        <f t="shared" si="10"/>
        <v>-950</v>
      </c>
      <c r="I124" s="1774">
        <f t="shared" si="11"/>
        <v>58.497160332022716</v>
      </c>
      <c r="J124" s="463"/>
      <c r="K124" s="1775"/>
      <c r="L124" s="463"/>
      <c r="M124" s="491"/>
      <c r="N124" s="1751"/>
    </row>
    <row r="125" spans="1:14" ht="31.2">
      <c r="A125" s="505"/>
      <c r="B125" s="476" t="s">
        <v>348</v>
      </c>
      <c r="C125" s="1456">
        <v>1360</v>
      </c>
      <c r="D125" s="473">
        <f t="shared" si="14"/>
        <v>1460</v>
      </c>
      <c r="E125" s="473"/>
      <c r="F125" s="1565">
        <v>1460</v>
      </c>
      <c r="G125" s="508"/>
      <c r="H125" s="1471">
        <f t="shared" si="10"/>
        <v>100</v>
      </c>
      <c r="I125" s="1774">
        <f t="shared" si="11"/>
        <v>107.35294117647059</v>
      </c>
      <c r="J125" s="463"/>
      <c r="K125" s="1775"/>
      <c r="L125" s="463"/>
      <c r="M125" s="491"/>
      <c r="N125" s="1751"/>
    </row>
    <row r="126" spans="1:14" ht="31.2">
      <c r="A126" s="483"/>
      <c r="B126" s="476" t="s">
        <v>349</v>
      </c>
      <c r="C126" s="1456">
        <v>900</v>
      </c>
      <c r="D126" s="473">
        <f t="shared" si="14"/>
        <v>1000</v>
      </c>
      <c r="E126" s="473"/>
      <c r="F126" s="508">
        <v>1000</v>
      </c>
      <c r="G126" s="508"/>
      <c r="H126" s="1471">
        <f t="shared" si="10"/>
        <v>100</v>
      </c>
      <c r="I126" s="1774">
        <f t="shared" si="11"/>
        <v>111.11111111111111</v>
      </c>
      <c r="J126" s="463"/>
      <c r="K126" s="1775"/>
      <c r="L126" s="463"/>
      <c r="M126" s="491"/>
      <c r="N126" s="1751"/>
    </row>
    <row r="127" spans="1:14" ht="62.4">
      <c r="A127" s="483"/>
      <c r="B127" s="476" t="s">
        <v>998</v>
      </c>
      <c r="C127" s="1456">
        <v>1000</v>
      </c>
      <c r="D127" s="473">
        <f t="shared" si="14"/>
        <v>1000</v>
      </c>
      <c r="E127" s="473"/>
      <c r="F127" s="508">
        <v>1000</v>
      </c>
      <c r="G127" s="508"/>
      <c r="H127" s="1471">
        <f t="shared" si="10"/>
        <v>0</v>
      </c>
      <c r="I127" s="1774">
        <f t="shared" si="11"/>
        <v>100</v>
      </c>
      <c r="J127" s="463"/>
      <c r="K127" s="1775"/>
      <c r="L127" s="463"/>
      <c r="M127" s="491"/>
      <c r="N127" s="1751"/>
    </row>
    <row r="128" spans="1:14" ht="31.2">
      <c r="A128" s="483"/>
      <c r="B128" s="476" t="s">
        <v>903</v>
      </c>
      <c r="C128" s="1456"/>
      <c r="D128" s="473">
        <f t="shared" si="14"/>
        <v>400</v>
      </c>
      <c r="E128" s="473"/>
      <c r="F128" s="508">
        <v>400</v>
      </c>
      <c r="G128" s="508"/>
      <c r="H128" s="1471"/>
      <c r="I128" s="1774"/>
      <c r="J128" s="463"/>
      <c r="K128" s="1775"/>
      <c r="L128" s="463"/>
      <c r="M128" s="491"/>
      <c r="N128" s="1751"/>
    </row>
    <row r="129" spans="1:14" ht="46.8">
      <c r="A129" s="483"/>
      <c r="B129" s="487" t="s">
        <v>350</v>
      </c>
      <c r="C129" s="1452">
        <v>85476</v>
      </c>
      <c r="D129" s="473">
        <f t="shared" si="14"/>
        <v>60082</v>
      </c>
      <c r="E129" s="473"/>
      <c r="F129" s="501"/>
      <c r="G129" s="501">
        <f>'Bieu so 02'!E93-40000-30624</f>
        <v>60082</v>
      </c>
      <c r="H129" s="1471">
        <f t="shared" si="10"/>
        <v>-25394</v>
      </c>
      <c r="I129" s="1774">
        <f t="shared" si="11"/>
        <v>70.291075857550652</v>
      </c>
      <c r="J129" s="463"/>
      <c r="K129" s="1775"/>
      <c r="L129" s="463"/>
      <c r="M129" s="491"/>
      <c r="N129" s="1749"/>
    </row>
    <row r="130" spans="1:14" ht="31.2">
      <c r="A130" s="483"/>
      <c r="B130" s="487" t="s">
        <v>941</v>
      </c>
      <c r="C130" s="1452"/>
      <c r="D130" s="473">
        <f t="shared" si="14"/>
        <v>40000</v>
      </c>
      <c r="E130" s="473"/>
      <c r="F130" s="501"/>
      <c r="G130" s="501">
        <v>40000</v>
      </c>
      <c r="H130" s="1471"/>
      <c r="I130" s="1774"/>
      <c r="J130" s="463"/>
      <c r="K130" s="1775"/>
      <c r="L130" s="463"/>
      <c r="M130" s="491"/>
      <c r="N130" s="1427"/>
    </row>
    <row r="131" spans="1:14" ht="31.2">
      <c r="A131" s="1418"/>
      <c r="B131" s="1419" t="s">
        <v>902</v>
      </c>
      <c r="C131" s="1465">
        <v>13392</v>
      </c>
      <c r="D131" s="1417">
        <f t="shared" si="14"/>
        <v>2400</v>
      </c>
      <c r="E131" s="1417"/>
      <c r="F131" s="1420">
        <f>42400-40000</f>
        <v>2400</v>
      </c>
      <c r="G131" s="1420"/>
      <c r="H131" s="1471">
        <f t="shared" si="10"/>
        <v>-10992</v>
      </c>
      <c r="I131" s="1774">
        <f t="shared" si="11"/>
        <v>17.921146953405021</v>
      </c>
      <c r="J131" s="1421"/>
      <c r="K131" s="1775"/>
      <c r="L131" s="463"/>
      <c r="M131" s="491"/>
      <c r="N131" s="1427"/>
    </row>
    <row r="132" spans="1:14" ht="27.6" customHeight="1">
      <c r="A132" s="483" t="s">
        <v>357</v>
      </c>
      <c r="B132" s="506" t="s">
        <v>1046</v>
      </c>
      <c r="C132" s="1464">
        <v>117510</v>
      </c>
      <c r="D132" s="472">
        <f>F132+G132</f>
        <v>116820</v>
      </c>
      <c r="E132" s="472"/>
      <c r="F132" s="509">
        <f>F136</f>
        <v>110085</v>
      </c>
      <c r="G132" s="503">
        <f>G136</f>
        <v>6735</v>
      </c>
      <c r="H132" s="1470">
        <f t="shared" si="10"/>
        <v>-690</v>
      </c>
      <c r="I132" s="1779">
        <f t="shared" si="11"/>
        <v>99.412815930559105</v>
      </c>
      <c r="J132" s="463"/>
      <c r="K132" s="1775"/>
      <c r="L132" s="463"/>
      <c r="M132" s="491"/>
      <c r="N132" s="1427"/>
    </row>
    <row r="133" spans="1:14" hidden="1">
      <c r="A133" s="483" t="s">
        <v>441</v>
      </c>
      <c r="B133" s="506" t="s">
        <v>352</v>
      </c>
      <c r="C133" s="1464"/>
      <c r="D133" s="472">
        <f t="shared" ref="D133:D139" si="15">F133+G133</f>
        <v>0</v>
      </c>
      <c r="E133" s="472"/>
      <c r="F133" s="509">
        <f>F134+F135</f>
        <v>0</v>
      </c>
      <c r="G133" s="509">
        <f>G134+G135</f>
        <v>0</v>
      </c>
      <c r="H133" s="1470">
        <f t="shared" si="10"/>
        <v>0</v>
      </c>
      <c r="I133" s="1779" t="e">
        <f t="shared" si="11"/>
        <v>#DIV/0!</v>
      </c>
      <c r="J133" s="463"/>
      <c r="K133" s="1775"/>
      <c r="L133" s="463"/>
      <c r="M133" s="491"/>
      <c r="N133" s="1427"/>
    </row>
    <row r="134" spans="1:14" ht="31.2" hidden="1">
      <c r="A134" s="469"/>
      <c r="B134" s="507" t="s">
        <v>353</v>
      </c>
      <c r="C134" s="1452"/>
      <c r="D134" s="472">
        <f t="shared" si="15"/>
        <v>0</v>
      </c>
      <c r="E134" s="473"/>
      <c r="F134" s="496"/>
      <c r="G134" s="500"/>
      <c r="H134" s="1470">
        <f t="shared" si="10"/>
        <v>0</v>
      </c>
      <c r="I134" s="1779" t="e">
        <f t="shared" si="11"/>
        <v>#DIV/0!</v>
      </c>
      <c r="J134" s="474"/>
      <c r="K134" s="1782" t="s">
        <v>354</v>
      </c>
      <c r="L134" s="474"/>
      <c r="M134" s="491"/>
      <c r="N134" s="1427"/>
    </row>
    <row r="135" spans="1:14" ht="31.2" hidden="1">
      <c r="A135" s="469"/>
      <c r="B135" s="507" t="s">
        <v>355</v>
      </c>
      <c r="C135" s="1452"/>
      <c r="D135" s="472">
        <f t="shared" si="15"/>
        <v>0</v>
      </c>
      <c r="E135" s="473"/>
      <c r="F135" s="496"/>
      <c r="G135" s="500"/>
      <c r="H135" s="1470">
        <f t="shared" si="10"/>
        <v>0</v>
      </c>
      <c r="I135" s="1779" t="e">
        <f t="shared" si="11"/>
        <v>#DIV/0!</v>
      </c>
      <c r="J135" s="474"/>
      <c r="K135" s="1782" t="s">
        <v>356</v>
      </c>
      <c r="L135" s="474"/>
      <c r="M135" s="491"/>
      <c r="N135" s="1427"/>
    </row>
    <row r="136" spans="1:14" hidden="1">
      <c r="A136" s="483" t="s">
        <v>463</v>
      </c>
      <c r="B136" s="506" t="s">
        <v>358</v>
      </c>
      <c r="C136" s="1464">
        <v>117510</v>
      </c>
      <c r="D136" s="472">
        <f t="shared" si="15"/>
        <v>116820</v>
      </c>
      <c r="E136" s="472"/>
      <c r="F136" s="509">
        <f>F137+F138+F139</f>
        <v>110085</v>
      </c>
      <c r="G136" s="509">
        <f>G137+G138+G139</f>
        <v>6735</v>
      </c>
      <c r="H136" s="1470">
        <f t="shared" si="10"/>
        <v>-690</v>
      </c>
      <c r="I136" s="1779">
        <f t="shared" si="11"/>
        <v>99.412815930559105</v>
      </c>
      <c r="J136" s="463"/>
      <c r="K136" s="1775"/>
      <c r="L136" s="463"/>
      <c r="M136" s="491"/>
      <c r="N136" s="1427"/>
    </row>
    <row r="137" spans="1:14" ht="31.2" hidden="1">
      <c r="A137" s="469"/>
      <c r="B137" s="507" t="s">
        <v>359</v>
      </c>
      <c r="C137" s="1452"/>
      <c r="D137" s="472">
        <f t="shared" si="15"/>
        <v>0</v>
      </c>
      <c r="E137" s="473"/>
      <c r="F137" s="496"/>
      <c r="G137" s="500"/>
      <c r="H137" s="1470">
        <f t="shared" si="10"/>
        <v>0</v>
      </c>
      <c r="I137" s="1779" t="e">
        <f t="shared" si="11"/>
        <v>#DIV/0!</v>
      </c>
      <c r="J137" s="474"/>
      <c r="K137" s="1782" t="s">
        <v>360</v>
      </c>
      <c r="L137" s="474"/>
      <c r="M137" s="491"/>
      <c r="N137" s="1427"/>
    </row>
    <row r="138" spans="1:14" ht="31.2">
      <c r="A138" s="469"/>
      <c r="B138" s="487" t="s">
        <v>353</v>
      </c>
      <c r="C138" s="1452"/>
      <c r="D138" s="472">
        <f t="shared" si="15"/>
        <v>50000</v>
      </c>
      <c r="E138" s="473"/>
      <c r="F138" s="496">
        <v>44279</v>
      </c>
      <c r="G138" s="500">
        <f>'BSCD CDCS 2019 (hoan chinh)-05 '!C22</f>
        <v>5721</v>
      </c>
      <c r="H138" s="1470"/>
      <c r="I138" s="1779"/>
      <c r="J138" s="474"/>
      <c r="K138" s="1782" t="s">
        <v>354</v>
      </c>
      <c r="L138" s="474"/>
      <c r="M138" s="491"/>
      <c r="N138" s="1427"/>
    </row>
    <row r="139" spans="1:14">
      <c r="A139" s="1652"/>
      <c r="B139" s="1597" t="s">
        <v>361</v>
      </c>
      <c r="C139" s="1653"/>
      <c r="D139" s="1481">
        <f t="shared" si="15"/>
        <v>66820</v>
      </c>
      <c r="E139" s="1639"/>
      <c r="F139" s="1640">
        <v>65806</v>
      </c>
      <c r="G139" s="1654">
        <f>'BSCD CDCS 2019 (hoan chinh)-05 '!C23</f>
        <v>1014</v>
      </c>
      <c r="H139" s="1484"/>
      <c r="I139" s="1799"/>
      <c r="J139" s="1647"/>
      <c r="K139" s="1800" t="s">
        <v>360</v>
      </c>
      <c r="L139" s="1647"/>
      <c r="M139" s="491"/>
      <c r="N139" s="1427"/>
    </row>
    <row r="140" spans="1:14" ht="33" customHeight="1">
      <c r="A140" s="1662" t="s">
        <v>362</v>
      </c>
      <c r="B140" s="1663" t="s">
        <v>990</v>
      </c>
      <c r="C140" s="1664">
        <v>75799</v>
      </c>
      <c r="D140" s="1665">
        <f t="shared" si="14"/>
        <v>154000</v>
      </c>
      <c r="E140" s="1665"/>
      <c r="F140" s="1665">
        <f>SUM(F141:F156)</f>
        <v>117200</v>
      </c>
      <c r="G140" s="1665">
        <f>SUM(G141:G156)</f>
        <v>36800</v>
      </c>
      <c r="H140" s="1477">
        <f t="shared" si="10"/>
        <v>78201</v>
      </c>
      <c r="I140" s="448">
        <f t="shared" si="11"/>
        <v>203.16890724152034</v>
      </c>
      <c r="J140" s="452">
        <f>D140/$D$12%</f>
        <v>1.690088605304036</v>
      </c>
      <c r="K140" s="1666"/>
      <c r="L140" s="1666"/>
      <c r="M140" s="491"/>
      <c r="N140" s="1770"/>
    </row>
    <row r="141" spans="1:14">
      <c r="A141" s="1655"/>
      <c r="B141" s="1656" t="s">
        <v>363</v>
      </c>
      <c r="C141" s="1657">
        <v>590</v>
      </c>
      <c r="D141" s="1658">
        <f>F141+G141</f>
        <v>590</v>
      </c>
      <c r="E141" s="1658"/>
      <c r="F141" s="1659">
        <v>590</v>
      </c>
      <c r="G141" s="1660"/>
      <c r="H141" s="1474"/>
      <c r="I141" s="1801"/>
      <c r="J141" s="1475"/>
      <c r="K141" s="1802"/>
      <c r="L141" s="1475"/>
      <c r="M141" s="491"/>
      <c r="N141" s="1749"/>
    </row>
    <row r="142" spans="1:14">
      <c r="A142" s="483"/>
      <c r="B142" s="487" t="s">
        <v>364</v>
      </c>
      <c r="C142" s="1452">
        <v>500</v>
      </c>
      <c r="D142" s="473">
        <f t="shared" ref="D142:D156" si="16">F142+G142</f>
        <v>500</v>
      </c>
      <c r="E142" s="473"/>
      <c r="F142" s="497">
        <v>500</v>
      </c>
      <c r="G142" s="503"/>
      <c r="H142" s="1470"/>
      <c r="I142" s="1774"/>
      <c r="J142" s="463"/>
      <c r="K142" s="1775"/>
      <c r="L142" s="463"/>
      <c r="M142" s="491"/>
      <c r="N142" s="1749"/>
    </row>
    <row r="143" spans="1:14">
      <c r="A143" s="483"/>
      <c r="B143" s="487" t="s">
        <v>365</v>
      </c>
      <c r="C143" s="1452">
        <v>383</v>
      </c>
      <c r="D143" s="473">
        <f t="shared" si="16"/>
        <v>383</v>
      </c>
      <c r="E143" s="473"/>
      <c r="F143" s="497">
        <v>383</v>
      </c>
      <c r="G143" s="503"/>
      <c r="H143" s="1470"/>
      <c r="I143" s="1774"/>
      <c r="J143" s="463"/>
      <c r="K143" s="1775"/>
      <c r="L143" s="463"/>
      <c r="M143" s="491"/>
      <c r="N143" s="1749"/>
    </row>
    <row r="144" spans="1:14" ht="31.2">
      <c r="A144" s="483"/>
      <c r="B144" s="487" t="s">
        <v>933</v>
      </c>
      <c r="C144" s="1452">
        <v>300</v>
      </c>
      <c r="D144" s="473">
        <f t="shared" si="16"/>
        <v>300</v>
      </c>
      <c r="E144" s="473"/>
      <c r="F144" s="497">
        <v>300</v>
      </c>
      <c r="G144" s="503"/>
      <c r="H144" s="1470"/>
      <c r="I144" s="1774"/>
      <c r="J144" s="463"/>
      <c r="K144" s="1775"/>
      <c r="L144" s="463"/>
      <c r="M144" s="491"/>
      <c r="N144" s="1749"/>
    </row>
    <row r="145" spans="1:15" ht="31.2">
      <c r="A145" s="483"/>
      <c r="B145" s="487" t="s">
        <v>366</v>
      </c>
      <c r="C145" s="1452">
        <v>300</v>
      </c>
      <c r="D145" s="473">
        <f t="shared" si="16"/>
        <v>300</v>
      </c>
      <c r="E145" s="473"/>
      <c r="F145" s="497">
        <v>300</v>
      </c>
      <c r="G145" s="503"/>
      <c r="H145" s="1470"/>
      <c r="I145" s="1774"/>
      <c r="J145" s="463"/>
      <c r="K145" s="1775"/>
      <c r="L145" s="463"/>
      <c r="M145" s="491"/>
      <c r="N145" s="1749"/>
    </row>
    <row r="146" spans="1:15" ht="20.25" customHeight="1">
      <c r="A146" s="1418"/>
      <c r="B146" s="1529" t="s">
        <v>934</v>
      </c>
      <c r="C146" s="1530">
        <v>8340</v>
      </c>
      <c r="D146" s="1417">
        <f t="shared" si="16"/>
        <v>0</v>
      </c>
      <c r="E146" s="1417"/>
      <c r="F146" s="1531"/>
      <c r="G146" s="1417"/>
      <c r="H146" s="1470"/>
      <c r="I146" s="1779"/>
      <c r="J146" s="463"/>
      <c r="K146" s="1775"/>
      <c r="L146" s="463"/>
      <c r="M146" s="491"/>
      <c r="N146" s="1749"/>
    </row>
    <row r="147" spans="1:15">
      <c r="A147" s="483"/>
      <c r="B147" s="487" t="s">
        <v>367</v>
      </c>
      <c r="C147" s="1452">
        <v>2000</v>
      </c>
      <c r="D147" s="473">
        <f t="shared" si="16"/>
        <v>2000</v>
      </c>
      <c r="E147" s="473"/>
      <c r="F147" s="497">
        <v>2000</v>
      </c>
      <c r="G147" s="503"/>
      <c r="H147" s="1470"/>
      <c r="I147" s="1779"/>
      <c r="J147" s="463"/>
      <c r="K147" s="1775"/>
      <c r="L147" s="463"/>
      <c r="M147" s="491"/>
      <c r="N147" s="1749"/>
    </row>
    <row r="148" spans="1:15">
      <c r="A148" s="483"/>
      <c r="B148" s="487" t="s">
        <v>368</v>
      </c>
      <c r="C148" s="1452">
        <v>10000</v>
      </c>
      <c r="D148" s="473">
        <f t="shared" si="16"/>
        <v>10000</v>
      </c>
      <c r="E148" s="473"/>
      <c r="F148" s="497">
        <v>10000</v>
      </c>
      <c r="G148" s="503"/>
      <c r="H148" s="1470"/>
      <c r="I148" s="1779"/>
      <c r="J148" s="463"/>
      <c r="K148" s="1775"/>
      <c r="L148" s="463"/>
      <c r="M148" s="491"/>
      <c r="N148" s="1749"/>
    </row>
    <row r="149" spans="1:15">
      <c r="A149" s="483"/>
      <c r="B149" s="487" t="s">
        <v>369</v>
      </c>
      <c r="C149" s="1452">
        <v>10000</v>
      </c>
      <c r="D149" s="473">
        <f t="shared" si="16"/>
        <v>10000</v>
      </c>
      <c r="E149" s="473"/>
      <c r="F149" s="497">
        <v>10000</v>
      </c>
      <c r="G149" s="503"/>
      <c r="H149" s="1470"/>
      <c r="I149" s="1779"/>
      <c r="J149" s="463"/>
      <c r="K149" s="1775"/>
      <c r="L149" s="463"/>
      <c r="M149" s="491"/>
      <c r="N149" s="1749"/>
    </row>
    <row r="150" spans="1:15" ht="31.2">
      <c r="A150" s="483"/>
      <c r="B150" s="487" t="s">
        <v>944</v>
      </c>
      <c r="C150" s="1452">
        <v>30000</v>
      </c>
      <c r="D150" s="473"/>
      <c r="E150" s="473"/>
      <c r="F150" s="497"/>
      <c r="G150" s="503"/>
      <c r="H150" s="1470"/>
      <c r="I150" s="1779"/>
      <c r="J150" s="463"/>
      <c r="K150" s="1775"/>
      <c r="L150" s="463"/>
      <c r="M150" s="491"/>
      <c r="N150" s="1749"/>
    </row>
    <row r="151" spans="1:15" ht="62.4">
      <c r="A151" s="483"/>
      <c r="B151" s="487" t="s">
        <v>370</v>
      </c>
      <c r="C151" s="1452">
        <v>5000</v>
      </c>
      <c r="D151" s="473">
        <f t="shared" si="16"/>
        <v>10000</v>
      </c>
      <c r="E151" s="473"/>
      <c r="F151" s="497">
        <v>10000</v>
      </c>
      <c r="G151" s="503"/>
      <c r="H151" s="1470"/>
      <c r="I151" s="1779"/>
      <c r="J151" s="463"/>
      <c r="K151" s="1775"/>
      <c r="L151" s="463"/>
      <c r="M151" s="491"/>
      <c r="N151" s="1749"/>
    </row>
    <row r="152" spans="1:15" ht="31.2" hidden="1">
      <c r="A152" s="483"/>
      <c r="B152" s="487" t="s">
        <v>936</v>
      </c>
      <c r="C152" s="1452"/>
      <c r="D152" s="473">
        <f t="shared" si="16"/>
        <v>0</v>
      </c>
      <c r="E152" s="473"/>
      <c r="F152" s="497"/>
      <c r="G152" s="462"/>
      <c r="H152" s="1470"/>
      <c r="I152" s="1779"/>
      <c r="J152" s="463"/>
      <c r="K152" s="1775"/>
      <c r="L152" s="463"/>
      <c r="M152" s="491"/>
      <c r="N152" s="1749"/>
    </row>
    <row r="153" spans="1:15" ht="31.2" hidden="1">
      <c r="A153" s="483"/>
      <c r="B153" s="487" t="s">
        <v>937</v>
      </c>
      <c r="C153" s="1452"/>
      <c r="D153" s="473">
        <f t="shared" si="16"/>
        <v>0</v>
      </c>
      <c r="E153" s="473"/>
      <c r="F153" s="497"/>
      <c r="G153" s="462"/>
      <c r="H153" s="1470"/>
      <c r="I153" s="1779"/>
      <c r="J153" s="463"/>
      <c r="K153" s="1775"/>
      <c r="L153" s="463"/>
      <c r="M153" s="491"/>
      <c r="N153" s="1749"/>
    </row>
    <row r="154" spans="1:15" ht="46.8">
      <c r="A154" s="483"/>
      <c r="B154" s="487" t="s">
        <v>935</v>
      </c>
      <c r="C154" s="1452"/>
      <c r="D154" s="473">
        <f t="shared" si="16"/>
        <v>3600</v>
      </c>
      <c r="E154" s="473"/>
      <c r="F154" s="497">
        <v>3600</v>
      </c>
      <c r="G154" s="1791"/>
      <c r="H154" s="1470"/>
      <c r="I154" s="1779"/>
      <c r="J154" s="463"/>
      <c r="K154" s="1775"/>
      <c r="L154" s="463"/>
      <c r="M154" s="491"/>
      <c r="N154" s="1749"/>
    </row>
    <row r="155" spans="1:15" ht="74.25" customHeight="1">
      <c r="A155" s="483"/>
      <c r="B155" s="1472" t="s">
        <v>943</v>
      </c>
      <c r="C155" s="1473">
        <v>8386</v>
      </c>
      <c r="D155" s="473">
        <f t="shared" si="16"/>
        <v>79527</v>
      </c>
      <c r="E155" s="473"/>
      <c r="F155" s="497">
        <f>93327-13800</f>
        <v>79527</v>
      </c>
      <c r="G155" s="1792"/>
      <c r="H155" s="1470"/>
      <c r="I155" s="1779"/>
      <c r="J155" s="463"/>
      <c r="K155" s="1775"/>
      <c r="L155" s="463"/>
      <c r="M155" s="491"/>
      <c r="N155" s="1752"/>
    </row>
    <row r="156" spans="1:15" ht="52.2" customHeight="1">
      <c r="A156" s="1641"/>
      <c r="B156" s="1642" t="s">
        <v>983</v>
      </c>
      <c r="C156" s="1643"/>
      <c r="D156" s="1639">
        <f t="shared" si="16"/>
        <v>36800</v>
      </c>
      <c r="E156" s="1639"/>
      <c r="F156" s="1644"/>
      <c r="G156" s="1645">
        <f>'BSCD CDCS 2019 (hoan chinh)-05 '!C19</f>
        <v>36800</v>
      </c>
      <c r="H156" s="1484"/>
      <c r="I156" s="1799"/>
      <c r="J156" s="1647"/>
      <c r="K156" s="1800"/>
      <c r="L156" s="1647"/>
      <c r="M156" s="1541"/>
      <c r="N156" s="1752"/>
      <c r="O156" s="430"/>
    </row>
    <row r="157" spans="1:15" ht="35.4" customHeight="1">
      <c r="A157" s="1648" t="s">
        <v>371</v>
      </c>
      <c r="B157" s="1649" t="s">
        <v>372</v>
      </c>
      <c r="C157" s="1650"/>
      <c r="D157" s="510">
        <f>F157+G157</f>
        <v>0</v>
      </c>
      <c r="E157" s="510"/>
      <c r="F157" s="1651"/>
      <c r="G157" s="1651"/>
      <c r="H157" s="1477">
        <f t="shared" ref="H157" si="17">D157-N157</f>
        <v>0</v>
      </c>
      <c r="I157" s="510"/>
      <c r="J157" s="510"/>
      <c r="K157" s="510"/>
      <c r="L157" s="510"/>
      <c r="M157" s="491"/>
      <c r="N157" s="1427"/>
    </row>
    <row r="158" spans="1:15" ht="27.6" customHeight="1">
      <c r="A158" s="1793" t="s">
        <v>912</v>
      </c>
      <c r="B158" s="1794" t="s">
        <v>373</v>
      </c>
      <c r="C158" s="1795"/>
      <c r="D158" s="1796">
        <f>F158+G158</f>
        <v>54500</v>
      </c>
      <c r="E158" s="1796"/>
      <c r="F158" s="1797">
        <f>N4</f>
        <v>54500</v>
      </c>
      <c r="G158" s="1797"/>
      <c r="H158" s="1797"/>
      <c r="I158" s="1798"/>
      <c r="J158" s="1798"/>
      <c r="K158" s="1798"/>
      <c r="L158" s="1798"/>
      <c r="M158" s="511"/>
      <c r="N158" s="1427"/>
    </row>
    <row r="159" spans="1:15">
      <c r="A159" s="511"/>
      <c r="B159" s="512"/>
      <c r="C159" s="1466"/>
      <c r="D159" s="511"/>
      <c r="E159" s="511"/>
      <c r="F159" s="511"/>
      <c r="G159" s="511"/>
      <c r="H159" s="511"/>
      <c r="I159" s="511"/>
      <c r="J159" s="511"/>
      <c r="K159" s="511"/>
      <c r="L159" s="511"/>
      <c r="M159" s="511"/>
      <c r="N159" s="1427"/>
    </row>
    <row r="160" spans="1:15" ht="15.6" customHeight="1">
      <c r="A160" s="3028"/>
      <c r="B160" s="3028"/>
      <c r="C160" s="3028"/>
      <c r="D160" s="3028"/>
      <c r="E160" s="3028"/>
      <c r="F160" s="3028"/>
      <c r="G160" s="3028"/>
      <c r="H160" s="1325"/>
      <c r="I160" s="513"/>
      <c r="J160" s="513"/>
      <c r="K160" s="513"/>
      <c r="L160" s="513"/>
      <c r="M160" s="1008"/>
    </row>
    <row r="161" spans="1:13">
      <c r="A161" s="514"/>
      <c r="B161" s="3029"/>
      <c r="C161" s="3029"/>
      <c r="D161" s="3029"/>
      <c r="E161" s="3029"/>
      <c r="F161" s="3029"/>
      <c r="G161" s="3029"/>
      <c r="H161" s="3029"/>
      <c r="I161" s="3029"/>
      <c r="J161" s="3029"/>
      <c r="K161" s="3029"/>
      <c r="L161" s="3029"/>
      <c r="M161" s="3029"/>
    </row>
    <row r="162" spans="1:13">
      <c r="A162" s="515"/>
      <c r="B162" s="516"/>
      <c r="C162" s="1467"/>
      <c r="D162" s="517"/>
      <c r="E162" s="517"/>
      <c r="F162" s="517"/>
      <c r="G162" s="517"/>
      <c r="H162" s="517"/>
      <c r="I162" s="517"/>
      <c r="J162" s="517"/>
      <c r="K162" s="517"/>
      <c r="L162" s="517"/>
      <c r="M162" s="517"/>
    </row>
    <row r="163" spans="1:13">
      <c r="A163" s="518"/>
      <c r="B163" s="516"/>
      <c r="C163" s="1467"/>
      <c r="D163" s="517"/>
      <c r="E163" s="517"/>
      <c r="F163" s="517"/>
      <c r="G163" s="517"/>
      <c r="H163" s="517"/>
      <c r="I163" s="517"/>
      <c r="J163" s="517"/>
      <c r="K163" s="517"/>
      <c r="L163" s="517"/>
      <c r="M163" s="517"/>
    </row>
    <row r="164" spans="1:13">
      <c r="A164" s="519"/>
      <c r="B164" s="520"/>
      <c r="C164" s="1468"/>
      <c r="D164" s="1523"/>
      <c r="E164" s="517"/>
      <c r="F164" s="517"/>
      <c r="G164" s="517"/>
      <c r="H164" s="517"/>
      <c r="I164" s="517"/>
      <c r="J164" s="517"/>
      <c r="K164" s="517"/>
      <c r="L164" s="517"/>
      <c r="M164" s="517"/>
    </row>
    <row r="166" spans="1:13">
      <c r="F166" s="522"/>
      <c r="G166" s="523"/>
      <c r="H166" s="523"/>
    </row>
  </sheetData>
  <dataConsolidate/>
  <mergeCells count="18">
    <mergeCell ref="B161:M161"/>
    <mergeCell ref="J8:J10"/>
    <mergeCell ref="K8:K10"/>
    <mergeCell ref="C8:C10"/>
    <mergeCell ref="D8:D10"/>
    <mergeCell ref="F8:G9"/>
    <mergeCell ref="H8:I9"/>
    <mergeCell ref="L8:L10"/>
    <mergeCell ref="N8:N10"/>
    <mergeCell ref="A8:A10"/>
    <mergeCell ref="B8:B10"/>
    <mergeCell ref="E8:E10"/>
    <mergeCell ref="A160:G160"/>
    <mergeCell ref="G1:I1"/>
    <mergeCell ref="A3:I3"/>
    <mergeCell ref="A4:I4"/>
    <mergeCell ref="A5:I5"/>
    <mergeCell ref="A1:B1"/>
  </mergeCells>
  <printOptions horizontalCentered="1"/>
  <pageMargins left="0.27559055118110237" right="0.11811023622047245" top="0.35433070866141736" bottom="0.28000000000000003" header="0.23622047244094491" footer="0.23622047244094491"/>
  <pageSetup paperSize="9" scale="91" fitToHeight="5" orientation="portrait" blackAndWhite="1" r:id="rId1"/>
  <headerFooter scaleWithDoc="0" alignWithMargins="0">
    <oddFooter>&amp;C&amp;".VnTime,Italic"&amp;8</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8"/>
  </sheetPr>
  <dimension ref="A1:BW304"/>
  <sheetViews>
    <sheetView showZeros="0" zoomScale="85" zoomScaleNormal="85" workbookViewId="0">
      <pane xSplit="3" ySplit="8" topLeftCell="I117" activePane="bottomRight" state="frozen"/>
      <selection pane="topRight" activeCell="D1" sqref="D1"/>
      <selection pane="bottomLeft" activeCell="A9" sqref="A9"/>
      <selection pane="bottomRight" activeCell="C236" sqref="C236"/>
    </sheetView>
  </sheetViews>
  <sheetFormatPr defaultRowHeight="15.6"/>
  <cols>
    <col min="1" max="1" width="6.6640625" style="616" customWidth="1"/>
    <col min="2" max="2" width="35.5546875" style="617" customWidth="1"/>
    <col min="3" max="3" width="8.33203125" style="618" customWidth="1"/>
    <col min="4" max="4" width="7.33203125" style="618" customWidth="1"/>
    <col min="5" max="7" width="8.88671875" style="618" customWidth="1"/>
    <col min="8" max="8" width="12.6640625" style="618" customWidth="1"/>
    <col min="9" max="9" width="7.5546875" style="618" customWidth="1"/>
    <col min="10" max="10" width="6.6640625" style="618" customWidth="1"/>
    <col min="11" max="11" width="14.33203125" style="618" customWidth="1"/>
    <col min="12" max="12" width="15.33203125" style="618" customWidth="1"/>
    <col min="13" max="13" width="9.5546875" style="619" customWidth="1"/>
    <col min="14" max="18" width="8.88671875" style="619" customWidth="1"/>
    <col min="19" max="19" width="8.88671875" style="620" hidden="1" customWidth="1"/>
    <col min="20" max="20" width="8.88671875" style="620" customWidth="1"/>
    <col min="21" max="21" width="10.33203125" style="619" customWidth="1"/>
    <col min="22" max="22" width="11.6640625" style="619" customWidth="1"/>
    <col min="23" max="24" width="8.88671875" style="619" customWidth="1"/>
    <col min="25" max="25" width="8.88671875" style="620" hidden="1" customWidth="1"/>
    <col min="26" max="26" width="8.88671875" style="621" hidden="1" customWidth="1"/>
    <col min="27" max="27" width="8.88671875" style="620" hidden="1" customWidth="1"/>
    <col min="28" max="28" width="8.88671875" style="620" customWidth="1"/>
    <col min="29" max="29" width="9.88671875" style="619" customWidth="1"/>
    <col min="30" max="30" width="11.88671875" style="619" customWidth="1"/>
    <col min="31" max="31" width="8.33203125" style="619" customWidth="1"/>
    <col min="32" max="32" width="8.33203125" style="889" customWidth="1"/>
    <col min="33" max="38" width="8.88671875" style="889" customWidth="1"/>
    <col min="39" max="39" width="12.88671875" style="617" customWidth="1"/>
    <col min="40" max="40" width="8.88671875" style="624" customWidth="1"/>
    <col min="41" max="41" width="8.88671875" style="617" customWidth="1"/>
    <col min="42" max="42" width="32.5546875" style="617" customWidth="1"/>
    <col min="43" max="43" width="8.88671875" style="617" customWidth="1"/>
    <col min="44" max="50" width="8.88671875" style="625" customWidth="1"/>
    <col min="51" max="51" width="12" style="625" customWidth="1"/>
    <col min="52" max="52" width="9.88671875" style="626" customWidth="1"/>
    <col min="53" max="58" width="8.88671875" style="625"/>
    <col min="59" max="59" width="9.109375" style="625" bestFit="1" customWidth="1"/>
    <col min="60" max="256" width="8.88671875" style="625"/>
    <col min="257" max="257" width="6.6640625" style="625" customWidth="1"/>
    <col min="258" max="258" width="35.5546875" style="625" customWidth="1"/>
    <col min="259" max="259" width="8.33203125" style="625" customWidth="1"/>
    <col min="260" max="260" width="7.33203125" style="625" customWidth="1"/>
    <col min="261" max="263" width="8.88671875" style="625" customWidth="1"/>
    <col min="264" max="264" width="12.6640625" style="625" customWidth="1"/>
    <col min="265" max="265" width="7.5546875" style="625" customWidth="1"/>
    <col min="266" max="266" width="6.6640625" style="625" customWidth="1"/>
    <col min="267" max="267" width="14.33203125" style="625" customWidth="1"/>
    <col min="268" max="268" width="11.44140625" style="625" customWidth="1"/>
    <col min="269" max="269" width="9.5546875" style="625" customWidth="1"/>
    <col min="270" max="274" width="8.88671875" style="625" customWidth="1"/>
    <col min="275" max="275" width="0" style="625" hidden="1" customWidth="1"/>
    <col min="276" max="276" width="8.88671875" style="625" customWidth="1"/>
    <col min="277" max="277" width="10.33203125" style="625" customWidth="1"/>
    <col min="278" max="278" width="11.6640625" style="625" customWidth="1"/>
    <col min="279" max="280" width="8.88671875" style="625" customWidth="1"/>
    <col min="281" max="283" width="0" style="625" hidden="1" customWidth="1"/>
    <col min="284" max="284" width="8.88671875" style="625" customWidth="1"/>
    <col min="285" max="285" width="9.88671875" style="625" customWidth="1"/>
    <col min="286" max="286" width="11.88671875" style="625" customWidth="1"/>
    <col min="287" max="288" width="8.33203125" style="625" customWidth="1"/>
    <col min="289" max="297" width="8.88671875" style="625" customWidth="1"/>
    <col min="298" max="298" width="32.5546875" style="625" customWidth="1"/>
    <col min="299" max="306" width="8.88671875" style="625" customWidth="1"/>
    <col min="307" max="307" width="12" style="625" customWidth="1"/>
    <col min="308" max="308" width="9.88671875" style="625" customWidth="1"/>
    <col min="309" max="314" width="8.88671875" style="625"/>
    <col min="315" max="315" width="9.109375" style="625" bestFit="1" customWidth="1"/>
    <col min="316" max="512" width="8.88671875" style="625"/>
    <col min="513" max="513" width="6.6640625" style="625" customWidth="1"/>
    <col min="514" max="514" width="35.5546875" style="625" customWidth="1"/>
    <col min="515" max="515" width="8.33203125" style="625" customWidth="1"/>
    <col min="516" max="516" width="7.33203125" style="625" customWidth="1"/>
    <col min="517" max="519" width="8.88671875" style="625" customWidth="1"/>
    <col min="520" max="520" width="12.6640625" style="625" customWidth="1"/>
    <col min="521" max="521" width="7.5546875" style="625" customWidth="1"/>
    <col min="522" max="522" width="6.6640625" style="625" customWidth="1"/>
    <col min="523" max="523" width="14.33203125" style="625" customWidth="1"/>
    <col min="524" max="524" width="11.44140625" style="625" customWidth="1"/>
    <col min="525" max="525" width="9.5546875" style="625" customWidth="1"/>
    <col min="526" max="530" width="8.88671875" style="625" customWidth="1"/>
    <col min="531" max="531" width="0" style="625" hidden="1" customWidth="1"/>
    <col min="532" max="532" width="8.88671875" style="625" customWidth="1"/>
    <col min="533" max="533" width="10.33203125" style="625" customWidth="1"/>
    <col min="534" max="534" width="11.6640625" style="625" customWidth="1"/>
    <col min="535" max="536" width="8.88671875" style="625" customWidth="1"/>
    <col min="537" max="539" width="0" style="625" hidden="1" customWidth="1"/>
    <col min="540" max="540" width="8.88671875" style="625" customWidth="1"/>
    <col min="541" max="541" width="9.88671875" style="625" customWidth="1"/>
    <col min="542" max="542" width="11.88671875" style="625" customWidth="1"/>
    <col min="543" max="544" width="8.33203125" style="625" customWidth="1"/>
    <col min="545" max="553" width="8.88671875" style="625" customWidth="1"/>
    <col min="554" max="554" width="32.5546875" style="625" customWidth="1"/>
    <col min="555" max="562" width="8.88671875" style="625" customWidth="1"/>
    <col min="563" max="563" width="12" style="625" customWidth="1"/>
    <col min="564" max="564" width="9.88671875" style="625" customWidth="1"/>
    <col min="565" max="570" width="8.88671875" style="625"/>
    <col min="571" max="571" width="9.109375" style="625" bestFit="1" customWidth="1"/>
    <col min="572" max="768" width="8.88671875" style="625"/>
    <col min="769" max="769" width="6.6640625" style="625" customWidth="1"/>
    <col min="770" max="770" width="35.5546875" style="625" customWidth="1"/>
    <col min="771" max="771" width="8.33203125" style="625" customWidth="1"/>
    <col min="772" max="772" width="7.33203125" style="625" customWidth="1"/>
    <col min="773" max="775" width="8.88671875" style="625" customWidth="1"/>
    <col min="776" max="776" width="12.6640625" style="625" customWidth="1"/>
    <col min="777" max="777" width="7.5546875" style="625" customWidth="1"/>
    <col min="778" max="778" width="6.6640625" style="625" customWidth="1"/>
    <col min="779" max="779" width="14.33203125" style="625" customWidth="1"/>
    <col min="780" max="780" width="11.44140625" style="625" customWidth="1"/>
    <col min="781" max="781" width="9.5546875" style="625" customWidth="1"/>
    <col min="782" max="786" width="8.88671875" style="625" customWidth="1"/>
    <col min="787" max="787" width="0" style="625" hidden="1" customWidth="1"/>
    <col min="788" max="788" width="8.88671875" style="625" customWidth="1"/>
    <col min="789" max="789" width="10.33203125" style="625" customWidth="1"/>
    <col min="790" max="790" width="11.6640625" style="625" customWidth="1"/>
    <col min="791" max="792" width="8.88671875" style="625" customWidth="1"/>
    <col min="793" max="795" width="0" style="625" hidden="1" customWidth="1"/>
    <col min="796" max="796" width="8.88671875" style="625" customWidth="1"/>
    <col min="797" max="797" width="9.88671875" style="625" customWidth="1"/>
    <col min="798" max="798" width="11.88671875" style="625" customWidth="1"/>
    <col min="799" max="800" width="8.33203125" style="625" customWidth="1"/>
    <col min="801" max="809" width="8.88671875" style="625" customWidth="1"/>
    <col min="810" max="810" width="32.5546875" style="625" customWidth="1"/>
    <col min="811" max="818" width="8.88671875" style="625" customWidth="1"/>
    <col min="819" max="819" width="12" style="625" customWidth="1"/>
    <col min="820" max="820" width="9.88671875" style="625" customWidth="1"/>
    <col min="821" max="826" width="8.88671875" style="625"/>
    <col min="827" max="827" width="9.109375" style="625" bestFit="1" customWidth="1"/>
    <col min="828" max="1024" width="8.88671875" style="625"/>
    <col min="1025" max="1025" width="6.6640625" style="625" customWidth="1"/>
    <col min="1026" max="1026" width="35.5546875" style="625" customWidth="1"/>
    <col min="1027" max="1027" width="8.33203125" style="625" customWidth="1"/>
    <col min="1028" max="1028" width="7.33203125" style="625" customWidth="1"/>
    <col min="1029" max="1031" width="8.88671875" style="625" customWidth="1"/>
    <col min="1032" max="1032" width="12.6640625" style="625" customWidth="1"/>
    <col min="1033" max="1033" width="7.5546875" style="625" customWidth="1"/>
    <col min="1034" max="1034" width="6.6640625" style="625" customWidth="1"/>
    <col min="1035" max="1035" width="14.33203125" style="625" customWidth="1"/>
    <col min="1036" max="1036" width="11.44140625" style="625" customWidth="1"/>
    <col min="1037" max="1037" width="9.5546875" style="625" customWidth="1"/>
    <col min="1038" max="1042" width="8.88671875" style="625" customWidth="1"/>
    <col min="1043" max="1043" width="0" style="625" hidden="1" customWidth="1"/>
    <col min="1044" max="1044" width="8.88671875" style="625" customWidth="1"/>
    <col min="1045" max="1045" width="10.33203125" style="625" customWidth="1"/>
    <col min="1046" max="1046" width="11.6640625" style="625" customWidth="1"/>
    <col min="1047" max="1048" width="8.88671875" style="625" customWidth="1"/>
    <col min="1049" max="1051" width="0" style="625" hidden="1" customWidth="1"/>
    <col min="1052" max="1052" width="8.88671875" style="625" customWidth="1"/>
    <col min="1053" max="1053" width="9.88671875" style="625" customWidth="1"/>
    <col min="1054" max="1054" width="11.88671875" style="625" customWidth="1"/>
    <col min="1055" max="1056" width="8.33203125" style="625" customWidth="1"/>
    <col min="1057" max="1065" width="8.88671875" style="625" customWidth="1"/>
    <col min="1066" max="1066" width="32.5546875" style="625" customWidth="1"/>
    <col min="1067" max="1074" width="8.88671875" style="625" customWidth="1"/>
    <col min="1075" max="1075" width="12" style="625" customWidth="1"/>
    <col min="1076" max="1076" width="9.88671875" style="625" customWidth="1"/>
    <col min="1077" max="1082" width="8.88671875" style="625"/>
    <col min="1083" max="1083" width="9.109375" style="625" bestFit="1" customWidth="1"/>
    <col min="1084" max="1280" width="8.88671875" style="625"/>
    <col min="1281" max="1281" width="6.6640625" style="625" customWidth="1"/>
    <col min="1282" max="1282" width="35.5546875" style="625" customWidth="1"/>
    <col min="1283" max="1283" width="8.33203125" style="625" customWidth="1"/>
    <col min="1284" max="1284" width="7.33203125" style="625" customWidth="1"/>
    <col min="1285" max="1287" width="8.88671875" style="625" customWidth="1"/>
    <col min="1288" max="1288" width="12.6640625" style="625" customWidth="1"/>
    <col min="1289" max="1289" width="7.5546875" style="625" customWidth="1"/>
    <col min="1290" max="1290" width="6.6640625" style="625" customWidth="1"/>
    <col min="1291" max="1291" width="14.33203125" style="625" customWidth="1"/>
    <col min="1292" max="1292" width="11.44140625" style="625" customWidth="1"/>
    <col min="1293" max="1293" width="9.5546875" style="625" customWidth="1"/>
    <col min="1294" max="1298" width="8.88671875" style="625" customWidth="1"/>
    <col min="1299" max="1299" width="0" style="625" hidden="1" customWidth="1"/>
    <col min="1300" max="1300" width="8.88671875" style="625" customWidth="1"/>
    <col min="1301" max="1301" width="10.33203125" style="625" customWidth="1"/>
    <col min="1302" max="1302" width="11.6640625" style="625" customWidth="1"/>
    <col min="1303" max="1304" width="8.88671875" style="625" customWidth="1"/>
    <col min="1305" max="1307" width="0" style="625" hidden="1" customWidth="1"/>
    <col min="1308" max="1308" width="8.88671875" style="625" customWidth="1"/>
    <col min="1309" max="1309" width="9.88671875" style="625" customWidth="1"/>
    <col min="1310" max="1310" width="11.88671875" style="625" customWidth="1"/>
    <col min="1311" max="1312" width="8.33203125" style="625" customWidth="1"/>
    <col min="1313" max="1321" width="8.88671875" style="625" customWidth="1"/>
    <col min="1322" max="1322" width="32.5546875" style="625" customWidth="1"/>
    <col min="1323" max="1330" width="8.88671875" style="625" customWidth="1"/>
    <col min="1331" max="1331" width="12" style="625" customWidth="1"/>
    <col min="1332" max="1332" width="9.88671875" style="625" customWidth="1"/>
    <col min="1333" max="1338" width="8.88671875" style="625"/>
    <col min="1339" max="1339" width="9.109375" style="625" bestFit="1" customWidth="1"/>
    <col min="1340" max="1536" width="8.88671875" style="625"/>
    <col min="1537" max="1537" width="6.6640625" style="625" customWidth="1"/>
    <col min="1538" max="1538" width="35.5546875" style="625" customWidth="1"/>
    <col min="1539" max="1539" width="8.33203125" style="625" customWidth="1"/>
    <col min="1540" max="1540" width="7.33203125" style="625" customWidth="1"/>
    <col min="1541" max="1543" width="8.88671875" style="625" customWidth="1"/>
    <col min="1544" max="1544" width="12.6640625" style="625" customWidth="1"/>
    <col min="1545" max="1545" width="7.5546875" style="625" customWidth="1"/>
    <col min="1546" max="1546" width="6.6640625" style="625" customWidth="1"/>
    <col min="1547" max="1547" width="14.33203125" style="625" customWidth="1"/>
    <col min="1548" max="1548" width="11.44140625" style="625" customWidth="1"/>
    <col min="1549" max="1549" width="9.5546875" style="625" customWidth="1"/>
    <col min="1550" max="1554" width="8.88671875" style="625" customWidth="1"/>
    <col min="1555" max="1555" width="0" style="625" hidden="1" customWidth="1"/>
    <col min="1556" max="1556" width="8.88671875" style="625" customWidth="1"/>
    <col min="1557" max="1557" width="10.33203125" style="625" customWidth="1"/>
    <col min="1558" max="1558" width="11.6640625" style="625" customWidth="1"/>
    <col min="1559" max="1560" width="8.88671875" style="625" customWidth="1"/>
    <col min="1561" max="1563" width="0" style="625" hidden="1" customWidth="1"/>
    <col min="1564" max="1564" width="8.88671875" style="625" customWidth="1"/>
    <col min="1565" max="1565" width="9.88671875" style="625" customWidth="1"/>
    <col min="1566" max="1566" width="11.88671875" style="625" customWidth="1"/>
    <col min="1567" max="1568" width="8.33203125" style="625" customWidth="1"/>
    <col min="1569" max="1577" width="8.88671875" style="625" customWidth="1"/>
    <col min="1578" max="1578" width="32.5546875" style="625" customWidth="1"/>
    <col min="1579" max="1586" width="8.88671875" style="625" customWidth="1"/>
    <col min="1587" max="1587" width="12" style="625" customWidth="1"/>
    <col min="1588" max="1588" width="9.88671875" style="625" customWidth="1"/>
    <col min="1589" max="1594" width="8.88671875" style="625"/>
    <col min="1595" max="1595" width="9.109375" style="625" bestFit="1" customWidth="1"/>
    <col min="1596" max="1792" width="8.88671875" style="625"/>
    <col min="1793" max="1793" width="6.6640625" style="625" customWidth="1"/>
    <col min="1794" max="1794" width="35.5546875" style="625" customWidth="1"/>
    <col min="1795" max="1795" width="8.33203125" style="625" customWidth="1"/>
    <col min="1796" max="1796" width="7.33203125" style="625" customWidth="1"/>
    <col min="1797" max="1799" width="8.88671875" style="625" customWidth="1"/>
    <col min="1800" max="1800" width="12.6640625" style="625" customWidth="1"/>
    <col min="1801" max="1801" width="7.5546875" style="625" customWidth="1"/>
    <col min="1802" max="1802" width="6.6640625" style="625" customWidth="1"/>
    <col min="1803" max="1803" width="14.33203125" style="625" customWidth="1"/>
    <col min="1804" max="1804" width="11.44140625" style="625" customWidth="1"/>
    <col min="1805" max="1805" width="9.5546875" style="625" customWidth="1"/>
    <col min="1806" max="1810" width="8.88671875" style="625" customWidth="1"/>
    <col min="1811" max="1811" width="0" style="625" hidden="1" customWidth="1"/>
    <col min="1812" max="1812" width="8.88671875" style="625" customWidth="1"/>
    <col min="1813" max="1813" width="10.33203125" style="625" customWidth="1"/>
    <col min="1814" max="1814" width="11.6640625" style="625" customWidth="1"/>
    <col min="1815" max="1816" width="8.88671875" style="625" customWidth="1"/>
    <col min="1817" max="1819" width="0" style="625" hidden="1" customWidth="1"/>
    <col min="1820" max="1820" width="8.88671875" style="625" customWidth="1"/>
    <col min="1821" max="1821" width="9.88671875" style="625" customWidth="1"/>
    <col min="1822" max="1822" width="11.88671875" style="625" customWidth="1"/>
    <col min="1823" max="1824" width="8.33203125" style="625" customWidth="1"/>
    <col min="1825" max="1833" width="8.88671875" style="625" customWidth="1"/>
    <col min="1834" max="1834" width="32.5546875" style="625" customWidth="1"/>
    <col min="1835" max="1842" width="8.88671875" style="625" customWidth="1"/>
    <col min="1843" max="1843" width="12" style="625" customWidth="1"/>
    <col min="1844" max="1844" width="9.88671875" style="625" customWidth="1"/>
    <col min="1845" max="1850" width="8.88671875" style="625"/>
    <col min="1851" max="1851" width="9.109375" style="625" bestFit="1" customWidth="1"/>
    <col min="1852" max="2048" width="8.88671875" style="625"/>
    <col min="2049" max="2049" width="6.6640625" style="625" customWidth="1"/>
    <col min="2050" max="2050" width="35.5546875" style="625" customWidth="1"/>
    <col min="2051" max="2051" width="8.33203125" style="625" customWidth="1"/>
    <col min="2052" max="2052" width="7.33203125" style="625" customWidth="1"/>
    <col min="2053" max="2055" width="8.88671875" style="625" customWidth="1"/>
    <col min="2056" max="2056" width="12.6640625" style="625" customWidth="1"/>
    <col min="2057" max="2057" width="7.5546875" style="625" customWidth="1"/>
    <col min="2058" max="2058" width="6.6640625" style="625" customWidth="1"/>
    <col min="2059" max="2059" width="14.33203125" style="625" customWidth="1"/>
    <col min="2060" max="2060" width="11.44140625" style="625" customWidth="1"/>
    <col min="2061" max="2061" width="9.5546875" style="625" customWidth="1"/>
    <col min="2062" max="2066" width="8.88671875" style="625" customWidth="1"/>
    <col min="2067" max="2067" width="0" style="625" hidden="1" customWidth="1"/>
    <col min="2068" max="2068" width="8.88671875" style="625" customWidth="1"/>
    <col min="2069" max="2069" width="10.33203125" style="625" customWidth="1"/>
    <col min="2070" max="2070" width="11.6640625" style="625" customWidth="1"/>
    <col min="2071" max="2072" width="8.88671875" style="625" customWidth="1"/>
    <col min="2073" max="2075" width="0" style="625" hidden="1" customWidth="1"/>
    <col min="2076" max="2076" width="8.88671875" style="625" customWidth="1"/>
    <col min="2077" max="2077" width="9.88671875" style="625" customWidth="1"/>
    <col min="2078" max="2078" width="11.88671875" style="625" customWidth="1"/>
    <col min="2079" max="2080" width="8.33203125" style="625" customWidth="1"/>
    <col min="2081" max="2089" width="8.88671875" style="625" customWidth="1"/>
    <col min="2090" max="2090" width="32.5546875" style="625" customWidth="1"/>
    <col min="2091" max="2098" width="8.88671875" style="625" customWidth="1"/>
    <col min="2099" max="2099" width="12" style="625" customWidth="1"/>
    <col min="2100" max="2100" width="9.88671875" style="625" customWidth="1"/>
    <col min="2101" max="2106" width="8.88671875" style="625"/>
    <col min="2107" max="2107" width="9.109375" style="625" bestFit="1" customWidth="1"/>
    <col min="2108" max="2304" width="8.88671875" style="625"/>
    <col min="2305" max="2305" width="6.6640625" style="625" customWidth="1"/>
    <col min="2306" max="2306" width="35.5546875" style="625" customWidth="1"/>
    <col min="2307" max="2307" width="8.33203125" style="625" customWidth="1"/>
    <col min="2308" max="2308" width="7.33203125" style="625" customWidth="1"/>
    <col min="2309" max="2311" width="8.88671875" style="625" customWidth="1"/>
    <col min="2312" max="2312" width="12.6640625" style="625" customWidth="1"/>
    <col min="2313" max="2313" width="7.5546875" style="625" customWidth="1"/>
    <col min="2314" max="2314" width="6.6640625" style="625" customWidth="1"/>
    <col min="2315" max="2315" width="14.33203125" style="625" customWidth="1"/>
    <col min="2316" max="2316" width="11.44140625" style="625" customWidth="1"/>
    <col min="2317" max="2317" width="9.5546875" style="625" customWidth="1"/>
    <col min="2318" max="2322" width="8.88671875" style="625" customWidth="1"/>
    <col min="2323" max="2323" width="0" style="625" hidden="1" customWidth="1"/>
    <col min="2324" max="2324" width="8.88671875" style="625" customWidth="1"/>
    <col min="2325" max="2325" width="10.33203125" style="625" customWidth="1"/>
    <col min="2326" max="2326" width="11.6640625" style="625" customWidth="1"/>
    <col min="2327" max="2328" width="8.88671875" style="625" customWidth="1"/>
    <col min="2329" max="2331" width="0" style="625" hidden="1" customWidth="1"/>
    <col min="2332" max="2332" width="8.88671875" style="625" customWidth="1"/>
    <col min="2333" max="2333" width="9.88671875" style="625" customWidth="1"/>
    <col min="2334" max="2334" width="11.88671875" style="625" customWidth="1"/>
    <col min="2335" max="2336" width="8.33203125" style="625" customWidth="1"/>
    <col min="2337" max="2345" width="8.88671875" style="625" customWidth="1"/>
    <col min="2346" max="2346" width="32.5546875" style="625" customWidth="1"/>
    <col min="2347" max="2354" width="8.88671875" style="625" customWidth="1"/>
    <col min="2355" max="2355" width="12" style="625" customWidth="1"/>
    <col min="2356" max="2356" width="9.88671875" style="625" customWidth="1"/>
    <col min="2357" max="2362" width="8.88671875" style="625"/>
    <col min="2363" max="2363" width="9.109375" style="625" bestFit="1" customWidth="1"/>
    <col min="2364" max="2560" width="8.88671875" style="625"/>
    <col min="2561" max="2561" width="6.6640625" style="625" customWidth="1"/>
    <col min="2562" max="2562" width="35.5546875" style="625" customWidth="1"/>
    <col min="2563" max="2563" width="8.33203125" style="625" customWidth="1"/>
    <col min="2564" max="2564" width="7.33203125" style="625" customWidth="1"/>
    <col min="2565" max="2567" width="8.88671875" style="625" customWidth="1"/>
    <col min="2568" max="2568" width="12.6640625" style="625" customWidth="1"/>
    <col min="2569" max="2569" width="7.5546875" style="625" customWidth="1"/>
    <col min="2570" max="2570" width="6.6640625" style="625" customWidth="1"/>
    <col min="2571" max="2571" width="14.33203125" style="625" customWidth="1"/>
    <col min="2572" max="2572" width="11.44140625" style="625" customWidth="1"/>
    <col min="2573" max="2573" width="9.5546875" style="625" customWidth="1"/>
    <col min="2574" max="2578" width="8.88671875" style="625" customWidth="1"/>
    <col min="2579" max="2579" width="0" style="625" hidden="1" customWidth="1"/>
    <col min="2580" max="2580" width="8.88671875" style="625" customWidth="1"/>
    <col min="2581" max="2581" width="10.33203125" style="625" customWidth="1"/>
    <col min="2582" max="2582" width="11.6640625" style="625" customWidth="1"/>
    <col min="2583" max="2584" width="8.88671875" style="625" customWidth="1"/>
    <col min="2585" max="2587" width="0" style="625" hidden="1" customWidth="1"/>
    <col min="2588" max="2588" width="8.88671875" style="625" customWidth="1"/>
    <col min="2589" max="2589" width="9.88671875" style="625" customWidth="1"/>
    <col min="2590" max="2590" width="11.88671875" style="625" customWidth="1"/>
    <col min="2591" max="2592" width="8.33203125" style="625" customWidth="1"/>
    <col min="2593" max="2601" width="8.88671875" style="625" customWidth="1"/>
    <col min="2602" max="2602" width="32.5546875" style="625" customWidth="1"/>
    <col min="2603" max="2610" width="8.88671875" style="625" customWidth="1"/>
    <col min="2611" max="2611" width="12" style="625" customWidth="1"/>
    <col min="2612" max="2612" width="9.88671875" style="625" customWidth="1"/>
    <col min="2613" max="2618" width="8.88671875" style="625"/>
    <col min="2619" max="2619" width="9.109375" style="625" bestFit="1" customWidth="1"/>
    <col min="2620" max="2816" width="8.88671875" style="625"/>
    <col min="2817" max="2817" width="6.6640625" style="625" customWidth="1"/>
    <col min="2818" max="2818" width="35.5546875" style="625" customWidth="1"/>
    <col min="2819" max="2819" width="8.33203125" style="625" customWidth="1"/>
    <col min="2820" max="2820" width="7.33203125" style="625" customWidth="1"/>
    <col min="2821" max="2823" width="8.88671875" style="625" customWidth="1"/>
    <col min="2824" max="2824" width="12.6640625" style="625" customWidth="1"/>
    <col min="2825" max="2825" width="7.5546875" style="625" customWidth="1"/>
    <col min="2826" max="2826" width="6.6640625" style="625" customWidth="1"/>
    <col min="2827" max="2827" width="14.33203125" style="625" customWidth="1"/>
    <col min="2828" max="2828" width="11.44140625" style="625" customWidth="1"/>
    <col min="2829" max="2829" width="9.5546875" style="625" customWidth="1"/>
    <col min="2830" max="2834" width="8.88671875" style="625" customWidth="1"/>
    <col min="2835" max="2835" width="0" style="625" hidden="1" customWidth="1"/>
    <col min="2836" max="2836" width="8.88671875" style="625" customWidth="1"/>
    <col min="2837" max="2837" width="10.33203125" style="625" customWidth="1"/>
    <col min="2838" max="2838" width="11.6640625" style="625" customWidth="1"/>
    <col min="2839" max="2840" width="8.88671875" style="625" customWidth="1"/>
    <col min="2841" max="2843" width="0" style="625" hidden="1" customWidth="1"/>
    <col min="2844" max="2844" width="8.88671875" style="625" customWidth="1"/>
    <col min="2845" max="2845" width="9.88671875" style="625" customWidth="1"/>
    <col min="2846" max="2846" width="11.88671875" style="625" customWidth="1"/>
    <col min="2847" max="2848" width="8.33203125" style="625" customWidth="1"/>
    <col min="2849" max="2857" width="8.88671875" style="625" customWidth="1"/>
    <col min="2858" max="2858" width="32.5546875" style="625" customWidth="1"/>
    <col min="2859" max="2866" width="8.88671875" style="625" customWidth="1"/>
    <col min="2867" max="2867" width="12" style="625" customWidth="1"/>
    <col min="2868" max="2868" width="9.88671875" style="625" customWidth="1"/>
    <col min="2869" max="2874" width="8.88671875" style="625"/>
    <col min="2875" max="2875" width="9.109375" style="625" bestFit="1" customWidth="1"/>
    <col min="2876" max="3072" width="8.88671875" style="625"/>
    <col min="3073" max="3073" width="6.6640625" style="625" customWidth="1"/>
    <col min="3074" max="3074" width="35.5546875" style="625" customWidth="1"/>
    <col min="3075" max="3075" width="8.33203125" style="625" customWidth="1"/>
    <col min="3076" max="3076" width="7.33203125" style="625" customWidth="1"/>
    <col min="3077" max="3079" width="8.88671875" style="625" customWidth="1"/>
    <col min="3080" max="3080" width="12.6640625" style="625" customWidth="1"/>
    <col min="3081" max="3081" width="7.5546875" style="625" customWidth="1"/>
    <col min="3082" max="3082" width="6.6640625" style="625" customWidth="1"/>
    <col min="3083" max="3083" width="14.33203125" style="625" customWidth="1"/>
    <col min="3084" max="3084" width="11.44140625" style="625" customWidth="1"/>
    <col min="3085" max="3085" width="9.5546875" style="625" customWidth="1"/>
    <col min="3086" max="3090" width="8.88671875" style="625" customWidth="1"/>
    <col min="3091" max="3091" width="0" style="625" hidden="1" customWidth="1"/>
    <col min="3092" max="3092" width="8.88671875" style="625" customWidth="1"/>
    <col min="3093" max="3093" width="10.33203125" style="625" customWidth="1"/>
    <col min="3094" max="3094" width="11.6640625" style="625" customWidth="1"/>
    <col min="3095" max="3096" width="8.88671875" style="625" customWidth="1"/>
    <col min="3097" max="3099" width="0" style="625" hidden="1" customWidth="1"/>
    <col min="3100" max="3100" width="8.88671875" style="625" customWidth="1"/>
    <col min="3101" max="3101" width="9.88671875" style="625" customWidth="1"/>
    <col min="3102" max="3102" width="11.88671875" style="625" customWidth="1"/>
    <col min="3103" max="3104" width="8.33203125" style="625" customWidth="1"/>
    <col min="3105" max="3113" width="8.88671875" style="625" customWidth="1"/>
    <col min="3114" max="3114" width="32.5546875" style="625" customWidth="1"/>
    <col min="3115" max="3122" width="8.88671875" style="625" customWidth="1"/>
    <col min="3123" max="3123" width="12" style="625" customWidth="1"/>
    <col min="3124" max="3124" width="9.88671875" style="625" customWidth="1"/>
    <col min="3125" max="3130" width="8.88671875" style="625"/>
    <col min="3131" max="3131" width="9.109375" style="625" bestFit="1" customWidth="1"/>
    <col min="3132" max="3328" width="8.88671875" style="625"/>
    <col min="3329" max="3329" width="6.6640625" style="625" customWidth="1"/>
    <col min="3330" max="3330" width="35.5546875" style="625" customWidth="1"/>
    <col min="3331" max="3331" width="8.33203125" style="625" customWidth="1"/>
    <col min="3332" max="3332" width="7.33203125" style="625" customWidth="1"/>
    <col min="3333" max="3335" width="8.88671875" style="625" customWidth="1"/>
    <col min="3336" max="3336" width="12.6640625" style="625" customWidth="1"/>
    <col min="3337" max="3337" width="7.5546875" style="625" customWidth="1"/>
    <col min="3338" max="3338" width="6.6640625" style="625" customWidth="1"/>
    <col min="3339" max="3339" width="14.33203125" style="625" customWidth="1"/>
    <col min="3340" max="3340" width="11.44140625" style="625" customWidth="1"/>
    <col min="3341" max="3341" width="9.5546875" style="625" customWidth="1"/>
    <col min="3342" max="3346" width="8.88671875" style="625" customWidth="1"/>
    <col min="3347" max="3347" width="0" style="625" hidden="1" customWidth="1"/>
    <col min="3348" max="3348" width="8.88671875" style="625" customWidth="1"/>
    <col min="3349" max="3349" width="10.33203125" style="625" customWidth="1"/>
    <col min="3350" max="3350" width="11.6640625" style="625" customWidth="1"/>
    <col min="3351" max="3352" width="8.88671875" style="625" customWidth="1"/>
    <col min="3353" max="3355" width="0" style="625" hidden="1" customWidth="1"/>
    <col min="3356" max="3356" width="8.88671875" style="625" customWidth="1"/>
    <col min="3357" max="3357" width="9.88671875" style="625" customWidth="1"/>
    <col min="3358" max="3358" width="11.88671875" style="625" customWidth="1"/>
    <col min="3359" max="3360" width="8.33203125" style="625" customWidth="1"/>
    <col min="3361" max="3369" width="8.88671875" style="625" customWidth="1"/>
    <col min="3370" max="3370" width="32.5546875" style="625" customWidth="1"/>
    <col min="3371" max="3378" width="8.88671875" style="625" customWidth="1"/>
    <col min="3379" max="3379" width="12" style="625" customWidth="1"/>
    <col min="3380" max="3380" width="9.88671875" style="625" customWidth="1"/>
    <col min="3381" max="3386" width="8.88671875" style="625"/>
    <col min="3387" max="3387" width="9.109375" style="625" bestFit="1" customWidth="1"/>
    <col min="3388" max="3584" width="8.88671875" style="625"/>
    <col min="3585" max="3585" width="6.6640625" style="625" customWidth="1"/>
    <col min="3586" max="3586" width="35.5546875" style="625" customWidth="1"/>
    <col min="3587" max="3587" width="8.33203125" style="625" customWidth="1"/>
    <col min="3588" max="3588" width="7.33203125" style="625" customWidth="1"/>
    <col min="3589" max="3591" width="8.88671875" style="625" customWidth="1"/>
    <col min="3592" max="3592" width="12.6640625" style="625" customWidth="1"/>
    <col min="3593" max="3593" width="7.5546875" style="625" customWidth="1"/>
    <col min="3594" max="3594" width="6.6640625" style="625" customWidth="1"/>
    <col min="3595" max="3595" width="14.33203125" style="625" customWidth="1"/>
    <col min="3596" max="3596" width="11.44140625" style="625" customWidth="1"/>
    <col min="3597" max="3597" width="9.5546875" style="625" customWidth="1"/>
    <col min="3598" max="3602" width="8.88671875" style="625" customWidth="1"/>
    <col min="3603" max="3603" width="0" style="625" hidden="1" customWidth="1"/>
    <col min="3604" max="3604" width="8.88671875" style="625" customWidth="1"/>
    <col min="3605" max="3605" width="10.33203125" style="625" customWidth="1"/>
    <col min="3606" max="3606" width="11.6640625" style="625" customWidth="1"/>
    <col min="3607" max="3608" width="8.88671875" style="625" customWidth="1"/>
    <col min="3609" max="3611" width="0" style="625" hidden="1" customWidth="1"/>
    <col min="3612" max="3612" width="8.88671875" style="625" customWidth="1"/>
    <col min="3613" max="3613" width="9.88671875" style="625" customWidth="1"/>
    <col min="3614" max="3614" width="11.88671875" style="625" customWidth="1"/>
    <col min="3615" max="3616" width="8.33203125" style="625" customWidth="1"/>
    <col min="3617" max="3625" width="8.88671875" style="625" customWidth="1"/>
    <col min="3626" max="3626" width="32.5546875" style="625" customWidth="1"/>
    <col min="3627" max="3634" width="8.88671875" style="625" customWidth="1"/>
    <col min="3635" max="3635" width="12" style="625" customWidth="1"/>
    <col min="3636" max="3636" width="9.88671875" style="625" customWidth="1"/>
    <col min="3637" max="3642" width="8.88671875" style="625"/>
    <col min="3643" max="3643" width="9.109375" style="625" bestFit="1" customWidth="1"/>
    <col min="3644" max="3840" width="8.88671875" style="625"/>
    <col min="3841" max="3841" width="6.6640625" style="625" customWidth="1"/>
    <col min="3842" max="3842" width="35.5546875" style="625" customWidth="1"/>
    <col min="3843" max="3843" width="8.33203125" style="625" customWidth="1"/>
    <col min="3844" max="3844" width="7.33203125" style="625" customWidth="1"/>
    <col min="3845" max="3847" width="8.88671875" style="625" customWidth="1"/>
    <col min="3848" max="3848" width="12.6640625" style="625" customWidth="1"/>
    <col min="3849" max="3849" width="7.5546875" style="625" customWidth="1"/>
    <col min="3850" max="3850" width="6.6640625" style="625" customWidth="1"/>
    <col min="3851" max="3851" width="14.33203125" style="625" customWidth="1"/>
    <col min="3852" max="3852" width="11.44140625" style="625" customWidth="1"/>
    <col min="3853" max="3853" width="9.5546875" style="625" customWidth="1"/>
    <col min="3854" max="3858" width="8.88671875" style="625" customWidth="1"/>
    <col min="3859" max="3859" width="0" style="625" hidden="1" customWidth="1"/>
    <col min="3860" max="3860" width="8.88671875" style="625" customWidth="1"/>
    <col min="3861" max="3861" width="10.33203125" style="625" customWidth="1"/>
    <col min="3862" max="3862" width="11.6640625" style="625" customWidth="1"/>
    <col min="3863" max="3864" width="8.88671875" style="625" customWidth="1"/>
    <col min="3865" max="3867" width="0" style="625" hidden="1" customWidth="1"/>
    <col min="3868" max="3868" width="8.88671875" style="625" customWidth="1"/>
    <col min="3869" max="3869" width="9.88671875" style="625" customWidth="1"/>
    <col min="3870" max="3870" width="11.88671875" style="625" customWidth="1"/>
    <col min="3871" max="3872" width="8.33203125" style="625" customWidth="1"/>
    <col min="3873" max="3881" width="8.88671875" style="625" customWidth="1"/>
    <col min="3882" max="3882" width="32.5546875" style="625" customWidth="1"/>
    <col min="3883" max="3890" width="8.88671875" style="625" customWidth="1"/>
    <col min="3891" max="3891" width="12" style="625" customWidth="1"/>
    <col min="3892" max="3892" width="9.88671875" style="625" customWidth="1"/>
    <col min="3893" max="3898" width="8.88671875" style="625"/>
    <col min="3899" max="3899" width="9.109375" style="625" bestFit="1" customWidth="1"/>
    <col min="3900" max="4096" width="8.88671875" style="625"/>
    <col min="4097" max="4097" width="6.6640625" style="625" customWidth="1"/>
    <col min="4098" max="4098" width="35.5546875" style="625" customWidth="1"/>
    <col min="4099" max="4099" width="8.33203125" style="625" customWidth="1"/>
    <col min="4100" max="4100" width="7.33203125" style="625" customWidth="1"/>
    <col min="4101" max="4103" width="8.88671875" style="625" customWidth="1"/>
    <col min="4104" max="4104" width="12.6640625" style="625" customWidth="1"/>
    <col min="4105" max="4105" width="7.5546875" style="625" customWidth="1"/>
    <col min="4106" max="4106" width="6.6640625" style="625" customWidth="1"/>
    <col min="4107" max="4107" width="14.33203125" style="625" customWidth="1"/>
    <col min="4108" max="4108" width="11.44140625" style="625" customWidth="1"/>
    <col min="4109" max="4109" width="9.5546875" style="625" customWidth="1"/>
    <col min="4110" max="4114" width="8.88671875" style="625" customWidth="1"/>
    <col min="4115" max="4115" width="0" style="625" hidden="1" customWidth="1"/>
    <col min="4116" max="4116" width="8.88671875" style="625" customWidth="1"/>
    <col min="4117" max="4117" width="10.33203125" style="625" customWidth="1"/>
    <col min="4118" max="4118" width="11.6640625" style="625" customWidth="1"/>
    <col min="4119" max="4120" width="8.88671875" style="625" customWidth="1"/>
    <col min="4121" max="4123" width="0" style="625" hidden="1" customWidth="1"/>
    <col min="4124" max="4124" width="8.88671875" style="625" customWidth="1"/>
    <col min="4125" max="4125" width="9.88671875" style="625" customWidth="1"/>
    <col min="4126" max="4126" width="11.88671875" style="625" customWidth="1"/>
    <col min="4127" max="4128" width="8.33203125" style="625" customWidth="1"/>
    <col min="4129" max="4137" width="8.88671875" style="625" customWidth="1"/>
    <col min="4138" max="4138" width="32.5546875" style="625" customWidth="1"/>
    <col min="4139" max="4146" width="8.88671875" style="625" customWidth="1"/>
    <col min="4147" max="4147" width="12" style="625" customWidth="1"/>
    <col min="4148" max="4148" width="9.88671875" style="625" customWidth="1"/>
    <col min="4149" max="4154" width="8.88671875" style="625"/>
    <col min="4155" max="4155" width="9.109375" style="625" bestFit="1" customWidth="1"/>
    <col min="4156" max="4352" width="8.88671875" style="625"/>
    <col min="4353" max="4353" width="6.6640625" style="625" customWidth="1"/>
    <col min="4354" max="4354" width="35.5546875" style="625" customWidth="1"/>
    <col min="4355" max="4355" width="8.33203125" style="625" customWidth="1"/>
    <col min="4356" max="4356" width="7.33203125" style="625" customWidth="1"/>
    <col min="4357" max="4359" width="8.88671875" style="625" customWidth="1"/>
    <col min="4360" max="4360" width="12.6640625" style="625" customWidth="1"/>
    <col min="4361" max="4361" width="7.5546875" style="625" customWidth="1"/>
    <col min="4362" max="4362" width="6.6640625" style="625" customWidth="1"/>
    <col min="4363" max="4363" width="14.33203125" style="625" customWidth="1"/>
    <col min="4364" max="4364" width="11.44140625" style="625" customWidth="1"/>
    <col min="4365" max="4365" width="9.5546875" style="625" customWidth="1"/>
    <col min="4366" max="4370" width="8.88671875" style="625" customWidth="1"/>
    <col min="4371" max="4371" width="0" style="625" hidden="1" customWidth="1"/>
    <col min="4372" max="4372" width="8.88671875" style="625" customWidth="1"/>
    <col min="4373" max="4373" width="10.33203125" style="625" customWidth="1"/>
    <col min="4374" max="4374" width="11.6640625" style="625" customWidth="1"/>
    <col min="4375" max="4376" width="8.88671875" style="625" customWidth="1"/>
    <col min="4377" max="4379" width="0" style="625" hidden="1" customWidth="1"/>
    <col min="4380" max="4380" width="8.88671875" style="625" customWidth="1"/>
    <col min="4381" max="4381" width="9.88671875" style="625" customWidth="1"/>
    <col min="4382" max="4382" width="11.88671875" style="625" customWidth="1"/>
    <col min="4383" max="4384" width="8.33203125" style="625" customWidth="1"/>
    <col min="4385" max="4393" width="8.88671875" style="625" customWidth="1"/>
    <col min="4394" max="4394" width="32.5546875" style="625" customWidth="1"/>
    <col min="4395" max="4402" width="8.88671875" style="625" customWidth="1"/>
    <col min="4403" max="4403" width="12" style="625" customWidth="1"/>
    <col min="4404" max="4404" width="9.88671875" style="625" customWidth="1"/>
    <col min="4405" max="4410" width="8.88671875" style="625"/>
    <col min="4411" max="4411" width="9.109375" style="625" bestFit="1" customWidth="1"/>
    <col min="4412" max="4608" width="8.88671875" style="625"/>
    <col min="4609" max="4609" width="6.6640625" style="625" customWidth="1"/>
    <col min="4610" max="4610" width="35.5546875" style="625" customWidth="1"/>
    <col min="4611" max="4611" width="8.33203125" style="625" customWidth="1"/>
    <col min="4612" max="4612" width="7.33203125" style="625" customWidth="1"/>
    <col min="4613" max="4615" width="8.88671875" style="625" customWidth="1"/>
    <col min="4616" max="4616" width="12.6640625" style="625" customWidth="1"/>
    <col min="4617" max="4617" width="7.5546875" style="625" customWidth="1"/>
    <col min="4618" max="4618" width="6.6640625" style="625" customWidth="1"/>
    <col min="4619" max="4619" width="14.33203125" style="625" customWidth="1"/>
    <col min="4620" max="4620" width="11.44140625" style="625" customWidth="1"/>
    <col min="4621" max="4621" width="9.5546875" style="625" customWidth="1"/>
    <col min="4622" max="4626" width="8.88671875" style="625" customWidth="1"/>
    <col min="4627" max="4627" width="0" style="625" hidden="1" customWidth="1"/>
    <col min="4628" max="4628" width="8.88671875" style="625" customWidth="1"/>
    <col min="4629" max="4629" width="10.33203125" style="625" customWidth="1"/>
    <col min="4630" max="4630" width="11.6640625" style="625" customWidth="1"/>
    <col min="4631" max="4632" width="8.88671875" style="625" customWidth="1"/>
    <col min="4633" max="4635" width="0" style="625" hidden="1" customWidth="1"/>
    <col min="4636" max="4636" width="8.88671875" style="625" customWidth="1"/>
    <col min="4637" max="4637" width="9.88671875" style="625" customWidth="1"/>
    <col min="4638" max="4638" width="11.88671875" style="625" customWidth="1"/>
    <col min="4639" max="4640" width="8.33203125" style="625" customWidth="1"/>
    <col min="4641" max="4649" width="8.88671875" style="625" customWidth="1"/>
    <col min="4650" max="4650" width="32.5546875" style="625" customWidth="1"/>
    <col min="4651" max="4658" width="8.88671875" style="625" customWidth="1"/>
    <col min="4659" max="4659" width="12" style="625" customWidth="1"/>
    <col min="4660" max="4660" width="9.88671875" style="625" customWidth="1"/>
    <col min="4661" max="4666" width="8.88671875" style="625"/>
    <col min="4667" max="4667" width="9.109375" style="625" bestFit="1" customWidth="1"/>
    <col min="4668" max="4864" width="8.88671875" style="625"/>
    <col min="4865" max="4865" width="6.6640625" style="625" customWidth="1"/>
    <col min="4866" max="4866" width="35.5546875" style="625" customWidth="1"/>
    <col min="4867" max="4867" width="8.33203125" style="625" customWidth="1"/>
    <col min="4868" max="4868" width="7.33203125" style="625" customWidth="1"/>
    <col min="4869" max="4871" width="8.88671875" style="625" customWidth="1"/>
    <col min="4872" max="4872" width="12.6640625" style="625" customWidth="1"/>
    <col min="4873" max="4873" width="7.5546875" style="625" customWidth="1"/>
    <col min="4874" max="4874" width="6.6640625" style="625" customWidth="1"/>
    <col min="4875" max="4875" width="14.33203125" style="625" customWidth="1"/>
    <col min="4876" max="4876" width="11.44140625" style="625" customWidth="1"/>
    <col min="4877" max="4877" width="9.5546875" style="625" customWidth="1"/>
    <col min="4878" max="4882" width="8.88671875" style="625" customWidth="1"/>
    <col min="4883" max="4883" width="0" style="625" hidden="1" customWidth="1"/>
    <col min="4884" max="4884" width="8.88671875" style="625" customWidth="1"/>
    <col min="4885" max="4885" width="10.33203125" style="625" customWidth="1"/>
    <col min="4886" max="4886" width="11.6640625" style="625" customWidth="1"/>
    <col min="4887" max="4888" width="8.88671875" style="625" customWidth="1"/>
    <col min="4889" max="4891" width="0" style="625" hidden="1" customWidth="1"/>
    <col min="4892" max="4892" width="8.88671875" style="625" customWidth="1"/>
    <col min="4893" max="4893" width="9.88671875" style="625" customWidth="1"/>
    <col min="4894" max="4894" width="11.88671875" style="625" customWidth="1"/>
    <col min="4895" max="4896" width="8.33203125" style="625" customWidth="1"/>
    <col min="4897" max="4905" width="8.88671875" style="625" customWidth="1"/>
    <col min="4906" max="4906" width="32.5546875" style="625" customWidth="1"/>
    <col min="4907" max="4914" width="8.88671875" style="625" customWidth="1"/>
    <col min="4915" max="4915" width="12" style="625" customWidth="1"/>
    <col min="4916" max="4916" width="9.88671875" style="625" customWidth="1"/>
    <col min="4917" max="4922" width="8.88671875" style="625"/>
    <col min="4923" max="4923" width="9.109375" style="625" bestFit="1" customWidth="1"/>
    <col min="4924" max="5120" width="8.88671875" style="625"/>
    <col min="5121" max="5121" width="6.6640625" style="625" customWidth="1"/>
    <col min="5122" max="5122" width="35.5546875" style="625" customWidth="1"/>
    <col min="5123" max="5123" width="8.33203125" style="625" customWidth="1"/>
    <col min="5124" max="5124" width="7.33203125" style="625" customWidth="1"/>
    <col min="5125" max="5127" width="8.88671875" style="625" customWidth="1"/>
    <col min="5128" max="5128" width="12.6640625" style="625" customWidth="1"/>
    <col min="5129" max="5129" width="7.5546875" style="625" customWidth="1"/>
    <col min="5130" max="5130" width="6.6640625" style="625" customWidth="1"/>
    <col min="5131" max="5131" width="14.33203125" style="625" customWidth="1"/>
    <col min="5132" max="5132" width="11.44140625" style="625" customWidth="1"/>
    <col min="5133" max="5133" width="9.5546875" style="625" customWidth="1"/>
    <col min="5134" max="5138" width="8.88671875" style="625" customWidth="1"/>
    <col min="5139" max="5139" width="0" style="625" hidden="1" customWidth="1"/>
    <col min="5140" max="5140" width="8.88671875" style="625" customWidth="1"/>
    <col min="5141" max="5141" width="10.33203125" style="625" customWidth="1"/>
    <col min="5142" max="5142" width="11.6640625" style="625" customWidth="1"/>
    <col min="5143" max="5144" width="8.88671875" style="625" customWidth="1"/>
    <col min="5145" max="5147" width="0" style="625" hidden="1" customWidth="1"/>
    <col min="5148" max="5148" width="8.88671875" style="625" customWidth="1"/>
    <col min="5149" max="5149" width="9.88671875" style="625" customWidth="1"/>
    <col min="5150" max="5150" width="11.88671875" style="625" customWidth="1"/>
    <col min="5151" max="5152" width="8.33203125" style="625" customWidth="1"/>
    <col min="5153" max="5161" width="8.88671875" style="625" customWidth="1"/>
    <col min="5162" max="5162" width="32.5546875" style="625" customWidth="1"/>
    <col min="5163" max="5170" width="8.88671875" style="625" customWidth="1"/>
    <col min="5171" max="5171" width="12" style="625" customWidth="1"/>
    <col min="5172" max="5172" width="9.88671875" style="625" customWidth="1"/>
    <col min="5173" max="5178" width="8.88671875" style="625"/>
    <col min="5179" max="5179" width="9.109375" style="625" bestFit="1" customWidth="1"/>
    <col min="5180" max="5376" width="8.88671875" style="625"/>
    <col min="5377" max="5377" width="6.6640625" style="625" customWidth="1"/>
    <col min="5378" max="5378" width="35.5546875" style="625" customWidth="1"/>
    <col min="5379" max="5379" width="8.33203125" style="625" customWidth="1"/>
    <col min="5380" max="5380" width="7.33203125" style="625" customWidth="1"/>
    <col min="5381" max="5383" width="8.88671875" style="625" customWidth="1"/>
    <col min="5384" max="5384" width="12.6640625" style="625" customWidth="1"/>
    <col min="5385" max="5385" width="7.5546875" style="625" customWidth="1"/>
    <col min="5386" max="5386" width="6.6640625" style="625" customWidth="1"/>
    <col min="5387" max="5387" width="14.33203125" style="625" customWidth="1"/>
    <col min="5388" max="5388" width="11.44140625" style="625" customWidth="1"/>
    <col min="5389" max="5389" width="9.5546875" style="625" customWidth="1"/>
    <col min="5390" max="5394" width="8.88671875" style="625" customWidth="1"/>
    <col min="5395" max="5395" width="0" style="625" hidden="1" customWidth="1"/>
    <col min="5396" max="5396" width="8.88671875" style="625" customWidth="1"/>
    <col min="5397" max="5397" width="10.33203125" style="625" customWidth="1"/>
    <col min="5398" max="5398" width="11.6640625" style="625" customWidth="1"/>
    <col min="5399" max="5400" width="8.88671875" style="625" customWidth="1"/>
    <col min="5401" max="5403" width="0" style="625" hidden="1" customWidth="1"/>
    <col min="5404" max="5404" width="8.88671875" style="625" customWidth="1"/>
    <col min="5405" max="5405" width="9.88671875" style="625" customWidth="1"/>
    <col min="5406" max="5406" width="11.88671875" style="625" customWidth="1"/>
    <col min="5407" max="5408" width="8.33203125" style="625" customWidth="1"/>
    <col min="5409" max="5417" width="8.88671875" style="625" customWidth="1"/>
    <col min="5418" max="5418" width="32.5546875" style="625" customWidth="1"/>
    <col min="5419" max="5426" width="8.88671875" style="625" customWidth="1"/>
    <col min="5427" max="5427" width="12" style="625" customWidth="1"/>
    <col min="5428" max="5428" width="9.88671875" style="625" customWidth="1"/>
    <col min="5429" max="5434" width="8.88671875" style="625"/>
    <col min="5435" max="5435" width="9.109375" style="625" bestFit="1" customWidth="1"/>
    <col min="5436" max="5632" width="8.88671875" style="625"/>
    <col min="5633" max="5633" width="6.6640625" style="625" customWidth="1"/>
    <col min="5634" max="5634" width="35.5546875" style="625" customWidth="1"/>
    <col min="5635" max="5635" width="8.33203125" style="625" customWidth="1"/>
    <col min="5636" max="5636" width="7.33203125" style="625" customWidth="1"/>
    <col min="5637" max="5639" width="8.88671875" style="625" customWidth="1"/>
    <col min="5640" max="5640" width="12.6640625" style="625" customWidth="1"/>
    <col min="5641" max="5641" width="7.5546875" style="625" customWidth="1"/>
    <col min="5642" max="5642" width="6.6640625" style="625" customWidth="1"/>
    <col min="5643" max="5643" width="14.33203125" style="625" customWidth="1"/>
    <col min="5644" max="5644" width="11.44140625" style="625" customWidth="1"/>
    <col min="5645" max="5645" width="9.5546875" style="625" customWidth="1"/>
    <col min="5646" max="5650" width="8.88671875" style="625" customWidth="1"/>
    <col min="5651" max="5651" width="0" style="625" hidden="1" customWidth="1"/>
    <col min="5652" max="5652" width="8.88671875" style="625" customWidth="1"/>
    <col min="5653" max="5653" width="10.33203125" style="625" customWidth="1"/>
    <col min="5654" max="5654" width="11.6640625" style="625" customWidth="1"/>
    <col min="5655" max="5656" width="8.88671875" style="625" customWidth="1"/>
    <col min="5657" max="5659" width="0" style="625" hidden="1" customWidth="1"/>
    <col min="5660" max="5660" width="8.88671875" style="625" customWidth="1"/>
    <col min="5661" max="5661" width="9.88671875" style="625" customWidth="1"/>
    <col min="5662" max="5662" width="11.88671875" style="625" customWidth="1"/>
    <col min="5663" max="5664" width="8.33203125" style="625" customWidth="1"/>
    <col min="5665" max="5673" width="8.88671875" style="625" customWidth="1"/>
    <col min="5674" max="5674" width="32.5546875" style="625" customWidth="1"/>
    <col min="5675" max="5682" width="8.88671875" style="625" customWidth="1"/>
    <col min="5683" max="5683" width="12" style="625" customWidth="1"/>
    <col min="5684" max="5684" width="9.88671875" style="625" customWidth="1"/>
    <col min="5685" max="5690" width="8.88671875" style="625"/>
    <col min="5691" max="5691" width="9.109375" style="625" bestFit="1" customWidth="1"/>
    <col min="5692" max="5888" width="8.88671875" style="625"/>
    <col min="5889" max="5889" width="6.6640625" style="625" customWidth="1"/>
    <col min="5890" max="5890" width="35.5546875" style="625" customWidth="1"/>
    <col min="5891" max="5891" width="8.33203125" style="625" customWidth="1"/>
    <col min="5892" max="5892" width="7.33203125" style="625" customWidth="1"/>
    <col min="5893" max="5895" width="8.88671875" style="625" customWidth="1"/>
    <col min="5896" max="5896" width="12.6640625" style="625" customWidth="1"/>
    <col min="5897" max="5897" width="7.5546875" style="625" customWidth="1"/>
    <col min="5898" max="5898" width="6.6640625" style="625" customWidth="1"/>
    <col min="5899" max="5899" width="14.33203125" style="625" customWidth="1"/>
    <col min="5900" max="5900" width="11.44140625" style="625" customWidth="1"/>
    <col min="5901" max="5901" width="9.5546875" style="625" customWidth="1"/>
    <col min="5902" max="5906" width="8.88671875" style="625" customWidth="1"/>
    <col min="5907" max="5907" width="0" style="625" hidden="1" customWidth="1"/>
    <col min="5908" max="5908" width="8.88671875" style="625" customWidth="1"/>
    <col min="5909" max="5909" width="10.33203125" style="625" customWidth="1"/>
    <col min="5910" max="5910" width="11.6640625" style="625" customWidth="1"/>
    <col min="5911" max="5912" width="8.88671875" style="625" customWidth="1"/>
    <col min="5913" max="5915" width="0" style="625" hidden="1" customWidth="1"/>
    <col min="5916" max="5916" width="8.88671875" style="625" customWidth="1"/>
    <col min="5917" max="5917" width="9.88671875" style="625" customWidth="1"/>
    <col min="5918" max="5918" width="11.88671875" style="625" customWidth="1"/>
    <col min="5919" max="5920" width="8.33203125" style="625" customWidth="1"/>
    <col min="5921" max="5929" width="8.88671875" style="625" customWidth="1"/>
    <col min="5930" max="5930" width="32.5546875" style="625" customWidth="1"/>
    <col min="5931" max="5938" width="8.88671875" style="625" customWidth="1"/>
    <col min="5939" max="5939" width="12" style="625" customWidth="1"/>
    <col min="5940" max="5940" width="9.88671875" style="625" customWidth="1"/>
    <col min="5941" max="5946" width="8.88671875" style="625"/>
    <col min="5947" max="5947" width="9.109375" style="625" bestFit="1" customWidth="1"/>
    <col min="5948" max="6144" width="8.88671875" style="625"/>
    <col min="6145" max="6145" width="6.6640625" style="625" customWidth="1"/>
    <col min="6146" max="6146" width="35.5546875" style="625" customWidth="1"/>
    <col min="6147" max="6147" width="8.33203125" style="625" customWidth="1"/>
    <col min="6148" max="6148" width="7.33203125" style="625" customWidth="1"/>
    <col min="6149" max="6151" width="8.88671875" style="625" customWidth="1"/>
    <col min="6152" max="6152" width="12.6640625" style="625" customWidth="1"/>
    <col min="6153" max="6153" width="7.5546875" style="625" customWidth="1"/>
    <col min="6154" max="6154" width="6.6640625" style="625" customWidth="1"/>
    <col min="6155" max="6155" width="14.33203125" style="625" customWidth="1"/>
    <col min="6156" max="6156" width="11.44140625" style="625" customWidth="1"/>
    <col min="6157" max="6157" width="9.5546875" style="625" customWidth="1"/>
    <col min="6158" max="6162" width="8.88671875" style="625" customWidth="1"/>
    <col min="6163" max="6163" width="0" style="625" hidden="1" customWidth="1"/>
    <col min="6164" max="6164" width="8.88671875" style="625" customWidth="1"/>
    <col min="6165" max="6165" width="10.33203125" style="625" customWidth="1"/>
    <col min="6166" max="6166" width="11.6640625" style="625" customWidth="1"/>
    <col min="6167" max="6168" width="8.88671875" style="625" customWidth="1"/>
    <col min="6169" max="6171" width="0" style="625" hidden="1" customWidth="1"/>
    <col min="6172" max="6172" width="8.88671875" style="625" customWidth="1"/>
    <col min="6173" max="6173" width="9.88671875" style="625" customWidth="1"/>
    <col min="6174" max="6174" width="11.88671875" style="625" customWidth="1"/>
    <col min="6175" max="6176" width="8.33203125" style="625" customWidth="1"/>
    <col min="6177" max="6185" width="8.88671875" style="625" customWidth="1"/>
    <col min="6186" max="6186" width="32.5546875" style="625" customWidth="1"/>
    <col min="6187" max="6194" width="8.88671875" style="625" customWidth="1"/>
    <col min="6195" max="6195" width="12" style="625" customWidth="1"/>
    <col min="6196" max="6196" width="9.88671875" style="625" customWidth="1"/>
    <col min="6197" max="6202" width="8.88671875" style="625"/>
    <col min="6203" max="6203" width="9.109375" style="625" bestFit="1" customWidth="1"/>
    <col min="6204" max="6400" width="8.88671875" style="625"/>
    <col min="6401" max="6401" width="6.6640625" style="625" customWidth="1"/>
    <col min="6402" max="6402" width="35.5546875" style="625" customWidth="1"/>
    <col min="6403" max="6403" width="8.33203125" style="625" customWidth="1"/>
    <col min="6404" max="6404" width="7.33203125" style="625" customWidth="1"/>
    <col min="6405" max="6407" width="8.88671875" style="625" customWidth="1"/>
    <col min="6408" max="6408" width="12.6640625" style="625" customWidth="1"/>
    <col min="6409" max="6409" width="7.5546875" style="625" customWidth="1"/>
    <col min="6410" max="6410" width="6.6640625" style="625" customWidth="1"/>
    <col min="6411" max="6411" width="14.33203125" style="625" customWidth="1"/>
    <col min="6412" max="6412" width="11.44140625" style="625" customWidth="1"/>
    <col min="6413" max="6413" width="9.5546875" style="625" customWidth="1"/>
    <col min="6414" max="6418" width="8.88671875" style="625" customWidth="1"/>
    <col min="6419" max="6419" width="0" style="625" hidden="1" customWidth="1"/>
    <col min="6420" max="6420" width="8.88671875" style="625" customWidth="1"/>
    <col min="6421" max="6421" width="10.33203125" style="625" customWidth="1"/>
    <col min="6422" max="6422" width="11.6640625" style="625" customWidth="1"/>
    <col min="6423" max="6424" width="8.88671875" style="625" customWidth="1"/>
    <col min="6425" max="6427" width="0" style="625" hidden="1" customWidth="1"/>
    <col min="6428" max="6428" width="8.88671875" style="625" customWidth="1"/>
    <col min="6429" max="6429" width="9.88671875" style="625" customWidth="1"/>
    <col min="6430" max="6430" width="11.88671875" style="625" customWidth="1"/>
    <col min="6431" max="6432" width="8.33203125" style="625" customWidth="1"/>
    <col min="6433" max="6441" width="8.88671875" style="625" customWidth="1"/>
    <col min="6442" max="6442" width="32.5546875" style="625" customWidth="1"/>
    <col min="6443" max="6450" width="8.88671875" style="625" customWidth="1"/>
    <col min="6451" max="6451" width="12" style="625" customWidth="1"/>
    <col min="6452" max="6452" width="9.88671875" style="625" customWidth="1"/>
    <col min="6453" max="6458" width="8.88671875" style="625"/>
    <col min="6459" max="6459" width="9.109375" style="625" bestFit="1" customWidth="1"/>
    <col min="6460" max="6656" width="8.88671875" style="625"/>
    <col min="6657" max="6657" width="6.6640625" style="625" customWidth="1"/>
    <col min="6658" max="6658" width="35.5546875" style="625" customWidth="1"/>
    <col min="6659" max="6659" width="8.33203125" style="625" customWidth="1"/>
    <col min="6660" max="6660" width="7.33203125" style="625" customWidth="1"/>
    <col min="6661" max="6663" width="8.88671875" style="625" customWidth="1"/>
    <col min="6664" max="6664" width="12.6640625" style="625" customWidth="1"/>
    <col min="6665" max="6665" width="7.5546875" style="625" customWidth="1"/>
    <col min="6666" max="6666" width="6.6640625" style="625" customWidth="1"/>
    <col min="6667" max="6667" width="14.33203125" style="625" customWidth="1"/>
    <col min="6668" max="6668" width="11.44140625" style="625" customWidth="1"/>
    <col min="6669" max="6669" width="9.5546875" style="625" customWidth="1"/>
    <col min="6670" max="6674" width="8.88671875" style="625" customWidth="1"/>
    <col min="6675" max="6675" width="0" style="625" hidden="1" customWidth="1"/>
    <col min="6676" max="6676" width="8.88671875" style="625" customWidth="1"/>
    <col min="6677" max="6677" width="10.33203125" style="625" customWidth="1"/>
    <col min="6678" max="6678" width="11.6640625" style="625" customWidth="1"/>
    <col min="6679" max="6680" width="8.88671875" style="625" customWidth="1"/>
    <col min="6681" max="6683" width="0" style="625" hidden="1" customWidth="1"/>
    <col min="6684" max="6684" width="8.88671875" style="625" customWidth="1"/>
    <col min="6685" max="6685" width="9.88671875" style="625" customWidth="1"/>
    <col min="6686" max="6686" width="11.88671875" style="625" customWidth="1"/>
    <col min="6687" max="6688" width="8.33203125" style="625" customWidth="1"/>
    <col min="6689" max="6697" width="8.88671875" style="625" customWidth="1"/>
    <col min="6698" max="6698" width="32.5546875" style="625" customWidth="1"/>
    <col min="6699" max="6706" width="8.88671875" style="625" customWidth="1"/>
    <col min="6707" max="6707" width="12" style="625" customWidth="1"/>
    <col min="6708" max="6708" width="9.88671875" style="625" customWidth="1"/>
    <col min="6709" max="6714" width="8.88671875" style="625"/>
    <col min="6715" max="6715" width="9.109375" style="625" bestFit="1" customWidth="1"/>
    <col min="6716" max="6912" width="8.88671875" style="625"/>
    <col min="6913" max="6913" width="6.6640625" style="625" customWidth="1"/>
    <col min="6914" max="6914" width="35.5546875" style="625" customWidth="1"/>
    <col min="6915" max="6915" width="8.33203125" style="625" customWidth="1"/>
    <col min="6916" max="6916" width="7.33203125" style="625" customWidth="1"/>
    <col min="6917" max="6919" width="8.88671875" style="625" customWidth="1"/>
    <col min="6920" max="6920" width="12.6640625" style="625" customWidth="1"/>
    <col min="6921" max="6921" width="7.5546875" style="625" customWidth="1"/>
    <col min="6922" max="6922" width="6.6640625" style="625" customWidth="1"/>
    <col min="6923" max="6923" width="14.33203125" style="625" customWidth="1"/>
    <col min="6924" max="6924" width="11.44140625" style="625" customWidth="1"/>
    <col min="6925" max="6925" width="9.5546875" style="625" customWidth="1"/>
    <col min="6926" max="6930" width="8.88671875" style="625" customWidth="1"/>
    <col min="6931" max="6931" width="0" style="625" hidden="1" customWidth="1"/>
    <col min="6932" max="6932" width="8.88671875" style="625" customWidth="1"/>
    <col min="6933" max="6933" width="10.33203125" style="625" customWidth="1"/>
    <col min="6934" max="6934" width="11.6640625" style="625" customWidth="1"/>
    <col min="6935" max="6936" width="8.88671875" style="625" customWidth="1"/>
    <col min="6937" max="6939" width="0" style="625" hidden="1" customWidth="1"/>
    <col min="6940" max="6940" width="8.88671875" style="625" customWidth="1"/>
    <col min="6941" max="6941" width="9.88671875" style="625" customWidth="1"/>
    <col min="6942" max="6942" width="11.88671875" style="625" customWidth="1"/>
    <col min="6943" max="6944" width="8.33203125" style="625" customWidth="1"/>
    <col min="6945" max="6953" width="8.88671875" style="625" customWidth="1"/>
    <col min="6954" max="6954" width="32.5546875" style="625" customWidth="1"/>
    <col min="6955" max="6962" width="8.88671875" style="625" customWidth="1"/>
    <col min="6963" max="6963" width="12" style="625" customWidth="1"/>
    <col min="6964" max="6964" width="9.88671875" style="625" customWidth="1"/>
    <col min="6965" max="6970" width="8.88671875" style="625"/>
    <col min="6971" max="6971" width="9.109375" style="625" bestFit="1" customWidth="1"/>
    <col min="6972" max="7168" width="8.88671875" style="625"/>
    <col min="7169" max="7169" width="6.6640625" style="625" customWidth="1"/>
    <col min="7170" max="7170" width="35.5546875" style="625" customWidth="1"/>
    <col min="7171" max="7171" width="8.33203125" style="625" customWidth="1"/>
    <col min="7172" max="7172" width="7.33203125" style="625" customWidth="1"/>
    <col min="7173" max="7175" width="8.88671875" style="625" customWidth="1"/>
    <col min="7176" max="7176" width="12.6640625" style="625" customWidth="1"/>
    <col min="7177" max="7177" width="7.5546875" style="625" customWidth="1"/>
    <col min="7178" max="7178" width="6.6640625" style="625" customWidth="1"/>
    <col min="7179" max="7179" width="14.33203125" style="625" customWidth="1"/>
    <col min="7180" max="7180" width="11.44140625" style="625" customWidth="1"/>
    <col min="7181" max="7181" width="9.5546875" style="625" customWidth="1"/>
    <col min="7182" max="7186" width="8.88671875" style="625" customWidth="1"/>
    <col min="7187" max="7187" width="0" style="625" hidden="1" customWidth="1"/>
    <col min="7188" max="7188" width="8.88671875" style="625" customWidth="1"/>
    <col min="7189" max="7189" width="10.33203125" style="625" customWidth="1"/>
    <col min="7190" max="7190" width="11.6640625" style="625" customWidth="1"/>
    <col min="7191" max="7192" width="8.88671875" style="625" customWidth="1"/>
    <col min="7193" max="7195" width="0" style="625" hidden="1" customWidth="1"/>
    <col min="7196" max="7196" width="8.88671875" style="625" customWidth="1"/>
    <col min="7197" max="7197" width="9.88671875" style="625" customWidth="1"/>
    <col min="7198" max="7198" width="11.88671875" style="625" customWidth="1"/>
    <col min="7199" max="7200" width="8.33203125" style="625" customWidth="1"/>
    <col min="7201" max="7209" width="8.88671875" style="625" customWidth="1"/>
    <col min="7210" max="7210" width="32.5546875" style="625" customWidth="1"/>
    <col min="7211" max="7218" width="8.88671875" style="625" customWidth="1"/>
    <col min="7219" max="7219" width="12" style="625" customWidth="1"/>
    <col min="7220" max="7220" width="9.88671875" style="625" customWidth="1"/>
    <col min="7221" max="7226" width="8.88671875" style="625"/>
    <col min="7227" max="7227" width="9.109375" style="625" bestFit="1" customWidth="1"/>
    <col min="7228" max="7424" width="8.88671875" style="625"/>
    <col min="7425" max="7425" width="6.6640625" style="625" customWidth="1"/>
    <col min="7426" max="7426" width="35.5546875" style="625" customWidth="1"/>
    <col min="7427" max="7427" width="8.33203125" style="625" customWidth="1"/>
    <col min="7428" max="7428" width="7.33203125" style="625" customWidth="1"/>
    <col min="7429" max="7431" width="8.88671875" style="625" customWidth="1"/>
    <col min="7432" max="7432" width="12.6640625" style="625" customWidth="1"/>
    <col min="7433" max="7433" width="7.5546875" style="625" customWidth="1"/>
    <col min="7434" max="7434" width="6.6640625" style="625" customWidth="1"/>
    <col min="7435" max="7435" width="14.33203125" style="625" customWidth="1"/>
    <col min="7436" max="7436" width="11.44140625" style="625" customWidth="1"/>
    <col min="7437" max="7437" width="9.5546875" style="625" customWidth="1"/>
    <col min="7438" max="7442" width="8.88671875" style="625" customWidth="1"/>
    <col min="7443" max="7443" width="0" style="625" hidden="1" customWidth="1"/>
    <col min="7444" max="7444" width="8.88671875" style="625" customWidth="1"/>
    <col min="7445" max="7445" width="10.33203125" style="625" customWidth="1"/>
    <col min="7446" max="7446" width="11.6640625" style="625" customWidth="1"/>
    <col min="7447" max="7448" width="8.88671875" style="625" customWidth="1"/>
    <col min="7449" max="7451" width="0" style="625" hidden="1" customWidth="1"/>
    <col min="7452" max="7452" width="8.88671875" style="625" customWidth="1"/>
    <col min="7453" max="7453" width="9.88671875" style="625" customWidth="1"/>
    <col min="7454" max="7454" width="11.88671875" style="625" customWidth="1"/>
    <col min="7455" max="7456" width="8.33203125" style="625" customWidth="1"/>
    <col min="7457" max="7465" width="8.88671875" style="625" customWidth="1"/>
    <col min="7466" max="7466" width="32.5546875" style="625" customWidth="1"/>
    <col min="7467" max="7474" width="8.88671875" style="625" customWidth="1"/>
    <col min="7475" max="7475" width="12" style="625" customWidth="1"/>
    <col min="7476" max="7476" width="9.88671875" style="625" customWidth="1"/>
    <col min="7477" max="7482" width="8.88671875" style="625"/>
    <col min="7483" max="7483" width="9.109375" style="625" bestFit="1" customWidth="1"/>
    <col min="7484" max="7680" width="8.88671875" style="625"/>
    <col min="7681" max="7681" width="6.6640625" style="625" customWidth="1"/>
    <col min="7682" max="7682" width="35.5546875" style="625" customWidth="1"/>
    <col min="7683" max="7683" width="8.33203125" style="625" customWidth="1"/>
    <col min="7684" max="7684" width="7.33203125" style="625" customWidth="1"/>
    <col min="7685" max="7687" width="8.88671875" style="625" customWidth="1"/>
    <col min="7688" max="7688" width="12.6640625" style="625" customWidth="1"/>
    <col min="7689" max="7689" width="7.5546875" style="625" customWidth="1"/>
    <col min="7690" max="7690" width="6.6640625" style="625" customWidth="1"/>
    <col min="7691" max="7691" width="14.33203125" style="625" customWidth="1"/>
    <col min="7692" max="7692" width="11.44140625" style="625" customWidth="1"/>
    <col min="7693" max="7693" width="9.5546875" style="625" customWidth="1"/>
    <col min="7694" max="7698" width="8.88671875" style="625" customWidth="1"/>
    <col min="7699" max="7699" width="0" style="625" hidden="1" customWidth="1"/>
    <col min="7700" max="7700" width="8.88671875" style="625" customWidth="1"/>
    <col min="7701" max="7701" width="10.33203125" style="625" customWidth="1"/>
    <col min="7702" max="7702" width="11.6640625" style="625" customWidth="1"/>
    <col min="7703" max="7704" width="8.88671875" style="625" customWidth="1"/>
    <col min="7705" max="7707" width="0" style="625" hidden="1" customWidth="1"/>
    <col min="7708" max="7708" width="8.88671875" style="625" customWidth="1"/>
    <col min="7709" max="7709" width="9.88671875" style="625" customWidth="1"/>
    <col min="7710" max="7710" width="11.88671875" style="625" customWidth="1"/>
    <col min="7711" max="7712" width="8.33203125" style="625" customWidth="1"/>
    <col min="7713" max="7721" width="8.88671875" style="625" customWidth="1"/>
    <col min="7722" max="7722" width="32.5546875" style="625" customWidth="1"/>
    <col min="7723" max="7730" width="8.88671875" style="625" customWidth="1"/>
    <col min="7731" max="7731" width="12" style="625" customWidth="1"/>
    <col min="7732" max="7732" width="9.88671875" style="625" customWidth="1"/>
    <col min="7733" max="7738" width="8.88671875" style="625"/>
    <col min="7739" max="7739" width="9.109375" style="625" bestFit="1" customWidth="1"/>
    <col min="7740" max="7936" width="8.88671875" style="625"/>
    <col min="7937" max="7937" width="6.6640625" style="625" customWidth="1"/>
    <col min="7938" max="7938" width="35.5546875" style="625" customWidth="1"/>
    <col min="7939" max="7939" width="8.33203125" style="625" customWidth="1"/>
    <col min="7940" max="7940" width="7.33203125" style="625" customWidth="1"/>
    <col min="7941" max="7943" width="8.88671875" style="625" customWidth="1"/>
    <col min="7944" max="7944" width="12.6640625" style="625" customWidth="1"/>
    <col min="7945" max="7945" width="7.5546875" style="625" customWidth="1"/>
    <col min="7946" max="7946" width="6.6640625" style="625" customWidth="1"/>
    <col min="7947" max="7947" width="14.33203125" style="625" customWidth="1"/>
    <col min="7948" max="7948" width="11.44140625" style="625" customWidth="1"/>
    <col min="7949" max="7949" width="9.5546875" style="625" customWidth="1"/>
    <col min="7950" max="7954" width="8.88671875" style="625" customWidth="1"/>
    <col min="7955" max="7955" width="0" style="625" hidden="1" customWidth="1"/>
    <col min="7956" max="7956" width="8.88671875" style="625" customWidth="1"/>
    <col min="7957" max="7957" width="10.33203125" style="625" customWidth="1"/>
    <col min="7958" max="7958" width="11.6640625" style="625" customWidth="1"/>
    <col min="7959" max="7960" width="8.88671875" style="625" customWidth="1"/>
    <col min="7961" max="7963" width="0" style="625" hidden="1" customWidth="1"/>
    <col min="7964" max="7964" width="8.88671875" style="625" customWidth="1"/>
    <col min="7965" max="7965" width="9.88671875" style="625" customWidth="1"/>
    <col min="7966" max="7966" width="11.88671875" style="625" customWidth="1"/>
    <col min="7967" max="7968" width="8.33203125" style="625" customWidth="1"/>
    <col min="7969" max="7977" width="8.88671875" style="625" customWidth="1"/>
    <col min="7978" max="7978" width="32.5546875" style="625" customWidth="1"/>
    <col min="7979" max="7986" width="8.88671875" style="625" customWidth="1"/>
    <col min="7987" max="7987" width="12" style="625" customWidth="1"/>
    <col min="7988" max="7988" width="9.88671875" style="625" customWidth="1"/>
    <col min="7989" max="7994" width="8.88671875" style="625"/>
    <col min="7995" max="7995" width="9.109375" style="625" bestFit="1" customWidth="1"/>
    <col min="7996" max="8192" width="8.88671875" style="625"/>
    <col min="8193" max="8193" width="6.6640625" style="625" customWidth="1"/>
    <col min="8194" max="8194" width="35.5546875" style="625" customWidth="1"/>
    <col min="8195" max="8195" width="8.33203125" style="625" customWidth="1"/>
    <col min="8196" max="8196" width="7.33203125" style="625" customWidth="1"/>
    <col min="8197" max="8199" width="8.88671875" style="625" customWidth="1"/>
    <col min="8200" max="8200" width="12.6640625" style="625" customWidth="1"/>
    <col min="8201" max="8201" width="7.5546875" style="625" customWidth="1"/>
    <col min="8202" max="8202" width="6.6640625" style="625" customWidth="1"/>
    <col min="8203" max="8203" width="14.33203125" style="625" customWidth="1"/>
    <col min="8204" max="8204" width="11.44140625" style="625" customWidth="1"/>
    <col min="8205" max="8205" width="9.5546875" style="625" customWidth="1"/>
    <col min="8206" max="8210" width="8.88671875" style="625" customWidth="1"/>
    <col min="8211" max="8211" width="0" style="625" hidden="1" customWidth="1"/>
    <col min="8212" max="8212" width="8.88671875" style="625" customWidth="1"/>
    <col min="8213" max="8213" width="10.33203125" style="625" customWidth="1"/>
    <col min="8214" max="8214" width="11.6640625" style="625" customWidth="1"/>
    <col min="8215" max="8216" width="8.88671875" style="625" customWidth="1"/>
    <col min="8217" max="8219" width="0" style="625" hidden="1" customWidth="1"/>
    <col min="8220" max="8220" width="8.88671875" style="625" customWidth="1"/>
    <col min="8221" max="8221" width="9.88671875" style="625" customWidth="1"/>
    <col min="8222" max="8222" width="11.88671875" style="625" customWidth="1"/>
    <col min="8223" max="8224" width="8.33203125" style="625" customWidth="1"/>
    <col min="8225" max="8233" width="8.88671875" style="625" customWidth="1"/>
    <col min="8234" max="8234" width="32.5546875" style="625" customWidth="1"/>
    <col min="8235" max="8242" width="8.88671875" style="625" customWidth="1"/>
    <col min="8243" max="8243" width="12" style="625" customWidth="1"/>
    <col min="8244" max="8244" width="9.88671875" style="625" customWidth="1"/>
    <col min="8245" max="8250" width="8.88671875" style="625"/>
    <col min="8251" max="8251" width="9.109375" style="625" bestFit="1" customWidth="1"/>
    <col min="8252" max="8448" width="8.88671875" style="625"/>
    <col min="8449" max="8449" width="6.6640625" style="625" customWidth="1"/>
    <col min="8450" max="8450" width="35.5546875" style="625" customWidth="1"/>
    <col min="8451" max="8451" width="8.33203125" style="625" customWidth="1"/>
    <col min="8452" max="8452" width="7.33203125" style="625" customWidth="1"/>
    <col min="8453" max="8455" width="8.88671875" style="625" customWidth="1"/>
    <col min="8456" max="8456" width="12.6640625" style="625" customWidth="1"/>
    <col min="8457" max="8457" width="7.5546875" style="625" customWidth="1"/>
    <col min="8458" max="8458" width="6.6640625" style="625" customWidth="1"/>
    <col min="8459" max="8459" width="14.33203125" style="625" customWidth="1"/>
    <col min="8460" max="8460" width="11.44140625" style="625" customWidth="1"/>
    <col min="8461" max="8461" width="9.5546875" style="625" customWidth="1"/>
    <col min="8462" max="8466" width="8.88671875" style="625" customWidth="1"/>
    <col min="8467" max="8467" width="0" style="625" hidden="1" customWidth="1"/>
    <col min="8468" max="8468" width="8.88671875" style="625" customWidth="1"/>
    <col min="8469" max="8469" width="10.33203125" style="625" customWidth="1"/>
    <col min="8470" max="8470" width="11.6640625" style="625" customWidth="1"/>
    <col min="8471" max="8472" width="8.88671875" style="625" customWidth="1"/>
    <col min="8473" max="8475" width="0" style="625" hidden="1" customWidth="1"/>
    <col min="8476" max="8476" width="8.88671875" style="625" customWidth="1"/>
    <col min="8477" max="8477" width="9.88671875" style="625" customWidth="1"/>
    <col min="8478" max="8478" width="11.88671875" style="625" customWidth="1"/>
    <col min="8479" max="8480" width="8.33203125" style="625" customWidth="1"/>
    <col min="8481" max="8489" width="8.88671875" style="625" customWidth="1"/>
    <col min="8490" max="8490" width="32.5546875" style="625" customWidth="1"/>
    <col min="8491" max="8498" width="8.88671875" style="625" customWidth="1"/>
    <col min="8499" max="8499" width="12" style="625" customWidth="1"/>
    <col min="8500" max="8500" width="9.88671875" style="625" customWidth="1"/>
    <col min="8501" max="8506" width="8.88671875" style="625"/>
    <col min="8507" max="8507" width="9.109375" style="625" bestFit="1" customWidth="1"/>
    <col min="8508" max="8704" width="8.88671875" style="625"/>
    <col min="8705" max="8705" width="6.6640625" style="625" customWidth="1"/>
    <col min="8706" max="8706" width="35.5546875" style="625" customWidth="1"/>
    <col min="8707" max="8707" width="8.33203125" style="625" customWidth="1"/>
    <col min="8708" max="8708" width="7.33203125" style="625" customWidth="1"/>
    <col min="8709" max="8711" width="8.88671875" style="625" customWidth="1"/>
    <col min="8712" max="8712" width="12.6640625" style="625" customWidth="1"/>
    <col min="8713" max="8713" width="7.5546875" style="625" customWidth="1"/>
    <col min="8714" max="8714" width="6.6640625" style="625" customWidth="1"/>
    <col min="8715" max="8715" width="14.33203125" style="625" customWidth="1"/>
    <col min="8716" max="8716" width="11.44140625" style="625" customWidth="1"/>
    <col min="8717" max="8717" width="9.5546875" style="625" customWidth="1"/>
    <col min="8718" max="8722" width="8.88671875" style="625" customWidth="1"/>
    <col min="8723" max="8723" width="0" style="625" hidden="1" customWidth="1"/>
    <col min="8724" max="8724" width="8.88671875" style="625" customWidth="1"/>
    <col min="8725" max="8725" width="10.33203125" style="625" customWidth="1"/>
    <col min="8726" max="8726" width="11.6640625" style="625" customWidth="1"/>
    <col min="8727" max="8728" width="8.88671875" style="625" customWidth="1"/>
    <col min="8729" max="8731" width="0" style="625" hidden="1" customWidth="1"/>
    <col min="8732" max="8732" width="8.88671875" style="625" customWidth="1"/>
    <col min="8733" max="8733" width="9.88671875" style="625" customWidth="1"/>
    <col min="8734" max="8734" width="11.88671875" style="625" customWidth="1"/>
    <col min="8735" max="8736" width="8.33203125" style="625" customWidth="1"/>
    <col min="8737" max="8745" width="8.88671875" style="625" customWidth="1"/>
    <col min="8746" max="8746" width="32.5546875" style="625" customWidth="1"/>
    <col min="8747" max="8754" width="8.88671875" style="625" customWidth="1"/>
    <col min="8755" max="8755" width="12" style="625" customWidth="1"/>
    <col min="8756" max="8756" width="9.88671875" style="625" customWidth="1"/>
    <col min="8757" max="8762" width="8.88671875" style="625"/>
    <col min="8763" max="8763" width="9.109375" style="625" bestFit="1" customWidth="1"/>
    <col min="8764" max="8960" width="8.88671875" style="625"/>
    <col min="8961" max="8961" width="6.6640625" style="625" customWidth="1"/>
    <col min="8962" max="8962" width="35.5546875" style="625" customWidth="1"/>
    <col min="8963" max="8963" width="8.33203125" style="625" customWidth="1"/>
    <col min="8964" max="8964" width="7.33203125" style="625" customWidth="1"/>
    <col min="8965" max="8967" width="8.88671875" style="625" customWidth="1"/>
    <col min="8968" max="8968" width="12.6640625" style="625" customWidth="1"/>
    <col min="8969" max="8969" width="7.5546875" style="625" customWidth="1"/>
    <col min="8970" max="8970" width="6.6640625" style="625" customWidth="1"/>
    <col min="8971" max="8971" width="14.33203125" style="625" customWidth="1"/>
    <col min="8972" max="8972" width="11.44140625" style="625" customWidth="1"/>
    <col min="8973" max="8973" width="9.5546875" style="625" customWidth="1"/>
    <col min="8974" max="8978" width="8.88671875" style="625" customWidth="1"/>
    <col min="8979" max="8979" width="0" style="625" hidden="1" customWidth="1"/>
    <col min="8980" max="8980" width="8.88671875" style="625" customWidth="1"/>
    <col min="8981" max="8981" width="10.33203125" style="625" customWidth="1"/>
    <col min="8982" max="8982" width="11.6640625" style="625" customWidth="1"/>
    <col min="8983" max="8984" width="8.88671875" style="625" customWidth="1"/>
    <col min="8985" max="8987" width="0" style="625" hidden="1" customWidth="1"/>
    <col min="8988" max="8988" width="8.88671875" style="625" customWidth="1"/>
    <col min="8989" max="8989" width="9.88671875" style="625" customWidth="1"/>
    <col min="8990" max="8990" width="11.88671875" style="625" customWidth="1"/>
    <col min="8991" max="8992" width="8.33203125" style="625" customWidth="1"/>
    <col min="8993" max="9001" width="8.88671875" style="625" customWidth="1"/>
    <col min="9002" max="9002" width="32.5546875" style="625" customWidth="1"/>
    <col min="9003" max="9010" width="8.88671875" style="625" customWidth="1"/>
    <col min="9011" max="9011" width="12" style="625" customWidth="1"/>
    <col min="9012" max="9012" width="9.88671875" style="625" customWidth="1"/>
    <col min="9013" max="9018" width="8.88671875" style="625"/>
    <col min="9019" max="9019" width="9.109375" style="625" bestFit="1" customWidth="1"/>
    <col min="9020" max="9216" width="8.88671875" style="625"/>
    <col min="9217" max="9217" width="6.6640625" style="625" customWidth="1"/>
    <col min="9218" max="9218" width="35.5546875" style="625" customWidth="1"/>
    <col min="9219" max="9219" width="8.33203125" style="625" customWidth="1"/>
    <col min="9220" max="9220" width="7.33203125" style="625" customWidth="1"/>
    <col min="9221" max="9223" width="8.88671875" style="625" customWidth="1"/>
    <col min="9224" max="9224" width="12.6640625" style="625" customWidth="1"/>
    <col min="9225" max="9225" width="7.5546875" style="625" customWidth="1"/>
    <col min="9226" max="9226" width="6.6640625" style="625" customWidth="1"/>
    <col min="9227" max="9227" width="14.33203125" style="625" customWidth="1"/>
    <col min="9228" max="9228" width="11.44140625" style="625" customWidth="1"/>
    <col min="9229" max="9229" width="9.5546875" style="625" customWidth="1"/>
    <col min="9230" max="9234" width="8.88671875" style="625" customWidth="1"/>
    <col min="9235" max="9235" width="0" style="625" hidden="1" customWidth="1"/>
    <col min="9236" max="9236" width="8.88671875" style="625" customWidth="1"/>
    <col min="9237" max="9237" width="10.33203125" style="625" customWidth="1"/>
    <col min="9238" max="9238" width="11.6640625" style="625" customWidth="1"/>
    <col min="9239" max="9240" width="8.88671875" style="625" customWidth="1"/>
    <col min="9241" max="9243" width="0" style="625" hidden="1" customWidth="1"/>
    <col min="9244" max="9244" width="8.88671875" style="625" customWidth="1"/>
    <col min="9245" max="9245" width="9.88671875" style="625" customWidth="1"/>
    <col min="9246" max="9246" width="11.88671875" style="625" customWidth="1"/>
    <col min="9247" max="9248" width="8.33203125" style="625" customWidth="1"/>
    <col min="9249" max="9257" width="8.88671875" style="625" customWidth="1"/>
    <col min="9258" max="9258" width="32.5546875" style="625" customWidth="1"/>
    <col min="9259" max="9266" width="8.88671875" style="625" customWidth="1"/>
    <col min="9267" max="9267" width="12" style="625" customWidth="1"/>
    <col min="9268" max="9268" width="9.88671875" style="625" customWidth="1"/>
    <col min="9269" max="9274" width="8.88671875" style="625"/>
    <col min="9275" max="9275" width="9.109375" style="625" bestFit="1" customWidth="1"/>
    <col min="9276" max="9472" width="8.88671875" style="625"/>
    <col min="9473" max="9473" width="6.6640625" style="625" customWidth="1"/>
    <col min="9474" max="9474" width="35.5546875" style="625" customWidth="1"/>
    <col min="9475" max="9475" width="8.33203125" style="625" customWidth="1"/>
    <col min="9476" max="9476" width="7.33203125" style="625" customWidth="1"/>
    <col min="9477" max="9479" width="8.88671875" style="625" customWidth="1"/>
    <col min="9480" max="9480" width="12.6640625" style="625" customWidth="1"/>
    <col min="9481" max="9481" width="7.5546875" style="625" customWidth="1"/>
    <col min="9482" max="9482" width="6.6640625" style="625" customWidth="1"/>
    <col min="9483" max="9483" width="14.33203125" style="625" customWidth="1"/>
    <col min="9484" max="9484" width="11.44140625" style="625" customWidth="1"/>
    <col min="9485" max="9485" width="9.5546875" style="625" customWidth="1"/>
    <col min="9486" max="9490" width="8.88671875" style="625" customWidth="1"/>
    <col min="9491" max="9491" width="0" style="625" hidden="1" customWidth="1"/>
    <col min="9492" max="9492" width="8.88671875" style="625" customWidth="1"/>
    <col min="9493" max="9493" width="10.33203125" style="625" customWidth="1"/>
    <col min="9494" max="9494" width="11.6640625" style="625" customWidth="1"/>
    <col min="9495" max="9496" width="8.88671875" style="625" customWidth="1"/>
    <col min="9497" max="9499" width="0" style="625" hidden="1" customWidth="1"/>
    <col min="9500" max="9500" width="8.88671875" style="625" customWidth="1"/>
    <col min="9501" max="9501" width="9.88671875" style="625" customWidth="1"/>
    <col min="9502" max="9502" width="11.88671875" style="625" customWidth="1"/>
    <col min="9503" max="9504" width="8.33203125" style="625" customWidth="1"/>
    <col min="9505" max="9513" width="8.88671875" style="625" customWidth="1"/>
    <col min="9514" max="9514" width="32.5546875" style="625" customWidth="1"/>
    <col min="9515" max="9522" width="8.88671875" style="625" customWidth="1"/>
    <col min="9523" max="9523" width="12" style="625" customWidth="1"/>
    <col min="9524" max="9524" width="9.88671875" style="625" customWidth="1"/>
    <col min="9525" max="9530" width="8.88671875" style="625"/>
    <col min="9531" max="9531" width="9.109375" style="625" bestFit="1" customWidth="1"/>
    <col min="9532" max="9728" width="8.88671875" style="625"/>
    <col min="9729" max="9729" width="6.6640625" style="625" customWidth="1"/>
    <col min="9730" max="9730" width="35.5546875" style="625" customWidth="1"/>
    <col min="9731" max="9731" width="8.33203125" style="625" customWidth="1"/>
    <col min="9732" max="9732" width="7.33203125" style="625" customWidth="1"/>
    <col min="9733" max="9735" width="8.88671875" style="625" customWidth="1"/>
    <col min="9736" max="9736" width="12.6640625" style="625" customWidth="1"/>
    <col min="9737" max="9737" width="7.5546875" style="625" customWidth="1"/>
    <col min="9738" max="9738" width="6.6640625" style="625" customWidth="1"/>
    <col min="9739" max="9739" width="14.33203125" style="625" customWidth="1"/>
    <col min="9740" max="9740" width="11.44140625" style="625" customWidth="1"/>
    <col min="9741" max="9741" width="9.5546875" style="625" customWidth="1"/>
    <col min="9742" max="9746" width="8.88671875" style="625" customWidth="1"/>
    <col min="9747" max="9747" width="0" style="625" hidden="1" customWidth="1"/>
    <col min="9748" max="9748" width="8.88671875" style="625" customWidth="1"/>
    <col min="9749" max="9749" width="10.33203125" style="625" customWidth="1"/>
    <col min="9750" max="9750" width="11.6640625" style="625" customWidth="1"/>
    <col min="9751" max="9752" width="8.88671875" style="625" customWidth="1"/>
    <col min="9753" max="9755" width="0" style="625" hidden="1" customWidth="1"/>
    <col min="9756" max="9756" width="8.88671875" style="625" customWidth="1"/>
    <col min="9757" max="9757" width="9.88671875" style="625" customWidth="1"/>
    <col min="9758" max="9758" width="11.88671875" style="625" customWidth="1"/>
    <col min="9759" max="9760" width="8.33203125" style="625" customWidth="1"/>
    <col min="9761" max="9769" width="8.88671875" style="625" customWidth="1"/>
    <col min="9770" max="9770" width="32.5546875" style="625" customWidth="1"/>
    <col min="9771" max="9778" width="8.88671875" style="625" customWidth="1"/>
    <col min="9779" max="9779" width="12" style="625" customWidth="1"/>
    <col min="9780" max="9780" width="9.88671875" style="625" customWidth="1"/>
    <col min="9781" max="9786" width="8.88671875" style="625"/>
    <col min="9787" max="9787" width="9.109375" style="625" bestFit="1" customWidth="1"/>
    <col min="9788" max="9984" width="8.88671875" style="625"/>
    <col min="9985" max="9985" width="6.6640625" style="625" customWidth="1"/>
    <col min="9986" max="9986" width="35.5546875" style="625" customWidth="1"/>
    <col min="9987" max="9987" width="8.33203125" style="625" customWidth="1"/>
    <col min="9988" max="9988" width="7.33203125" style="625" customWidth="1"/>
    <col min="9989" max="9991" width="8.88671875" style="625" customWidth="1"/>
    <col min="9992" max="9992" width="12.6640625" style="625" customWidth="1"/>
    <col min="9993" max="9993" width="7.5546875" style="625" customWidth="1"/>
    <col min="9994" max="9994" width="6.6640625" style="625" customWidth="1"/>
    <col min="9995" max="9995" width="14.33203125" style="625" customWidth="1"/>
    <col min="9996" max="9996" width="11.44140625" style="625" customWidth="1"/>
    <col min="9997" max="9997" width="9.5546875" style="625" customWidth="1"/>
    <col min="9998" max="10002" width="8.88671875" style="625" customWidth="1"/>
    <col min="10003" max="10003" width="0" style="625" hidden="1" customWidth="1"/>
    <col min="10004" max="10004" width="8.88671875" style="625" customWidth="1"/>
    <col min="10005" max="10005" width="10.33203125" style="625" customWidth="1"/>
    <col min="10006" max="10006" width="11.6640625" style="625" customWidth="1"/>
    <col min="10007" max="10008" width="8.88671875" style="625" customWidth="1"/>
    <col min="10009" max="10011" width="0" style="625" hidden="1" customWidth="1"/>
    <col min="10012" max="10012" width="8.88671875" style="625" customWidth="1"/>
    <col min="10013" max="10013" width="9.88671875" style="625" customWidth="1"/>
    <col min="10014" max="10014" width="11.88671875" style="625" customWidth="1"/>
    <col min="10015" max="10016" width="8.33203125" style="625" customWidth="1"/>
    <col min="10017" max="10025" width="8.88671875" style="625" customWidth="1"/>
    <col min="10026" max="10026" width="32.5546875" style="625" customWidth="1"/>
    <col min="10027" max="10034" width="8.88671875" style="625" customWidth="1"/>
    <col min="10035" max="10035" width="12" style="625" customWidth="1"/>
    <col min="10036" max="10036" width="9.88671875" style="625" customWidth="1"/>
    <col min="10037" max="10042" width="8.88671875" style="625"/>
    <col min="10043" max="10043" width="9.109375" style="625" bestFit="1" customWidth="1"/>
    <col min="10044" max="10240" width="8.88671875" style="625"/>
    <col min="10241" max="10241" width="6.6640625" style="625" customWidth="1"/>
    <col min="10242" max="10242" width="35.5546875" style="625" customWidth="1"/>
    <col min="10243" max="10243" width="8.33203125" style="625" customWidth="1"/>
    <col min="10244" max="10244" width="7.33203125" style="625" customWidth="1"/>
    <col min="10245" max="10247" width="8.88671875" style="625" customWidth="1"/>
    <col min="10248" max="10248" width="12.6640625" style="625" customWidth="1"/>
    <col min="10249" max="10249" width="7.5546875" style="625" customWidth="1"/>
    <col min="10250" max="10250" width="6.6640625" style="625" customWidth="1"/>
    <col min="10251" max="10251" width="14.33203125" style="625" customWidth="1"/>
    <col min="10252" max="10252" width="11.44140625" style="625" customWidth="1"/>
    <col min="10253" max="10253" width="9.5546875" style="625" customWidth="1"/>
    <col min="10254" max="10258" width="8.88671875" style="625" customWidth="1"/>
    <col min="10259" max="10259" width="0" style="625" hidden="1" customWidth="1"/>
    <col min="10260" max="10260" width="8.88671875" style="625" customWidth="1"/>
    <col min="10261" max="10261" width="10.33203125" style="625" customWidth="1"/>
    <col min="10262" max="10262" width="11.6640625" style="625" customWidth="1"/>
    <col min="10263" max="10264" width="8.88671875" style="625" customWidth="1"/>
    <col min="10265" max="10267" width="0" style="625" hidden="1" customWidth="1"/>
    <col min="10268" max="10268" width="8.88671875" style="625" customWidth="1"/>
    <col min="10269" max="10269" width="9.88671875" style="625" customWidth="1"/>
    <col min="10270" max="10270" width="11.88671875" style="625" customWidth="1"/>
    <col min="10271" max="10272" width="8.33203125" style="625" customWidth="1"/>
    <col min="10273" max="10281" width="8.88671875" style="625" customWidth="1"/>
    <col min="10282" max="10282" width="32.5546875" style="625" customWidth="1"/>
    <col min="10283" max="10290" width="8.88671875" style="625" customWidth="1"/>
    <col min="10291" max="10291" width="12" style="625" customWidth="1"/>
    <col min="10292" max="10292" width="9.88671875" style="625" customWidth="1"/>
    <col min="10293" max="10298" width="8.88671875" style="625"/>
    <col min="10299" max="10299" width="9.109375" style="625" bestFit="1" customWidth="1"/>
    <col min="10300" max="10496" width="8.88671875" style="625"/>
    <col min="10497" max="10497" width="6.6640625" style="625" customWidth="1"/>
    <col min="10498" max="10498" width="35.5546875" style="625" customWidth="1"/>
    <col min="10499" max="10499" width="8.33203125" style="625" customWidth="1"/>
    <col min="10500" max="10500" width="7.33203125" style="625" customWidth="1"/>
    <col min="10501" max="10503" width="8.88671875" style="625" customWidth="1"/>
    <col min="10504" max="10504" width="12.6640625" style="625" customWidth="1"/>
    <col min="10505" max="10505" width="7.5546875" style="625" customWidth="1"/>
    <col min="10506" max="10506" width="6.6640625" style="625" customWidth="1"/>
    <col min="10507" max="10507" width="14.33203125" style="625" customWidth="1"/>
    <col min="10508" max="10508" width="11.44140625" style="625" customWidth="1"/>
    <col min="10509" max="10509" width="9.5546875" style="625" customWidth="1"/>
    <col min="10510" max="10514" width="8.88671875" style="625" customWidth="1"/>
    <col min="10515" max="10515" width="0" style="625" hidden="1" customWidth="1"/>
    <col min="10516" max="10516" width="8.88671875" style="625" customWidth="1"/>
    <col min="10517" max="10517" width="10.33203125" style="625" customWidth="1"/>
    <col min="10518" max="10518" width="11.6640625" style="625" customWidth="1"/>
    <col min="10519" max="10520" width="8.88671875" style="625" customWidth="1"/>
    <col min="10521" max="10523" width="0" style="625" hidden="1" customWidth="1"/>
    <col min="10524" max="10524" width="8.88671875" style="625" customWidth="1"/>
    <col min="10525" max="10525" width="9.88671875" style="625" customWidth="1"/>
    <col min="10526" max="10526" width="11.88671875" style="625" customWidth="1"/>
    <col min="10527" max="10528" width="8.33203125" style="625" customWidth="1"/>
    <col min="10529" max="10537" width="8.88671875" style="625" customWidth="1"/>
    <col min="10538" max="10538" width="32.5546875" style="625" customWidth="1"/>
    <col min="10539" max="10546" width="8.88671875" style="625" customWidth="1"/>
    <col min="10547" max="10547" width="12" style="625" customWidth="1"/>
    <col min="10548" max="10548" width="9.88671875" style="625" customWidth="1"/>
    <col min="10549" max="10554" width="8.88671875" style="625"/>
    <col min="10555" max="10555" width="9.109375" style="625" bestFit="1" customWidth="1"/>
    <col min="10556" max="10752" width="8.88671875" style="625"/>
    <col min="10753" max="10753" width="6.6640625" style="625" customWidth="1"/>
    <col min="10754" max="10754" width="35.5546875" style="625" customWidth="1"/>
    <col min="10755" max="10755" width="8.33203125" style="625" customWidth="1"/>
    <col min="10756" max="10756" width="7.33203125" style="625" customWidth="1"/>
    <col min="10757" max="10759" width="8.88671875" style="625" customWidth="1"/>
    <col min="10760" max="10760" width="12.6640625" style="625" customWidth="1"/>
    <col min="10761" max="10761" width="7.5546875" style="625" customWidth="1"/>
    <col min="10762" max="10762" width="6.6640625" style="625" customWidth="1"/>
    <col min="10763" max="10763" width="14.33203125" style="625" customWidth="1"/>
    <col min="10764" max="10764" width="11.44140625" style="625" customWidth="1"/>
    <col min="10765" max="10765" width="9.5546875" style="625" customWidth="1"/>
    <col min="10766" max="10770" width="8.88671875" style="625" customWidth="1"/>
    <col min="10771" max="10771" width="0" style="625" hidden="1" customWidth="1"/>
    <col min="10772" max="10772" width="8.88671875" style="625" customWidth="1"/>
    <col min="10773" max="10773" width="10.33203125" style="625" customWidth="1"/>
    <col min="10774" max="10774" width="11.6640625" style="625" customWidth="1"/>
    <col min="10775" max="10776" width="8.88671875" style="625" customWidth="1"/>
    <col min="10777" max="10779" width="0" style="625" hidden="1" customWidth="1"/>
    <col min="10780" max="10780" width="8.88671875" style="625" customWidth="1"/>
    <col min="10781" max="10781" width="9.88671875" style="625" customWidth="1"/>
    <col min="10782" max="10782" width="11.88671875" style="625" customWidth="1"/>
    <col min="10783" max="10784" width="8.33203125" style="625" customWidth="1"/>
    <col min="10785" max="10793" width="8.88671875" style="625" customWidth="1"/>
    <col min="10794" max="10794" width="32.5546875" style="625" customWidth="1"/>
    <col min="10795" max="10802" width="8.88671875" style="625" customWidth="1"/>
    <col min="10803" max="10803" width="12" style="625" customWidth="1"/>
    <col min="10804" max="10804" width="9.88671875" style="625" customWidth="1"/>
    <col min="10805" max="10810" width="8.88671875" style="625"/>
    <col min="10811" max="10811" width="9.109375" style="625" bestFit="1" customWidth="1"/>
    <col min="10812" max="11008" width="8.88671875" style="625"/>
    <col min="11009" max="11009" width="6.6640625" style="625" customWidth="1"/>
    <col min="11010" max="11010" width="35.5546875" style="625" customWidth="1"/>
    <col min="11011" max="11011" width="8.33203125" style="625" customWidth="1"/>
    <col min="11012" max="11012" width="7.33203125" style="625" customWidth="1"/>
    <col min="11013" max="11015" width="8.88671875" style="625" customWidth="1"/>
    <col min="11016" max="11016" width="12.6640625" style="625" customWidth="1"/>
    <col min="11017" max="11017" width="7.5546875" style="625" customWidth="1"/>
    <col min="11018" max="11018" width="6.6640625" style="625" customWidth="1"/>
    <col min="11019" max="11019" width="14.33203125" style="625" customWidth="1"/>
    <col min="11020" max="11020" width="11.44140625" style="625" customWidth="1"/>
    <col min="11021" max="11021" width="9.5546875" style="625" customWidth="1"/>
    <col min="11022" max="11026" width="8.88671875" style="625" customWidth="1"/>
    <col min="11027" max="11027" width="0" style="625" hidden="1" customWidth="1"/>
    <col min="11028" max="11028" width="8.88671875" style="625" customWidth="1"/>
    <col min="11029" max="11029" width="10.33203125" style="625" customWidth="1"/>
    <col min="11030" max="11030" width="11.6640625" style="625" customWidth="1"/>
    <col min="11031" max="11032" width="8.88671875" style="625" customWidth="1"/>
    <col min="11033" max="11035" width="0" style="625" hidden="1" customWidth="1"/>
    <col min="11036" max="11036" width="8.88671875" style="625" customWidth="1"/>
    <col min="11037" max="11037" width="9.88671875" style="625" customWidth="1"/>
    <col min="11038" max="11038" width="11.88671875" style="625" customWidth="1"/>
    <col min="11039" max="11040" width="8.33203125" style="625" customWidth="1"/>
    <col min="11041" max="11049" width="8.88671875" style="625" customWidth="1"/>
    <col min="11050" max="11050" width="32.5546875" style="625" customWidth="1"/>
    <col min="11051" max="11058" width="8.88671875" style="625" customWidth="1"/>
    <col min="11059" max="11059" width="12" style="625" customWidth="1"/>
    <col min="11060" max="11060" width="9.88671875" style="625" customWidth="1"/>
    <col min="11061" max="11066" width="8.88671875" style="625"/>
    <col min="11067" max="11067" width="9.109375" style="625" bestFit="1" customWidth="1"/>
    <col min="11068" max="11264" width="8.88671875" style="625"/>
    <col min="11265" max="11265" width="6.6640625" style="625" customWidth="1"/>
    <col min="11266" max="11266" width="35.5546875" style="625" customWidth="1"/>
    <col min="11267" max="11267" width="8.33203125" style="625" customWidth="1"/>
    <col min="11268" max="11268" width="7.33203125" style="625" customWidth="1"/>
    <col min="11269" max="11271" width="8.88671875" style="625" customWidth="1"/>
    <col min="11272" max="11272" width="12.6640625" style="625" customWidth="1"/>
    <col min="11273" max="11273" width="7.5546875" style="625" customWidth="1"/>
    <col min="11274" max="11274" width="6.6640625" style="625" customWidth="1"/>
    <col min="11275" max="11275" width="14.33203125" style="625" customWidth="1"/>
    <col min="11276" max="11276" width="11.44140625" style="625" customWidth="1"/>
    <col min="11277" max="11277" width="9.5546875" style="625" customWidth="1"/>
    <col min="11278" max="11282" width="8.88671875" style="625" customWidth="1"/>
    <col min="11283" max="11283" width="0" style="625" hidden="1" customWidth="1"/>
    <col min="11284" max="11284" width="8.88671875" style="625" customWidth="1"/>
    <col min="11285" max="11285" width="10.33203125" style="625" customWidth="1"/>
    <col min="11286" max="11286" width="11.6640625" style="625" customWidth="1"/>
    <col min="11287" max="11288" width="8.88671875" style="625" customWidth="1"/>
    <col min="11289" max="11291" width="0" style="625" hidden="1" customWidth="1"/>
    <col min="11292" max="11292" width="8.88671875" style="625" customWidth="1"/>
    <col min="11293" max="11293" width="9.88671875" style="625" customWidth="1"/>
    <col min="11294" max="11294" width="11.88671875" style="625" customWidth="1"/>
    <col min="11295" max="11296" width="8.33203125" style="625" customWidth="1"/>
    <col min="11297" max="11305" width="8.88671875" style="625" customWidth="1"/>
    <col min="11306" max="11306" width="32.5546875" style="625" customWidth="1"/>
    <col min="11307" max="11314" width="8.88671875" style="625" customWidth="1"/>
    <col min="11315" max="11315" width="12" style="625" customWidth="1"/>
    <col min="11316" max="11316" width="9.88671875" style="625" customWidth="1"/>
    <col min="11317" max="11322" width="8.88671875" style="625"/>
    <col min="11323" max="11323" width="9.109375" style="625" bestFit="1" customWidth="1"/>
    <col min="11324" max="11520" width="8.88671875" style="625"/>
    <col min="11521" max="11521" width="6.6640625" style="625" customWidth="1"/>
    <col min="11522" max="11522" width="35.5546875" style="625" customWidth="1"/>
    <col min="11523" max="11523" width="8.33203125" style="625" customWidth="1"/>
    <col min="11524" max="11524" width="7.33203125" style="625" customWidth="1"/>
    <col min="11525" max="11527" width="8.88671875" style="625" customWidth="1"/>
    <col min="11528" max="11528" width="12.6640625" style="625" customWidth="1"/>
    <col min="11529" max="11529" width="7.5546875" style="625" customWidth="1"/>
    <col min="11530" max="11530" width="6.6640625" style="625" customWidth="1"/>
    <col min="11531" max="11531" width="14.33203125" style="625" customWidth="1"/>
    <col min="11532" max="11532" width="11.44140625" style="625" customWidth="1"/>
    <col min="11533" max="11533" width="9.5546875" style="625" customWidth="1"/>
    <col min="11534" max="11538" width="8.88671875" style="625" customWidth="1"/>
    <col min="11539" max="11539" width="0" style="625" hidden="1" customWidth="1"/>
    <col min="11540" max="11540" width="8.88671875" style="625" customWidth="1"/>
    <col min="11541" max="11541" width="10.33203125" style="625" customWidth="1"/>
    <col min="11542" max="11542" width="11.6640625" style="625" customWidth="1"/>
    <col min="11543" max="11544" width="8.88671875" style="625" customWidth="1"/>
    <col min="11545" max="11547" width="0" style="625" hidden="1" customWidth="1"/>
    <col min="11548" max="11548" width="8.88671875" style="625" customWidth="1"/>
    <col min="11549" max="11549" width="9.88671875" style="625" customWidth="1"/>
    <col min="11550" max="11550" width="11.88671875" style="625" customWidth="1"/>
    <col min="11551" max="11552" width="8.33203125" style="625" customWidth="1"/>
    <col min="11553" max="11561" width="8.88671875" style="625" customWidth="1"/>
    <col min="11562" max="11562" width="32.5546875" style="625" customWidth="1"/>
    <col min="11563" max="11570" width="8.88671875" style="625" customWidth="1"/>
    <col min="11571" max="11571" width="12" style="625" customWidth="1"/>
    <col min="11572" max="11572" width="9.88671875" style="625" customWidth="1"/>
    <col min="11573" max="11578" width="8.88671875" style="625"/>
    <col min="11579" max="11579" width="9.109375" style="625" bestFit="1" customWidth="1"/>
    <col min="11580" max="11776" width="8.88671875" style="625"/>
    <col min="11777" max="11777" width="6.6640625" style="625" customWidth="1"/>
    <col min="11778" max="11778" width="35.5546875" style="625" customWidth="1"/>
    <col min="11779" max="11779" width="8.33203125" style="625" customWidth="1"/>
    <col min="11780" max="11780" width="7.33203125" style="625" customWidth="1"/>
    <col min="11781" max="11783" width="8.88671875" style="625" customWidth="1"/>
    <col min="11784" max="11784" width="12.6640625" style="625" customWidth="1"/>
    <col min="11785" max="11785" width="7.5546875" style="625" customWidth="1"/>
    <col min="11786" max="11786" width="6.6640625" style="625" customWidth="1"/>
    <col min="11787" max="11787" width="14.33203125" style="625" customWidth="1"/>
    <col min="11788" max="11788" width="11.44140625" style="625" customWidth="1"/>
    <col min="11789" max="11789" width="9.5546875" style="625" customWidth="1"/>
    <col min="11790" max="11794" width="8.88671875" style="625" customWidth="1"/>
    <col min="11795" max="11795" width="0" style="625" hidden="1" customWidth="1"/>
    <col min="11796" max="11796" width="8.88671875" style="625" customWidth="1"/>
    <col min="11797" max="11797" width="10.33203125" style="625" customWidth="1"/>
    <col min="11798" max="11798" width="11.6640625" style="625" customWidth="1"/>
    <col min="11799" max="11800" width="8.88671875" style="625" customWidth="1"/>
    <col min="11801" max="11803" width="0" style="625" hidden="1" customWidth="1"/>
    <col min="11804" max="11804" width="8.88671875" style="625" customWidth="1"/>
    <col min="11805" max="11805" width="9.88671875" style="625" customWidth="1"/>
    <col min="11806" max="11806" width="11.88671875" style="625" customWidth="1"/>
    <col min="11807" max="11808" width="8.33203125" style="625" customWidth="1"/>
    <col min="11809" max="11817" width="8.88671875" style="625" customWidth="1"/>
    <col min="11818" max="11818" width="32.5546875" style="625" customWidth="1"/>
    <col min="11819" max="11826" width="8.88671875" style="625" customWidth="1"/>
    <col min="11827" max="11827" width="12" style="625" customWidth="1"/>
    <col min="11828" max="11828" width="9.88671875" style="625" customWidth="1"/>
    <col min="11829" max="11834" width="8.88671875" style="625"/>
    <col min="11835" max="11835" width="9.109375" style="625" bestFit="1" customWidth="1"/>
    <col min="11836" max="12032" width="8.88671875" style="625"/>
    <col min="12033" max="12033" width="6.6640625" style="625" customWidth="1"/>
    <col min="12034" max="12034" width="35.5546875" style="625" customWidth="1"/>
    <col min="12035" max="12035" width="8.33203125" style="625" customWidth="1"/>
    <col min="12036" max="12036" width="7.33203125" style="625" customWidth="1"/>
    <col min="12037" max="12039" width="8.88671875" style="625" customWidth="1"/>
    <col min="12040" max="12040" width="12.6640625" style="625" customWidth="1"/>
    <col min="12041" max="12041" width="7.5546875" style="625" customWidth="1"/>
    <col min="12042" max="12042" width="6.6640625" style="625" customWidth="1"/>
    <col min="12043" max="12043" width="14.33203125" style="625" customWidth="1"/>
    <col min="12044" max="12044" width="11.44140625" style="625" customWidth="1"/>
    <col min="12045" max="12045" width="9.5546875" style="625" customWidth="1"/>
    <col min="12046" max="12050" width="8.88671875" style="625" customWidth="1"/>
    <col min="12051" max="12051" width="0" style="625" hidden="1" customWidth="1"/>
    <col min="12052" max="12052" width="8.88671875" style="625" customWidth="1"/>
    <col min="12053" max="12053" width="10.33203125" style="625" customWidth="1"/>
    <col min="12054" max="12054" width="11.6640625" style="625" customWidth="1"/>
    <col min="12055" max="12056" width="8.88671875" style="625" customWidth="1"/>
    <col min="12057" max="12059" width="0" style="625" hidden="1" customWidth="1"/>
    <col min="12060" max="12060" width="8.88671875" style="625" customWidth="1"/>
    <col min="12061" max="12061" width="9.88671875" style="625" customWidth="1"/>
    <col min="12062" max="12062" width="11.88671875" style="625" customWidth="1"/>
    <col min="12063" max="12064" width="8.33203125" style="625" customWidth="1"/>
    <col min="12065" max="12073" width="8.88671875" style="625" customWidth="1"/>
    <col min="12074" max="12074" width="32.5546875" style="625" customWidth="1"/>
    <col min="12075" max="12082" width="8.88671875" style="625" customWidth="1"/>
    <col min="12083" max="12083" width="12" style="625" customWidth="1"/>
    <col min="12084" max="12084" width="9.88671875" style="625" customWidth="1"/>
    <col min="12085" max="12090" width="8.88671875" style="625"/>
    <col min="12091" max="12091" width="9.109375" style="625" bestFit="1" customWidth="1"/>
    <col min="12092" max="12288" width="8.88671875" style="625"/>
    <col min="12289" max="12289" width="6.6640625" style="625" customWidth="1"/>
    <col min="12290" max="12290" width="35.5546875" style="625" customWidth="1"/>
    <col min="12291" max="12291" width="8.33203125" style="625" customWidth="1"/>
    <col min="12292" max="12292" width="7.33203125" style="625" customWidth="1"/>
    <col min="12293" max="12295" width="8.88671875" style="625" customWidth="1"/>
    <col min="12296" max="12296" width="12.6640625" style="625" customWidth="1"/>
    <col min="12297" max="12297" width="7.5546875" style="625" customWidth="1"/>
    <col min="12298" max="12298" width="6.6640625" style="625" customWidth="1"/>
    <col min="12299" max="12299" width="14.33203125" style="625" customWidth="1"/>
    <col min="12300" max="12300" width="11.44140625" style="625" customWidth="1"/>
    <col min="12301" max="12301" width="9.5546875" style="625" customWidth="1"/>
    <col min="12302" max="12306" width="8.88671875" style="625" customWidth="1"/>
    <col min="12307" max="12307" width="0" style="625" hidden="1" customWidth="1"/>
    <col min="12308" max="12308" width="8.88671875" style="625" customWidth="1"/>
    <col min="12309" max="12309" width="10.33203125" style="625" customWidth="1"/>
    <col min="12310" max="12310" width="11.6640625" style="625" customWidth="1"/>
    <col min="12311" max="12312" width="8.88671875" style="625" customWidth="1"/>
    <col min="12313" max="12315" width="0" style="625" hidden="1" customWidth="1"/>
    <col min="12316" max="12316" width="8.88671875" style="625" customWidth="1"/>
    <col min="12317" max="12317" width="9.88671875" style="625" customWidth="1"/>
    <col min="12318" max="12318" width="11.88671875" style="625" customWidth="1"/>
    <col min="12319" max="12320" width="8.33203125" style="625" customWidth="1"/>
    <col min="12321" max="12329" width="8.88671875" style="625" customWidth="1"/>
    <col min="12330" max="12330" width="32.5546875" style="625" customWidth="1"/>
    <col min="12331" max="12338" width="8.88671875" style="625" customWidth="1"/>
    <col min="12339" max="12339" width="12" style="625" customWidth="1"/>
    <col min="12340" max="12340" width="9.88671875" style="625" customWidth="1"/>
    <col min="12341" max="12346" width="8.88671875" style="625"/>
    <col min="12347" max="12347" width="9.109375" style="625" bestFit="1" customWidth="1"/>
    <col min="12348" max="12544" width="8.88671875" style="625"/>
    <col min="12545" max="12545" width="6.6640625" style="625" customWidth="1"/>
    <col min="12546" max="12546" width="35.5546875" style="625" customWidth="1"/>
    <col min="12547" max="12547" width="8.33203125" style="625" customWidth="1"/>
    <col min="12548" max="12548" width="7.33203125" style="625" customWidth="1"/>
    <col min="12549" max="12551" width="8.88671875" style="625" customWidth="1"/>
    <col min="12552" max="12552" width="12.6640625" style="625" customWidth="1"/>
    <col min="12553" max="12553" width="7.5546875" style="625" customWidth="1"/>
    <col min="12554" max="12554" width="6.6640625" style="625" customWidth="1"/>
    <col min="12555" max="12555" width="14.33203125" style="625" customWidth="1"/>
    <col min="12556" max="12556" width="11.44140625" style="625" customWidth="1"/>
    <col min="12557" max="12557" width="9.5546875" style="625" customWidth="1"/>
    <col min="12558" max="12562" width="8.88671875" style="625" customWidth="1"/>
    <col min="12563" max="12563" width="0" style="625" hidden="1" customWidth="1"/>
    <col min="12564" max="12564" width="8.88671875" style="625" customWidth="1"/>
    <col min="12565" max="12565" width="10.33203125" style="625" customWidth="1"/>
    <col min="12566" max="12566" width="11.6640625" style="625" customWidth="1"/>
    <col min="12567" max="12568" width="8.88671875" style="625" customWidth="1"/>
    <col min="12569" max="12571" width="0" style="625" hidden="1" customWidth="1"/>
    <col min="12572" max="12572" width="8.88671875" style="625" customWidth="1"/>
    <col min="12573" max="12573" width="9.88671875" style="625" customWidth="1"/>
    <col min="12574" max="12574" width="11.88671875" style="625" customWidth="1"/>
    <col min="12575" max="12576" width="8.33203125" style="625" customWidth="1"/>
    <col min="12577" max="12585" width="8.88671875" style="625" customWidth="1"/>
    <col min="12586" max="12586" width="32.5546875" style="625" customWidth="1"/>
    <col min="12587" max="12594" width="8.88671875" style="625" customWidth="1"/>
    <col min="12595" max="12595" width="12" style="625" customWidth="1"/>
    <col min="12596" max="12596" width="9.88671875" style="625" customWidth="1"/>
    <col min="12597" max="12602" width="8.88671875" style="625"/>
    <col min="12603" max="12603" width="9.109375" style="625" bestFit="1" customWidth="1"/>
    <col min="12604" max="12800" width="8.88671875" style="625"/>
    <col min="12801" max="12801" width="6.6640625" style="625" customWidth="1"/>
    <col min="12802" max="12802" width="35.5546875" style="625" customWidth="1"/>
    <col min="12803" max="12803" width="8.33203125" style="625" customWidth="1"/>
    <col min="12804" max="12804" width="7.33203125" style="625" customWidth="1"/>
    <col min="12805" max="12807" width="8.88671875" style="625" customWidth="1"/>
    <col min="12808" max="12808" width="12.6640625" style="625" customWidth="1"/>
    <col min="12809" max="12809" width="7.5546875" style="625" customWidth="1"/>
    <col min="12810" max="12810" width="6.6640625" style="625" customWidth="1"/>
    <col min="12811" max="12811" width="14.33203125" style="625" customWidth="1"/>
    <col min="12812" max="12812" width="11.44140625" style="625" customWidth="1"/>
    <col min="12813" max="12813" width="9.5546875" style="625" customWidth="1"/>
    <col min="12814" max="12818" width="8.88671875" style="625" customWidth="1"/>
    <col min="12819" max="12819" width="0" style="625" hidden="1" customWidth="1"/>
    <col min="12820" max="12820" width="8.88671875" style="625" customWidth="1"/>
    <col min="12821" max="12821" width="10.33203125" style="625" customWidth="1"/>
    <col min="12822" max="12822" width="11.6640625" style="625" customWidth="1"/>
    <col min="12823" max="12824" width="8.88671875" style="625" customWidth="1"/>
    <col min="12825" max="12827" width="0" style="625" hidden="1" customWidth="1"/>
    <col min="12828" max="12828" width="8.88671875" style="625" customWidth="1"/>
    <col min="12829" max="12829" width="9.88671875" style="625" customWidth="1"/>
    <col min="12830" max="12830" width="11.88671875" style="625" customWidth="1"/>
    <col min="12831" max="12832" width="8.33203125" style="625" customWidth="1"/>
    <col min="12833" max="12841" width="8.88671875" style="625" customWidth="1"/>
    <col min="12842" max="12842" width="32.5546875" style="625" customWidth="1"/>
    <col min="12843" max="12850" width="8.88671875" style="625" customWidth="1"/>
    <col min="12851" max="12851" width="12" style="625" customWidth="1"/>
    <col min="12852" max="12852" width="9.88671875" style="625" customWidth="1"/>
    <col min="12853" max="12858" width="8.88671875" style="625"/>
    <col min="12859" max="12859" width="9.109375" style="625" bestFit="1" customWidth="1"/>
    <col min="12860" max="13056" width="8.88671875" style="625"/>
    <col min="13057" max="13057" width="6.6640625" style="625" customWidth="1"/>
    <col min="13058" max="13058" width="35.5546875" style="625" customWidth="1"/>
    <col min="13059" max="13059" width="8.33203125" style="625" customWidth="1"/>
    <col min="13060" max="13060" width="7.33203125" style="625" customWidth="1"/>
    <col min="13061" max="13063" width="8.88671875" style="625" customWidth="1"/>
    <col min="13064" max="13064" width="12.6640625" style="625" customWidth="1"/>
    <col min="13065" max="13065" width="7.5546875" style="625" customWidth="1"/>
    <col min="13066" max="13066" width="6.6640625" style="625" customWidth="1"/>
    <col min="13067" max="13067" width="14.33203125" style="625" customWidth="1"/>
    <col min="13068" max="13068" width="11.44140625" style="625" customWidth="1"/>
    <col min="13069" max="13069" width="9.5546875" style="625" customWidth="1"/>
    <col min="13070" max="13074" width="8.88671875" style="625" customWidth="1"/>
    <col min="13075" max="13075" width="0" style="625" hidden="1" customWidth="1"/>
    <col min="13076" max="13076" width="8.88671875" style="625" customWidth="1"/>
    <col min="13077" max="13077" width="10.33203125" style="625" customWidth="1"/>
    <col min="13078" max="13078" width="11.6640625" style="625" customWidth="1"/>
    <col min="13079" max="13080" width="8.88671875" style="625" customWidth="1"/>
    <col min="13081" max="13083" width="0" style="625" hidden="1" customWidth="1"/>
    <col min="13084" max="13084" width="8.88671875" style="625" customWidth="1"/>
    <col min="13085" max="13085" width="9.88671875" style="625" customWidth="1"/>
    <col min="13086" max="13086" width="11.88671875" style="625" customWidth="1"/>
    <col min="13087" max="13088" width="8.33203125" style="625" customWidth="1"/>
    <col min="13089" max="13097" width="8.88671875" style="625" customWidth="1"/>
    <col min="13098" max="13098" width="32.5546875" style="625" customWidth="1"/>
    <col min="13099" max="13106" width="8.88671875" style="625" customWidth="1"/>
    <col min="13107" max="13107" width="12" style="625" customWidth="1"/>
    <col min="13108" max="13108" width="9.88671875" style="625" customWidth="1"/>
    <col min="13109" max="13114" width="8.88671875" style="625"/>
    <col min="13115" max="13115" width="9.109375" style="625" bestFit="1" customWidth="1"/>
    <col min="13116" max="13312" width="8.88671875" style="625"/>
    <col min="13313" max="13313" width="6.6640625" style="625" customWidth="1"/>
    <col min="13314" max="13314" width="35.5546875" style="625" customWidth="1"/>
    <col min="13315" max="13315" width="8.33203125" style="625" customWidth="1"/>
    <col min="13316" max="13316" width="7.33203125" style="625" customWidth="1"/>
    <col min="13317" max="13319" width="8.88671875" style="625" customWidth="1"/>
    <col min="13320" max="13320" width="12.6640625" style="625" customWidth="1"/>
    <col min="13321" max="13321" width="7.5546875" style="625" customWidth="1"/>
    <col min="13322" max="13322" width="6.6640625" style="625" customWidth="1"/>
    <col min="13323" max="13323" width="14.33203125" style="625" customWidth="1"/>
    <col min="13324" max="13324" width="11.44140625" style="625" customWidth="1"/>
    <col min="13325" max="13325" width="9.5546875" style="625" customWidth="1"/>
    <col min="13326" max="13330" width="8.88671875" style="625" customWidth="1"/>
    <col min="13331" max="13331" width="0" style="625" hidden="1" customWidth="1"/>
    <col min="13332" max="13332" width="8.88671875" style="625" customWidth="1"/>
    <col min="13333" max="13333" width="10.33203125" style="625" customWidth="1"/>
    <col min="13334" max="13334" width="11.6640625" style="625" customWidth="1"/>
    <col min="13335" max="13336" width="8.88671875" style="625" customWidth="1"/>
    <col min="13337" max="13339" width="0" style="625" hidden="1" customWidth="1"/>
    <col min="13340" max="13340" width="8.88671875" style="625" customWidth="1"/>
    <col min="13341" max="13341" width="9.88671875" style="625" customWidth="1"/>
    <col min="13342" max="13342" width="11.88671875" style="625" customWidth="1"/>
    <col min="13343" max="13344" width="8.33203125" style="625" customWidth="1"/>
    <col min="13345" max="13353" width="8.88671875" style="625" customWidth="1"/>
    <col min="13354" max="13354" width="32.5546875" style="625" customWidth="1"/>
    <col min="13355" max="13362" width="8.88671875" style="625" customWidth="1"/>
    <col min="13363" max="13363" width="12" style="625" customWidth="1"/>
    <col min="13364" max="13364" width="9.88671875" style="625" customWidth="1"/>
    <col min="13365" max="13370" width="8.88671875" style="625"/>
    <col min="13371" max="13371" width="9.109375" style="625" bestFit="1" customWidth="1"/>
    <col min="13372" max="13568" width="8.88671875" style="625"/>
    <col min="13569" max="13569" width="6.6640625" style="625" customWidth="1"/>
    <col min="13570" max="13570" width="35.5546875" style="625" customWidth="1"/>
    <col min="13571" max="13571" width="8.33203125" style="625" customWidth="1"/>
    <col min="13572" max="13572" width="7.33203125" style="625" customWidth="1"/>
    <col min="13573" max="13575" width="8.88671875" style="625" customWidth="1"/>
    <col min="13576" max="13576" width="12.6640625" style="625" customWidth="1"/>
    <col min="13577" max="13577" width="7.5546875" style="625" customWidth="1"/>
    <col min="13578" max="13578" width="6.6640625" style="625" customWidth="1"/>
    <col min="13579" max="13579" width="14.33203125" style="625" customWidth="1"/>
    <col min="13580" max="13580" width="11.44140625" style="625" customWidth="1"/>
    <col min="13581" max="13581" width="9.5546875" style="625" customWidth="1"/>
    <col min="13582" max="13586" width="8.88671875" style="625" customWidth="1"/>
    <col min="13587" max="13587" width="0" style="625" hidden="1" customWidth="1"/>
    <col min="13588" max="13588" width="8.88671875" style="625" customWidth="1"/>
    <col min="13589" max="13589" width="10.33203125" style="625" customWidth="1"/>
    <col min="13590" max="13590" width="11.6640625" style="625" customWidth="1"/>
    <col min="13591" max="13592" width="8.88671875" style="625" customWidth="1"/>
    <col min="13593" max="13595" width="0" style="625" hidden="1" customWidth="1"/>
    <col min="13596" max="13596" width="8.88671875" style="625" customWidth="1"/>
    <col min="13597" max="13597" width="9.88671875" style="625" customWidth="1"/>
    <col min="13598" max="13598" width="11.88671875" style="625" customWidth="1"/>
    <col min="13599" max="13600" width="8.33203125" style="625" customWidth="1"/>
    <col min="13601" max="13609" width="8.88671875" style="625" customWidth="1"/>
    <col min="13610" max="13610" width="32.5546875" style="625" customWidth="1"/>
    <col min="13611" max="13618" width="8.88671875" style="625" customWidth="1"/>
    <col min="13619" max="13619" width="12" style="625" customWidth="1"/>
    <col min="13620" max="13620" width="9.88671875" style="625" customWidth="1"/>
    <col min="13621" max="13626" width="8.88671875" style="625"/>
    <col min="13627" max="13627" width="9.109375" style="625" bestFit="1" customWidth="1"/>
    <col min="13628" max="13824" width="8.88671875" style="625"/>
    <col min="13825" max="13825" width="6.6640625" style="625" customWidth="1"/>
    <col min="13826" max="13826" width="35.5546875" style="625" customWidth="1"/>
    <col min="13827" max="13827" width="8.33203125" style="625" customWidth="1"/>
    <col min="13828" max="13828" width="7.33203125" style="625" customWidth="1"/>
    <col min="13829" max="13831" width="8.88671875" style="625" customWidth="1"/>
    <col min="13832" max="13832" width="12.6640625" style="625" customWidth="1"/>
    <col min="13833" max="13833" width="7.5546875" style="625" customWidth="1"/>
    <col min="13834" max="13834" width="6.6640625" style="625" customWidth="1"/>
    <col min="13835" max="13835" width="14.33203125" style="625" customWidth="1"/>
    <col min="13836" max="13836" width="11.44140625" style="625" customWidth="1"/>
    <col min="13837" max="13837" width="9.5546875" style="625" customWidth="1"/>
    <col min="13838" max="13842" width="8.88671875" style="625" customWidth="1"/>
    <col min="13843" max="13843" width="0" style="625" hidden="1" customWidth="1"/>
    <col min="13844" max="13844" width="8.88671875" style="625" customWidth="1"/>
    <col min="13845" max="13845" width="10.33203125" style="625" customWidth="1"/>
    <col min="13846" max="13846" width="11.6640625" style="625" customWidth="1"/>
    <col min="13847" max="13848" width="8.88671875" style="625" customWidth="1"/>
    <col min="13849" max="13851" width="0" style="625" hidden="1" customWidth="1"/>
    <col min="13852" max="13852" width="8.88671875" style="625" customWidth="1"/>
    <col min="13853" max="13853" width="9.88671875" style="625" customWidth="1"/>
    <col min="13854" max="13854" width="11.88671875" style="625" customWidth="1"/>
    <col min="13855" max="13856" width="8.33203125" style="625" customWidth="1"/>
    <col min="13857" max="13865" width="8.88671875" style="625" customWidth="1"/>
    <col min="13866" max="13866" width="32.5546875" style="625" customWidth="1"/>
    <col min="13867" max="13874" width="8.88671875" style="625" customWidth="1"/>
    <col min="13875" max="13875" width="12" style="625" customWidth="1"/>
    <col min="13876" max="13876" width="9.88671875" style="625" customWidth="1"/>
    <col min="13877" max="13882" width="8.88671875" style="625"/>
    <col min="13883" max="13883" width="9.109375" style="625" bestFit="1" customWidth="1"/>
    <col min="13884" max="14080" width="8.88671875" style="625"/>
    <col min="14081" max="14081" width="6.6640625" style="625" customWidth="1"/>
    <col min="14082" max="14082" width="35.5546875" style="625" customWidth="1"/>
    <col min="14083" max="14083" width="8.33203125" style="625" customWidth="1"/>
    <col min="14084" max="14084" width="7.33203125" style="625" customWidth="1"/>
    <col min="14085" max="14087" width="8.88671875" style="625" customWidth="1"/>
    <col min="14088" max="14088" width="12.6640625" style="625" customWidth="1"/>
    <col min="14089" max="14089" width="7.5546875" style="625" customWidth="1"/>
    <col min="14090" max="14090" width="6.6640625" style="625" customWidth="1"/>
    <col min="14091" max="14091" width="14.33203125" style="625" customWidth="1"/>
    <col min="14092" max="14092" width="11.44140625" style="625" customWidth="1"/>
    <col min="14093" max="14093" width="9.5546875" style="625" customWidth="1"/>
    <col min="14094" max="14098" width="8.88671875" style="625" customWidth="1"/>
    <col min="14099" max="14099" width="0" style="625" hidden="1" customWidth="1"/>
    <col min="14100" max="14100" width="8.88671875" style="625" customWidth="1"/>
    <col min="14101" max="14101" width="10.33203125" style="625" customWidth="1"/>
    <col min="14102" max="14102" width="11.6640625" style="625" customWidth="1"/>
    <col min="14103" max="14104" width="8.88671875" style="625" customWidth="1"/>
    <col min="14105" max="14107" width="0" style="625" hidden="1" customWidth="1"/>
    <col min="14108" max="14108" width="8.88671875" style="625" customWidth="1"/>
    <col min="14109" max="14109" width="9.88671875" style="625" customWidth="1"/>
    <col min="14110" max="14110" width="11.88671875" style="625" customWidth="1"/>
    <col min="14111" max="14112" width="8.33203125" style="625" customWidth="1"/>
    <col min="14113" max="14121" width="8.88671875" style="625" customWidth="1"/>
    <col min="14122" max="14122" width="32.5546875" style="625" customWidth="1"/>
    <col min="14123" max="14130" width="8.88671875" style="625" customWidth="1"/>
    <col min="14131" max="14131" width="12" style="625" customWidth="1"/>
    <col min="14132" max="14132" width="9.88671875" style="625" customWidth="1"/>
    <col min="14133" max="14138" width="8.88671875" style="625"/>
    <col min="14139" max="14139" width="9.109375" style="625" bestFit="1" customWidth="1"/>
    <col min="14140" max="14336" width="8.88671875" style="625"/>
    <col min="14337" max="14337" width="6.6640625" style="625" customWidth="1"/>
    <col min="14338" max="14338" width="35.5546875" style="625" customWidth="1"/>
    <col min="14339" max="14339" width="8.33203125" style="625" customWidth="1"/>
    <col min="14340" max="14340" width="7.33203125" style="625" customWidth="1"/>
    <col min="14341" max="14343" width="8.88671875" style="625" customWidth="1"/>
    <col min="14344" max="14344" width="12.6640625" style="625" customWidth="1"/>
    <col min="14345" max="14345" width="7.5546875" style="625" customWidth="1"/>
    <col min="14346" max="14346" width="6.6640625" style="625" customWidth="1"/>
    <col min="14347" max="14347" width="14.33203125" style="625" customWidth="1"/>
    <col min="14348" max="14348" width="11.44140625" style="625" customWidth="1"/>
    <col min="14349" max="14349" width="9.5546875" style="625" customWidth="1"/>
    <col min="14350" max="14354" width="8.88671875" style="625" customWidth="1"/>
    <col min="14355" max="14355" width="0" style="625" hidden="1" customWidth="1"/>
    <col min="14356" max="14356" width="8.88671875" style="625" customWidth="1"/>
    <col min="14357" max="14357" width="10.33203125" style="625" customWidth="1"/>
    <col min="14358" max="14358" width="11.6640625" style="625" customWidth="1"/>
    <col min="14359" max="14360" width="8.88671875" style="625" customWidth="1"/>
    <col min="14361" max="14363" width="0" style="625" hidden="1" customWidth="1"/>
    <col min="14364" max="14364" width="8.88671875" style="625" customWidth="1"/>
    <col min="14365" max="14365" width="9.88671875" style="625" customWidth="1"/>
    <col min="14366" max="14366" width="11.88671875" style="625" customWidth="1"/>
    <col min="14367" max="14368" width="8.33203125" style="625" customWidth="1"/>
    <col min="14369" max="14377" width="8.88671875" style="625" customWidth="1"/>
    <col min="14378" max="14378" width="32.5546875" style="625" customWidth="1"/>
    <col min="14379" max="14386" width="8.88671875" style="625" customWidth="1"/>
    <col min="14387" max="14387" width="12" style="625" customWidth="1"/>
    <col min="14388" max="14388" width="9.88671875" style="625" customWidth="1"/>
    <col min="14389" max="14394" width="8.88671875" style="625"/>
    <col min="14395" max="14395" width="9.109375" style="625" bestFit="1" customWidth="1"/>
    <col min="14396" max="14592" width="8.88671875" style="625"/>
    <col min="14593" max="14593" width="6.6640625" style="625" customWidth="1"/>
    <col min="14594" max="14594" width="35.5546875" style="625" customWidth="1"/>
    <col min="14595" max="14595" width="8.33203125" style="625" customWidth="1"/>
    <col min="14596" max="14596" width="7.33203125" style="625" customWidth="1"/>
    <col min="14597" max="14599" width="8.88671875" style="625" customWidth="1"/>
    <col min="14600" max="14600" width="12.6640625" style="625" customWidth="1"/>
    <col min="14601" max="14601" width="7.5546875" style="625" customWidth="1"/>
    <col min="14602" max="14602" width="6.6640625" style="625" customWidth="1"/>
    <col min="14603" max="14603" width="14.33203125" style="625" customWidth="1"/>
    <col min="14604" max="14604" width="11.44140625" style="625" customWidth="1"/>
    <col min="14605" max="14605" width="9.5546875" style="625" customWidth="1"/>
    <col min="14606" max="14610" width="8.88671875" style="625" customWidth="1"/>
    <col min="14611" max="14611" width="0" style="625" hidden="1" customWidth="1"/>
    <col min="14612" max="14612" width="8.88671875" style="625" customWidth="1"/>
    <col min="14613" max="14613" width="10.33203125" style="625" customWidth="1"/>
    <col min="14614" max="14614" width="11.6640625" style="625" customWidth="1"/>
    <col min="14615" max="14616" width="8.88671875" style="625" customWidth="1"/>
    <col min="14617" max="14619" width="0" style="625" hidden="1" customWidth="1"/>
    <col min="14620" max="14620" width="8.88671875" style="625" customWidth="1"/>
    <col min="14621" max="14621" width="9.88671875" style="625" customWidth="1"/>
    <col min="14622" max="14622" width="11.88671875" style="625" customWidth="1"/>
    <col min="14623" max="14624" width="8.33203125" style="625" customWidth="1"/>
    <col min="14625" max="14633" width="8.88671875" style="625" customWidth="1"/>
    <col min="14634" max="14634" width="32.5546875" style="625" customWidth="1"/>
    <col min="14635" max="14642" width="8.88671875" style="625" customWidth="1"/>
    <col min="14643" max="14643" width="12" style="625" customWidth="1"/>
    <col min="14644" max="14644" width="9.88671875" style="625" customWidth="1"/>
    <col min="14645" max="14650" width="8.88671875" style="625"/>
    <col min="14651" max="14651" width="9.109375" style="625" bestFit="1" customWidth="1"/>
    <col min="14652" max="14848" width="8.88671875" style="625"/>
    <col min="14849" max="14849" width="6.6640625" style="625" customWidth="1"/>
    <col min="14850" max="14850" width="35.5546875" style="625" customWidth="1"/>
    <col min="14851" max="14851" width="8.33203125" style="625" customWidth="1"/>
    <col min="14852" max="14852" width="7.33203125" style="625" customWidth="1"/>
    <col min="14853" max="14855" width="8.88671875" style="625" customWidth="1"/>
    <col min="14856" max="14856" width="12.6640625" style="625" customWidth="1"/>
    <col min="14857" max="14857" width="7.5546875" style="625" customWidth="1"/>
    <col min="14858" max="14858" width="6.6640625" style="625" customWidth="1"/>
    <col min="14859" max="14859" width="14.33203125" style="625" customWidth="1"/>
    <col min="14860" max="14860" width="11.44140625" style="625" customWidth="1"/>
    <col min="14861" max="14861" width="9.5546875" style="625" customWidth="1"/>
    <col min="14862" max="14866" width="8.88671875" style="625" customWidth="1"/>
    <col min="14867" max="14867" width="0" style="625" hidden="1" customWidth="1"/>
    <col min="14868" max="14868" width="8.88671875" style="625" customWidth="1"/>
    <col min="14869" max="14869" width="10.33203125" style="625" customWidth="1"/>
    <col min="14870" max="14870" width="11.6640625" style="625" customWidth="1"/>
    <col min="14871" max="14872" width="8.88671875" style="625" customWidth="1"/>
    <col min="14873" max="14875" width="0" style="625" hidden="1" customWidth="1"/>
    <col min="14876" max="14876" width="8.88671875" style="625" customWidth="1"/>
    <col min="14877" max="14877" width="9.88671875" style="625" customWidth="1"/>
    <col min="14878" max="14878" width="11.88671875" style="625" customWidth="1"/>
    <col min="14879" max="14880" width="8.33203125" style="625" customWidth="1"/>
    <col min="14881" max="14889" width="8.88671875" style="625" customWidth="1"/>
    <col min="14890" max="14890" width="32.5546875" style="625" customWidth="1"/>
    <col min="14891" max="14898" width="8.88671875" style="625" customWidth="1"/>
    <col min="14899" max="14899" width="12" style="625" customWidth="1"/>
    <col min="14900" max="14900" width="9.88671875" style="625" customWidth="1"/>
    <col min="14901" max="14906" width="8.88671875" style="625"/>
    <col min="14907" max="14907" width="9.109375" style="625" bestFit="1" customWidth="1"/>
    <col min="14908" max="15104" width="8.88671875" style="625"/>
    <col min="15105" max="15105" width="6.6640625" style="625" customWidth="1"/>
    <col min="15106" max="15106" width="35.5546875" style="625" customWidth="1"/>
    <col min="15107" max="15107" width="8.33203125" style="625" customWidth="1"/>
    <col min="15108" max="15108" width="7.33203125" style="625" customWidth="1"/>
    <col min="15109" max="15111" width="8.88671875" style="625" customWidth="1"/>
    <col min="15112" max="15112" width="12.6640625" style="625" customWidth="1"/>
    <col min="15113" max="15113" width="7.5546875" style="625" customWidth="1"/>
    <col min="15114" max="15114" width="6.6640625" style="625" customWidth="1"/>
    <col min="15115" max="15115" width="14.33203125" style="625" customWidth="1"/>
    <col min="15116" max="15116" width="11.44140625" style="625" customWidth="1"/>
    <col min="15117" max="15117" width="9.5546875" style="625" customWidth="1"/>
    <col min="15118" max="15122" width="8.88671875" style="625" customWidth="1"/>
    <col min="15123" max="15123" width="0" style="625" hidden="1" customWidth="1"/>
    <col min="15124" max="15124" width="8.88671875" style="625" customWidth="1"/>
    <col min="15125" max="15125" width="10.33203125" style="625" customWidth="1"/>
    <col min="15126" max="15126" width="11.6640625" style="625" customWidth="1"/>
    <col min="15127" max="15128" width="8.88671875" style="625" customWidth="1"/>
    <col min="15129" max="15131" width="0" style="625" hidden="1" customWidth="1"/>
    <col min="15132" max="15132" width="8.88671875" style="625" customWidth="1"/>
    <col min="15133" max="15133" width="9.88671875" style="625" customWidth="1"/>
    <col min="15134" max="15134" width="11.88671875" style="625" customWidth="1"/>
    <col min="15135" max="15136" width="8.33203125" style="625" customWidth="1"/>
    <col min="15137" max="15145" width="8.88671875" style="625" customWidth="1"/>
    <col min="15146" max="15146" width="32.5546875" style="625" customWidth="1"/>
    <col min="15147" max="15154" width="8.88671875" style="625" customWidth="1"/>
    <col min="15155" max="15155" width="12" style="625" customWidth="1"/>
    <col min="15156" max="15156" width="9.88671875" style="625" customWidth="1"/>
    <col min="15157" max="15162" width="8.88671875" style="625"/>
    <col min="15163" max="15163" width="9.109375" style="625" bestFit="1" customWidth="1"/>
    <col min="15164" max="15360" width="8.88671875" style="625"/>
    <col min="15361" max="15361" width="6.6640625" style="625" customWidth="1"/>
    <col min="15362" max="15362" width="35.5546875" style="625" customWidth="1"/>
    <col min="15363" max="15363" width="8.33203125" style="625" customWidth="1"/>
    <col min="15364" max="15364" width="7.33203125" style="625" customWidth="1"/>
    <col min="15365" max="15367" width="8.88671875" style="625" customWidth="1"/>
    <col min="15368" max="15368" width="12.6640625" style="625" customWidth="1"/>
    <col min="15369" max="15369" width="7.5546875" style="625" customWidth="1"/>
    <col min="15370" max="15370" width="6.6640625" style="625" customWidth="1"/>
    <col min="15371" max="15371" width="14.33203125" style="625" customWidth="1"/>
    <col min="15372" max="15372" width="11.44140625" style="625" customWidth="1"/>
    <col min="15373" max="15373" width="9.5546875" style="625" customWidth="1"/>
    <col min="15374" max="15378" width="8.88671875" style="625" customWidth="1"/>
    <col min="15379" max="15379" width="0" style="625" hidden="1" customWidth="1"/>
    <col min="15380" max="15380" width="8.88671875" style="625" customWidth="1"/>
    <col min="15381" max="15381" width="10.33203125" style="625" customWidth="1"/>
    <col min="15382" max="15382" width="11.6640625" style="625" customWidth="1"/>
    <col min="15383" max="15384" width="8.88671875" style="625" customWidth="1"/>
    <col min="15385" max="15387" width="0" style="625" hidden="1" customWidth="1"/>
    <col min="15388" max="15388" width="8.88671875" style="625" customWidth="1"/>
    <col min="15389" max="15389" width="9.88671875" style="625" customWidth="1"/>
    <col min="15390" max="15390" width="11.88671875" style="625" customWidth="1"/>
    <col min="15391" max="15392" width="8.33203125" style="625" customWidth="1"/>
    <col min="15393" max="15401" width="8.88671875" style="625" customWidth="1"/>
    <col min="15402" max="15402" width="32.5546875" style="625" customWidth="1"/>
    <col min="15403" max="15410" width="8.88671875" style="625" customWidth="1"/>
    <col min="15411" max="15411" width="12" style="625" customWidth="1"/>
    <col min="15412" max="15412" width="9.88671875" style="625" customWidth="1"/>
    <col min="15413" max="15418" width="8.88671875" style="625"/>
    <col min="15419" max="15419" width="9.109375" style="625" bestFit="1" customWidth="1"/>
    <col min="15420" max="15616" width="8.88671875" style="625"/>
    <col min="15617" max="15617" width="6.6640625" style="625" customWidth="1"/>
    <col min="15618" max="15618" width="35.5546875" style="625" customWidth="1"/>
    <col min="15619" max="15619" width="8.33203125" style="625" customWidth="1"/>
    <col min="15620" max="15620" width="7.33203125" style="625" customWidth="1"/>
    <col min="15621" max="15623" width="8.88671875" style="625" customWidth="1"/>
    <col min="15624" max="15624" width="12.6640625" style="625" customWidth="1"/>
    <col min="15625" max="15625" width="7.5546875" style="625" customWidth="1"/>
    <col min="15626" max="15626" width="6.6640625" style="625" customWidth="1"/>
    <col min="15627" max="15627" width="14.33203125" style="625" customWidth="1"/>
    <col min="15628" max="15628" width="11.44140625" style="625" customWidth="1"/>
    <col min="15629" max="15629" width="9.5546875" style="625" customWidth="1"/>
    <col min="15630" max="15634" width="8.88671875" style="625" customWidth="1"/>
    <col min="15635" max="15635" width="0" style="625" hidden="1" customWidth="1"/>
    <col min="15636" max="15636" width="8.88671875" style="625" customWidth="1"/>
    <col min="15637" max="15637" width="10.33203125" style="625" customWidth="1"/>
    <col min="15638" max="15638" width="11.6640625" style="625" customWidth="1"/>
    <col min="15639" max="15640" width="8.88671875" style="625" customWidth="1"/>
    <col min="15641" max="15643" width="0" style="625" hidden="1" customWidth="1"/>
    <col min="15644" max="15644" width="8.88671875" style="625" customWidth="1"/>
    <col min="15645" max="15645" width="9.88671875" style="625" customWidth="1"/>
    <col min="15646" max="15646" width="11.88671875" style="625" customWidth="1"/>
    <col min="15647" max="15648" width="8.33203125" style="625" customWidth="1"/>
    <col min="15649" max="15657" width="8.88671875" style="625" customWidth="1"/>
    <col min="15658" max="15658" width="32.5546875" style="625" customWidth="1"/>
    <col min="15659" max="15666" width="8.88671875" style="625" customWidth="1"/>
    <col min="15667" max="15667" width="12" style="625" customWidth="1"/>
    <col min="15668" max="15668" width="9.88671875" style="625" customWidth="1"/>
    <col min="15669" max="15674" width="8.88671875" style="625"/>
    <col min="15675" max="15675" width="9.109375" style="625" bestFit="1" customWidth="1"/>
    <col min="15676" max="15872" width="8.88671875" style="625"/>
    <col min="15873" max="15873" width="6.6640625" style="625" customWidth="1"/>
    <col min="15874" max="15874" width="35.5546875" style="625" customWidth="1"/>
    <col min="15875" max="15875" width="8.33203125" style="625" customWidth="1"/>
    <col min="15876" max="15876" width="7.33203125" style="625" customWidth="1"/>
    <col min="15877" max="15879" width="8.88671875" style="625" customWidth="1"/>
    <col min="15880" max="15880" width="12.6640625" style="625" customWidth="1"/>
    <col min="15881" max="15881" width="7.5546875" style="625" customWidth="1"/>
    <col min="15882" max="15882" width="6.6640625" style="625" customWidth="1"/>
    <col min="15883" max="15883" width="14.33203125" style="625" customWidth="1"/>
    <col min="15884" max="15884" width="11.44140625" style="625" customWidth="1"/>
    <col min="15885" max="15885" width="9.5546875" style="625" customWidth="1"/>
    <col min="15886" max="15890" width="8.88671875" style="625" customWidth="1"/>
    <col min="15891" max="15891" width="0" style="625" hidden="1" customWidth="1"/>
    <col min="15892" max="15892" width="8.88671875" style="625" customWidth="1"/>
    <col min="15893" max="15893" width="10.33203125" style="625" customWidth="1"/>
    <col min="15894" max="15894" width="11.6640625" style="625" customWidth="1"/>
    <col min="15895" max="15896" width="8.88671875" style="625" customWidth="1"/>
    <col min="15897" max="15899" width="0" style="625" hidden="1" customWidth="1"/>
    <col min="15900" max="15900" width="8.88671875" style="625" customWidth="1"/>
    <col min="15901" max="15901" width="9.88671875" style="625" customWidth="1"/>
    <col min="15902" max="15902" width="11.88671875" style="625" customWidth="1"/>
    <col min="15903" max="15904" width="8.33203125" style="625" customWidth="1"/>
    <col min="15905" max="15913" width="8.88671875" style="625" customWidth="1"/>
    <col min="15914" max="15914" width="32.5546875" style="625" customWidth="1"/>
    <col min="15915" max="15922" width="8.88671875" style="625" customWidth="1"/>
    <col min="15923" max="15923" width="12" style="625" customWidth="1"/>
    <col min="15924" max="15924" width="9.88671875" style="625" customWidth="1"/>
    <col min="15925" max="15930" width="8.88671875" style="625"/>
    <col min="15931" max="15931" width="9.109375" style="625" bestFit="1" customWidth="1"/>
    <col min="15932" max="16128" width="8.88671875" style="625"/>
    <col min="16129" max="16129" width="6.6640625" style="625" customWidth="1"/>
    <col min="16130" max="16130" width="35.5546875" style="625" customWidth="1"/>
    <col min="16131" max="16131" width="8.33203125" style="625" customWidth="1"/>
    <col min="16132" max="16132" width="7.33203125" style="625" customWidth="1"/>
    <col min="16133" max="16135" width="8.88671875" style="625" customWidth="1"/>
    <col min="16136" max="16136" width="12.6640625" style="625" customWidth="1"/>
    <col min="16137" max="16137" width="7.5546875" style="625" customWidth="1"/>
    <col min="16138" max="16138" width="6.6640625" style="625" customWidth="1"/>
    <col min="16139" max="16139" width="14.33203125" style="625" customWidth="1"/>
    <col min="16140" max="16140" width="11.44140625" style="625" customWidth="1"/>
    <col min="16141" max="16141" width="9.5546875" style="625" customWidth="1"/>
    <col min="16142" max="16146" width="8.88671875" style="625" customWidth="1"/>
    <col min="16147" max="16147" width="0" style="625" hidden="1" customWidth="1"/>
    <col min="16148" max="16148" width="8.88671875" style="625" customWidth="1"/>
    <col min="16149" max="16149" width="10.33203125" style="625" customWidth="1"/>
    <col min="16150" max="16150" width="11.6640625" style="625" customWidth="1"/>
    <col min="16151" max="16152" width="8.88671875" style="625" customWidth="1"/>
    <col min="16153" max="16155" width="0" style="625" hidden="1" customWidth="1"/>
    <col min="16156" max="16156" width="8.88671875" style="625" customWidth="1"/>
    <col min="16157" max="16157" width="9.88671875" style="625" customWidth="1"/>
    <col min="16158" max="16158" width="11.88671875" style="625" customWidth="1"/>
    <col min="16159" max="16160" width="8.33203125" style="625" customWidth="1"/>
    <col min="16161" max="16169" width="8.88671875" style="625" customWidth="1"/>
    <col min="16170" max="16170" width="32.5546875" style="625" customWidth="1"/>
    <col min="16171" max="16178" width="8.88671875" style="625" customWidth="1"/>
    <col min="16179" max="16179" width="12" style="625" customWidth="1"/>
    <col min="16180" max="16180" width="9.88671875" style="625" customWidth="1"/>
    <col min="16181" max="16186" width="8.88671875" style="625"/>
    <col min="16187" max="16187" width="9.109375" style="625" bestFit="1" customWidth="1"/>
    <col min="16188" max="16384" width="8.88671875" style="625"/>
  </cols>
  <sheetData>
    <row r="1" spans="1:75" s="614" customFormat="1">
      <c r="A1" s="3044"/>
      <c r="B1" s="3044"/>
      <c r="C1" s="607"/>
      <c r="D1" s="607"/>
      <c r="E1" s="607"/>
      <c r="F1" s="607"/>
      <c r="G1" s="607"/>
      <c r="H1" s="607"/>
      <c r="I1" s="607"/>
      <c r="J1" s="607"/>
      <c r="K1" s="607">
        <f>L56-AD56+AD235-AD224</f>
        <v>461389</v>
      </c>
      <c r="L1" s="607">
        <f>L60-AD60+AD236</f>
        <v>81102</v>
      </c>
      <c r="M1" s="608"/>
      <c r="N1" s="608"/>
      <c r="O1" s="608"/>
      <c r="P1" s="608"/>
      <c r="Q1" s="608"/>
      <c r="R1" s="608"/>
      <c r="S1" s="609"/>
      <c r="T1" s="609"/>
      <c r="U1" s="608"/>
      <c r="V1" s="608"/>
      <c r="W1" s="608"/>
      <c r="X1" s="608"/>
      <c r="Y1" s="609"/>
      <c r="Z1" s="610"/>
      <c r="AA1" s="609"/>
      <c r="AB1" s="609"/>
      <c r="AC1" s="608"/>
      <c r="AD1" s="608"/>
      <c r="AE1" s="608"/>
      <c r="AF1" s="611"/>
      <c r="AG1" s="611"/>
      <c r="AH1" s="611"/>
      <c r="AI1" s="611"/>
      <c r="AJ1" s="611"/>
      <c r="AK1" s="611"/>
      <c r="AL1" s="611"/>
      <c r="AM1" s="612"/>
      <c r="AN1" s="613"/>
      <c r="AO1" s="612"/>
      <c r="AP1" s="612"/>
      <c r="AQ1" s="612"/>
      <c r="AZ1" s="615"/>
    </row>
    <row r="2" spans="1:75" s="614" customFormat="1" ht="20.399999999999999">
      <c r="A2" s="3045" t="s">
        <v>394</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612"/>
      <c r="AN2" s="613"/>
      <c r="AO2" s="3031" t="s">
        <v>395</v>
      </c>
      <c r="AP2" s="3031"/>
      <c r="AQ2" s="3031"/>
      <c r="AR2" s="3031"/>
      <c r="AS2" s="3031"/>
      <c r="AT2" s="3031"/>
      <c r="AU2" s="3031"/>
      <c r="AV2" s="3031"/>
      <c r="AW2" s="3031"/>
      <c r="AX2" s="3031"/>
      <c r="AY2" s="3031"/>
      <c r="AZ2" s="3031"/>
      <c r="BA2" s="3031"/>
      <c r="BB2" s="3031"/>
      <c r="BC2" s="3031"/>
      <c r="BD2" s="3031"/>
      <c r="BE2" s="3031"/>
      <c r="BF2" s="3031"/>
      <c r="BG2" s="3031"/>
      <c r="BH2" s="3031"/>
      <c r="BI2" s="3031"/>
      <c r="BJ2" s="3031"/>
      <c r="BK2" s="3031"/>
      <c r="BL2" s="3031"/>
      <c r="BM2" s="3031"/>
      <c r="BN2" s="3031"/>
      <c r="BO2" s="3031"/>
      <c r="BP2" s="3031"/>
      <c r="BQ2" s="3031"/>
      <c r="BR2" s="3031"/>
      <c r="BS2" s="3031"/>
      <c r="BT2" s="3031"/>
      <c r="BU2" s="3031"/>
      <c r="BV2" s="3031"/>
      <c r="BW2" s="3031"/>
    </row>
    <row r="3" spans="1:75" s="614" customFormat="1" ht="18">
      <c r="A3" s="3046" t="s">
        <v>396</v>
      </c>
      <c r="B3" s="3046"/>
      <c r="C3" s="3046"/>
      <c r="D3" s="3046"/>
      <c r="E3" s="3046"/>
      <c r="F3" s="3046"/>
      <c r="G3" s="3046"/>
      <c r="H3" s="3046"/>
      <c r="I3" s="3046"/>
      <c r="J3" s="3046"/>
      <c r="K3" s="3046"/>
      <c r="L3" s="3046"/>
      <c r="M3" s="3046"/>
      <c r="N3" s="3046"/>
      <c r="O3" s="3046"/>
      <c r="P3" s="3046"/>
      <c r="Q3" s="3046"/>
      <c r="R3" s="3046"/>
      <c r="S3" s="3046"/>
      <c r="T3" s="3046"/>
      <c r="U3" s="3046"/>
      <c r="V3" s="3046"/>
      <c r="W3" s="3046"/>
      <c r="X3" s="3046"/>
      <c r="Y3" s="3046"/>
      <c r="Z3" s="3046"/>
      <c r="AA3" s="3046"/>
      <c r="AB3" s="3046"/>
      <c r="AC3" s="3046"/>
      <c r="AD3" s="3046"/>
      <c r="AE3" s="3046"/>
      <c r="AF3" s="3046"/>
      <c r="AG3" s="3046"/>
      <c r="AH3" s="3046"/>
      <c r="AI3" s="3046"/>
      <c r="AJ3" s="3046"/>
      <c r="AK3" s="3046"/>
      <c r="AL3" s="3046"/>
      <c r="AM3" s="612"/>
      <c r="AN3" s="613"/>
      <c r="AO3" s="612"/>
      <c r="AP3" s="612"/>
      <c r="AQ3" s="612"/>
      <c r="AY3" s="856">
        <f>L56-AD56+AD235</f>
        <v>461578</v>
      </c>
      <c r="AZ3" s="615"/>
    </row>
    <row r="4" spans="1:75">
      <c r="B4" s="619">
        <f>L60-SUM(L69,L70,L71,L72)</f>
        <v>56789</v>
      </c>
      <c r="H4" s="618">
        <f>SUM(L109:L114)</f>
        <v>408315</v>
      </c>
      <c r="K4" s="618">
        <f>L56+AD237</f>
        <v>478510</v>
      </c>
      <c r="L4" s="1326">
        <v>461578</v>
      </c>
      <c r="M4" s="619">
        <f>L4-L56</f>
        <v>17323</v>
      </c>
      <c r="AD4" s="622"/>
      <c r="AE4" s="622"/>
      <c r="AF4" s="623"/>
      <c r="AG4" s="623"/>
      <c r="AH4" s="623"/>
      <c r="AI4" s="3047" t="s">
        <v>397</v>
      </c>
      <c r="AJ4" s="3047"/>
      <c r="AK4" s="623"/>
      <c r="AL4" s="623"/>
    </row>
    <row r="5" spans="1:75" s="629" customFormat="1">
      <c r="A5" s="3040" t="s">
        <v>398</v>
      </c>
      <c r="B5" s="3040" t="s">
        <v>399</v>
      </c>
      <c r="C5" s="3033" t="s">
        <v>400</v>
      </c>
      <c r="D5" s="3033" t="s">
        <v>401</v>
      </c>
      <c r="E5" s="3036" t="s">
        <v>401</v>
      </c>
      <c r="F5" s="3036"/>
      <c r="G5" s="3036" t="s">
        <v>402</v>
      </c>
      <c r="H5" s="3036"/>
      <c r="I5" s="3037" t="s">
        <v>403</v>
      </c>
      <c r="J5" s="3037"/>
      <c r="K5" s="3042" t="s">
        <v>796</v>
      </c>
      <c r="L5" s="3033" t="s">
        <v>404</v>
      </c>
      <c r="M5" s="3036" t="s">
        <v>286</v>
      </c>
      <c r="N5" s="3036"/>
      <c r="O5" s="3036"/>
      <c r="P5" s="3036"/>
      <c r="Q5" s="3036"/>
      <c r="R5" s="3036"/>
      <c r="S5" s="3036"/>
      <c r="T5" s="3036"/>
      <c r="U5" s="3036"/>
      <c r="V5" s="3036" t="s">
        <v>405</v>
      </c>
      <c r="W5" s="3036"/>
      <c r="X5" s="3036"/>
      <c r="Y5" s="3036"/>
      <c r="Z5" s="3036"/>
      <c r="AA5" s="3036"/>
      <c r="AB5" s="3036"/>
      <c r="AC5" s="3036"/>
      <c r="AD5" s="3033" t="s">
        <v>406</v>
      </c>
      <c r="AE5" s="3033" t="s">
        <v>407</v>
      </c>
      <c r="AF5" s="3038" t="s">
        <v>408</v>
      </c>
      <c r="AG5" s="3038" t="s">
        <v>409</v>
      </c>
      <c r="AH5" s="3038" t="s">
        <v>410</v>
      </c>
      <c r="AI5" s="3038" t="s">
        <v>411</v>
      </c>
      <c r="AJ5" s="3038" t="s">
        <v>412</v>
      </c>
      <c r="AK5" s="3038" t="s">
        <v>413</v>
      </c>
      <c r="AL5" s="3038" t="s">
        <v>414</v>
      </c>
      <c r="AM5" s="627"/>
      <c r="AN5" s="628"/>
      <c r="AO5" s="3040" t="s">
        <v>398</v>
      </c>
      <c r="AP5" s="3040" t="s">
        <v>399</v>
      </c>
      <c r="AQ5" s="3033" t="s">
        <v>400</v>
      </c>
      <c r="AR5" s="3033" t="s">
        <v>401</v>
      </c>
      <c r="AS5" s="3036" t="s">
        <v>401</v>
      </c>
      <c r="AT5" s="3036"/>
      <c r="AU5" s="3036" t="s">
        <v>402</v>
      </c>
      <c r="AV5" s="3036"/>
      <c r="AW5" s="3037" t="s">
        <v>403</v>
      </c>
      <c r="AX5" s="3037"/>
      <c r="AY5" s="3033" t="s">
        <v>404</v>
      </c>
      <c r="AZ5" s="3036" t="s">
        <v>286</v>
      </c>
      <c r="BA5" s="3036"/>
      <c r="BB5" s="3036"/>
      <c r="BC5" s="3036"/>
      <c r="BD5" s="3036"/>
      <c r="BE5" s="3036"/>
      <c r="BF5" s="3036"/>
      <c r="BG5" s="3036"/>
      <c r="BH5" s="3036" t="s">
        <v>405</v>
      </c>
      <c r="BI5" s="3036"/>
      <c r="BJ5" s="3036"/>
      <c r="BK5" s="3036"/>
      <c r="BL5" s="3036"/>
      <c r="BM5" s="3036"/>
      <c r="BN5" s="3036"/>
      <c r="BO5" s="3033" t="s">
        <v>406</v>
      </c>
      <c r="BP5" s="3033" t="s">
        <v>407</v>
      </c>
      <c r="BQ5" s="3033" t="s">
        <v>408</v>
      </c>
      <c r="BR5" s="3033" t="s">
        <v>409</v>
      </c>
      <c r="BS5" s="3033" t="s">
        <v>410</v>
      </c>
      <c r="BT5" s="3033" t="s">
        <v>411</v>
      </c>
      <c r="BU5" s="3033" t="s">
        <v>412</v>
      </c>
      <c r="BV5" s="3033" t="s">
        <v>413</v>
      </c>
      <c r="BW5" s="3033" t="s">
        <v>414</v>
      </c>
    </row>
    <row r="6" spans="1:75" s="629" customFormat="1" ht="109.2">
      <c r="A6" s="3041"/>
      <c r="B6" s="3041"/>
      <c r="C6" s="3034"/>
      <c r="D6" s="3034"/>
      <c r="E6" s="630" t="s">
        <v>415</v>
      </c>
      <c r="F6" s="630" t="s">
        <v>416</v>
      </c>
      <c r="G6" s="630" t="s">
        <v>415</v>
      </c>
      <c r="H6" s="630" t="s">
        <v>416</v>
      </c>
      <c r="I6" s="630" t="s">
        <v>417</v>
      </c>
      <c r="J6" s="630" t="s">
        <v>418</v>
      </c>
      <c r="K6" s="3043"/>
      <c r="L6" s="3034"/>
      <c r="M6" s="631" t="s">
        <v>419</v>
      </c>
      <c r="N6" s="631" t="s">
        <v>420</v>
      </c>
      <c r="O6" s="631" t="s">
        <v>421</v>
      </c>
      <c r="P6" s="631" t="s">
        <v>422</v>
      </c>
      <c r="Q6" s="631" t="s">
        <v>423</v>
      </c>
      <c r="R6" s="631" t="s">
        <v>424</v>
      </c>
      <c r="S6" s="632" t="s">
        <v>425</v>
      </c>
      <c r="T6" s="632" t="s">
        <v>426</v>
      </c>
      <c r="U6" s="631" t="s">
        <v>89</v>
      </c>
      <c r="V6" s="631" t="s">
        <v>427</v>
      </c>
      <c r="W6" s="631" t="s">
        <v>428</v>
      </c>
      <c r="X6" s="631" t="s">
        <v>423</v>
      </c>
      <c r="Y6" s="632" t="s">
        <v>424</v>
      </c>
      <c r="Z6" s="633" t="s">
        <v>429</v>
      </c>
      <c r="AA6" s="632" t="s">
        <v>430</v>
      </c>
      <c r="AB6" s="632" t="s">
        <v>426</v>
      </c>
      <c r="AC6" s="631" t="s">
        <v>89</v>
      </c>
      <c r="AD6" s="3034"/>
      <c r="AE6" s="3034"/>
      <c r="AF6" s="3039"/>
      <c r="AG6" s="3039"/>
      <c r="AH6" s="3039"/>
      <c r="AI6" s="3039"/>
      <c r="AJ6" s="3039"/>
      <c r="AK6" s="3039"/>
      <c r="AL6" s="3039"/>
      <c r="AM6" s="627"/>
      <c r="AN6" s="628"/>
      <c r="AO6" s="3041"/>
      <c r="AP6" s="3041"/>
      <c r="AQ6" s="3034"/>
      <c r="AR6" s="3034"/>
      <c r="AS6" s="630" t="s">
        <v>415</v>
      </c>
      <c r="AT6" s="630" t="s">
        <v>416</v>
      </c>
      <c r="AU6" s="630" t="s">
        <v>415</v>
      </c>
      <c r="AV6" s="630" t="s">
        <v>416</v>
      </c>
      <c r="AW6" s="630" t="s">
        <v>417</v>
      </c>
      <c r="AX6" s="630" t="s">
        <v>418</v>
      </c>
      <c r="AY6" s="3034"/>
      <c r="AZ6" s="634" t="s">
        <v>419</v>
      </c>
      <c r="BA6" s="631" t="s">
        <v>420</v>
      </c>
      <c r="BB6" s="631" t="s">
        <v>421</v>
      </c>
      <c r="BC6" s="631" t="s">
        <v>422</v>
      </c>
      <c r="BD6" s="631" t="s">
        <v>431</v>
      </c>
      <c r="BE6" s="631" t="s">
        <v>432</v>
      </c>
      <c r="BF6" s="632" t="s">
        <v>432</v>
      </c>
      <c r="BG6" s="631" t="s">
        <v>89</v>
      </c>
      <c r="BH6" s="631" t="s">
        <v>427</v>
      </c>
      <c r="BI6" s="631" t="s">
        <v>433</v>
      </c>
      <c r="BJ6" s="631" t="s">
        <v>428</v>
      </c>
      <c r="BK6" s="631" t="s">
        <v>434</v>
      </c>
      <c r="BL6" s="631" t="s">
        <v>432</v>
      </c>
      <c r="BM6" s="632" t="s">
        <v>432</v>
      </c>
      <c r="BN6" s="631" t="s">
        <v>89</v>
      </c>
      <c r="BO6" s="3034"/>
      <c r="BP6" s="3034"/>
      <c r="BQ6" s="3034"/>
      <c r="BR6" s="3034"/>
      <c r="BS6" s="3034"/>
      <c r="BT6" s="3034"/>
      <c r="BU6" s="3034"/>
      <c r="BV6" s="3034"/>
      <c r="BW6" s="3034"/>
    </row>
    <row r="7" spans="1:75" s="643" customFormat="1" ht="39.6">
      <c r="A7" s="635" t="s">
        <v>80</v>
      </c>
      <c r="B7" s="635" t="s">
        <v>81</v>
      </c>
      <c r="C7" s="636" t="s">
        <v>435</v>
      </c>
      <c r="D7" s="636" t="s">
        <v>436</v>
      </c>
      <c r="E7" s="636">
        <v>3</v>
      </c>
      <c r="F7" s="636">
        <v>4</v>
      </c>
      <c r="G7" s="636">
        <v>5</v>
      </c>
      <c r="H7" s="636">
        <v>6</v>
      </c>
      <c r="I7" s="636">
        <v>7</v>
      </c>
      <c r="J7" s="636">
        <v>8</v>
      </c>
      <c r="K7" s="988"/>
      <c r="L7" s="636" t="s">
        <v>437</v>
      </c>
      <c r="M7" s="636">
        <v>10</v>
      </c>
      <c r="N7" s="636">
        <v>11</v>
      </c>
      <c r="O7" s="636">
        <v>12</v>
      </c>
      <c r="P7" s="636">
        <v>13</v>
      </c>
      <c r="Q7" s="636">
        <v>14</v>
      </c>
      <c r="R7" s="636">
        <v>15</v>
      </c>
      <c r="S7" s="637">
        <v>14</v>
      </c>
      <c r="T7" s="637"/>
      <c r="U7" s="636" t="s">
        <v>438</v>
      </c>
      <c r="V7" s="636">
        <v>16</v>
      </c>
      <c r="W7" s="636">
        <v>18</v>
      </c>
      <c r="X7" s="636">
        <v>20</v>
      </c>
      <c r="Y7" s="637">
        <v>21</v>
      </c>
      <c r="Z7" s="638"/>
      <c r="AA7" s="637">
        <v>19</v>
      </c>
      <c r="AB7" s="637"/>
      <c r="AC7" s="636" t="s">
        <v>439</v>
      </c>
      <c r="AD7" s="636">
        <v>21</v>
      </c>
      <c r="AE7" s="636">
        <v>22</v>
      </c>
      <c r="AF7" s="639">
        <v>25</v>
      </c>
      <c r="AG7" s="639">
        <v>23</v>
      </c>
      <c r="AH7" s="639">
        <v>24</v>
      </c>
      <c r="AI7" s="639">
        <v>25</v>
      </c>
      <c r="AJ7" s="639">
        <v>26</v>
      </c>
      <c r="AK7" s="639">
        <v>27</v>
      </c>
      <c r="AL7" s="639">
        <v>28</v>
      </c>
      <c r="AM7" s="640"/>
      <c r="AN7" s="641"/>
      <c r="AO7" s="635" t="s">
        <v>80</v>
      </c>
      <c r="AP7" s="635" t="s">
        <v>81</v>
      </c>
      <c r="AQ7" s="636" t="s">
        <v>435</v>
      </c>
      <c r="AR7" s="636" t="s">
        <v>436</v>
      </c>
      <c r="AS7" s="636">
        <v>3</v>
      </c>
      <c r="AT7" s="636">
        <v>4</v>
      </c>
      <c r="AU7" s="636">
        <v>5</v>
      </c>
      <c r="AV7" s="636">
        <v>6</v>
      </c>
      <c r="AW7" s="636">
        <v>7</v>
      </c>
      <c r="AX7" s="636">
        <v>8</v>
      </c>
      <c r="AY7" s="636" t="s">
        <v>437</v>
      </c>
      <c r="AZ7" s="642">
        <v>10</v>
      </c>
      <c r="BA7" s="636">
        <v>11</v>
      </c>
      <c r="BB7" s="636">
        <v>12</v>
      </c>
      <c r="BC7" s="636">
        <v>13</v>
      </c>
      <c r="BD7" s="636">
        <v>14</v>
      </c>
      <c r="BE7" s="636">
        <v>15</v>
      </c>
      <c r="BF7" s="637">
        <v>14</v>
      </c>
      <c r="BG7" s="636" t="s">
        <v>438</v>
      </c>
      <c r="BH7" s="636">
        <v>16</v>
      </c>
      <c r="BI7" s="636">
        <v>17</v>
      </c>
      <c r="BJ7" s="636">
        <v>18</v>
      </c>
      <c r="BK7" s="636">
        <v>20</v>
      </c>
      <c r="BL7" s="636">
        <v>21</v>
      </c>
      <c r="BM7" s="637">
        <v>19</v>
      </c>
      <c r="BN7" s="636" t="s">
        <v>439</v>
      </c>
      <c r="BO7" s="636">
        <v>21</v>
      </c>
      <c r="BP7" s="636">
        <v>22</v>
      </c>
      <c r="BQ7" s="636">
        <v>25</v>
      </c>
      <c r="BR7" s="636">
        <v>23</v>
      </c>
      <c r="BS7" s="636">
        <v>24</v>
      </c>
      <c r="BT7" s="636">
        <v>25</v>
      </c>
      <c r="BU7" s="636">
        <v>26</v>
      </c>
      <c r="BV7" s="636">
        <v>27</v>
      </c>
      <c r="BW7" s="636">
        <v>28</v>
      </c>
    </row>
    <row r="8" spans="1:75" s="614" customFormat="1">
      <c r="A8" s="644" t="s">
        <v>54</v>
      </c>
      <c r="B8" s="645" t="s">
        <v>800</v>
      </c>
      <c r="C8" s="631">
        <f t="shared" ref="C8:AL8" si="0">C9+C30+C42+C33</f>
        <v>848</v>
      </c>
      <c r="D8" s="631">
        <f t="shared" si="0"/>
        <v>781</v>
      </c>
      <c r="E8" s="631">
        <f t="shared" si="0"/>
        <v>97</v>
      </c>
      <c r="F8" s="631">
        <f t="shared" si="0"/>
        <v>684</v>
      </c>
      <c r="G8" s="631">
        <f t="shared" si="0"/>
        <v>87</v>
      </c>
      <c r="H8" s="631">
        <f t="shared" si="0"/>
        <v>660</v>
      </c>
      <c r="I8" s="631">
        <f t="shared" si="0"/>
        <v>67</v>
      </c>
      <c r="J8" s="631">
        <f t="shared" si="0"/>
        <v>66</v>
      </c>
      <c r="K8" s="989">
        <f>L8-AD8</f>
        <v>330406</v>
      </c>
      <c r="L8" s="646">
        <f t="shared" si="0"/>
        <v>332032</v>
      </c>
      <c r="M8" s="646">
        <f t="shared" si="0"/>
        <v>55224</v>
      </c>
      <c r="N8" s="646">
        <f t="shared" si="0"/>
        <v>13500</v>
      </c>
      <c r="O8" s="646">
        <f t="shared" si="0"/>
        <v>1373</v>
      </c>
      <c r="P8" s="646">
        <f t="shared" si="0"/>
        <v>0</v>
      </c>
      <c r="Q8" s="646">
        <f t="shared" si="0"/>
        <v>0</v>
      </c>
      <c r="R8" s="646">
        <f t="shared" si="0"/>
        <v>33.6</v>
      </c>
      <c r="S8" s="647">
        <f t="shared" si="0"/>
        <v>1501</v>
      </c>
      <c r="T8" s="647">
        <f t="shared" si="0"/>
        <v>1536</v>
      </c>
      <c r="U8" s="646">
        <f t="shared" si="0"/>
        <v>68561</v>
      </c>
      <c r="V8" s="646">
        <f t="shared" si="0"/>
        <v>265894</v>
      </c>
      <c r="W8" s="646">
        <f t="shared" si="0"/>
        <v>7463</v>
      </c>
      <c r="X8" s="646">
        <f t="shared" si="0"/>
        <v>0</v>
      </c>
      <c r="Y8" s="647">
        <f t="shared" si="0"/>
        <v>20982.700000000004</v>
      </c>
      <c r="Z8" s="646">
        <f t="shared" si="0"/>
        <v>25281</v>
      </c>
      <c r="AA8" s="647">
        <f t="shared" si="0"/>
        <v>4069</v>
      </c>
      <c r="AB8" s="647">
        <f>AB9+AB30+AB42+AB33</f>
        <v>11512</v>
      </c>
      <c r="AC8" s="647">
        <f>AC9+AC30+AC42+AC33</f>
        <v>261845</v>
      </c>
      <c r="AD8" s="646">
        <f t="shared" si="0"/>
        <v>1626</v>
      </c>
      <c r="AE8" s="646">
        <f t="shared" si="0"/>
        <v>0</v>
      </c>
      <c r="AF8" s="648">
        <f t="shared" si="0"/>
        <v>0</v>
      </c>
      <c r="AG8" s="648">
        <f t="shared" si="0"/>
        <v>0</v>
      </c>
      <c r="AH8" s="648">
        <f t="shared" si="0"/>
        <v>0</v>
      </c>
      <c r="AI8" s="648">
        <f t="shared" si="0"/>
        <v>0</v>
      </c>
      <c r="AJ8" s="648">
        <f t="shared" si="0"/>
        <v>0</v>
      </c>
      <c r="AK8" s="648">
        <f t="shared" si="0"/>
        <v>0</v>
      </c>
      <c r="AL8" s="648">
        <f t="shared" si="0"/>
        <v>0</v>
      </c>
      <c r="AM8" s="612"/>
      <c r="AN8" s="610">
        <v>66519</v>
      </c>
      <c r="AO8" s="644" t="s">
        <v>54</v>
      </c>
      <c r="AP8" s="645" t="s">
        <v>440</v>
      </c>
      <c r="AQ8" s="631">
        <f t="shared" ref="AQ8:BW8" si="1">AQ9+AQ30+AQ42+AQ33</f>
        <v>905</v>
      </c>
      <c r="AR8" s="631">
        <f t="shared" si="1"/>
        <v>823</v>
      </c>
      <c r="AS8" s="631">
        <f t="shared" si="1"/>
        <v>101</v>
      </c>
      <c r="AT8" s="631">
        <f t="shared" si="1"/>
        <v>722</v>
      </c>
      <c r="AU8" s="631">
        <f t="shared" si="1"/>
        <v>91</v>
      </c>
      <c r="AV8" s="631">
        <f t="shared" si="1"/>
        <v>691</v>
      </c>
      <c r="AW8" s="631">
        <f t="shared" si="1"/>
        <v>82</v>
      </c>
      <c r="AX8" s="631">
        <f t="shared" si="1"/>
        <v>67</v>
      </c>
      <c r="AY8" s="646">
        <f t="shared" si="1"/>
        <v>327958</v>
      </c>
      <c r="AZ8" s="649">
        <f t="shared" si="1"/>
        <v>57786</v>
      </c>
      <c r="BA8" s="646">
        <f t="shared" si="1"/>
        <v>14117</v>
      </c>
      <c r="BB8" s="646">
        <f t="shared" si="1"/>
        <v>2208</v>
      </c>
      <c r="BC8" s="646">
        <f t="shared" si="1"/>
        <v>0</v>
      </c>
      <c r="BD8" s="646">
        <f t="shared" si="1"/>
        <v>0</v>
      </c>
      <c r="BE8" s="646">
        <f t="shared" si="1"/>
        <v>1632.4999999999995</v>
      </c>
      <c r="BF8" s="647">
        <f t="shared" si="1"/>
        <v>1633</v>
      </c>
      <c r="BG8" s="646">
        <f t="shared" si="1"/>
        <v>72478</v>
      </c>
      <c r="BH8" s="646">
        <f t="shared" si="1"/>
        <v>135813</v>
      </c>
      <c r="BI8" s="646">
        <f t="shared" si="1"/>
        <v>100044</v>
      </c>
      <c r="BJ8" s="646">
        <f t="shared" si="1"/>
        <v>22964</v>
      </c>
      <c r="BK8" s="646">
        <f t="shared" si="1"/>
        <v>0</v>
      </c>
      <c r="BL8" s="646">
        <f t="shared" si="1"/>
        <v>4977.6000000000004</v>
      </c>
      <c r="BM8" s="647">
        <f t="shared" si="1"/>
        <v>4978</v>
      </c>
      <c r="BN8" s="646">
        <f t="shared" si="1"/>
        <v>253843</v>
      </c>
      <c r="BO8" s="646">
        <f t="shared" si="1"/>
        <v>1637</v>
      </c>
      <c r="BP8" s="646">
        <f t="shared" si="1"/>
        <v>0</v>
      </c>
      <c r="BQ8" s="646">
        <f t="shared" si="1"/>
        <v>10347</v>
      </c>
      <c r="BR8" s="646">
        <f t="shared" si="1"/>
        <v>1399</v>
      </c>
      <c r="BS8" s="646">
        <f t="shared" si="1"/>
        <v>45</v>
      </c>
      <c r="BT8" s="646">
        <f t="shared" si="1"/>
        <v>150</v>
      </c>
      <c r="BU8" s="646">
        <f t="shared" si="1"/>
        <v>1900</v>
      </c>
      <c r="BV8" s="646">
        <f t="shared" si="1"/>
        <v>0</v>
      </c>
      <c r="BW8" s="646">
        <f t="shared" si="1"/>
        <v>0</v>
      </c>
    </row>
    <row r="9" spans="1:75" s="614" customFormat="1">
      <c r="A9" s="650" t="s">
        <v>441</v>
      </c>
      <c r="B9" s="651" t="s">
        <v>442</v>
      </c>
      <c r="C9" s="652">
        <f>C10+C27+C28+C29</f>
        <v>623</v>
      </c>
      <c r="D9" s="652">
        <f t="shared" ref="D9:AL9" si="2">D10+D27+D28+D29</f>
        <v>594</v>
      </c>
      <c r="E9" s="652">
        <f t="shared" si="2"/>
        <v>71</v>
      </c>
      <c r="F9" s="652">
        <f t="shared" si="2"/>
        <v>523</v>
      </c>
      <c r="G9" s="652">
        <f t="shared" si="2"/>
        <v>63</v>
      </c>
      <c r="H9" s="652">
        <f t="shared" si="2"/>
        <v>503</v>
      </c>
      <c r="I9" s="652">
        <f t="shared" si="2"/>
        <v>29</v>
      </c>
      <c r="J9" s="652">
        <f t="shared" si="2"/>
        <v>29</v>
      </c>
      <c r="K9" s="989">
        <f t="shared" ref="K9:K72" si="3">L9-AD9</f>
        <v>139968</v>
      </c>
      <c r="L9" s="653">
        <f>L10+L27+L28+L29</f>
        <v>141381</v>
      </c>
      <c r="M9" s="653">
        <f t="shared" si="2"/>
        <v>41514</v>
      </c>
      <c r="N9" s="653">
        <f t="shared" si="2"/>
        <v>9429</v>
      </c>
      <c r="O9" s="653">
        <f t="shared" si="2"/>
        <v>841</v>
      </c>
      <c r="P9" s="653">
        <f t="shared" si="2"/>
        <v>0</v>
      </c>
      <c r="Q9" s="653">
        <f t="shared" si="2"/>
        <v>0</v>
      </c>
      <c r="R9" s="653">
        <f t="shared" si="2"/>
        <v>0</v>
      </c>
      <c r="S9" s="654">
        <f t="shared" si="2"/>
        <v>989</v>
      </c>
      <c r="T9" s="654">
        <f t="shared" si="2"/>
        <v>989</v>
      </c>
      <c r="U9" s="653">
        <f t="shared" si="2"/>
        <v>50795</v>
      </c>
      <c r="V9" s="653">
        <f t="shared" si="2"/>
        <v>88835</v>
      </c>
      <c r="W9" s="653">
        <f t="shared" si="2"/>
        <v>1237</v>
      </c>
      <c r="X9" s="653">
        <f t="shared" si="2"/>
        <v>0</v>
      </c>
      <c r="Y9" s="655">
        <f t="shared" si="2"/>
        <v>7108.0000000000009</v>
      </c>
      <c r="Z9" s="653">
        <f t="shared" si="2"/>
        <v>7615.1</v>
      </c>
      <c r="AA9" s="654">
        <f t="shared" si="2"/>
        <v>459</v>
      </c>
      <c r="AB9" s="654">
        <f t="shared" si="2"/>
        <v>899</v>
      </c>
      <c r="AC9" s="654">
        <f t="shared" si="2"/>
        <v>89173</v>
      </c>
      <c r="AD9" s="653">
        <f t="shared" si="2"/>
        <v>1413</v>
      </c>
      <c r="AE9" s="653">
        <f t="shared" si="2"/>
        <v>0</v>
      </c>
      <c r="AF9" s="656">
        <f t="shared" si="2"/>
        <v>0</v>
      </c>
      <c r="AG9" s="656">
        <f t="shared" si="2"/>
        <v>0</v>
      </c>
      <c r="AH9" s="656">
        <f t="shared" si="2"/>
        <v>0</v>
      </c>
      <c r="AI9" s="656">
        <f t="shared" si="2"/>
        <v>0</v>
      </c>
      <c r="AJ9" s="656">
        <f t="shared" si="2"/>
        <v>0</v>
      </c>
      <c r="AK9" s="656">
        <f t="shared" si="2"/>
        <v>0</v>
      </c>
      <c r="AL9" s="656">
        <f t="shared" si="2"/>
        <v>0</v>
      </c>
      <c r="AM9" s="657" t="e">
        <f>AM10+AM27+AM28+#REF!+AM29</f>
        <v>#REF!</v>
      </c>
      <c r="AN9" s="610"/>
      <c r="AO9" s="650" t="s">
        <v>441</v>
      </c>
      <c r="AP9" s="651" t="s">
        <v>442</v>
      </c>
      <c r="AQ9" s="652">
        <f>AQ10+AQ27+AQ28+AQ29</f>
        <v>641</v>
      </c>
      <c r="AR9" s="652">
        <f t="shared" ref="AR9:BW9" si="4">AR10+AR27+AR28+AR29</f>
        <v>609</v>
      </c>
      <c r="AS9" s="652">
        <f t="shared" si="4"/>
        <v>74</v>
      </c>
      <c r="AT9" s="652">
        <f t="shared" si="4"/>
        <v>535</v>
      </c>
      <c r="AU9" s="652">
        <f t="shared" si="4"/>
        <v>67</v>
      </c>
      <c r="AV9" s="652">
        <f t="shared" si="4"/>
        <v>524</v>
      </c>
      <c r="AW9" s="652">
        <f t="shared" si="4"/>
        <v>32</v>
      </c>
      <c r="AX9" s="652">
        <f t="shared" si="4"/>
        <v>30</v>
      </c>
      <c r="AY9" s="653">
        <f>AY10+AY27+AY28+AY29</f>
        <v>143133</v>
      </c>
      <c r="AZ9" s="658">
        <f t="shared" si="4"/>
        <v>43017</v>
      </c>
      <c r="BA9" s="653">
        <f t="shared" si="4"/>
        <v>9647</v>
      </c>
      <c r="BB9" s="653">
        <f t="shared" si="4"/>
        <v>1504</v>
      </c>
      <c r="BC9" s="653">
        <f t="shared" si="4"/>
        <v>0</v>
      </c>
      <c r="BD9" s="653">
        <f t="shared" si="4"/>
        <v>0</v>
      </c>
      <c r="BE9" s="653">
        <f t="shared" si="4"/>
        <v>1115.0999999999997</v>
      </c>
      <c r="BF9" s="655">
        <f t="shared" si="4"/>
        <v>1115</v>
      </c>
      <c r="BG9" s="653">
        <f t="shared" si="4"/>
        <v>53053</v>
      </c>
      <c r="BH9" s="653">
        <f t="shared" si="4"/>
        <v>19374</v>
      </c>
      <c r="BI9" s="653">
        <f t="shared" si="4"/>
        <v>69144</v>
      </c>
      <c r="BJ9" s="653">
        <f t="shared" si="4"/>
        <v>1017</v>
      </c>
      <c r="BK9" s="653">
        <f t="shared" si="4"/>
        <v>0</v>
      </c>
      <c r="BL9" s="653">
        <f t="shared" si="4"/>
        <v>921.2</v>
      </c>
      <c r="BM9" s="655">
        <f t="shared" si="4"/>
        <v>921</v>
      </c>
      <c r="BN9" s="653">
        <f t="shared" si="4"/>
        <v>88614</v>
      </c>
      <c r="BO9" s="653">
        <f t="shared" si="4"/>
        <v>1466</v>
      </c>
      <c r="BP9" s="653">
        <f t="shared" si="4"/>
        <v>0</v>
      </c>
      <c r="BQ9" s="653">
        <f t="shared" si="4"/>
        <v>0</v>
      </c>
      <c r="BR9" s="653">
        <f t="shared" si="4"/>
        <v>474</v>
      </c>
      <c r="BS9" s="653">
        <f t="shared" si="4"/>
        <v>45</v>
      </c>
      <c r="BT9" s="653">
        <f t="shared" si="4"/>
        <v>150</v>
      </c>
      <c r="BU9" s="653">
        <f t="shared" si="4"/>
        <v>1900</v>
      </c>
      <c r="BV9" s="653">
        <f t="shared" si="4"/>
        <v>0</v>
      </c>
      <c r="BW9" s="653">
        <f t="shared" si="4"/>
        <v>0</v>
      </c>
    </row>
    <row r="10" spans="1:75">
      <c r="A10" s="659">
        <v>1</v>
      </c>
      <c r="B10" s="660" t="s">
        <v>443</v>
      </c>
      <c r="C10" s="661">
        <f t="shared" ref="C10:J10" si="5">SUM(C11:C14,C16:C25)</f>
        <v>466</v>
      </c>
      <c r="D10" s="661">
        <f t="shared" si="5"/>
        <v>437</v>
      </c>
      <c r="E10" s="661">
        <f t="shared" si="5"/>
        <v>71</v>
      </c>
      <c r="F10" s="661">
        <f t="shared" si="5"/>
        <v>366</v>
      </c>
      <c r="G10" s="661">
        <f t="shared" si="5"/>
        <v>63</v>
      </c>
      <c r="H10" s="661">
        <f t="shared" si="5"/>
        <v>353</v>
      </c>
      <c r="I10" s="661">
        <f t="shared" si="5"/>
        <v>29</v>
      </c>
      <c r="J10" s="661">
        <f t="shared" si="5"/>
        <v>29</v>
      </c>
      <c r="K10" s="989">
        <f t="shared" si="3"/>
        <v>61727</v>
      </c>
      <c r="L10" s="662">
        <f>SUM(L11:L14,L16:L26)</f>
        <v>63140</v>
      </c>
      <c r="M10" s="662">
        <f t="shared" ref="M10:AC10" si="6">SUM(M11:M14,M16:M26)</f>
        <v>30626</v>
      </c>
      <c r="N10" s="662">
        <f t="shared" si="6"/>
        <v>8763</v>
      </c>
      <c r="O10" s="662">
        <f t="shared" si="6"/>
        <v>841</v>
      </c>
      <c r="P10" s="662">
        <f t="shared" si="6"/>
        <v>0</v>
      </c>
      <c r="Q10" s="662">
        <f t="shared" si="6"/>
        <v>0</v>
      </c>
      <c r="R10" s="662">
        <f t="shared" si="6"/>
        <v>0</v>
      </c>
      <c r="S10" s="663">
        <f t="shared" si="6"/>
        <v>989</v>
      </c>
      <c r="T10" s="663">
        <f t="shared" si="6"/>
        <v>989</v>
      </c>
      <c r="U10" s="662">
        <f t="shared" si="6"/>
        <v>39241</v>
      </c>
      <c r="V10" s="662">
        <f t="shared" si="6"/>
        <v>22148</v>
      </c>
      <c r="W10" s="662">
        <f t="shared" si="6"/>
        <v>1237</v>
      </c>
      <c r="X10" s="662">
        <f t="shared" si="6"/>
        <v>0</v>
      </c>
      <c r="Y10" s="663">
        <f t="shared" si="6"/>
        <v>439.30000000000007</v>
      </c>
      <c r="Z10" s="662">
        <f t="shared" si="6"/>
        <v>946.40000000000009</v>
      </c>
      <c r="AA10" s="663">
        <f t="shared" si="6"/>
        <v>459</v>
      </c>
      <c r="AB10" s="663">
        <f t="shared" si="6"/>
        <v>899</v>
      </c>
      <c r="AC10" s="663">
        <f t="shared" si="6"/>
        <v>22486</v>
      </c>
      <c r="AD10" s="662">
        <f>SUM(AD11:AD14,AD16:AD26)</f>
        <v>1413</v>
      </c>
      <c r="AE10" s="662"/>
      <c r="AF10" s="664">
        <f>SUM(AF11:AF14,AF16:AF26)</f>
        <v>0</v>
      </c>
      <c r="AG10" s="664">
        <f>SUM(AG11:AG14,AG16:AG26)</f>
        <v>0</v>
      </c>
      <c r="AH10" s="664"/>
      <c r="AI10" s="664"/>
      <c r="AJ10" s="664"/>
      <c r="AK10" s="664">
        <f>SUM(AK11:AK14,AK16:AK26)</f>
        <v>0</v>
      </c>
      <c r="AL10" s="664">
        <f>SUM(AL11:AL14,AL16:AL26)</f>
        <v>0</v>
      </c>
      <c r="AM10" s="662">
        <f>SUM(AM11:AM14,AM16:AM26)</f>
        <v>0</v>
      </c>
      <c r="AN10" s="610"/>
      <c r="AO10" s="659">
        <v>1</v>
      </c>
      <c r="AP10" s="660" t="s">
        <v>443</v>
      </c>
      <c r="AQ10" s="661">
        <f t="shared" ref="AQ10:AX10" si="7">SUM(AQ11:AQ14,AQ16:AQ25)</f>
        <v>473</v>
      </c>
      <c r="AR10" s="661">
        <f t="shared" si="7"/>
        <v>441</v>
      </c>
      <c r="AS10" s="661">
        <f t="shared" si="7"/>
        <v>74</v>
      </c>
      <c r="AT10" s="661">
        <f t="shared" si="7"/>
        <v>367</v>
      </c>
      <c r="AU10" s="661">
        <f t="shared" si="7"/>
        <v>67</v>
      </c>
      <c r="AV10" s="661">
        <f t="shared" si="7"/>
        <v>359</v>
      </c>
      <c r="AW10" s="661">
        <f t="shared" si="7"/>
        <v>32</v>
      </c>
      <c r="AX10" s="661">
        <f t="shared" si="7"/>
        <v>30</v>
      </c>
      <c r="AY10" s="662">
        <f>SUM(AY11:AY14,AY16:AY26)</f>
        <v>65240</v>
      </c>
      <c r="AZ10" s="665">
        <f t="shared" ref="AZ10:BW10" si="8">SUM(AZ11:AZ14,AZ16:AZ26)</f>
        <v>32471</v>
      </c>
      <c r="BA10" s="662">
        <f t="shared" si="8"/>
        <v>8914</v>
      </c>
      <c r="BB10" s="662">
        <f t="shared" si="8"/>
        <v>1504</v>
      </c>
      <c r="BC10" s="662">
        <f t="shared" si="8"/>
        <v>0</v>
      </c>
      <c r="BD10" s="662">
        <f t="shared" si="8"/>
        <v>0</v>
      </c>
      <c r="BE10" s="662">
        <f>SUM(BE11:BE14,BE16:BE26)</f>
        <v>1041.7999999999997</v>
      </c>
      <c r="BF10" s="663">
        <f t="shared" si="8"/>
        <v>1042</v>
      </c>
      <c r="BG10" s="662">
        <f t="shared" si="8"/>
        <v>41847</v>
      </c>
      <c r="BH10" s="662">
        <f t="shared" si="8"/>
        <v>19374</v>
      </c>
      <c r="BI10" s="662">
        <f t="shared" si="8"/>
        <v>2457</v>
      </c>
      <c r="BJ10" s="662">
        <f t="shared" si="8"/>
        <v>1017</v>
      </c>
      <c r="BK10" s="662">
        <f t="shared" si="8"/>
        <v>0</v>
      </c>
      <c r="BL10" s="662">
        <f t="shared" si="8"/>
        <v>921.2</v>
      </c>
      <c r="BM10" s="663">
        <f t="shared" si="8"/>
        <v>921</v>
      </c>
      <c r="BN10" s="662">
        <f t="shared" si="8"/>
        <v>21927</v>
      </c>
      <c r="BO10" s="662">
        <f t="shared" si="8"/>
        <v>1466</v>
      </c>
      <c r="BP10" s="662">
        <f t="shared" si="8"/>
        <v>0</v>
      </c>
      <c r="BQ10" s="662">
        <f t="shared" si="8"/>
        <v>0</v>
      </c>
      <c r="BR10" s="662">
        <f t="shared" si="8"/>
        <v>474</v>
      </c>
      <c r="BS10" s="662">
        <f>SUM(BS11:BS14,BS16:BS26)</f>
        <v>45</v>
      </c>
      <c r="BT10" s="662">
        <f t="shared" si="8"/>
        <v>150</v>
      </c>
      <c r="BU10" s="662">
        <f t="shared" si="8"/>
        <v>1900</v>
      </c>
      <c r="BV10" s="662">
        <f t="shared" si="8"/>
        <v>0</v>
      </c>
      <c r="BW10" s="662">
        <f t="shared" si="8"/>
        <v>0</v>
      </c>
    </row>
    <row r="11" spans="1:75">
      <c r="A11" s="659"/>
      <c r="B11" s="660" t="s">
        <v>444</v>
      </c>
      <c r="C11" s="661">
        <f>D11+I11</f>
        <v>80</v>
      </c>
      <c r="D11" s="661">
        <f>E11+F11</f>
        <v>79</v>
      </c>
      <c r="E11" s="661"/>
      <c r="F11" s="661">
        <v>79</v>
      </c>
      <c r="G11" s="661"/>
      <c r="H11" s="661">
        <v>77</v>
      </c>
      <c r="I11" s="661">
        <v>1</v>
      </c>
      <c r="J11" s="661">
        <v>1</v>
      </c>
      <c r="K11" s="989">
        <f t="shared" si="3"/>
        <v>8780</v>
      </c>
      <c r="L11" s="666">
        <f t="shared" ref="L11:L29" si="9">U11+AC11+AD11+AE11</f>
        <v>8960</v>
      </c>
      <c r="M11" s="666">
        <v>6021</v>
      </c>
      <c r="N11" s="666">
        <v>1490</v>
      </c>
      <c r="O11" s="666">
        <v>288</v>
      </c>
      <c r="P11" s="666"/>
      <c r="Q11" s="666"/>
      <c r="R11" s="666">
        <f>((N11+O11)-(BA11+BB11))*10%</f>
        <v>0</v>
      </c>
      <c r="S11" s="667">
        <v>193</v>
      </c>
      <c r="T11" s="667">
        <f>ROUND((Q11+R11+S11),0)</f>
        <v>193</v>
      </c>
      <c r="U11" s="666">
        <f>(M11+N11+O11+P11)-T11</f>
        <v>7606</v>
      </c>
      <c r="V11" s="666">
        <f>1214+67</f>
        <v>1281</v>
      </c>
      <c r="W11" s="666"/>
      <c r="X11" s="666"/>
      <c r="Y11" s="667">
        <f>Z11-BM11</f>
        <v>-0.19999999999998863</v>
      </c>
      <c r="Z11" s="668">
        <f>(V11-223)*10%</f>
        <v>105.80000000000001</v>
      </c>
      <c r="AA11" s="667">
        <v>107</v>
      </c>
      <c r="AB11" s="667">
        <f>ROUND((Y11+AA11+X11),0)</f>
        <v>107</v>
      </c>
      <c r="AC11" s="666">
        <f>(V11+W11)-AB11</f>
        <v>1174</v>
      </c>
      <c r="AD11" s="666">
        <v>180</v>
      </c>
      <c r="AE11" s="666"/>
      <c r="AF11" s="669"/>
      <c r="AG11" s="669"/>
      <c r="AH11" s="669"/>
      <c r="AI11" s="669"/>
      <c r="AJ11" s="669"/>
      <c r="AK11" s="669"/>
      <c r="AL11" s="669"/>
      <c r="AM11" s="662"/>
      <c r="AN11" s="610"/>
      <c r="AO11" s="659"/>
      <c r="AP11" s="660" t="s">
        <v>444</v>
      </c>
      <c r="AQ11" s="661">
        <f>AR11+AW11</f>
        <v>80</v>
      </c>
      <c r="AR11" s="661">
        <f>AS11+AT11</f>
        <v>79</v>
      </c>
      <c r="AS11" s="661"/>
      <c r="AT11" s="661">
        <v>79</v>
      </c>
      <c r="AU11" s="661"/>
      <c r="AV11" s="661">
        <v>79</v>
      </c>
      <c r="AW11" s="661">
        <v>1</v>
      </c>
      <c r="AX11" s="661">
        <v>1</v>
      </c>
      <c r="AY11" s="666">
        <f t="shared" ref="AY11:AY29" si="10">BG11+BN11+BO11+BP11</f>
        <v>8435</v>
      </c>
      <c r="AZ11" s="670">
        <f>5501+20</f>
        <v>5521</v>
      </c>
      <c r="BA11" s="666">
        <f>1778-450</f>
        <v>1328</v>
      </c>
      <c r="BB11" s="666">
        <v>450</v>
      </c>
      <c r="BC11" s="666"/>
      <c r="BD11" s="666"/>
      <c r="BE11" s="666">
        <f>(BA11+BB11)*10%</f>
        <v>177.8</v>
      </c>
      <c r="BF11" s="667">
        <f>ROUND(BE11,0)</f>
        <v>178</v>
      </c>
      <c r="BG11" s="666">
        <f>(AZ11+BA11+BB11+BC11)-BF11</f>
        <v>7121</v>
      </c>
      <c r="BH11" s="666">
        <f>924+140+136</f>
        <v>1200</v>
      </c>
      <c r="BI11" s="666"/>
      <c r="BJ11" s="666"/>
      <c r="BK11" s="666"/>
      <c r="BL11" s="666">
        <f>(BH11-140)*10%</f>
        <v>106</v>
      </c>
      <c r="BM11" s="667">
        <f>ROUND(BL11,0)</f>
        <v>106</v>
      </c>
      <c r="BN11" s="666">
        <f t="shared" ref="BN11:BN29" si="11">(BH11+BI11+BJ11)-BM11</f>
        <v>1094</v>
      </c>
      <c r="BO11" s="666">
        <f>60+160</f>
        <v>220</v>
      </c>
      <c r="BP11" s="666"/>
      <c r="BQ11" s="666"/>
      <c r="BR11" s="666"/>
      <c r="BS11" s="666"/>
      <c r="BT11" s="666"/>
      <c r="BU11" s="666"/>
      <c r="BV11" s="666"/>
      <c r="BW11" s="662"/>
    </row>
    <row r="12" spans="1:75" s="681" customFormat="1">
      <c r="A12" s="671"/>
      <c r="B12" s="672" t="s">
        <v>445</v>
      </c>
      <c r="C12" s="673">
        <f>D12+I12</f>
        <v>50</v>
      </c>
      <c r="D12" s="673">
        <f>E12+F12</f>
        <v>48</v>
      </c>
      <c r="E12" s="673">
        <v>8</v>
      </c>
      <c r="F12" s="673">
        <v>40</v>
      </c>
      <c r="G12" s="673">
        <v>7</v>
      </c>
      <c r="H12" s="673">
        <v>38</v>
      </c>
      <c r="I12" s="673">
        <v>2</v>
      </c>
      <c r="J12" s="673">
        <v>2</v>
      </c>
      <c r="K12" s="989">
        <f t="shared" si="3"/>
        <v>5674</v>
      </c>
      <c r="L12" s="674">
        <f t="shared" si="9"/>
        <v>6055</v>
      </c>
      <c r="M12" s="674">
        <v>4096</v>
      </c>
      <c r="N12" s="674">
        <v>1163</v>
      </c>
      <c r="O12" s="674">
        <v>37</v>
      </c>
      <c r="P12" s="674"/>
      <c r="Q12" s="674"/>
      <c r="R12" s="674">
        <f>((N12+O12)-(BA12+BB12))*10%</f>
        <v>0</v>
      </c>
      <c r="S12" s="675">
        <v>125</v>
      </c>
      <c r="T12" s="667">
        <f t="shared" ref="T12:T32" si="12">ROUND((Q12+R12+S12),0)</f>
        <v>125</v>
      </c>
      <c r="U12" s="666">
        <f t="shared" ref="U12:U29" si="13">(M12+N12+O12+P12)-T12</f>
        <v>5171</v>
      </c>
      <c r="V12" s="674">
        <f>350+55+12</f>
        <v>417</v>
      </c>
      <c r="W12" s="674">
        <v>140</v>
      </c>
      <c r="X12" s="674"/>
      <c r="Y12" s="675"/>
      <c r="Z12" s="676">
        <f>(V12-184-12)*10%</f>
        <v>22.1</v>
      </c>
      <c r="AA12" s="675">
        <v>54</v>
      </c>
      <c r="AB12" s="667">
        <f t="shared" ref="AB12:AB29" si="14">ROUND((Y12+AA12+X12),0)</f>
        <v>54</v>
      </c>
      <c r="AC12" s="666">
        <f t="shared" ref="AC12:AC29" si="15">(V12+W12)-AB12</f>
        <v>503</v>
      </c>
      <c r="AD12" s="674">
        <v>381</v>
      </c>
      <c r="AE12" s="674"/>
      <c r="AF12" s="677"/>
      <c r="AG12" s="677"/>
      <c r="AH12" s="677"/>
      <c r="AI12" s="677"/>
      <c r="AJ12" s="677"/>
      <c r="AK12" s="677"/>
      <c r="AL12" s="677"/>
      <c r="AM12" s="678"/>
      <c r="AN12" s="679"/>
      <c r="AO12" s="671"/>
      <c r="AP12" s="672" t="s">
        <v>445</v>
      </c>
      <c r="AQ12" s="673">
        <f>AR12+AW12</f>
        <v>50</v>
      </c>
      <c r="AR12" s="673">
        <f>AS12+AT12</f>
        <v>48</v>
      </c>
      <c r="AS12" s="673">
        <v>8</v>
      </c>
      <c r="AT12" s="673">
        <v>40</v>
      </c>
      <c r="AU12" s="673">
        <v>8</v>
      </c>
      <c r="AV12" s="673">
        <v>40</v>
      </c>
      <c r="AW12" s="673">
        <v>2</v>
      </c>
      <c r="AX12" s="673">
        <v>2</v>
      </c>
      <c r="AY12" s="674">
        <f t="shared" si="10"/>
        <v>5948</v>
      </c>
      <c r="AZ12" s="680">
        <f>871+2958+71</f>
        <v>3900</v>
      </c>
      <c r="BA12" s="674">
        <f>1200-37</f>
        <v>1163</v>
      </c>
      <c r="BB12" s="674">
        <v>37</v>
      </c>
      <c r="BC12" s="674"/>
      <c r="BD12" s="674"/>
      <c r="BE12" s="674">
        <f t="shared" ref="BE12:BE29" si="16">(BA12+BB12)*10%</f>
        <v>120</v>
      </c>
      <c r="BF12" s="675">
        <f>ROUND(BE12,0)</f>
        <v>120</v>
      </c>
      <c r="BG12" s="674">
        <f t="shared" ref="BG12:BG54" si="17">(AZ12+BA12+BB12+BC12)-BF12</f>
        <v>4980</v>
      </c>
      <c r="BH12" s="674">
        <f>371+118</f>
        <v>489</v>
      </c>
      <c r="BI12" s="674"/>
      <c r="BJ12" s="674">
        <v>60</v>
      </c>
      <c r="BK12" s="674"/>
      <c r="BL12" s="674">
        <f>(BH12-118)*10%</f>
        <v>37.1</v>
      </c>
      <c r="BM12" s="675">
        <f>ROUND(BL12,0)</f>
        <v>37</v>
      </c>
      <c r="BN12" s="674">
        <f t="shared" si="11"/>
        <v>512</v>
      </c>
      <c r="BO12" s="674">
        <v>456</v>
      </c>
      <c r="BP12" s="674"/>
      <c r="BQ12" s="674"/>
      <c r="BR12" s="674">
        <v>87</v>
      </c>
      <c r="BS12" s="674"/>
      <c r="BT12" s="674"/>
      <c r="BU12" s="674"/>
      <c r="BV12" s="674"/>
      <c r="BW12" s="678"/>
    </row>
    <row r="13" spans="1:75">
      <c r="A13" s="659"/>
      <c r="B13" s="660" t="s">
        <v>446</v>
      </c>
      <c r="C13" s="661">
        <f>D13+I13</f>
        <v>90</v>
      </c>
      <c r="D13" s="661">
        <f>E13+F13</f>
        <v>89</v>
      </c>
      <c r="E13" s="661">
        <v>11</v>
      </c>
      <c r="F13" s="661">
        <v>78</v>
      </c>
      <c r="G13" s="661">
        <v>11</v>
      </c>
      <c r="H13" s="661">
        <v>74</v>
      </c>
      <c r="I13" s="661">
        <v>1</v>
      </c>
      <c r="J13" s="661">
        <v>1</v>
      </c>
      <c r="K13" s="989">
        <f t="shared" si="3"/>
        <v>17513</v>
      </c>
      <c r="L13" s="666">
        <f t="shared" si="9"/>
        <v>17553</v>
      </c>
      <c r="M13" s="666">
        <v>5989</v>
      </c>
      <c r="N13" s="666">
        <v>2163</v>
      </c>
      <c r="O13" s="666">
        <v>62</v>
      </c>
      <c r="P13" s="666"/>
      <c r="Q13" s="666"/>
      <c r="R13" s="666"/>
      <c r="S13" s="667">
        <v>198</v>
      </c>
      <c r="T13" s="667">
        <f t="shared" si="12"/>
        <v>198</v>
      </c>
      <c r="U13" s="666">
        <f t="shared" si="13"/>
        <v>8016</v>
      </c>
      <c r="V13" s="666">
        <f>14216-4759+129</f>
        <v>9586</v>
      </c>
      <c r="W13" s="666"/>
      <c r="X13" s="666"/>
      <c r="Y13" s="667">
        <f>Z13-BM13</f>
        <v>50.7</v>
      </c>
      <c r="Z13" s="668">
        <f>(V13-429-8500)*10%</f>
        <v>65.7</v>
      </c>
      <c r="AA13" s="667">
        <v>38</v>
      </c>
      <c r="AB13" s="667">
        <f t="shared" si="14"/>
        <v>89</v>
      </c>
      <c r="AC13" s="666">
        <f t="shared" si="15"/>
        <v>9497</v>
      </c>
      <c r="AD13" s="666">
        <v>40</v>
      </c>
      <c r="AE13" s="666"/>
      <c r="AF13" s="669"/>
      <c r="AG13" s="669"/>
      <c r="AH13" s="669"/>
      <c r="AI13" s="669"/>
      <c r="AJ13" s="669"/>
      <c r="AK13" s="669"/>
      <c r="AL13" s="669"/>
      <c r="AM13" s="662"/>
      <c r="AN13" s="610"/>
      <c r="AO13" s="659"/>
      <c r="AP13" s="660" t="s">
        <v>446</v>
      </c>
      <c r="AQ13" s="661">
        <f>AR13+AW13</f>
        <v>91</v>
      </c>
      <c r="AR13" s="661">
        <f>AS13+AT13</f>
        <v>90</v>
      </c>
      <c r="AS13" s="661">
        <v>11</v>
      </c>
      <c r="AT13" s="661">
        <v>79</v>
      </c>
      <c r="AU13" s="661">
        <v>11</v>
      </c>
      <c r="AV13" s="661">
        <v>78</v>
      </c>
      <c r="AW13" s="661">
        <v>1</v>
      </c>
      <c r="AX13" s="661">
        <v>1</v>
      </c>
      <c r="AY13" s="666">
        <f t="shared" si="10"/>
        <v>15596</v>
      </c>
      <c r="AZ13" s="670">
        <f>961+5517+62-452</f>
        <v>6088</v>
      </c>
      <c r="BA13" s="666">
        <f>2250-250</f>
        <v>2000</v>
      </c>
      <c r="BB13" s="666">
        <v>250</v>
      </c>
      <c r="BC13" s="666"/>
      <c r="BD13" s="666"/>
      <c r="BE13" s="666">
        <f t="shared" si="16"/>
        <v>225</v>
      </c>
      <c r="BF13" s="667">
        <f>ROUND(BE13,0)</f>
        <v>225</v>
      </c>
      <c r="BG13" s="666">
        <f t="shared" si="17"/>
        <v>8113</v>
      </c>
      <c r="BH13" s="666">
        <f>3000+2000+2000+150+14+304</f>
        <v>7468</v>
      </c>
      <c r="BI13" s="666"/>
      <c r="BJ13" s="666"/>
      <c r="BK13" s="666"/>
      <c r="BL13" s="666">
        <f>(BH13-304-7000-14)*10%</f>
        <v>15</v>
      </c>
      <c r="BM13" s="667">
        <f>ROUND(BL13,0)</f>
        <v>15</v>
      </c>
      <c r="BN13" s="666">
        <f t="shared" si="11"/>
        <v>7453</v>
      </c>
      <c r="BO13" s="666">
        <v>30</v>
      </c>
      <c r="BP13" s="666"/>
      <c r="BQ13" s="666"/>
      <c r="BR13" s="666">
        <v>306</v>
      </c>
      <c r="BS13" s="666">
        <v>45</v>
      </c>
      <c r="BT13" s="666"/>
      <c r="BU13" s="666"/>
      <c r="BV13" s="666"/>
      <c r="BW13" s="662"/>
    </row>
    <row r="14" spans="1:75" s="681" customFormat="1">
      <c r="A14" s="671"/>
      <c r="B14" s="672" t="s">
        <v>447</v>
      </c>
      <c r="C14" s="673">
        <f>D14+I14</f>
        <v>42</v>
      </c>
      <c r="D14" s="673">
        <f>E14+F14</f>
        <v>39</v>
      </c>
      <c r="E14" s="673">
        <v>10</v>
      </c>
      <c r="F14" s="673">
        <v>29</v>
      </c>
      <c r="G14" s="673">
        <v>7</v>
      </c>
      <c r="H14" s="673">
        <v>28</v>
      </c>
      <c r="I14" s="673">
        <v>3</v>
      </c>
      <c r="J14" s="673">
        <v>3</v>
      </c>
      <c r="K14" s="989">
        <f t="shared" si="3"/>
        <v>5919</v>
      </c>
      <c r="L14" s="674">
        <f t="shared" si="9"/>
        <v>5936</v>
      </c>
      <c r="M14" s="674">
        <v>3543</v>
      </c>
      <c r="N14" s="674">
        <v>999</v>
      </c>
      <c r="O14" s="674">
        <v>54</v>
      </c>
      <c r="P14" s="674"/>
      <c r="Q14" s="674"/>
      <c r="R14" s="674">
        <f>((N14+O14)-(BA14+BB14))*10%</f>
        <v>0</v>
      </c>
      <c r="S14" s="675">
        <v>113</v>
      </c>
      <c r="T14" s="667">
        <f t="shared" si="12"/>
        <v>113</v>
      </c>
      <c r="U14" s="666">
        <f t="shared" si="13"/>
        <v>4483</v>
      </c>
      <c r="V14" s="674">
        <f>1169+89</f>
        <v>1258</v>
      </c>
      <c r="W14" s="674">
        <v>195</v>
      </c>
      <c r="X14" s="674"/>
      <c r="Y14" s="675"/>
      <c r="Z14" s="676">
        <f>(V14-295-106-57)*10%</f>
        <v>80</v>
      </c>
      <c r="AA14" s="675">
        <v>17</v>
      </c>
      <c r="AB14" s="667">
        <f t="shared" si="14"/>
        <v>17</v>
      </c>
      <c r="AC14" s="666">
        <f t="shared" si="15"/>
        <v>1436</v>
      </c>
      <c r="AD14" s="674">
        <f>(V14+W14+X14)-AC14</f>
        <v>17</v>
      </c>
      <c r="AE14" s="674"/>
      <c r="AF14" s="677"/>
      <c r="AG14" s="677"/>
      <c r="AH14" s="677"/>
      <c r="AI14" s="677"/>
      <c r="AJ14" s="677"/>
      <c r="AK14" s="677"/>
      <c r="AL14" s="677"/>
      <c r="AM14" s="678"/>
      <c r="AN14" s="679"/>
      <c r="AO14" s="671"/>
      <c r="AP14" s="672" t="s">
        <v>447</v>
      </c>
      <c r="AQ14" s="673">
        <f>AR14+AW14</f>
        <v>42</v>
      </c>
      <c r="AR14" s="673">
        <f>AS14+AT14</f>
        <v>39</v>
      </c>
      <c r="AS14" s="673">
        <v>10</v>
      </c>
      <c r="AT14" s="673">
        <v>29</v>
      </c>
      <c r="AU14" s="673">
        <v>8</v>
      </c>
      <c r="AV14" s="673">
        <v>29</v>
      </c>
      <c r="AW14" s="673">
        <v>3</v>
      </c>
      <c r="AX14" s="673">
        <v>3</v>
      </c>
      <c r="AY14" s="674">
        <f t="shared" si="10"/>
        <v>6803</v>
      </c>
      <c r="AZ14" s="680">
        <f>935+2285+143</f>
        <v>3363</v>
      </c>
      <c r="BA14" s="674">
        <f>1053-80</f>
        <v>973</v>
      </c>
      <c r="BB14" s="674">
        <v>80</v>
      </c>
      <c r="BC14" s="674"/>
      <c r="BD14" s="674"/>
      <c r="BE14" s="674">
        <f t="shared" si="16"/>
        <v>105.30000000000001</v>
      </c>
      <c r="BF14" s="675">
        <f>ROUND(BE14,0)</f>
        <v>105</v>
      </c>
      <c r="BG14" s="674">
        <f t="shared" si="17"/>
        <v>4311</v>
      </c>
      <c r="BH14" s="674">
        <f>800+10+26+161+1000+120</f>
        <v>2117</v>
      </c>
      <c r="BI14" s="674"/>
      <c r="BJ14" s="674">
        <v>306</v>
      </c>
      <c r="BK14" s="674"/>
      <c r="BL14" s="674">
        <f>(BH14-120-161-1000-26)*10%</f>
        <v>81</v>
      </c>
      <c r="BM14" s="675">
        <f>ROUND(BL14,0)</f>
        <v>81</v>
      </c>
      <c r="BN14" s="674">
        <f t="shared" si="11"/>
        <v>2342</v>
      </c>
      <c r="BO14" s="674">
        <v>150</v>
      </c>
      <c r="BP14" s="674"/>
      <c r="BQ14" s="674"/>
      <c r="BR14" s="674"/>
      <c r="BS14" s="674"/>
      <c r="BT14" s="674">
        <v>80</v>
      </c>
      <c r="BU14" s="674">
        <v>900</v>
      </c>
      <c r="BV14" s="674"/>
      <c r="BW14" s="678"/>
    </row>
    <row r="15" spans="1:75" s="693" customFormat="1" ht="31.2">
      <c r="A15" s="682"/>
      <c r="B15" s="683" t="s">
        <v>448</v>
      </c>
      <c r="C15" s="684"/>
      <c r="D15" s="684"/>
      <c r="E15" s="684"/>
      <c r="F15" s="684"/>
      <c r="G15" s="684"/>
      <c r="H15" s="684"/>
      <c r="I15" s="684"/>
      <c r="J15" s="684"/>
      <c r="K15" s="989">
        <f t="shared" si="3"/>
        <v>0</v>
      </c>
      <c r="L15" s="666">
        <f t="shared" si="9"/>
        <v>0</v>
      </c>
      <c r="M15" s="685"/>
      <c r="N15" s="685"/>
      <c r="O15" s="685"/>
      <c r="P15" s="685"/>
      <c r="Q15" s="685"/>
      <c r="R15" s="666">
        <f>((N15+O15)-(BA15+BB15))*10%</f>
        <v>0</v>
      </c>
      <c r="S15" s="686"/>
      <c r="T15" s="667">
        <f t="shared" si="12"/>
        <v>0</v>
      </c>
      <c r="U15" s="666">
        <f t="shared" si="13"/>
        <v>0</v>
      </c>
      <c r="V15" s="685"/>
      <c r="W15" s="685"/>
      <c r="X15" s="685"/>
      <c r="Y15" s="667">
        <f>Z15-BM15</f>
        <v>0</v>
      </c>
      <c r="Z15" s="668">
        <f t="shared" ref="Z15:Z29" si="18">V15*10%</f>
        <v>0</v>
      </c>
      <c r="AA15" s="686"/>
      <c r="AB15" s="667">
        <f t="shared" si="14"/>
        <v>0</v>
      </c>
      <c r="AC15" s="666">
        <f t="shared" si="15"/>
        <v>0</v>
      </c>
      <c r="AD15" s="685"/>
      <c r="AE15" s="685"/>
      <c r="AF15" s="687"/>
      <c r="AG15" s="687"/>
      <c r="AH15" s="687"/>
      <c r="AI15" s="687"/>
      <c r="AJ15" s="687"/>
      <c r="AK15" s="687"/>
      <c r="AL15" s="688"/>
      <c r="AM15" s="689"/>
      <c r="AN15" s="690"/>
      <c r="AO15" s="682"/>
      <c r="AP15" s="683" t="s">
        <v>448</v>
      </c>
      <c r="AQ15" s="684"/>
      <c r="AR15" s="684"/>
      <c r="AS15" s="684"/>
      <c r="AT15" s="684"/>
      <c r="AU15" s="684"/>
      <c r="AV15" s="684"/>
      <c r="AW15" s="684"/>
      <c r="AX15" s="684"/>
      <c r="AY15" s="685">
        <f t="shared" si="10"/>
        <v>1000</v>
      </c>
      <c r="AZ15" s="691"/>
      <c r="BA15" s="685"/>
      <c r="BB15" s="685"/>
      <c r="BC15" s="685"/>
      <c r="BD15" s="685"/>
      <c r="BE15" s="666">
        <f t="shared" si="16"/>
        <v>0</v>
      </c>
      <c r="BF15" s="686"/>
      <c r="BG15" s="685">
        <f t="shared" si="17"/>
        <v>0</v>
      </c>
      <c r="BH15" s="685">
        <v>1000</v>
      </c>
      <c r="BI15" s="685"/>
      <c r="BJ15" s="685"/>
      <c r="BK15" s="685"/>
      <c r="BL15" s="666"/>
      <c r="BM15" s="686"/>
      <c r="BN15" s="685">
        <f t="shared" si="11"/>
        <v>1000</v>
      </c>
      <c r="BO15" s="685"/>
      <c r="BP15" s="685"/>
      <c r="BQ15" s="685"/>
      <c r="BR15" s="685"/>
      <c r="BS15" s="685"/>
      <c r="BT15" s="685"/>
      <c r="BU15" s="685"/>
      <c r="BV15" s="685"/>
      <c r="BW15" s="692"/>
    </row>
    <row r="16" spans="1:75">
      <c r="A16" s="659"/>
      <c r="B16" s="660" t="s">
        <v>449</v>
      </c>
      <c r="C16" s="661">
        <f>D16+I16</f>
        <v>22</v>
      </c>
      <c r="D16" s="661">
        <f>E16+F16</f>
        <v>21</v>
      </c>
      <c r="E16" s="661">
        <v>15</v>
      </c>
      <c r="F16" s="661">
        <v>6</v>
      </c>
      <c r="G16" s="661">
        <v>13</v>
      </c>
      <c r="H16" s="661">
        <v>6</v>
      </c>
      <c r="I16" s="661">
        <v>1</v>
      </c>
      <c r="J16" s="661">
        <v>1</v>
      </c>
      <c r="K16" s="989">
        <f t="shared" si="3"/>
        <v>2835</v>
      </c>
      <c r="L16" s="666">
        <f t="shared" si="9"/>
        <v>3117</v>
      </c>
      <c r="M16" s="666">
        <v>1865</v>
      </c>
      <c r="N16" s="666">
        <v>487</v>
      </c>
      <c r="O16" s="666">
        <v>80</v>
      </c>
      <c r="P16" s="666"/>
      <c r="Q16" s="666"/>
      <c r="R16" s="666"/>
      <c r="S16" s="667">
        <v>59</v>
      </c>
      <c r="T16" s="667">
        <f t="shared" si="12"/>
        <v>59</v>
      </c>
      <c r="U16" s="666">
        <f t="shared" si="13"/>
        <v>2373</v>
      </c>
      <c r="V16" s="666">
        <v>184</v>
      </c>
      <c r="W16" s="666">
        <f>43+275</f>
        <v>318</v>
      </c>
      <c r="X16" s="666"/>
      <c r="Y16" s="667">
        <f>Z16-BM16</f>
        <v>9.4000000000000021</v>
      </c>
      <c r="Z16" s="668">
        <f t="shared" si="18"/>
        <v>18.400000000000002</v>
      </c>
      <c r="AA16" s="667">
        <v>31</v>
      </c>
      <c r="AB16" s="667">
        <f t="shared" si="14"/>
        <v>40</v>
      </c>
      <c r="AC16" s="666">
        <f t="shared" si="15"/>
        <v>462</v>
      </c>
      <c r="AD16" s="666">
        <v>282</v>
      </c>
      <c r="AE16" s="666"/>
      <c r="AF16" s="669"/>
      <c r="AG16" s="669"/>
      <c r="AH16" s="669"/>
      <c r="AI16" s="669"/>
      <c r="AJ16" s="669"/>
      <c r="AK16" s="669"/>
      <c r="AL16" s="669"/>
      <c r="AM16" s="662"/>
      <c r="AN16" s="610"/>
      <c r="AO16" s="659"/>
      <c r="AP16" s="660" t="s">
        <v>449</v>
      </c>
      <c r="AQ16" s="661">
        <f>AR16+AW16</f>
        <v>23</v>
      </c>
      <c r="AR16" s="661">
        <f>AS16+AT16</f>
        <v>22</v>
      </c>
      <c r="AS16" s="661">
        <v>16</v>
      </c>
      <c r="AT16" s="661">
        <v>6</v>
      </c>
      <c r="AU16" s="661">
        <v>13</v>
      </c>
      <c r="AV16" s="661">
        <v>6</v>
      </c>
      <c r="AW16" s="661">
        <v>1</v>
      </c>
      <c r="AX16" s="661">
        <v>1</v>
      </c>
      <c r="AY16" s="666">
        <f t="shared" si="10"/>
        <v>2623</v>
      </c>
      <c r="AZ16" s="670">
        <f>1345+270+66</f>
        <v>1681</v>
      </c>
      <c r="BA16" s="666">
        <f>594-94</f>
        <v>500</v>
      </c>
      <c r="BB16" s="666">
        <v>94</v>
      </c>
      <c r="BC16" s="666"/>
      <c r="BD16" s="666"/>
      <c r="BE16" s="666">
        <f t="shared" si="16"/>
        <v>59.400000000000006</v>
      </c>
      <c r="BF16" s="667">
        <f t="shared" ref="BF16:BF25" si="19">ROUND(BE16,0)</f>
        <v>59</v>
      </c>
      <c r="BG16" s="666">
        <f t="shared" si="17"/>
        <v>2216</v>
      </c>
      <c r="BH16" s="666">
        <v>94</v>
      </c>
      <c r="BI16" s="666"/>
      <c r="BJ16" s="666">
        <v>72</v>
      </c>
      <c r="BK16" s="666"/>
      <c r="BL16" s="666">
        <f>BH16*10%</f>
        <v>9.4</v>
      </c>
      <c r="BM16" s="667">
        <f t="shared" ref="BM16:BM26" si="20">ROUND(BL16,0)</f>
        <v>9</v>
      </c>
      <c r="BN16" s="666">
        <f t="shared" si="11"/>
        <v>157</v>
      </c>
      <c r="BO16" s="666">
        <v>250</v>
      </c>
      <c r="BP16" s="666"/>
      <c r="BQ16" s="666"/>
      <c r="BR16" s="666"/>
      <c r="BS16" s="666"/>
      <c r="BT16" s="666"/>
      <c r="BU16" s="666">
        <v>1000</v>
      </c>
      <c r="BV16" s="666"/>
      <c r="BW16" s="662"/>
    </row>
    <row r="17" spans="1:75">
      <c r="A17" s="659"/>
      <c r="B17" s="660" t="s">
        <v>450</v>
      </c>
      <c r="C17" s="661">
        <f>D17+I17</f>
        <v>22</v>
      </c>
      <c r="D17" s="661">
        <f>E17+F17</f>
        <v>21</v>
      </c>
      <c r="E17" s="661">
        <v>11</v>
      </c>
      <c r="F17" s="661">
        <v>10</v>
      </c>
      <c r="G17" s="661">
        <v>10</v>
      </c>
      <c r="H17" s="661">
        <v>10</v>
      </c>
      <c r="I17" s="661">
        <v>1</v>
      </c>
      <c r="J17" s="661">
        <v>1</v>
      </c>
      <c r="K17" s="989">
        <f t="shared" si="3"/>
        <v>5024</v>
      </c>
      <c r="L17" s="666">
        <f t="shared" si="9"/>
        <v>5337</v>
      </c>
      <c r="M17" s="666">
        <f>1054+615</f>
        <v>1669</v>
      </c>
      <c r="N17" s="666">
        <f>291+251</f>
        <v>542</v>
      </c>
      <c r="O17" s="666">
        <f>28+10</f>
        <v>38</v>
      </c>
      <c r="P17" s="666"/>
      <c r="Q17" s="666"/>
      <c r="R17" s="666"/>
      <c r="S17" s="667">
        <v>74</v>
      </c>
      <c r="T17" s="667">
        <f t="shared" si="12"/>
        <v>74</v>
      </c>
      <c r="U17" s="666">
        <f t="shared" si="13"/>
        <v>2175</v>
      </c>
      <c r="V17" s="666">
        <v>3112</v>
      </c>
      <c r="W17" s="666">
        <v>50</v>
      </c>
      <c r="X17" s="666"/>
      <c r="Y17" s="667">
        <f>Z17-BM17</f>
        <v>294.20000000000005</v>
      </c>
      <c r="Z17" s="668">
        <f t="shared" si="18"/>
        <v>311.20000000000005</v>
      </c>
      <c r="AA17" s="667">
        <v>19</v>
      </c>
      <c r="AB17" s="667">
        <f t="shared" si="14"/>
        <v>313</v>
      </c>
      <c r="AC17" s="666">
        <f t="shared" si="15"/>
        <v>2849</v>
      </c>
      <c r="AD17" s="666">
        <f>(V17+W17+X17)-AC17</f>
        <v>313</v>
      </c>
      <c r="AE17" s="666"/>
      <c r="AF17" s="669"/>
      <c r="AG17" s="669"/>
      <c r="AH17" s="669"/>
      <c r="AI17" s="669"/>
      <c r="AJ17" s="669"/>
      <c r="AK17" s="669"/>
      <c r="AL17" s="669"/>
      <c r="AM17" s="662"/>
      <c r="AN17" s="610"/>
      <c r="AO17" s="659"/>
      <c r="AP17" s="660" t="s">
        <v>450</v>
      </c>
      <c r="AQ17" s="661">
        <f>AR17+AW17</f>
        <v>23</v>
      </c>
      <c r="AR17" s="661">
        <f>AS17+AT17</f>
        <v>22</v>
      </c>
      <c r="AS17" s="661">
        <v>12</v>
      </c>
      <c r="AT17" s="661">
        <v>10</v>
      </c>
      <c r="AU17" s="661">
        <v>10</v>
      </c>
      <c r="AV17" s="661">
        <v>10</v>
      </c>
      <c r="AW17" s="661">
        <v>1</v>
      </c>
      <c r="AX17" s="661">
        <v>1</v>
      </c>
      <c r="AY17" s="666">
        <f t="shared" si="10"/>
        <v>4739</v>
      </c>
      <c r="AZ17" s="670">
        <f>965+62+538+16</f>
        <v>1581</v>
      </c>
      <c r="BA17" s="666">
        <f>348+261-109</f>
        <v>500</v>
      </c>
      <c r="BB17" s="666">
        <v>109</v>
      </c>
      <c r="BC17" s="666"/>
      <c r="BD17" s="666"/>
      <c r="BE17" s="666">
        <f t="shared" si="16"/>
        <v>60.900000000000006</v>
      </c>
      <c r="BF17" s="667">
        <f t="shared" si="19"/>
        <v>61</v>
      </c>
      <c r="BG17" s="666">
        <f t="shared" si="17"/>
        <v>2129</v>
      </c>
      <c r="BH17" s="666">
        <f>160+10</f>
        <v>170</v>
      </c>
      <c r="BI17" s="666">
        <f>379+2078</f>
        <v>2457</v>
      </c>
      <c r="BJ17" s="666"/>
      <c r="BK17" s="666"/>
      <c r="BL17" s="666">
        <f>BH17*10%</f>
        <v>17</v>
      </c>
      <c r="BM17" s="667">
        <f t="shared" si="20"/>
        <v>17</v>
      </c>
      <c r="BN17" s="666">
        <f t="shared" si="11"/>
        <v>2610</v>
      </c>
      <c r="BO17" s="666"/>
      <c r="BP17" s="666"/>
      <c r="BQ17" s="666"/>
      <c r="BR17" s="666"/>
      <c r="BS17" s="666"/>
      <c r="BT17" s="666"/>
      <c r="BU17" s="666"/>
      <c r="BV17" s="666"/>
      <c r="BW17" s="662"/>
    </row>
    <row r="18" spans="1:75" ht="31.2">
      <c r="A18" s="659"/>
      <c r="B18" s="660" t="s">
        <v>451</v>
      </c>
      <c r="C18" s="661">
        <f>D18+I18</f>
        <v>21</v>
      </c>
      <c r="D18" s="661">
        <f>E18+F18</f>
        <v>20</v>
      </c>
      <c r="E18" s="661">
        <v>6</v>
      </c>
      <c r="F18" s="661">
        <v>14</v>
      </c>
      <c r="G18" s="661">
        <v>6</v>
      </c>
      <c r="H18" s="661">
        <v>13</v>
      </c>
      <c r="I18" s="661">
        <v>1</v>
      </c>
      <c r="J18" s="661">
        <v>1</v>
      </c>
      <c r="K18" s="989">
        <f t="shared" si="3"/>
        <v>2968</v>
      </c>
      <c r="L18" s="666">
        <f t="shared" si="9"/>
        <v>3065</v>
      </c>
      <c r="M18" s="666">
        <v>1675</v>
      </c>
      <c r="N18" s="666">
        <v>490</v>
      </c>
      <c r="O18" s="666">
        <v>50</v>
      </c>
      <c r="P18" s="666"/>
      <c r="Q18" s="666"/>
      <c r="R18" s="666">
        <f>((N18+O18)-(BA18+BB18))*10%</f>
        <v>0</v>
      </c>
      <c r="S18" s="667">
        <v>54</v>
      </c>
      <c r="T18" s="667">
        <f t="shared" si="12"/>
        <v>54</v>
      </c>
      <c r="U18" s="666">
        <f t="shared" si="13"/>
        <v>2161</v>
      </c>
      <c r="V18" s="666">
        <v>904</v>
      </c>
      <c r="W18" s="666"/>
      <c r="X18" s="666"/>
      <c r="Y18" s="667">
        <f>Z18-BM18</f>
        <v>16.700000000000003</v>
      </c>
      <c r="Z18" s="668">
        <f>(V18-17)*10%</f>
        <v>88.7</v>
      </c>
      <c r="AA18" s="667">
        <v>80</v>
      </c>
      <c r="AB18" s="667">
        <f t="shared" si="14"/>
        <v>97</v>
      </c>
      <c r="AC18" s="666">
        <f t="shared" si="15"/>
        <v>807</v>
      </c>
      <c r="AD18" s="666">
        <f>(V18+W18+X18)-AC18</f>
        <v>97</v>
      </c>
      <c r="AE18" s="666"/>
      <c r="AF18" s="669"/>
      <c r="AG18" s="669"/>
      <c r="AH18" s="669"/>
      <c r="AI18" s="669"/>
      <c r="AJ18" s="669"/>
      <c r="AK18" s="669"/>
      <c r="AL18" s="669"/>
      <c r="AM18" s="662"/>
      <c r="AN18" s="610"/>
      <c r="AO18" s="659"/>
      <c r="AP18" s="660" t="s">
        <v>451</v>
      </c>
      <c r="AQ18" s="661">
        <f>AR18+AW18</f>
        <v>21</v>
      </c>
      <c r="AR18" s="661">
        <f>AS18+AT18</f>
        <v>20</v>
      </c>
      <c r="AS18" s="661">
        <v>6</v>
      </c>
      <c r="AT18" s="661">
        <v>14</v>
      </c>
      <c r="AU18" s="661">
        <v>6</v>
      </c>
      <c r="AV18" s="661">
        <v>14</v>
      </c>
      <c r="AW18" s="661">
        <v>1</v>
      </c>
      <c r="AX18" s="661">
        <v>1</v>
      </c>
      <c r="AY18" s="666">
        <f t="shared" si="10"/>
        <v>2705</v>
      </c>
      <c r="AZ18" s="670">
        <f>623+902+37</f>
        <v>1562</v>
      </c>
      <c r="BA18" s="666">
        <f>540-140</f>
        <v>400</v>
      </c>
      <c r="BB18" s="666">
        <v>140</v>
      </c>
      <c r="BC18" s="666"/>
      <c r="BD18" s="666"/>
      <c r="BE18" s="666">
        <f t="shared" si="16"/>
        <v>54</v>
      </c>
      <c r="BF18" s="667">
        <f t="shared" si="19"/>
        <v>54</v>
      </c>
      <c r="BG18" s="666">
        <f t="shared" si="17"/>
        <v>2048</v>
      </c>
      <c r="BH18" s="666">
        <f>132+315+72+10+200</f>
        <v>729</v>
      </c>
      <c r="BI18" s="666"/>
      <c r="BJ18" s="666"/>
      <c r="BK18" s="666"/>
      <c r="BL18" s="666">
        <f>(BH18-10)*10%</f>
        <v>71.900000000000006</v>
      </c>
      <c r="BM18" s="667">
        <f t="shared" si="20"/>
        <v>72</v>
      </c>
      <c r="BN18" s="666">
        <f t="shared" si="11"/>
        <v>657</v>
      </c>
      <c r="BO18" s="666"/>
      <c r="BP18" s="666"/>
      <c r="BQ18" s="666"/>
      <c r="BR18" s="666">
        <v>53</v>
      </c>
      <c r="BS18" s="666"/>
      <c r="BT18" s="666"/>
      <c r="BU18" s="666"/>
      <c r="BV18" s="666"/>
      <c r="BW18" s="662"/>
    </row>
    <row r="19" spans="1:75">
      <c r="A19" s="659"/>
      <c r="B19" s="660" t="s">
        <v>452</v>
      </c>
      <c r="C19" s="661">
        <f>D19+I19</f>
        <v>47</v>
      </c>
      <c r="D19" s="661">
        <f>E19+F19</f>
        <v>44</v>
      </c>
      <c r="E19" s="661"/>
      <c r="F19" s="661">
        <v>44</v>
      </c>
      <c r="G19" s="661"/>
      <c r="H19" s="661">
        <v>42</v>
      </c>
      <c r="I19" s="661">
        <v>3</v>
      </c>
      <c r="J19" s="661">
        <v>3</v>
      </c>
      <c r="K19" s="989">
        <f t="shared" si="3"/>
        <v>0</v>
      </c>
      <c r="L19" s="666">
        <f t="shared" si="9"/>
        <v>0</v>
      </c>
      <c r="M19" s="666"/>
      <c r="N19" s="666"/>
      <c r="O19" s="666"/>
      <c r="P19" s="666"/>
      <c r="Q19" s="666"/>
      <c r="R19" s="666"/>
      <c r="S19" s="667"/>
      <c r="T19" s="667">
        <f t="shared" si="12"/>
        <v>0</v>
      </c>
      <c r="U19" s="666">
        <f t="shared" si="13"/>
        <v>0</v>
      </c>
      <c r="V19" s="666"/>
      <c r="W19" s="666"/>
      <c r="X19" s="666"/>
      <c r="Y19" s="667"/>
      <c r="Z19" s="668">
        <f t="shared" si="18"/>
        <v>0</v>
      </c>
      <c r="AA19" s="667"/>
      <c r="AB19" s="667">
        <f t="shared" si="14"/>
        <v>0</v>
      </c>
      <c r="AC19" s="666">
        <f t="shared" si="15"/>
        <v>0</v>
      </c>
      <c r="AD19" s="666">
        <f>(V19+W19+X19)-AC19</f>
        <v>0</v>
      </c>
      <c r="AE19" s="666"/>
      <c r="AF19" s="669"/>
      <c r="AG19" s="669"/>
      <c r="AH19" s="669"/>
      <c r="AI19" s="669"/>
      <c r="AJ19" s="669"/>
      <c r="AK19" s="669"/>
      <c r="AL19" s="669"/>
      <c r="AM19" s="662"/>
      <c r="AN19" s="610"/>
      <c r="AO19" s="659"/>
      <c r="AP19" s="660" t="s">
        <v>452</v>
      </c>
      <c r="AQ19" s="661">
        <f>AR19+AW19</f>
        <v>47</v>
      </c>
      <c r="AR19" s="661">
        <f>AS19+AT19</f>
        <v>44</v>
      </c>
      <c r="AS19" s="661"/>
      <c r="AT19" s="661">
        <v>44</v>
      </c>
      <c r="AU19" s="661"/>
      <c r="AV19" s="661">
        <v>42</v>
      </c>
      <c r="AW19" s="661">
        <v>3</v>
      </c>
      <c r="AX19" s="661">
        <v>3</v>
      </c>
      <c r="AY19" s="666">
        <f t="shared" si="10"/>
        <v>4932</v>
      </c>
      <c r="AZ19" s="670">
        <f>2714+116-196</f>
        <v>2634</v>
      </c>
      <c r="BA19" s="666">
        <v>400</v>
      </c>
      <c r="BB19" s="666">
        <v>73</v>
      </c>
      <c r="BC19" s="666"/>
      <c r="BD19" s="666"/>
      <c r="BE19" s="666">
        <f t="shared" si="16"/>
        <v>47.300000000000004</v>
      </c>
      <c r="BF19" s="667">
        <f t="shared" si="19"/>
        <v>47</v>
      </c>
      <c r="BG19" s="666">
        <f t="shared" si="17"/>
        <v>3060</v>
      </c>
      <c r="BH19" s="666">
        <f>950+1152-150</f>
        <v>1952</v>
      </c>
      <c r="BI19" s="666"/>
      <c r="BJ19" s="666"/>
      <c r="BK19" s="666"/>
      <c r="BL19" s="666">
        <f>(BH19-1152)*10%</f>
        <v>80</v>
      </c>
      <c r="BM19" s="667">
        <f t="shared" si="20"/>
        <v>80</v>
      </c>
      <c r="BN19" s="666">
        <f t="shared" si="11"/>
        <v>1872</v>
      </c>
      <c r="BO19" s="666"/>
      <c r="BP19" s="666"/>
      <c r="BQ19" s="666"/>
      <c r="BR19" s="666"/>
      <c r="BS19" s="666"/>
      <c r="BT19" s="666"/>
      <c r="BU19" s="666"/>
      <c r="BV19" s="666"/>
      <c r="BW19" s="662"/>
    </row>
    <row r="20" spans="1:75">
      <c r="A20" s="659"/>
      <c r="B20" s="660" t="s">
        <v>453</v>
      </c>
      <c r="C20" s="661">
        <f t="shared" ref="C20:C28" si="21">D20+I20</f>
        <v>0</v>
      </c>
      <c r="D20" s="661">
        <f t="shared" ref="D20:D28" si="22">E20+F20</f>
        <v>0</v>
      </c>
      <c r="E20" s="661"/>
      <c r="F20" s="661"/>
      <c r="G20" s="661"/>
      <c r="H20" s="661"/>
      <c r="I20" s="661"/>
      <c r="J20" s="661"/>
      <c r="K20" s="989">
        <f t="shared" si="3"/>
        <v>0</v>
      </c>
      <c r="L20" s="666">
        <f t="shared" si="9"/>
        <v>0</v>
      </c>
      <c r="M20" s="666"/>
      <c r="N20" s="666"/>
      <c r="O20" s="666"/>
      <c r="P20" s="666"/>
      <c r="Q20" s="666"/>
      <c r="R20" s="666">
        <f>((N20+O20)-(BA20+BB20))*10%</f>
        <v>0</v>
      </c>
      <c r="S20" s="667"/>
      <c r="T20" s="667">
        <f t="shared" si="12"/>
        <v>0</v>
      </c>
      <c r="U20" s="666">
        <f t="shared" si="13"/>
        <v>0</v>
      </c>
      <c r="V20" s="666"/>
      <c r="W20" s="666"/>
      <c r="X20" s="666"/>
      <c r="Y20" s="667">
        <f>Z20-BM20</f>
        <v>0</v>
      </c>
      <c r="Z20" s="668">
        <f t="shared" si="18"/>
        <v>0</v>
      </c>
      <c r="AA20" s="667"/>
      <c r="AB20" s="667">
        <f t="shared" si="14"/>
        <v>0</v>
      </c>
      <c r="AC20" s="666">
        <f t="shared" si="15"/>
        <v>0</v>
      </c>
      <c r="AD20" s="666"/>
      <c r="AE20" s="666"/>
      <c r="AF20" s="669"/>
      <c r="AG20" s="669"/>
      <c r="AH20" s="669"/>
      <c r="AI20" s="669"/>
      <c r="AJ20" s="669"/>
      <c r="AK20" s="669"/>
      <c r="AL20" s="664"/>
      <c r="AN20" s="610"/>
      <c r="AO20" s="659"/>
      <c r="AP20" s="660" t="s">
        <v>453</v>
      </c>
      <c r="AQ20" s="661">
        <f t="shared" ref="AQ20:AQ28" si="23">AR20+AW20</f>
        <v>0</v>
      </c>
      <c r="AR20" s="661">
        <f t="shared" ref="AR20:AR28" si="24">AS20+AT20</f>
        <v>0</v>
      </c>
      <c r="AS20" s="661"/>
      <c r="AT20" s="661"/>
      <c r="AU20" s="661"/>
      <c r="AV20" s="661"/>
      <c r="AW20" s="661"/>
      <c r="AX20" s="661"/>
      <c r="AY20" s="666">
        <f t="shared" si="10"/>
        <v>0</v>
      </c>
      <c r="AZ20" s="670"/>
      <c r="BA20" s="666"/>
      <c r="BB20" s="666"/>
      <c r="BC20" s="666"/>
      <c r="BD20" s="666"/>
      <c r="BE20" s="666">
        <f t="shared" si="16"/>
        <v>0</v>
      </c>
      <c r="BF20" s="667">
        <f t="shared" si="19"/>
        <v>0</v>
      </c>
      <c r="BG20" s="666">
        <f t="shared" si="17"/>
        <v>0</v>
      </c>
      <c r="BH20" s="666"/>
      <c r="BI20" s="666"/>
      <c r="BJ20" s="666"/>
      <c r="BK20" s="666"/>
      <c r="BL20" s="666">
        <f>BH20*10%</f>
        <v>0</v>
      </c>
      <c r="BM20" s="667">
        <f t="shared" si="20"/>
        <v>0</v>
      </c>
      <c r="BN20" s="666">
        <f t="shared" si="11"/>
        <v>0</v>
      </c>
      <c r="BO20" s="666"/>
      <c r="BP20" s="666"/>
      <c r="BQ20" s="666"/>
      <c r="BR20" s="666"/>
      <c r="BS20" s="666"/>
      <c r="BT20" s="666"/>
      <c r="BU20" s="666"/>
      <c r="BV20" s="666"/>
      <c r="BW20" s="662"/>
    </row>
    <row r="21" spans="1:75" s="681" customFormat="1">
      <c r="A21" s="671"/>
      <c r="B21" s="672" t="s">
        <v>454</v>
      </c>
      <c r="C21" s="673">
        <f t="shared" si="21"/>
        <v>22</v>
      </c>
      <c r="D21" s="673">
        <f t="shared" si="22"/>
        <v>20</v>
      </c>
      <c r="E21" s="673"/>
      <c r="F21" s="673">
        <v>20</v>
      </c>
      <c r="G21" s="673"/>
      <c r="H21" s="673">
        <v>20</v>
      </c>
      <c r="I21" s="673">
        <v>2</v>
      </c>
      <c r="J21" s="673">
        <v>2</v>
      </c>
      <c r="K21" s="989">
        <f t="shared" si="3"/>
        <v>5319</v>
      </c>
      <c r="L21" s="674">
        <f t="shared" si="9"/>
        <v>5329</v>
      </c>
      <c r="M21" s="674">
        <v>1563</v>
      </c>
      <c r="N21" s="674">
        <v>444</v>
      </c>
      <c r="O21" s="674">
        <v>42</v>
      </c>
      <c r="P21" s="674"/>
      <c r="Q21" s="674"/>
      <c r="R21" s="674">
        <f>((N21+O21)-(BA21+BB21))*10%</f>
        <v>0</v>
      </c>
      <c r="S21" s="675"/>
      <c r="T21" s="667">
        <f t="shared" si="12"/>
        <v>0</v>
      </c>
      <c r="U21" s="666">
        <f t="shared" si="13"/>
        <v>2049</v>
      </c>
      <c r="V21" s="674">
        <v>2846</v>
      </c>
      <c r="W21" s="674">
        <v>424</v>
      </c>
      <c r="X21" s="674"/>
      <c r="Y21" s="675"/>
      <c r="Z21" s="676">
        <f>(V21-2818-28)*10%</f>
        <v>0</v>
      </c>
      <c r="AA21" s="675"/>
      <c r="AB21" s="667">
        <f t="shared" si="14"/>
        <v>0</v>
      </c>
      <c r="AC21" s="666">
        <f t="shared" si="15"/>
        <v>3270</v>
      </c>
      <c r="AD21" s="674">
        <v>10</v>
      </c>
      <c r="AE21" s="674"/>
      <c r="AF21" s="677"/>
      <c r="AG21" s="677"/>
      <c r="AH21" s="677"/>
      <c r="AI21" s="677"/>
      <c r="AJ21" s="677"/>
      <c r="AK21" s="677"/>
      <c r="AL21" s="677"/>
      <c r="AM21" s="678"/>
      <c r="AN21" s="679"/>
      <c r="AO21" s="671"/>
      <c r="AP21" s="672" t="s">
        <v>454</v>
      </c>
      <c r="AQ21" s="673">
        <f t="shared" si="23"/>
        <v>22</v>
      </c>
      <c r="AR21" s="673">
        <f t="shared" si="24"/>
        <v>20</v>
      </c>
      <c r="AS21" s="673"/>
      <c r="AT21" s="673">
        <v>20</v>
      </c>
      <c r="AU21" s="673"/>
      <c r="AV21" s="673">
        <v>18</v>
      </c>
      <c r="AW21" s="673">
        <v>2</v>
      </c>
      <c r="AX21" s="673">
        <v>2</v>
      </c>
      <c r="AY21" s="674">
        <f t="shared" si="10"/>
        <v>2675</v>
      </c>
      <c r="AZ21" s="680">
        <f>980+73+248+3+7+108</f>
        <v>1419</v>
      </c>
      <c r="BA21" s="674">
        <v>400</v>
      </c>
      <c r="BB21" s="674">
        <v>86</v>
      </c>
      <c r="BC21" s="674"/>
      <c r="BD21" s="674"/>
      <c r="BE21" s="674">
        <f t="shared" si="16"/>
        <v>48.6</v>
      </c>
      <c r="BF21" s="675">
        <f t="shared" si="19"/>
        <v>49</v>
      </c>
      <c r="BG21" s="674">
        <f t="shared" si="17"/>
        <v>1856</v>
      </c>
      <c r="BH21" s="674">
        <f>87+496</f>
        <v>583</v>
      </c>
      <c r="BI21" s="674"/>
      <c r="BJ21" s="674">
        <f>18+30+14+77+99+48</f>
        <v>286</v>
      </c>
      <c r="BK21" s="674"/>
      <c r="BL21" s="674">
        <f>(BH21-87)*10%</f>
        <v>49.6</v>
      </c>
      <c r="BM21" s="675">
        <f t="shared" si="20"/>
        <v>50</v>
      </c>
      <c r="BN21" s="674">
        <f t="shared" si="11"/>
        <v>819</v>
      </c>
      <c r="BO21" s="674"/>
      <c r="BP21" s="674"/>
      <c r="BQ21" s="674"/>
      <c r="BR21" s="674"/>
      <c r="BS21" s="674"/>
      <c r="BT21" s="674"/>
      <c r="BU21" s="674"/>
      <c r="BV21" s="674"/>
      <c r="BW21" s="678"/>
    </row>
    <row r="22" spans="1:75" ht="31.2">
      <c r="A22" s="659"/>
      <c r="B22" s="660" t="s">
        <v>455</v>
      </c>
      <c r="C22" s="661">
        <f t="shared" si="21"/>
        <v>0</v>
      </c>
      <c r="D22" s="661">
        <f t="shared" si="22"/>
        <v>0</v>
      </c>
      <c r="E22" s="661"/>
      <c r="F22" s="661"/>
      <c r="G22" s="661"/>
      <c r="H22" s="661"/>
      <c r="I22" s="661"/>
      <c r="J22" s="661"/>
      <c r="K22" s="989">
        <f t="shared" si="3"/>
        <v>540</v>
      </c>
      <c r="L22" s="666">
        <f t="shared" si="9"/>
        <v>600</v>
      </c>
      <c r="M22" s="666"/>
      <c r="N22" s="666"/>
      <c r="O22" s="666"/>
      <c r="P22" s="666"/>
      <c r="Q22" s="666"/>
      <c r="R22" s="666">
        <f>((N22+O22)-(BA22+BB22))*10%</f>
        <v>0</v>
      </c>
      <c r="S22" s="667"/>
      <c r="T22" s="667">
        <f t="shared" si="12"/>
        <v>0</v>
      </c>
      <c r="U22" s="666">
        <f t="shared" si="13"/>
        <v>0</v>
      </c>
      <c r="V22" s="666">
        <v>600</v>
      </c>
      <c r="W22" s="666"/>
      <c r="X22" s="666"/>
      <c r="Y22" s="667">
        <f>Z22-BM22</f>
        <v>9</v>
      </c>
      <c r="Z22" s="668">
        <f t="shared" si="18"/>
        <v>60</v>
      </c>
      <c r="AA22" s="667">
        <v>51</v>
      </c>
      <c r="AB22" s="667">
        <f t="shared" si="14"/>
        <v>60</v>
      </c>
      <c r="AC22" s="666">
        <f t="shared" si="15"/>
        <v>540</v>
      </c>
      <c r="AD22" s="666">
        <f>(V22+W22+X22)-AC22</f>
        <v>60</v>
      </c>
      <c r="AE22" s="666"/>
      <c r="AF22" s="669"/>
      <c r="AG22" s="669"/>
      <c r="AH22" s="669"/>
      <c r="AI22" s="669"/>
      <c r="AJ22" s="669"/>
      <c r="AK22" s="669"/>
      <c r="AL22" s="669"/>
      <c r="AM22" s="662"/>
      <c r="AN22" s="610"/>
      <c r="AO22" s="659"/>
      <c r="AP22" s="660" t="s">
        <v>455</v>
      </c>
      <c r="AQ22" s="661">
        <f t="shared" si="23"/>
        <v>0</v>
      </c>
      <c r="AR22" s="661">
        <f t="shared" si="24"/>
        <v>0</v>
      </c>
      <c r="AS22" s="661"/>
      <c r="AT22" s="661"/>
      <c r="AU22" s="661"/>
      <c r="AV22" s="661"/>
      <c r="AW22" s="661"/>
      <c r="AX22" s="661"/>
      <c r="AY22" s="666">
        <f t="shared" si="10"/>
        <v>459</v>
      </c>
      <c r="AZ22" s="670"/>
      <c r="BA22" s="666"/>
      <c r="BB22" s="666"/>
      <c r="BC22" s="666"/>
      <c r="BD22" s="666"/>
      <c r="BE22" s="666">
        <f t="shared" si="16"/>
        <v>0</v>
      </c>
      <c r="BF22" s="667">
        <f t="shared" si="19"/>
        <v>0</v>
      </c>
      <c r="BG22" s="666">
        <f t="shared" si="17"/>
        <v>0</v>
      </c>
      <c r="BH22" s="666">
        <v>510</v>
      </c>
      <c r="BI22" s="666"/>
      <c r="BJ22" s="666"/>
      <c r="BK22" s="666"/>
      <c r="BL22" s="666">
        <f>BH22*10%</f>
        <v>51</v>
      </c>
      <c r="BM22" s="667">
        <f t="shared" si="20"/>
        <v>51</v>
      </c>
      <c r="BN22" s="666">
        <f t="shared" si="11"/>
        <v>459</v>
      </c>
      <c r="BO22" s="666"/>
      <c r="BP22" s="666"/>
      <c r="BQ22" s="666"/>
      <c r="BR22" s="666"/>
      <c r="BS22" s="666"/>
      <c r="BT22" s="666"/>
      <c r="BU22" s="666"/>
      <c r="BV22" s="666"/>
      <c r="BW22" s="662"/>
    </row>
    <row r="23" spans="1:75">
      <c r="A23" s="659"/>
      <c r="B23" s="660" t="s">
        <v>456</v>
      </c>
      <c r="C23" s="661">
        <f t="shared" si="21"/>
        <v>13</v>
      </c>
      <c r="D23" s="661">
        <f t="shared" si="22"/>
        <v>9</v>
      </c>
      <c r="E23" s="661"/>
      <c r="F23" s="661">
        <v>9</v>
      </c>
      <c r="G23" s="661"/>
      <c r="H23" s="661">
        <v>8</v>
      </c>
      <c r="I23" s="661">
        <v>4</v>
      </c>
      <c r="J23" s="661">
        <v>4</v>
      </c>
      <c r="K23" s="989">
        <f t="shared" si="3"/>
        <v>0</v>
      </c>
      <c r="L23" s="666">
        <f t="shared" si="9"/>
        <v>0</v>
      </c>
      <c r="M23" s="666"/>
      <c r="N23" s="666"/>
      <c r="O23" s="666"/>
      <c r="P23" s="666"/>
      <c r="Q23" s="666"/>
      <c r="R23" s="666"/>
      <c r="S23" s="667"/>
      <c r="T23" s="667">
        <f t="shared" si="12"/>
        <v>0</v>
      </c>
      <c r="U23" s="666">
        <f t="shared" si="13"/>
        <v>0</v>
      </c>
      <c r="V23" s="666"/>
      <c r="W23" s="666"/>
      <c r="X23" s="666"/>
      <c r="Y23" s="667">
        <f>Z23-BM23</f>
        <v>0</v>
      </c>
      <c r="Z23" s="668">
        <f t="shared" si="18"/>
        <v>0</v>
      </c>
      <c r="AA23" s="667"/>
      <c r="AB23" s="667">
        <f t="shared" si="14"/>
        <v>0</v>
      </c>
      <c r="AC23" s="666">
        <f t="shared" si="15"/>
        <v>0</v>
      </c>
      <c r="AD23" s="666">
        <f>(V23+W23+X23)-AC23</f>
        <v>0</v>
      </c>
      <c r="AE23" s="666"/>
      <c r="AF23" s="669"/>
      <c r="AG23" s="669"/>
      <c r="AH23" s="669"/>
      <c r="AI23" s="669"/>
      <c r="AJ23" s="669"/>
      <c r="AK23" s="669"/>
      <c r="AL23" s="669"/>
      <c r="AM23" s="662"/>
      <c r="AN23" s="610"/>
      <c r="AO23" s="659"/>
      <c r="AP23" s="660" t="s">
        <v>456</v>
      </c>
      <c r="AQ23" s="661">
        <f t="shared" si="23"/>
        <v>15</v>
      </c>
      <c r="AR23" s="661">
        <f t="shared" si="24"/>
        <v>9</v>
      </c>
      <c r="AS23" s="661"/>
      <c r="AT23" s="661">
        <v>9</v>
      </c>
      <c r="AU23" s="661"/>
      <c r="AV23" s="661">
        <v>9</v>
      </c>
      <c r="AW23" s="661">
        <v>6</v>
      </c>
      <c r="AX23" s="661">
        <v>4</v>
      </c>
      <c r="AY23" s="666">
        <f t="shared" si="10"/>
        <v>1137</v>
      </c>
      <c r="AZ23" s="670">
        <f>606+137</f>
        <v>743</v>
      </c>
      <c r="BA23" s="666">
        <f>235-35</f>
        <v>200</v>
      </c>
      <c r="BB23" s="666">
        <v>35</v>
      </c>
      <c r="BC23" s="666"/>
      <c r="BD23" s="666"/>
      <c r="BE23" s="666">
        <f t="shared" si="16"/>
        <v>23.5</v>
      </c>
      <c r="BF23" s="667">
        <f t="shared" si="19"/>
        <v>24</v>
      </c>
      <c r="BG23" s="666">
        <f t="shared" si="17"/>
        <v>954</v>
      </c>
      <c r="BH23" s="666"/>
      <c r="BI23" s="666"/>
      <c r="BJ23" s="666">
        <f>80+13+40+50</f>
        <v>183</v>
      </c>
      <c r="BK23" s="666"/>
      <c r="BL23" s="666">
        <f>BH23*10%</f>
        <v>0</v>
      </c>
      <c r="BM23" s="667">
        <f t="shared" si="20"/>
        <v>0</v>
      </c>
      <c r="BN23" s="666">
        <f t="shared" si="11"/>
        <v>183</v>
      </c>
      <c r="BO23" s="666"/>
      <c r="BP23" s="666"/>
      <c r="BQ23" s="666"/>
      <c r="BR23" s="666"/>
      <c r="BS23" s="666"/>
      <c r="BT23" s="666"/>
      <c r="BU23" s="666"/>
      <c r="BV23" s="666"/>
      <c r="BW23" s="662"/>
    </row>
    <row r="24" spans="1:75">
      <c r="A24" s="659"/>
      <c r="B24" s="660" t="s">
        <v>457</v>
      </c>
      <c r="C24" s="661">
        <f t="shared" si="21"/>
        <v>0</v>
      </c>
      <c r="D24" s="661">
        <f t="shared" si="22"/>
        <v>0</v>
      </c>
      <c r="E24" s="661"/>
      <c r="F24" s="661"/>
      <c r="G24" s="661"/>
      <c r="H24" s="661"/>
      <c r="I24" s="661"/>
      <c r="J24" s="661"/>
      <c r="K24" s="989">
        <f t="shared" si="3"/>
        <v>0</v>
      </c>
      <c r="L24" s="666">
        <f t="shared" si="9"/>
        <v>0</v>
      </c>
      <c r="M24" s="666"/>
      <c r="N24" s="666"/>
      <c r="O24" s="666"/>
      <c r="P24" s="666"/>
      <c r="Q24" s="666"/>
      <c r="R24" s="666">
        <f>((N24+O24)-(BA24+BB24))*10%</f>
        <v>0</v>
      </c>
      <c r="S24" s="667"/>
      <c r="T24" s="667">
        <f t="shared" si="12"/>
        <v>0</v>
      </c>
      <c r="U24" s="666">
        <f t="shared" si="13"/>
        <v>0</v>
      </c>
      <c r="V24" s="666"/>
      <c r="W24" s="666"/>
      <c r="X24" s="666"/>
      <c r="Y24" s="667">
        <f>Z24-BM24</f>
        <v>0</v>
      </c>
      <c r="Z24" s="668">
        <f t="shared" si="18"/>
        <v>0</v>
      </c>
      <c r="AA24" s="667"/>
      <c r="AB24" s="667">
        <f t="shared" si="14"/>
        <v>0</v>
      </c>
      <c r="AC24" s="666">
        <f t="shared" si="15"/>
        <v>0</v>
      </c>
      <c r="AD24" s="666"/>
      <c r="AE24" s="666"/>
      <c r="AF24" s="669"/>
      <c r="AG24" s="669"/>
      <c r="AH24" s="669"/>
      <c r="AI24" s="669"/>
      <c r="AJ24" s="669"/>
      <c r="AK24" s="669"/>
      <c r="AL24" s="664"/>
      <c r="AN24" s="610"/>
      <c r="AO24" s="659"/>
      <c r="AP24" s="660" t="s">
        <v>457</v>
      </c>
      <c r="AQ24" s="661">
        <f t="shared" si="23"/>
        <v>0</v>
      </c>
      <c r="AR24" s="661">
        <f t="shared" si="24"/>
        <v>0</v>
      </c>
      <c r="AS24" s="661"/>
      <c r="AT24" s="661"/>
      <c r="AU24" s="661"/>
      <c r="AV24" s="661"/>
      <c r="AW24" s="661"/>
      <c r="AX24" s="661"/>
      <c r="AY24" s="666">
        <f t="shared" si="10"/>
        <v>0</v>
      </c>
      <c r="AZ24" s="670"/>
      <c r="BA24" s="666"/>
      <c r="BB24" s="666"/>
      <c r="BC24" s="666"/>
      <c r="BD24" s="666"/>
      <c r="BE24" s="666">
        <f t="shared" si="16"/>
        <v>0</v>
      </c>
      <c r="BF24" s="667">
        <f t="shared" si="19"/>
        <v>0</v>
      </c>
      <c r="BG24" s="666">
        <f t="shared" si="17"/>
        <v>0</v>
      </c>
      <c r="BH24" s="666"/>
      <c r="BI24" s="666"/>
      <c r="BJ24" s="666"/>
      <c r="BK24" s="666"/>
      <c r="BL24" s="666">
        <f>BH24*10%</f>
        <v>0</v>
      </c>
      <c r="BM24" s="667">
        <f t="shared" si="20"/>
        <v>0</v>
      </c>
      <c r="BN24" s="666">
        <f t="shared" si="11"/>
        <v>0</v>
      </c>
      <c r="BO24" s="666"/>
      <c r="BP24" s="666"/>
      <c r="BQ24" s="666"/>
      <c r="BR24" s="666"/>
      <c r="BS24" s="666"/>
      <c r="BT24" s="666"/>
      <c r="BU24" s="666"/>
      <c r="BV24" s="666"/>
      <c r="BW24" s="662"/>
    </row>
    <row r="25" spans="1:75" s="698" customFormat="1">
      <c r="A25" s="694"/>
      <c r="B25" s="695" t="s">
        <v>458</v>
      </c>
      <c r="C25" s="696">
        <f t="shared" si="21"/>
        <v>57</v>
      </c>
      <c r="D25" s="696">
        <f t="shared" si="22"/>
        <v>47</v>
      </c>
      <c r="E25" s="696">
        <v>10</v>
      </c>
      <c r="F25" s="696">
        <v>37</v>
      </c>
      <c r="G25" s="696">
        <v>9</v>
      </c>
      <c r="H25" s="696">
        <v>37</v>
      </c>
      <c r="I25" s="696">
        <v>10</v>
      </c>
      <c r="J25" s="696">
        <v>10</v>
      </c>
      <c r="K25" s="989">
        <f t="shared" si="3"/>
        <v>7155</v>
      </c>
      <c r="L25" s="668">
        <f t="shared" si="9"/>
        <v>7188</v>
      </c>
      <c r="M25" s="668">
        <v>4205</v>
      </c>
      <c r="N25" s="668">
        <v>985</v>
      </c>
      <c r="O25" s="668">
        <v>190</v>
      </c>
      <c r="P25" s="668"/>
      <c r="Q25" s="668"/>
      <c r="R25" s="668"/>
      <c r="S25" s="667">
        <f>70+103</f>
        <v>173</v>
      </c>
      <c r="T25" s="667">
        <f t="shared" si="12"/>
        <v>173</v>
      </c>
      <c r="U25" s="666">
        <f t="shared" si="13"/>
        <v>5207</v>
      </c>
      <c r="V25" s="668">
        <f>2000-40</f>
        <v>1960</v>
      </c>
      <c r="W25" s="668">
        <v>110</v>
      </c>
      <c r="X25" s="668"/>
      <c r="Y25" s="667">
        <f>Z25-BM25</f>
        <v>59.5</v>
      </c>
      <c r="Z25" s="668">
        <f>(V25-15)*10%</f>
        <v>194.5</v>
      </c>
      <c r="AA25" s="667">
        <f>31+31</f>
        <v>62</v>
      </c>
      <c r="AB25" s="667">
        <f t="shared" si="14"/>
        <v>122</v>
      </c>
      <c r="AC25" s="666">
        <f t="shared" si="15"/>
        <v>1948</v>
      </c>
      <c r="AD25" s="668">
        <v>33</v>
      </c>
      <c r="AE25" s="668"/>
      <c r="AF25" s="668"/>
      <c r="AG25" s="668"/>
      <c r="AH25" s="668"/>
      <c r="AI25" s="668"/>
      <c r="AJ25" s="668"/>
      <c r="AK25" s="668"/>
      <c r="AL25" s="668"/>
      <c r="AM25" s="697"/>
      <c r="AN25" s="610"/>
      <c r="AO25" s="694"/>
      <c r="AP25" s="695" t="s">
        <v>458</v>
      </c>
      <c r="AQ25" s="696">
        <f t="shared" si="23"/>
        <v>59</v>
      </c>
      <c r="AR25" s="696">
        <f t="shared" si="24"/>
        <v>48</v>
      </c>
      <c r="AS25" s="696">
        <v>11</v>
      </c>
      <c r="AT25" s="696">
        <v>37</v>
      </c>
      <c r="AU25" s="696">
        <v>11</v>
      </c>
      <c r="AV25" s="696">
        <v>34</v>
      </c>
      <c r="AW25" s="696">
        <v>11</v>
      </c>
      <c r="AX25" s="696">
        <v>11</v>
      </c>
      <c r="AY25" s="668">
        <f t="shared" si="10"/>
        <v>6778</v>
      </c>
      <c r="AZ25" s="668">
        <f>1158+2232+700-111</f>
        <v>3979</v>
      </c>
      <c r="BA25" s="668">
        <f>1200-150</f>
        <v>1050</v>
      </c>
      <c r="BB25" s="668">
        <v>150</v>
      </c>
      <c r="BC25" s="668"/>
      <c r="BD25" s="668"/>
      <c r="BE25" s="666">
        <f t="shared" si="16"/>
        <v>120</v>
      </c>
      <c r="BF25" s="668">
        <f t="shared" si="19"/>
        <v>120</v>
      </c>
      <c r="BG25" s="668">
        <f t="shared" si="17"/>
        <v>5059</v>
      </c>
      <c r="BH25" s="668">
        <v>1384</v>
      </c>
      <c r="BI25" s="668"/>
      <c r="BJ25" s="668">
        <v>110</v>
      </c>
      <c r="BK25" s="668"/>
      <c r="BL25" s="666">
        <f>(BH25-30)*10%</f>
        <v>135.4</v>
      </c>
      <c r="BM25" s="668">
        <f t="shared" si="20"/>
        <v>135</v>
      </c>
      <c r="BN25" s="668">
        <f t="shared" si="11"/>
        <v>1359</v>
      </c>
      <c r="BO25" s="668">
        <v>360</v>
      </c>
      <c r="BP25" s="668"/>
      <c r="BQ25" s="668"/>
      <c r="BR25" s="668">
        <v>28</v>
      </c>
      <c r="BS25" s="668"/>
      <c r="BT25" s="668">
        <v>70</v>
      </c>
      <c r="BU25" s="668"/>
      <c r="BV25" s="668"/>
      <c r="BW25" s="697"/>
    </row>
    <row r="26" spans="1:75">
      <c r="A26" s="659"/>
      <c r="B26" s="660" t="s">
        <v>459</v>
      </c>
      <c r="C26" s="661">
        <f>D26+I26</f>
        <v>0</v>
      </c>
      <c r="D26" s="661">
        <f>E26+F26</f>
        <v>0</v>
      </c>
      <c r="E26" s="661"/>
      <c r="F26" s="661"/>
      <c r="G26" s="661"/>
      <c r="H26" s="661"/>
      <c r="I26" s="661"/>
      <c r="J26" s="661"/>
      <c r="K26" s="989">
        <f t="shared" si="3"/>
        <v>0</v>
      </c>
      <c r="L26" s="666">
        <f t="shared" si="9"/>
        <v>0</v>
      </c>
      <c r="M26" s="666"/>
      <c r="N26" s="666"/>
      <c r="O26" s="666"/>
      <c r="P26" s="666"/>
      <c r="Q26" s="666"/>
      <c r="R26" s="666">
        <f>((N26+O26)-(BA26+BB26))*10%</f>
        <v>0</v>
      </c>
      <c r="S26" s="667"/>
      <c r="T26" s="667">
        <f t="shared" si="12"/>
        <v>0</v>
      </c>
      <c r="U26" s="666">
        <f t="shared" si="13"/>
        <v>0</v>
      </c>
      <c r="V26" s="666"/>
      <c r="W26" s="666"/>
      <c r="X26" s="666"/>
      <c r="Y26" s="667"/>
      <c r="Z26" s="668">
        <f t="shared" si="18"/>
        <v>0</v>
      </c>
      <c r="AA26" s="667"/>
      <c r="AB26" s="667">
        <f t="shared" si="14"/>
        <v>0</v>
      </c>
      <c r="AC26" s="666">
        <f t="shared" si="15"/>
        <v>0</v>
      </c>
      <c r="AD26" s="666"/>
      <c r="AE26" s="666"/>
      <c r="AF26" s="669"/>
      <c r="AG26" s="669"/>
      <c r="AH26" s="669"/>
      <c r="AI26" s="669"/>
      <c r="AJ26" s="669"/>
      <c r="AK26" s="669"/>
      <c r="AL26" s="664"/>
      <c r="AN26" s="610"/>
      <c r="AO26" s="659"/>
      <c r="AP26" s="660" t="s">
        <v>459</v>
      </c>
      <c r="AQ26" s="661">
        <f>AR26+AW26</f>
        <v>0</v>
      </c>
      <c r="AR26" s="661">
        <f>AS26+AT26</f>
        <v>0</v>
      </c>
      <c r="AS26" s="661"/>
      <c r="AT26" s="661"/>
      <c r="AU26" s="661"/>
      <c r="AV26" s="661"/>
      <c r="AW26" s="661"/>
      <c r="AX26" s="661"/>
      <c r="AY26" s="666">
        <f t="shared" si="10"/>
        <v>2410</v>
      </c>
      <c r="AZ26" s="670"/>
      <c r="BA26" s="666"/>
      <c r="BB26" s="666"/>
      <c r="BC26" s="666"/>
      <c r="BD26" s="666"/>
      <c r="BE26" s="666">
        <f t="shared" si="16"/>
        <v>0</v>
      </c>
      <c r="BF26" s="667"/>
      <c r="BG26" s="666">
        <f>(AZ26+BA26+BB26+BC26)-BF26</f>
        <v>0</v>
      </c>
      <c r="BH26" s="666">
        <v>2678</v>
      </c>
      <c r="BI26" s="666"/>
      <c r="BJ26" s="666"/>
      <c r="BK26" s="666"/>
      <c r="BL26" s="666">
        <f>BH26*10%</f>
        <v>267.8</v>
      </c>
      <c r="BM26" s="667">
        <f t="shared" si="20"/>
        <v>268</v>
      </c>
      <c r="BN26" s="666">
        <f t="shared" si="11"/>
        <v>2410</v>
      </c>
      <c r="BO26" s="666"/>
      <c r="BP26" s="666"/>
      <c r="BQ26" s="666"/>
      <c r="BR26" s="666"/>
      <c r="BS26" s="666"/>
      <c r="BT26" s="666"/>
      <c r="BU26" s="666"/>
      <c r="BV26" s="666"/>
      <c r="BW26" s="662"/>
    </row>
    <row r="27" spans="1:75" ht="31.2">
      <c r="A27" s="659">
        <v>2</v>
      </c>
      <c r="B27" s="660" t="s">
        <v>460</v>
      </c>
      <c r="C27" s="661">
        <f>D27+I27</f>
        <v>157</v>
      </c>
      <c r="D27" s="661">
        <f>E27+F27</f>
        <v>157</v>
      </c>
      <c r="E27" s="661"/>
      <c r="F27" s="661">
        <v>157</v>
      </c>
      <c r="G27" s="661"/>
      <c r="H27" s="661">
        <v>150</v>
      </c>
      <c r="I27" s="661"/>
      <c r="J27" s="661"/>
      <c r="K27" s="989">
        <f t="shared" si="3"/>
        <v>11554</v>
      </c>
      <c r="L27" s="666">
        <f t="shared" si="9"/>
        <v>11554</v>
      </c>
      <c r="M27" s="666">
        <f>10406+482</f>
        <v>10888</v>
      </c>
      <c r="N27" s="666">
        <v>666</v>
      </c>
      <c r="O27" s="666"/>
      <c r="P27" s="666"/>
      <c r="Q27" s="666"/>
      <c r="R27" s="666"/>
      <c r="S27" s="667"/>
      <c r="T27" s="667">
        <f>ROUND((Q27+R27+S27),0)</f>
        <v>0</v>
      </c>
      <c r="U27" s="666">
        <f t="shared" si="13"/>
        <v>11554</v>
      </c>
      <c r="V27" s="666"/>
      <c r="W27" s="666"/>
      <c r="X27" s="666"/>
      <c r="Y27" s="667">
        <f>Z27-BM27</f>
        <v>0</v>
      </c>
      <c r="Z27" s="668">
        <f>V27*10%</f>
        <v>0</v>
      </c>
      <c r="AA27" s="667"/>
      <c r="AB27" s="667">
        <f t="shared" si="14"/>
        <v>0</v>
      </c>
      <c r="AC27" s="666">
        <f t="shared" si="15"/>
        <v>0</v>
      </c>
      <c r="AD27" s="666">
        <f>(V27+W27+X27)-AC27</f>
        <v>0</v>
      </c>
      <c r="AE27" s="666"/>
      <c r="AF27" s="669"/>
      <c r="AG27" s="669"/>
      <c r="AH27" s="669"/>
      <c r="AI27" s="669"/>
      <c r="AJ27" s="669"/>
      <c r="AK27" s="669"/>
      <c r="AL27" s="669"/>
      <c r="AM27" s="662"/>
      <c r="AN27" s="610"/>
      <c r="AO27" s="659">
        <v>2</v>
      </c>
      <c r="AP27" s="660" t="s">
        <v>460</v>
      </c>
      <c r="AQ27" s="661">
        <f t="shared" si="23"/>
        <v>168</v>
      </c>
      <c r="AR27" s="661">
        <f t="shared" si="24"/>
        <v>168</v>
      </c>
      <c r="AS27" s="661"/>
      <c r="AT27" s="661">
        <v>168</v>
      </c>
      <c r="AU27" s="661"/>
      <c r="AV27" s="661">
        <v>165</v>
      </c>
      <c r="AW27" s="661"/>
      <c r="AX27" s="661"/>
      <c r="AY27" s="666">
        <f t="shared" si="10"/>
        <v>11206</v>
      </c>
      <c r="AZ27" s="670">
        <f>7233+1700+1613</f>
        <v>10546</v>
      </c>
      <c r="BA27" s="666">
        <f>436+297</f>
        <v>733</v>
      </c>
      <c r="BB27" s="666"/>
      <c r="BC27" s="666"/>
      <c r="BD27" s="666"/>
      <c r="BE27" s="666">
        <f t="shared" si="16"/>
        <v>73.3</v>
      </c>
      <c r="BF27" s="667">
        <f>ROUND(BE27,0)</f>
        <v>73</v>
      </c>
      <c r="BG27" s="666">
        <f t="shared" si="17"/>
        <v>11206</v>
      </c>
      <c r="BH27" s="666"/>
      <c r="BI27" s="666"/>
      <c r="BJ27" s="666"/>
      <c r="BK27" s="666"/>
      <c r="BL27" s="666">
        <f>BH27*10%</f>
        <v>0</v>
      </c>
      <c r="BM27" s="667"/>
      <c r="BN27" s="666">
        <f t="shared" si="11"/>
        <v>0</v>
      </c>
      <c r="BO27" s="666"/>
      <c r="BP27" s="666"/>
      <c r="BQ27" s="666"/>
      <c r="BR27" s="666"/>
      <c r="BS27" s="666"/>
      <c r="BT27" s="666"/>
      <c r="BU27" s="666"/>
      <c r="BV27" s="666"/>
      <c r="BW27" s="662"/>
    </row>
    <row r="28" spans="1:75" ht="31.2">
      <c r="A28" s="659">
        <v>3</v>
      </c>
      <c r="B28" s="990" t="s">
        <v>461</v>
      </c>
      <c r="C28" s="661">
        <f t="shared" si="21"/>
        <v>0</v>
      </c>
      <c r="D28" s="661">
        <f t="shared" si="22"/>
        <v>0</v>
      </c>
      <c r="E28" s="661"/>
      <c r="F28" s="661"/>
      <c r="G28" s="661"/>
      <c r="H28" s="661"/>
      <c r="I28" s="661"/>
      <c r="J28" s="661"/>
      <c r="K28" s="989">
        <f t="shared" si="3"/>
        <v>66687</v>
      </c>
      <c r="L28" s="666">
        <f t="shared" si="9"/>
        <v>66687</v>
      </c>
      <c r="M28" s="662"/>
      <c r="N28" s="662"/>
      <c r="O28" s="662"/>
      <c r="P28" s="662"/>
      <c r="Q28" s="662"/>
      <c r="R28" s="666">
        <f>(N28+O28)*10%</f>
        <v>0</v>
      </c>
      <c r="S28" s="667"/>
      <c r="T28" s="667">
        <f t="shared" si="12"/>
        <v>0</v>
      </c>
      <c r="U28" s="666">
        <f t="shared" si="13"/>
        <v>0</v>
      </c>
      <c r="V28" s="991">
        <v>66687</v>
      </c>
      <c r="W28" s="662"/>
      <c r="X28" s="662"/>
      <c r="Y28" s="667">
        <f>Z28-BM28</f>
        <v>6668.7000000000007</v>
      </c>
      <c r="Z28" s="668">
        <f t="shared" si="18"/>
        <v>6668.7000000000007</v>
      </c>
      <c r="AA28" s="663"/>
      <c r="AB28" s="667"/>
      <c r="AC28" s="666">
        <f t="shared" si="15"/>
        <v>66687</v>
      </c>
      <c r="AD28" s="662"/>
      <c r="AE28" s="662"/>
      <c r="AF28" s="664"/>
      <c r="AG28" s="664"/>
      <c r="AH28" s="664"/>
      <c r="AI28" s="664"/>
      <c r="AJ28" s="664"/>
      <c r="AK28" s="664"/>
      <c r="AL28" s="664"/>
      <c r="AN28" s="610"/>
      <c r="AO28" s="659">
        <v>3</v>
      </c>
      <c r="AP28" s="660" t="s">
        <v>461</v>
      </c>
      <c r="AQ28" s="661">
        <f t="shared" si="23"/>
        <v>0</v>
      </c>
      <c r="AR28" s="661">
        <f t="shared" si="24"/>
        <v>0</v>
      </c>
      <c r="AS28" s="661"/>
      <c r="AT28" s="661"/>
      <c r="AU28" s="661"/>
      <c r="AV28" s="661"/>
      <c r="AW28" s="661"/>
      <c r="AX28" s="661"/>
      <c r="AY28" s="666">
        <f t="shared" si="10"/>
        <v>66687</v>
      </c>
      <c r="AZ28" s="665"/>
      <c r="BA28" s="662"/>
      <c r="BB28" s="662"/>
      <c r="BC28" s="662"/>
      <c r="BD28" s="662"/>
      <c r="BE28" s="666">
        <f t="shared" si="16"/>
        <v>0</v>
      </c>
      <c r="BF28" s="667">
        <f>ROUND(BE28,0)</f>
        <v>0</v>
      </c>
      <c r="BG28" s="666">
        <f t="shared" si="17"/>
        <v>0</v>
      </c>
      <c r="BH28" s="662"/>
      <c r="BI28" s="662">
        <f>46987+19700</f>
        <v>66687</v>
      </c>
      <c r="BJ28" s="662"/>
      <c r="BK28" s="662"/>
      <c r="BL28" s="666">
        <f>BH28*10%</f>
        <v>0</v>
      </c>
      <c r="BM28" s="663"/>
      <c r="BN28" s="666">
        <f t="shared" si="11"/>
        <v>66687</v>
      </c>
      <c r="BO28" s="662"/>
      <c r="BP28" s="662"/>
      <c r="BQ28" s="662"/>
      <c r="BR28" s="662"/>
      <c r="BS28" s="662"/>
      <c r="BT28" s="662"/>
      <c r="BU28" s="662"/>
      <c r="BV28" s="662"/>
      <c r="BW28" s="662"/>
    </row>
    <row r="29" spans="1:75" ht="31.2">
      <c r="A29" s="659">
        <v>4</v>
      </c>
      <c r="B29" s="660" t="s">
        <v>462</v>
      </c>
      <c r="C29" s="661"/>
      <c r="D29" s="661"/>
      <c r="E29" s="661"/>
      <c r="F29" s="661"/>
      <c r="G29" s="661"/>
      <c r="H29" s="661"/>
      <c r="I29" s="661"/>
      <c r="J29" s="661"/>
      <c r="K29" s="989">
        <f t="shared" si="3"/>
        <v>0</v>
      </c>
      <c r="L29" s="666">
        <f t="shared" si="9"/>
        <v>0</v>
      </c>
      <c r="M29" s="662"/>
      <c r="N29" s="662"/>
      <c r="O29" s="662"/>
      <c r="P29" s="662"/>
      <c r="Q29" s="662"/>
      <c r="R29" s="666">
        <f>(N29+O29)*10%</f>
        <v>0</v>
      </c>
      <c r="S29" s="667"/>
      <c r="T29" s="667">
        <f t="shared" si="12"/>
        <v>0</v>
      </c>
      <c r="U29" s="666">
        <f t="shared" si="13"/>
        <v>0</v>
      </c>
      <c r="V29" s="662"/>
      <c r="W29" s="662"/>
      <c r="X29" s="662"/>
      <c r="Y29" s="667">
        <f>Z29-BM29</f>
        <v>0</v>
      </c>
      <c r="Z29" s="668">
        <f t="shared" si="18"/>
        <v>0</v>
      </c>
      <c r="AA29" s="663"/>
      <c r="AB29" s="667">
        <f t="shared" si="14"/>
        <v>0</v>
      </c>
      <c r="AC29" s="666">
        <f t="shared" si="15"/>
        <v>0</v>
      </c>
      <c r="AD29" s="662"/>
      <c r="AE29" s="662"/>
      <c r="AF29" s="664"/>
      <c r="AG29" s="664"/>
      <c r="AH29" s="664"/>
      <c r="AI29" s="664"/>
      <c r="AJ29" s="664"/>
      <c r="AK29" s="664"/>
      <c r="AL29" s="664"/>
      <c r="AN29" s="610"/>
      <c r="AO29" s="659">
        <v>4</v>
      </c>
      <c r="AP29" s="660" t="s">
        <v>462</v>
      </c>
      <c r="AQ29" s="661"/>
      <c r="AR29" s="661"/>
      <c r="AS29" s="661"/>
      <c r="AT29" s="661"/>
      <c r="AU29" s="661"/>
      <c r="AV29" s="661"/>
      <c r="AW29" s="661"/>
      <c r="AX29" s="661"/>
      <c r="AY29" s="666">
        <f t="shared" si="10"/>
        <v>0</v>
      </c>
      <c r="AZ29" s="665"/>
      <c r="BA29" s="662"/>
      <c r="BB29" s="662"/>
      <c r="BC29" s="662"/>
      <c r="BD29" s="662"/>
      <c r="BE29" s="666">
        <f t="shared" si="16"/>
        <v>0</v>
      </c>
      <c r="BF29" s="667">
        <f>ROUND(BE29,0)</f>
        <v>0</v>
      </c>
      <c r="BG29" s="666">
        <f t="shared" si="17"/>
        <v>0</v>
      </c>
      <c r="BH29" s="662"/>
      <c r="BI29" s="662"/>
      <c r="BJ29" s="662"/>
      <c r="BK29" s="662"/>
      <c r="BL29" s="666">
        <f>BH29*10%</f>
        <v>0</v>
      </c>
      <c r="BM29" s="663"/>
      <c r="BN29" s="666">
        <f t="shared" si="11"/>
        <v>0</v>
      </c>
      <c r="BO29" s="662"/>
      <c r="BP29" s="662"/>
      <c r="BQ29" s="662"/>
      <c r="BR29" s="662"/>
      <c r="BS29" s="662"/>
      <c r="BT29" s="662"/>
      <c r="BU29" s="662"/>
      <c r="BV29" s="662"/>
      <c r="BW29" s="662"/>
    </row>
    <row r="30" spans="1:75" s="699" customFormat="1" ht="16.2">
      <c r="A30" s="650" t="s">
        <v>463</v>
      </c>
      <c r="B30" s="651" t="s">
        <v>464</v>
      </c>
      <c r="C30" s="652">
        <f>C31+C32</f>
        <v>37</v>
      </c>
      <c r="D30" s="652">
        <f t="shared" ref="D30:AM30" si="25">D31+D32</f>
        <v>32</v>
      </c>
      <c r="E30" s="652">
        <f t="shared" si="25"/>
        <v>0</v>
      </c>
      <c r="F30" s="652">
        <f t="shared" si="25"/>
        <v>32</v>
      </c>
      <c r="G30" s="652">
        <f t="shared" si="25"/>
        <v>0</v>
      </c>
      <c r="H30" s="652">
        <f t="shared" si="25"/>
        <v>31</v>
      </c>
      <c r="I30" s="652">
        <f t="shared" si="25"/>
        <v>5</v>
      </c>
      <c r="J30" s="652">
        <f t="shared" si="25"/>
        <v>5</v>
      </c>
      <c r="K30" s="989">
        <f t="shared" si="3"/>
        <v>49601</v>
      </c>
      <c r="L30" s="653">
        <f t="shared" si="25"/>
        <v>49621</v>
      </c>
      <c r="M30" s="653">
        <f t="shared" si="25"/>
        <v>2389</v>
      </c>
      <c r="N30" s="653">
        <f t="shared" si="25"/>
        <v>672</v>
      </c>
      <c r="O30" s="653">
        <f t="shared" si="25"/>
        <v>113</v>
      </c>
      <c r="P30" s="653">
        <f t="shared" si="25"/>
        <v>0</v>
      </c>
      <c r="Q30" s="653">
        <f t="shared" si="25"/>
        <v>0</v>
      </c>
      <c r="R30" s="653">
        <f t="shared" si="25"/>
        <v>-0.1</v>
      </c>
      <c r="S30" s="654">
        <f t="shared" si="25"/>
        <v>78</v>
      </c>
      <c r="T30" s="654">
        <f t="shared" si="25"/>
        <v>78</v>
      </c>
      <c r="U30" s="653">
        <f t="shared" si="25"/>
        <v>3096</v>
      </c>
      <c r="V30" s="653">
        <f t="shared" si="25"/>
        <v>48475</v>
      </c>
      <c r="W30" s="653">
        <f t="shared" si="25"/>
        <v>2854</v>
      </c>
      <c r="X30" s="653">
        <f t="shared" si="25"/>
        <v>0</v>
      </c>
      <c r="Y30" s="655">
        <f t="shared" si="25"/>
        <v>4319.2</v>
      </c>
      <c r="Z30" s="653">
        <f t="shared" si="25"/>
        <v>4847.5</v>
      </c>
      <c r="AA30" s="654">
        <f t="shared" si="25"/>
        <v>505</v>
      </c>
      <c r="AB30" s="654">
        <f t="shared" si="25"/>
        <v>4824</v>
      </c>
      <c r="AC30" s="653">
        <f t="shared" si="25"/>
        <v>46505</v>
      </c>
      <c r="AD30" s="653">
        <f t="shared" si="25"/>
        <v>20</v>
      </c>
      <c r="AE30" s="653">
        <f t="shared" si="25"/>
        <v>0</v>
      </c>
      <c r="AF30" s="656">
        <f t="shared" si="25"/>
        <v>0</v>
      </c>
      <c r="AG30" s="656">
        <f>AG31+AG32</f>
        <v>0</v>
      </c>
      <c r="AH30" s="656">
        <f>AH31+AH32</f>
        <v>0</v>
      </c>
      <c r="AI30" s="656">
        <f t="shared" si="25"/>
        <v>0</v>
      </c>
      <c r="AJ30" s="656">
        <f t="shared" si="25"/>
        <v>0</v>
      </c>
      <c r="AK30" s="656">
        <f t="shared" si="25"/>
        <v>0</v>
      </c>
      <c r="AL30" s="656">
        <f t="shared" si="25"/>
        <v>0</v>
      </c>
      <c r="AM30" s="657">
        <f t="shared" si="25"/>
        <v>0</v>
      </c>
      <c r="AN30" s="610"/>
      <c r="AO30" s="650" t="s">
        <v>463</v>
      </c>
      <c r="AP30" s="651" t="s">
        <v>464</v>
      </c>
      <c r="AQ30" s="652">
        <f>AQ31+AQ32</f>
        <v>36</v>
      </c>
      <c r="AR30" s="652">
        <f t="shared" ref="AR30:BW30" si="26">AR31+AR32</f>
        <v>32</v>
      </c>
      <c r="AS30" s="652">
        <f t="shared" si="26"/>
        <v>0</v>
      </c>
      <c r="AT30" s="652">
        <f t="shared" si="26"/>
        <v>32</v>
      </c>
      <c r="AU30" s="652">
        <f t="shared" si="26"/>
        <v>0</v>
      </c>
      <c r="AV30" s="652">
        <f t="shared" si="26"/>
        <v>32</v>
      </c>
      <c r="AW30" s="652">
        <f t="shared" si="26"/>
        <v>4</v>
      </c>
      <c r="AX30" s="652">
        <f t="shared" si="26"/>
        <v>4</v>
      </c>
      <c r="AY30" s="653">
        <f t="shared" si="26"/>
        <v>40643</v>
      </c>
      <c r="AZ30" s="658">
        <f t="shared" si="26"/>
        <v>2246</v>
      </c>
      <c r="BA30" s="653">
        <f t="shared" si="26"/>
        <v>649</v>
      </c>
      <c r="BB30" s="653">
        <f t="shared" si="26"/>
        <v>137</v>
      </c>
      <c r="BC30" s="653">
        <f t="shared" si="26"/>
        <v>0</v>
      </c>
      <c r="BD30" s="653">
        <f t="shared" si="26"/>
        <v>0</v>
      </c>
      <c r="BE30" s="653">
        <f t="shared" si="26"/>
        <v>78.600000000000009</v>
      </c>
      <c r="BF30" s="655">
        <f t="shared" si="26"/>
        <v>79</v>
      </c>
      <c r="BG30" s="653">
        <f t="shared" si="26"/>
        <v>2953</v>
      </c>
      <c r="BH30" s="653">
        <f t="shared" si="26"/>
        <v>8023</v>
      </c>
      <c r="BI30" s="653">
        <f t="shared" si="26"/>
        <v>30000</v>
      </c>
      <c r="BJ30" s="653">
        <f t="shared" si="26"/>
        <v>202</v>
      </c>
      <c r="BK30" s="653">
        <f t="shared" si="26"/>
        <v>0</v>
      </c>
      <c r="BL30" s="653">
        <f t="shared" si="26"/>
        <v>551.20000000000005</v>
      </c>
      <c r="BM30" s="655">
        <f t="shared" si="26"/>
        <v>551</v>
      </c>
      <c r="BN30" s="653">
        <f t="shared" si="26"/>
        <v>37674</v>
      </c>
      <c r="BO30" s="653">
        <f t="shared" si="26"/>
        <v>16</v>
      </c>
      <c r="BP30" s="653">
        <f t="shared" si="26"/>
        <v>0</v>
      </c>
      <c r="BQ30" s="653">
        <f t="shared" si="26"/>
        <v>0</v>
      </c>
      <c r="BR30" s="653">
        <f>BR31+BR32</f>
        <v>0</v>
      </c>
      <c r="BS30" s="653">
        <f>BS31+BS32</f>
        <v>0</v>
      </c>
      <c r="BT30" s="653">
        <f t="shared" si="26"/>
        <v>0</v>
      </c>
      <c r="BU30" s="653">
        <f t="shared" si="26"/>
        <v>0</v>
      </c>
      <c r="BV30" s="653">
        <f t="shared" si="26"/>
        <v>0</v>
      </c>
      <c r="BW30" s="653">
        <f t="shared" si="26"/>
        <v>0</v>
      </c>
    </row>
    <row r="31" spans="1:75" ht="31.2">
      <c r="A31" s="659">
        <v>5</v>
      </c>
      <c r="B31" s="660" t="s">
        <v>465</v>
      </c>
      <c r="C31" s="661">
        <f>D31+I31</f>
        <v>32</v>
      </c>
      <c r="D31" s="661">
        <f>E31+F31</f>
        <v>28</v>
      </c>
      <c r="E31" s="661"/>
      <c r="F31" s="661">
        <v>28</v>
      </c>
      <c r="G31" s="661"/>
      <c r="H31" s="661">
        <v>28</v>
      </c>
      <c r="I31" s="661">
        <v>4</v>
      </c>
      <c r="J31" s="661">
        <v>4</v>
      </c>
      <c r="K31" s="989">
        <f t="shared" si="3"/>
        <v>46892</v>
      </c>
      <c r="L31" s="666">
        <f>U31+AC31+AD31+AE31</f>
        <v>46912</v>
      </c>
      <c r="M31" s="662">
        <v>2081</v>
      </c>
      <c r="N31" s="662">
        <v>582</v>
      </c>
      <c r="O31" s="662">
        <v>98</v>
      </c>
      <c r="P31" s="662"/>
      <c r="Q31" s="662"/>
      <c r="R31" s="666">
        <f>((N31+O31)-(BA31+BB31))*10%</f>
        <v>-0.1</v>
      </c>
      <c r="S31" s="667">
        <v>68</v>
      </c>
      <c r="T31" s="667">
        <f t="shared" si="12"/>
        <v>68</v>
      </c>
      <c r="U31" s="666">
        <f>(M31+N31+O31+P31)-T31</f>
        <v>2693</v>
      </c>
      <c r="V31" s="662">
        <v>47722</v>
      </c>
      <c r="W31" s="662">
        <v>1202</v>
      </c>
      <c r="X31" s="662"/>
      <c r="Y31" s="667">
        <f>Z31-BM31</f>
        <v>4319.2</v>
      </c>
      <c r="Z31" s="668">
        <f>V31*10%</f>
        <v>4772.2</v>
      </c>
      <c r="AA31" s="667">
        <v>406</v>
      </c>
      <c r="AB31" s="667">
        <f>ROUND((Y31+AA31+X31),0)</f>
        <v>4725</v>
      </c>
      <c r="AC31" s="666">
        <f>(V31+W31)-AB31</f>
        <v>44199</v>
      </c>
      <c r="AD31" s="662">
        <v>20</v>
      </c>
      <c r="AE31" s="662"/>
      <c r="AF31" s="664"/>
      <c r="AG31" s="664"/>
      <c r="AH31" s="664"/>
      <c r="AI31" s="664"/>
      <c r="AJ31" s="664"/>
      <c r="AK31" s="664"/>
      <c r="AL31" s="664"/>
      <c r="AN31" s="610"/>
      <c r="AO31" s="659">
        <v>5</v>
      </c>
      <c r="AP31" s="660" t="s">
        <v>465</v>
      </c>
      <c r="AQ31" s="661">
        <f>AR31+AW31</f>
        <v>32</v>
      </c>
      <c r="AR31" s="661">
        <f>AS31+AT31</f>
        <v>28</v>
      </c>
      <c r="AS31" s="661"/>
      <c r="AT31" s="661">
        <v>28</v>
      </c>
      <c r="AU31" s="661"/>
      <c r="AV31" s="661">
        <v>28</v>
      </c>
      <c r="AW31" s="661">
        <v>4</v>
      </c>
      <c r="AX31" s="661">
        <v>4</v>
      </c>
      <c r="AY31" s="666">
        <f>BG31+BN31+BO31+BP31</f>
        <v>39331</v>
      </c>
      <c r="AZ31" s="665">
        <f>1714+198</f>
        <v>1912</v>
      </c>
      <c r="BA31" s="662">
        <f>681-127</f>
        <v>554</v>
      </c>
      <c r="BB31" s="662">
        <v>127</v>
      </c>
      <c r="BC31" s="662"/>
      <c r="BD31" s="662"/>
      <c r="BE31" s="666">
        <f>(BA31+BB31)*10%</f>
        <v>68.100000000000009</v>
      </c>
      <c r="BF31" s="667">
        <f>ROUND(BE31,0)</f>
        <v>68</v>
      </c>
      <c r="BG31" s="666">
        <f>(AZ31+BA31+BB31+BC31)-BF31</f>
        <v>2525</v>
      </c>
      <c r="BH31" s="662">
        <f>39541-30000-2500</f>
        <v>7041</v>
      </c>
      <c r="BI31" s="662">
        <v>30000</v>
      </c>
      <c r="BJ31" s="662">
        <v>202</v>
      </c>
      <c r="BK31" s="662"/>
      <c r="BL31" s="666">
        <f>(BH31-1819-692)*10%</f>
        <v>453</v>
      </c>
      <c r="BM31" s="667">
        <f>ROUND(BL31,0)</f>
        <v>453</v>
      </c>
      <c r="BN31" s="666">
        <f>(BH31+BI31+BJ31)-BM31</f>
        <v>36790</v>
      </c>
      <c r="BO31" s="662">
        <v>16</v>
      </c>
      <c r="BP31" s="662"/>
      <c r="BQ31" s="662"/>
      <c r="BR31" s="662"/>
      <c r="BS31" s="662"/>
      <c r="BT31" s="662"/>
      <c r="BU31" s="662"/>
      <c r="BV31" s="662"/>
      <c r="BW31" s="662"/>
    </row>
    <row r="32" spans="1:75">
      <c r="A32" s="659">
        <v>6</v>
      </c>
      <c r="B32" s="660" t="s">
        <v>466</v>
      </c>
      <c r="C32" s="661">
        <f>D32+I32</f>
        <v>5</v>
      </c>
      <c r="D32" s="661">
        <f>E32+F32</f>
        <v>4</v>
      </c>
      <c r="E32" s="661"/>
      <c r="F32" s="661">
        <v>4</v>
      </c>
      <c r="G32" s="661"/>
      <c r="H32" s="661">
        <v>3</v>
      </c>
      <c r="I32" s="661">
        <v>1</v>
      </c>
      <c r="J32" s="661">
        <v>1</v>
      </c>
      <c r="K32" s="989">
        <f t="shared" si="3"/>
        <v>2709</v>
      </c>
      <c r="L32" s="666">
        <f>U32+AC32+AD32+AE32</f>
        <v>2709</v>
      </c>
      <c r="M32" s="666">
        <v>308</v>
      </c>
      <c r="N32" s="666">
        <v>90</v>
      </c>
      <c r="O32" s="666">
        <v>15</v>
      </c>
      <c r="P32" s="666"/>
      <c r="Q32" s="666"/>
      <c r="R32" s="666">
        <f>((N32+O32)-(BA32+BB32))*10%</f>
        <v>0</v>
      </c>
      <c r="S32" s="667">
        <v>10</v>
      </c>
      <c r="T32" s="667">
        <f t="shared" si="12"/>
        <v>10</v>
      </c>
      <c r="U32" s="666">
        <f>(M32+N32+O32+P32)-T32</f>
        <v>403</v>
      </c>
      <c r="V32" s="666">
        <v>753</v>
      </c>
      <c r="W32" s="666">
        <v>1652</v>
      </c>
      <c r="X32" s="666"/>
      <c r="Y32" s="667"/>
      <c r="Z32" s="668">
        <f>V32*10%</f>
        <v>75.3</v>
      </c>
      <c r="AA32" s="667">
        <v>99</v>
      </c>
      <c r="AB32" s="667">
        <f>ROUND((Y32+AA32+X32),0)</f>
        <v>99</v>
      </c>
      <c r="AC32" s="666">
        <f>(V32+W32)-AB32</f>
        <v>2306</v>
      </c>
      <c r="AD32" s="666"/>
      <c r="AE32" s="666"/>
      <c r="AF32" s="669"/>
      <c r="AG32" s="669"/>
      <c r="AH32" s="669"/>
      <c r="AI32" s="669"/>
      <c r="AJ32" s="669"/>
      <c r="AK32" s="669"/>
      <c r="AL32" s="664"/>
      <c r="AN32" s="610"/>
      <c r="AO32" s="659">
        <v>6</v>
      </c>
      <c r="AP32" s="660" t="s">
        <v>466</v>
      </c>
      <c r="AQ32" s="661">
        <f>AR32+AW32</f>
        <v>4</v>
      </c>
      <c r="AR32" s="661">
        <f>AS32+AT32</f>
        <v>4</v>
      </c>
      <c r="AS32" s="661"/>
      <c r="AT32" s="661">
        <v>4</v>
      </c>
      <c r="AU32" s="661"/>
      <c r="AV32" s="661">
        <v>4</v>
      </c>
      <c r="AW32" s="661"/>
      <c r="AX32" s="661"/>
      <c r="AY32" s="666">
        <f>BG32+BN32+BO32+BP32</f>
        <v>1312</v>
      </c>
      <c r="AZ32" s="670">
        <v>334</v>
      </c>
      <c r="BA32" s="666">
        <f>105-10</f>
        <v>95</v>
      </c>
      <c r="BB32" s="666">
        <v>10</v>
      </c>
      <c r="BC32" s="666"/>
      <c r="BD32" s="666"/>
      <c r="BE32" s="666">
        <f>(BA32+BB32)*10%</f>
        <v>10.5</v>
      </c>
      <c r="BF32" s="667">
        <f>ROUND(BE32,0)</f>
        <v>11</v>
      </c>
      <c r="BG32" s="666">
        <f t="shared" si="17"/>
        <v>428</v>
      </c>
      <c r="BH32" s="666">
        <v>982</v>
      </c>
      <c r="BI32" s="666"/>
      <c r="BJ32" s="666"/>
      <c r="BK32" s="666"/>
      <c r="BL32" s="666">
        <f>BH32*10%</f>
        <v>98.2</v>
      </c>
      <c r="BM32" s="667">
        <f>ROUND(BL32,0)</f>
        <v>98</v>
      </c>
      <c r="BN32" s="666">
        <f>(BH32+BI32+BJ32)-BM32</f>
        <v>884</v>
      </c>
      <c r="BO32" s="666"/>
      <c r="BP32" s="666"/>
      <c r="BQ32" s="666"/>
      <c r="BR32" s="666"/>
      <c r="BS32" s="666"/>
      <c r="BT32" s="666"/>
      <c r="BU32" s="666"/>
      <c r="BV32" s="666"/>
      <c r="BW32" s="662"/>
    </row>
    <row r="33" spans="1:75" ht="31.2">
      <c r="A33" s="650" t="s">
        <v>467</v>
      </c>
      <c r="B33" s="651" t="s">
        <v>468</v>
      </c>
      <c r="C33" s="652">
        <f>C34</f>
        <v>64</v>
      </c>
      <c r="D33" s="652">
        <f t="shared" ref="D33:AL33" si="27">D34</f>
        <v>58</v>
      </c>
      <c r="E33" s="652">
        <f t="shared" si="27"/>
        <v>26</v>
      </c>
      <c r="F33" s="652">
        <f t="shared" si="27"/>
        <v>32</v>
      </c>
      <c r="G33" s="652">
        <f t="shared" si="27"/>
        <v>24</v>
      </c>
      <c r="H33" s="652">
        <f t="shared" si="27"/>
        <v>31</v>
      </c>
      <c r="I33" s="652">
        <f t="shared" si="27"/>
        <v>6</v>
      </c>
      <c r="J33" s="652">
        <f t="shared" si="27"/>
        <v>6</v>
      </c>
      <c r="K33" s="989">
        <f t="shared" si="3"/>
        <v>54212</v>
      </c>
      <c r="L33" s="653">
        <f>L34</f>
        <v>54212</v>
      </c>
      <c r="M33" s="653">
        <f t="shared" si="27"/>
        <v>4652</v>
      </c>
      <c r="N33" s="653">
        <f t="shared" si="27"/>
        <v>1386</v>
      </c>
      <c r="O33" s="653">
        <f t="shared" si="27"/>
        <v>0</v>
      </c>
      <c r="P33" s="653">
        <f t="shared" si="27"/>
        <v>0</v>
      </c>
      <c r="Q33" s="653">
        <f t="shared" si="27"/>
        <v>0</v>
      </c>
      <c r="R33" s="653">
        <f t="shared" si="27"/>
        <v>0</v>
      </c>
      <c r="S33" s="654">
        <f t="shared" si="27"/>
        <v>144</v>
      </c>
      <c r="T33" s="654">
        <f t="shared" si="27"/>
        <v>145</v>
      </c>
      <c r="U33" s="653">
        <f t="shared" si="27"/>
        <v>5893</v>
      </c>
      <c r="V33" s="653">
        <f>V34</f>
        <v>51033</v>
      </c>
      <c r="W33" s="653">
        <f t="shared" si="27"/>
        <v>1642</v>
      </c>
      <c r="X33" s="653">
        <f t="shared" si="27"/>
        <v>0</v>
      </c>
      <c r="Y33" s="655">
        <f t="shared" si="27"/>
        <v>2271.4000000000005</v>
      </c>
      <c r="Z33" s="653">
        <f t="shared" si="27"/>
        <v>5103.3</v>
      </c>
      <c r="AA33" s="654">
        <f t="shared" si="27"/>
        <v>2085</v>
      </c>
      <c r="AB33" s="654">
        <f t="shared" si="27"/>
        <v>4356</v>
      </c>
      <c r="AC33" s="653">
        <f t="shared" si="27"/>
        <v>48319</v>
      </c>
      <c r="AD33" s="653">
        <f t="shared" si="27"/>
        <v>0</v>
      </c>
      <c r="AE33" s="653">
        <f t="shared" si="27"/>
        <v>0</v>
      </c>
      <c r="AF33" s="656">
        <f t="shared" si="27"/>
        <v>0</v>
      </c>
      <c r="AG33" s="656">
        <f t="shared" si="27"/>
        <v>0</v>
      </c>
      <c r="AH33" s="656">
        <f t="shared" si="27"/>
        <v>0</v>
      </c>
      <c r="AI33" s="656">
        <f t="shared" si="27"/>
        <v>0</v>
      </c>
      <c r="AJ33" s="656">
        <f t="shared" si="27"/>
        <v>0</v>
      </c>
      <c r="AK33" s="656">
        <f t="shared" si="27"/>
        <v>0</v>
      </c>
      <c r="AL33" s="656">
        <f t="shared" si="27"/>
        <v>0</v>
      </c>
      <c r="AN33" s="610"/>
      <c r="AO33" s="650" t="s">
        <v>467</v>
      </c>
      <c r="AP33" s="651" t="s">
        <v>468</v>
      </c>
      <c r="AQ33" s="652">
        <f>AQ34</f>
        <v>75</v>
      </c>
      <c r="AR33" s="652">
        <f t="shared" ref="AR33:BW33" si="28">AR34</f>
        <v>68</v>
      </c>
      <c r="AS33" s="652">
        <f t="shared" si="28"/>
        <v>27</v>
      </c>
      <c r="AT33" s="652">
        <f t="shared" si="28"/>
        <v>41</v>
      </c>
      <c r="AU33" s="652">
        <f t="shared" si="28"/>
        <v>24</v>
      </c>
      <c r="AV33" s="652">
        <f t="shared" si="28"/>
        <v>31</v>
      </c>
      <c r="AW33" s="652">
        <f t="shared" si="28"/>
        <v>7</v>
      </c>
      <c r="AX33" s="652">
        <f t="shared" si="28"/>
        <v>6</v>
      </c>
      <c r="AY33" s="653">
        <f>AY34</f>
        <v>55690</v>
      </c>
      <c r="AZ33" s="658">
        <f t="shared" si="28"/>
        <v>4580</v>
      </c>
      <c r="BA33" s="653">
        <f t="shared" si="28"/>
        <v>1380</v>
      </c>
      <c r="BB33" s="653">
        <f t="shared" si="28"/>
        <v>201</v>
      </c>
      <c r="BC33" s="653">
        <f t="shared" si="28"/>
        <v>0</v>
      </c>
      <c r="BD33" s="653">
        <f t="shared" si="28"/>
        <v>0</v>
      </c>
      <c r="BE33" s="653">
        <f t="shared" si="28"/>
        <v>158.10000000000002</v>
      </c>
      <c r="BF33" s="655">
        <f t="shared" si="28"/>
        <v>158</v>
      </c>
      <c r="BG33" s="653">
        <f t="shared" si="28"/>
        <v>6003</v>
      </c>
      <c r="BH33" s="653">
        <f>BH34</f>
        <v>32383</v>
      </c>
      <c r="BI33" s="653">
        <f t="shared" si="28"/>
        <v>0</v>
      </c>
      <c r="BJ33" s="653">
        <f t="shared" si="28"/>
        <v>20142</v>
      </c>
      <c r="BK33" s="653">
        <f t="shared" si="28"/>
        <v>0</v>
      </c>
      <c r="BL33" s="653">
        <f t="shared" si="28"/>
        <v>2838.3</v>
      </c>
      <c r="BM33" s="655">
        <f t="shared" si="28"/>
        <v>2838</v>
      </c>
      <c r="BN33" s="653">
        <f t="shared" si="28"/>
        <v>49687</v>
      </c>
      <c r="BO33" s="653">
        <f t="shared" si="28"/>
        <v>0</v>
      </c>
      <c r="BP33" s="653">
        <f t="shared" si="28"/>
        <v>0</v>
      </c>
      <c r="BQ33" s="653">
        <f t="shared" si="28"/>
        <v>480</v>
      </c>
      <c r="BR33" s="653">
        <f t="shared" si="28"/>
        <v>585</v>
      </c>
      <c r="BS33" s="653">
        <f t="shared" si="28"/>
        <v>0</v>
      </c>
      <c r="BT33" s="653">
        <f t="shared" si="28"/>
        <v>0</v>
      </c>
      <c r="BU33" s="653">
        <f t="shared" si="28"/>
        <v>0</v>
      </c>
      <c r="BV33" s="653">
        <f t="shared" si="28"/>
        <v>0</v>
      </c>
      <c r="BW33" s="653">
        <f t="shared" si="28"/>
        <v>0</v>
      </c>
    </row>
    <row r="34" spans="1:75" ht="31.2">
      <c r="A34" s="659">
        <v>7</v>
      </c>
      <c r="B34" s="660" t="s">
        <v>469</v>
      </c>
      <c r="C34" s="661">
        <f>SUM(C35:C39)</f>
        <v>64</v>
      </c>
      <c r="D34" s="661">
        <f t="shared" ref="D34:J34" si="29">SUM(D35:D39)</f>
        <v>58</v>
      </c>
      <c r="E34" s="661">
        <f t="shared" si="29"/>
        <v>26</v>
      </c>
      <c r="F34" s="661">
        <f t="shared" si="29"/>
        <v>32</v>
      </c>
      <c r="G34" s="661">
        <f t="shared" si="29"/>
        <v>24</v>
      </c>
      <c r="H34" s="661">
        <f t="shared" si="29"/>
        <v>31</v>
      </c>
      <c r="I34" s="661">
        <f t="shared" si="29"/>
        <v>6</v>
      </c>
      <c r="J34" s="661">
        <f t="shared" si="29"/>
        <v>6</v>
      </c>
      <c r="K34" s="989">
        <f t="shared" si="3"/>
        <v>54212</v>
      </c>
      <c r="L34" s="662">
        <f t="shared" ref="L34:AL34" si="30">SUM(L35:L39)</f>
        <v>54212</v>
      </c>
      <c r="M34" s="662">
        <f t="shared" si="30"/>
        <v>4652</v>
      </c>
      <c r="N34" s="662">
        <f t="shared" si="30"/>
        <v>1386</v>
      </c>
      <c r="O34" s="662">
        <f t="shared" si="30"/>
        <v>0</v>
      </c>
      <c r="P34" s="662">
        <f t="shared" si="30"/>
        <v>0</v>
      </c>
      <c r="Q34" s="662">
        <f t="shared" si="30"/>
        <v>0</v>
      </c>
      <c r="R34" s="662"/>
      <c r="S34" s="663">
        <f t="shared" si="30"/>
        <v>144</v>
      </c>
      <c r="T34" s="663">
        <f t="shared" si="30"/>
        <v>145</v>
      </c>
      <c r="U34" s="662">
        <f t="shared" si="30"/>
        <v>5893</v>
      </c>
      <c r="V34" s="662">
        <f t="shared" si="30"/>
        <v>51033</v>
      </c>
      <c r="W34" s="662">
        <f t="shared" si="30"/>
        <v>1642</v>
      </c>
      <c r="X34" s="662">
        <f t="shared" si="30"/>
        <v>0</v>
      </c>
      <c r="Y34" s="663">
        <f t="shared" si="30"/>
        <v>2271.4000000000005</v>
      </c>
      <c r="Z34" s="662">
        <f t="shared" si="30"/>
        <v>5103.3</v>
      </c>
      <c r="AA34" s="663">
        <f t="shared" si="30"/>
        <v>2085</v>
      </c>
      <c r="AB34" s="663">
        <f t="shared" si="30"/>
        <v>4356</v>
      </c>
      <c r="AC34" s="662">
        <f t="shared" si="30"/>
        <v>48319</v>
      </c>
      <c r="AD34" s="662">
        <f t="shared" si="30"/>
        <v>0</v>
      </c>
      <c r="AE34" s="662">
        <f t="shared" si="30"/>
        <v>0</v>
      </c>
      <c r="AF34" s="664">
        <f t="shared" si="30"/>
        <v>0</v>
      </c>
      <c r="AG34" s="664">
        <f t="shared" si="30"/>
        <v>0</v>
      </c>
      <c r="AH34" s="664">
        <f t="shared" si="30"/>
        <v>0</v>
      </c>
      <c r="AI34" s="664">
        <f t="shared" si="30"/>
        <v>0</v>
      </c>
      <c r="AJ34" s="664">
        <f t="shared" si="30"/>
        <v>0</v>
      </c>
      <c r="AK34" s="664">
        <f t="shared" si="30"/>
        <v>0</v>
      </c>
      <c r="AL34" s="664">
        <f t="shared" si="30"/>
        <v>0</v>
      </c>
      <c r="AN34" s="610"/>
      <c r="AO34" s="659">
        <v>7</v>
      </c>
      <c r="AP34" s="660" t="s">
        <v>469</v>
      </c>
      <c r="AQ34" s="661">
        <f>SUM(AQ35:AQ39)</f>
        <v>75</v>
      </c>
      <c r="AR34" s="661">
        <f t="shared" ref="AR34:AX34" si="31">SUM(AR35:AR39)</f>
        <v>68</v>
      </c>
      <c r="AS34" s="661">
        <f t="shared" si="31"/>
        <v>27</v>
      </c>
      <c r="AT34" s="661">
        <f t="shared" si="31"/>
        <v>41</v>
      </c>
      <c r="AU34" s="661">
        <f t="shared" si="31"/>
        <v>24</v>
      </c>
      <c r="AV34" s="661">
        <f t="shared" si="31"/>
        <v>31</v>
      </c>
      <c r="AW34" s="661">
        <f t="shared" si="31"/>
        <v>7</v>
      </c>
      <c r="AX34" s="661">
        <f t="shared" si="31"/>
        <v>6</v>
      </c>
      <c r="AY34" s="662">
        <f t="shared" ref="AY34:BW34" si="32">SUM(AY35:AY39)</f>
        <v>55690</v>
      </c>
      <c r="AZ34" s="665">
        <f t="shared" si="32"/>
        <v>4580</v>
      </c>
      <c r="BA34" s="662">
        <f t="shared" si="32"/>
        <v>1380</v>
      </c>
      <c r="BB34" s="662">
        <f t="shared" si="32"/>
        <v>201</v>
      </c>
      <c r="BC34" s="662">
        <f t="shared" si="32"/>
        <v>0</v>
      </c>
      <c r="BD34" s="662">
        <f t="shared" si="32"/>
        <v>0</v>
      </c>
      <c r="BE34" s="662">
        <f t="shared" si="32"/>
        <v>158.10000000000002</v>
      </c>
      <c r="BF34" s="663">
        <f t="shared" si="32"/>
        <v>158</v>
      </c>
      <c r="BG34" s="662">
        <f t="shared" si="32"/>
        <v>6003</v>
      </c>
      <c r="BH34" s="662">
        <f t="shared" si="32"/>
        <v>32383</v>
      </c>
      <c r="BI34" s="662">
        <f t="shared" si="32"/>
        <v>0</v>
      </c>
      <c r="BJ34" s="662">
        <f t="shared" si="32"/>
        <v>20142</v>
      </c>
      <c r="BK34" s="662">
        <f t="shared" si="32"/>
        <v>0</v>
      </c>
      <c r="BL34" s="662">
        <f t="shared" si="32"/>
        <v>2838.3</v>
      </c>
      <c r="BM34" s="663">
        <f t="shared" si="32"/>
        <v>2838</v>
      </c>
      <c r="BN34" s="662">
        <f t="shared" si="32"/>
        <v>49687</v>
      </c>
      <c r="BO34" s="662">
        <f t="shared" si="32"/>
        <v>0</v>
      </c>
      <c r="BP34" s="662">
        <f t="shared" si="32"/>
        <v>0</v>
      </c>
      <c r="BQ34" s="662">
        <f t="shared" si="32"/>
        <v>480</v>
      </c>
      <c r="BR34" s="662">
        <f t="shared" si="32"/>
        <v>585</v>
      </c>
      <c r="BS34" s="662">
        <f t="shared" si="32"/>
        <v>0</v>
      </c>
      <c r="BT34" s="662">
        <f t="shared" si="32"/>
        <v>0</v>
      </c>
      <c r="BU34" s="662">
        <f t="shared" si="32"/>
        <v>0</v>
      </c>
      <c r="BV34" s="662">
        <f t="shared" si="32"/>
        <v>0</v>
      </c>
      <c r="BW34" s="662">
        <f t="shared" si="32"/>
        <v>0</v>
      </c>
    </row>
    <row r="35" spans="1:75" s="710" customFormat="1" ht="31.2">
      <c r="A35" s="700"/>
      <c r="B35" s="701" t="s">
        <v>470</v>
      </c>
      <c r="C35" s="702"/>
      <c r="D35" s="702"/>
      <c r="E35" s="702"/>
      <c r="F35" s="702"/>
      <c r="G35" s="702"/>
      <c r="H35" s="702"/>
      <c r="I35" s="702"/>
      <c r="J35" s="702"/>
      <c r="K35" s="989">
        <f t="shared" si="3"/>
        <v>47183</v>
      </c>
      <c r="L35" s="703">
        <f t="shared" ref="L35:L41" si="33">U35+AC35+AD35+AE35</f>
        <v>47183</v>
      </c>
      <c r="M35" s="703"/>
      <c r="N35" s="703"/>
      <c r="O35" s="703"/>
      <c r="P35" s="703"/>
      <c r="Q35" s="703"/>
      <c r="R35" s="666">
        <f>((N35+O35)-(BA35+BB35))*10%</f>
        <v>0</v>
      </c>
      <c r="S35" s="704"/>
      <c r="T35" s="667">
        <f t="shared" ref="T35:T41" si="34">ROUND((Q35+R35+S35),0)</f>
        <v>0</v>
      </c>
      <c r="U35" s="666">
        <f t="shared" ref="U35:U41" si="35">(M35+N35+O35+P35)-T35</f>
        <v>0</v>
      </c>
      <c r="V35" s="703">
        <f>61314-1000-2700-7700</f>
        <v>49914</v>
      </c>
      <c r="W35" s="703">
        <f>3000-1500</f>
        <v>1500</v>
      </c>
      <c r="X35" s="703"/>
      <c r="Y35" s="667">
        <f>Z35-BM35</f>
        <v>2271.4000000000005</v>
      </c>
      <c r="Z35" s="668">
        <f t="shared" ref="Z35:Z41" si="36">V35*10%</f>
        <v>4991.4000000000005</v>
      </c>
      <c r="AA35" s="704">
        <v>1960</v>
      </c>
      <c r="AB35" s="667">
        <f t="shared" ref="AB35:AB41" si="37">ROUND((Y35+AA35+X35),0)</f>
        <v>4231</v>
      </c>
      <c r="AC35" s="666">
        <f t="shared" ref="AC35:AC41" si="38">(V35+W35)-AB35</f>
        <v>47183</v>
      </c>
      <c r="AD35" s="703"/>
      <c r="AE35" s="703"/>
      <c r="AF35" s="705"/>
      <c r="AG35" s="705"/>
      <c r="AH35" s="705"/>
      <c r="AI35" s="705"/>
      <c r="AJ35" s="705"/>
      <c r="AK35" s="705"/>
      <c r="AL35" s="705"/>
      <c r="AM35" s="706"/>
      <c r="AN35" s="707"/>
      <c r="AO35" s="700"/>
      <c r="AP35" s="701" t="s">
        <v>470</v>
      </c>
      <c r="AQ35" s="702"/>
      <c r="AR35" s="702"/>
      <c r="AS35" s="702"/>
      <c r="AT35" s="702"/>
      <c r="AU35" s="702"/>
      <c r="AV35" s="702"/>
      <c r="AW35" s="702"/>
      <c r="AX35" s="702"/>
      <c r="AY35" s="703">
        <f t="shared" ref="AY35:AY41" si="39">BG35+BN35+BO35+BP35</f>
        <v>48480</v>
      </c>
      <c r="AZ35" s="708"/>
      <c r="BA35" s="703"/>
      <c r="BB35" s="703"/>
      <c r="BC35" s="703"/>
      <c r="BD35" s="703"/>
      <c r="BE35" s="709">
        <f>(BA35+BB35)*10%</f>
        <v>0</v>
      </c>
      <c r="BF35" s="704">
        <f>ROUND(BE35,0)</f>
        <v>0</v>
      </c>
      <c r="BG35" s="709">
        <f>(AZ35+BA35+BB35+BC35)-BF35</f>
        <v>0</v>
      </c>
      <c r="BH35" s="703">
        <f>38200-7000</f>
        <v>31200</v>
      </c>
      <c r="BI35" s="703"/>
      <c r="BJ35" s="703">
        <v>20000</v>
      </c>
      <c r="BK35" s="703"/>
      <c r="BL35" s="709">
        <f>(BH35-4000)*10%</f>
        <v>2720</v>
      </c>
      <c r="BM35" s="704">
        <f>ROUND(BL35,0)</f>
        <v>2720</v>
      </c>
      <c r="BN35" s="709">
        <f>(BH35+BI35+BJ35)-BM35</f>
        <v>48480</v>
      </c>
      <c r="BO35" s="703"/>
      <c r="BP35" s="703"/>
      <c r="BQ35" s="703"/>
      <c r="BR35" s="703"/>
      <c r="BS35" s="703"/>
      <c r="BT35" s="703"/>
      <c r="BU35" s="703"/>
      <c r="BV35" s="703"/>
      <c r="BW35" s="703"/>
    </row>
    <row r="36" spans="1:75">
      <c r="A36" s="659"/>
      <c r="B36" s="660" t="s">
        <v>471</v>
      </c>
      <c r="C36" s="661">
        <f>D36+I36</f>
        <v>14</v>
      </c>
      <c r="D36" s="661">
        <f>E36+F36</f>
        <v>12</v>
      </c>
      <c r="E36" s="661">
        <v>12</v>
      </c>
      <c r="F36" s="661"/>
      <c r="G36" s="661">
        <v>12</v>
      </c>
      <c r="H36" s="661"/>
      <c r="I36" s="661">
        <v>2</v>
      </c>
      <c r="J36" s="661">
        <v>2</v>
      </c>
      <c r="K36" s="989">
        <f t="shared" si="3"/>
        <v>1703</v>
      </c>
      <c r="L36" s="662">
        <f t="shared" si="33"/>
        <v>1703</v>
      </c>
      <c r="M36" s="662">
        <v>1292</v>
      </c>
      <c r="N36" s="662">
        <v>348</v>
      </c>
      <c r="O36" s="662"/>
      <c r="P36" s="662"/>
      <c r="Q36" s="662"/>
      <c r="R36" s="666"/>
      <c r="S36" s="667">
        <v>38</v>
      </c>
      <c r="T36" s="667">
        <f t="shared" si="34"/>
        <v>38</v>
      </c>
      <c r="U36" s="666">
        <f t="shared" si="35"/>
        <v>1602</v>
      </c>
      <c r="V36" s="662"/>
      <c r="W36" s="662">
        <v>106</v>
      </c>
      <c r="X36" s="662"/>
      <c r="Y36" s="667">
        <f>Z36-BM36</f>
        <v>0</v>
      </c>
      <c r="Z36" s="668">
        <f t="shared" si="36"/>
        <v>0</v>
      </c>
      <c r="AA36" s="667">
        <v>5</v>
      </c>
      <c r="AB36" s="667">
        <f t="shared" si="37"/>
        <v>5</v>
      </c>
      <c r="AC36" s="666">
        <f t="shared" si="38"/>
        <v>101</v>
      </c>
      <c r="AD36" s="662"/>
      <c r="AE36" s="662"/>
      <c r="AF36" s="664"/>
      <c r="AG36" s="664"/>
      <c r="AH36" s="664"/>
      <c r="AI36" s="664"/>
      <c r="AJ36" s="664"/>
      <c r="AK36" s="664"/>
      <c r="AL36" s="664"/>
      <c r="AN36" s="610"/>
      <c r="AO36" s="659"/>
      <c r="AP36" s="660" t="s">
        <v>471</v>
      </c>
      <c r="AQ36" s="661">
        <f>AR36+AW36</f>
        <v>15</v>
      </c>
      <c r="AR36" s="661">
        <f>AS36+AT36</f>
        <v>13</v>
      </c>
      <c r="AS36" s="661">
        <v>13</v>
      </c>
      <c r="AT36" s="661"/>
      <c r="AU36" s="661">
        <v>12</v>
      </c>
      <c r="AV36" s="661"/>
      <c r="AW36" s="661">
        <v>2</v>
      </c>
      <c r="AX36" s="661">
        <v>1</v>
      </c>
      <c r="AY36" s="662">
        <f t="shared" si="39"/>
        <v>1554</v>
      </c>
      <c r="AZ36" s="665">
        <v>1215</v>
      </c>
      <c r="BA36" s="662">
        <v>353</v>
      </c>
      <c r="BB36" s="662">
        <v>24</v>
      </c>
      <c r="BC36" s="662"/>
      <c r="BD36" s="662"/>
      <c r="BE36" s="666">
        <f>(BA36+BB36)*10%</f>
        <v>37.700000000000003</v>
      </c>
      <c r="BF36" s="667">
        <f>ROUND(BE36,0)</f>
        <v>38</v>
      </c>
      <c r="BG36" s="666">
        <f>(AZ36+BA36+BB36+BC36)-BF36</f>
        <v>1554</v>
      </c>
      <c r="BH36" s="662"/>
      <c r="BI36" s="662"/>
      <c r="BJ36" s="662"/>
      <c r="BK36" s="662"/>
      <c r="BL36" s="666">
        <f>BH36*10%</f>
        <v>0</v>
      </c>
      <c r="BM36" s="667">
        <f>ROUND(BL36,0)</f>
        <v>0</v>
      </c>
      <c r="BN36" s="666">
        <f>(BH36+BI36+BJ36)-BM36</f>
        <v>0</v>
      </c>
      <c r="BO36" s="662"/>
      <c r="BP36" s="662"/>
      <c r="BQ36" s="662"/>
      <c r="BR36" s="662">
        <v>120</v>
      </c>
      <c r="BS36" s="662"/>
      <c r="BT36" s="662"/>
      <c r="BU36" s="662"/>
      <c r="BV36" s="662"/>
      <c r="BW36" s="662"/>
    </row>
    <row r="37" spans="1:75">
      <c r="A37" s="659"/>
      <c r="B37" s="660" t="s">
        <v>472</v>
      </c>
      <c r="C37" s="661">
        <f>D37+I37</f>
        <v>7</v>
      </c>
      <c r="D37" s="661">
        <f>E37+F37</f>
        <v>6</v>
      </c>
      <c r="E37" s="661">
        <v>6</v>
      </c>
      <c r="F37" s="661"/>
      <c r="G37" s="661">
        <v>5</v>
      </c>
      <c r="H37" s="661"/>
      <c r="I37" s="661">
        <v>1</v>
      </c>
      <c r="J37" s="711">
        <v>1</v>
      </c>
      <c r="K37" s="989">
        <f t="shared" si="3"/>
        <v>1003</v>
      </c>
      <c r="L37" s="662">
        <f t="shared" si="33"/>
        <v>1003</v>
      </c>
      <c r="M37" s="662">
        <v>600</v>
      </c>
      <c r="N37" s="662"/>
      <c r="O37" s="662"/>
      <c r="P37" s="662"/>
      <c r="Q37" s="662"/>
      <c r="R37" s="666"/>
      <c r="S37" s="667"/>
      <c r="T37" s="667">
        <f t="shared" si="34"/>
        <v>0</v>
      </c>
      <c r="U37" s="666">
        <f t="shared" si="35"/>
        <v>600</v>
      </c>
      <c r="V37" s="662">
        <v>439</v>
      </c>
      <c r="W37" s="662">
        <v>6</v>
      </c>
      <c r="X37" s="662"/>
      <c r="Y37" s="667"/>
      <c r="Z37" s="668">
        <f t="shared" si="36"/>
        <v>43.900000000000006</v>
      </c>
      <c r="AA37" s="667">
        <v>42</v>
      </c>
      <c r="AB37" s="667">
        <f t="shared" si="37"/>
        <v>42</v>
      </c>
      <c r="AC37" s="666">
        <f t="shared" si="38"/>
        <v>403</v>
      </c>
      <c r="AD37" s="662"/>
      <c r="AE37" s="662"/>
      <c r="AF37" s="664"/>
      <c r="AG37" s="664"/>
      <c r="AH37" s="664"/>
      <c r="AI37" s="664"/>
      <c r="AJ37" s="664"/>
      <c r="AK37" s="664"/>
      <c r="AL37" s="664"/>
      <c r="AN37" s="610"/>
      <c r="AO37" s="659"/>
      <c r="AP37" s="660" t="s">
        <v>472</v>
      </c>
      <c r="AQ37" s="661">
        <f>AR37+AW37</f>
        <v>7</v>
      </c>
      <c r="AR37" s="661">
        <f>AS37+AT37</f>
        <v>6</v>
      </c>
      <c r="AS37" s="661">
        <v>6</v>
      </c>
      <c r="AT37" s="661"/>
      <c r="AU37" s="661">
        <v>5</v>
      </c>
      <c r="AV37" s="661"/>
      <c r="AW37" s="661">
        <v>1</v>
      </c>
      <c r="AX37" s="711">
        <v>1</v>
      </c>
      <c r="AY37" s="662">
        <f t="shared" si="39"/>
        <v>1247</v>
      </c>
      <c r="AZ37" s="665">
        <v>550</v>
      </c>
      <c r="BA37" s="662">
        <v>159</v>
      </c>
      <c r="BB37" s="662">
        <v>15</v>
      </c>
      <c r="BC37" s="662"/>
      <c r="BD37" s="662"/>
      <c r="BE37" s="666">
        <f>(BA37+BB37)*10%</f>
        <v>17.400000000000002</v>
      </c>
      <c r="BF37" s="667">
        <f>ROUND(BE37,0)</f>
        <v>17</v>
      </c>
      <c r="BG37" s="666">
        <f>(AZ37+BA37+BB37+BC37)-BF37</f>
        <v>707</v>
      </c>
      <c r="BH37" s="662">
        <f>59+400</f>
        <v>459</v>
      </c>
      <c r="BI37" s="662"/>
      <c r="BJ37" s="662">
        <v>127</v>
      </c>
      <c r="BK37" s="662"/>
      <c r="BL37" s="666">
        <f>BH37*10%</f>
        <v>45.900000000000006</v>
      </c>
      <c r="BM37" s="667">
        <f>ROUND(BL37,0)</f>
        <v>46</v>
      </c>
      <c r="BN37" s="666">
        <f>(BH37+BI37+BJ37)-BM37</f>
        <v>540</v>
      </c>
      <c r="BO37" s="662"/>
      <c r="BP37" s="662"/>
      <c r="BQ37" s="662"/>
      <c r="BR37" s="662"/>
      <c r="BS37" s="662"/>
      <c r="BT37" s="662"/>
      <c r="BU37" s="662"/>
      <c r="BV37" s="662"/>
      <c r="BW37" s="662"/>
    </row>
    <row r="38" spans="1:75">
      <c r="A38" s="659"/>
      <c r="B38" s="660" t="s">
        <v>473</v>
      </c>
      <c r="C38" s="661">
        <f>D38+I38</f>
        <v>14</v>
      </c>
      <c r="D38" s="661">
        <f>E38+F38</f>
        <v>14</v>
      </c>
      <c r="E38" s="661">
        <v>8</v>
      </c>
      <c r="F38" s="661">
        <v>6</v>
      </c>
      <c r="G38" s="661">
        <v>7</v>
      </c>
      <c r="H38" s="661">
        <v>6</v>
      </c>
      <c r="I38" s="661"/>
      <c r="J38" s="661"/>
      <c r="K38" s="989">
        <f t="shared" si="3"/>
        <v>1661</v>
      </c>
      <c r="L38" s="662">
        <f t="shared" si="33"/>
        <v>1661</v>
      </c>
      <c r="M38" s="662">
        <v>1023</v>
      </c>
      <c r="N38" s="662">
        <v>406</v>
      </c>
      <c r="O38" s="662"/>
      <c r="P38" s="662"/>
      <c r="Q38" s="662"/>
      <c r="R38" s="666">
        <f>((N38+O38)-(BA38+BB38))*10%</f>
        <v>0</v>
      </c>
      <c r="S38" s="667">
        <v>41</v>
      </c>
      <c r="T38" s="667">
        <f t="shared" si="34"/>
        <v>41</v>
      </c>
      <c r="U38" s="666">
        <f t="shared" si="35"/>
        <v>1388</v>
      </c>
      <c r="V38" s="662">
        <v>300</v>
      </c>
      <c r="W38" s="662"/>
      <c r="X38" s="662"/>
      <c r="Y38" s="667"/>
      <c r="Z38" s="668">
        <f t="shared" si="36"/>
        <v>30</v>
      </c>
      <c r="AA38" s="667">
        <v>27</v>
      </c>
      <c r="AB38" s="667">
        <f t="shared" si="37"/>
        <v>27</v>
      </c>
      <c r="AC38" s="666">
        <f t="shared" si="38"/>
        <v>273</v>
      </c>
      <c r="AD38" s="662"/>
      <c r="AE38" s="662"/>
      <c r="AF38" s="664"/>
      <c r="AG38" s="664"/>
      <c r="AH38" s="664"/>
      <c r="AI38" s="664"/>
      <c r="AJ38" s="664"/>
      <c r="AK38" s="664"/>
      <c r="AL38" s="664"/>
      <c r="AN38" s="610"/>
      <c r="AO38" s="659"/>
      <c r="AP38" s="660" t="s">
        <v>473</v>
      </c>
      <c r="AQ38" s="661">
        <f>AR38+AW38</f>
        <v>15</v>
      </c>
      <c r="AR38" s="661">
        <f>AS38+AT38</f>
        <v>14</v>
      </c>
      <c r="AS38" s="661">
        <v>8</v>
      </c>
      <c r="AT38" s="661">
        <v>6</v>
      </c>
      <c r="AU38" s="661">
        <v>7</v>
      </c>
      <c r="AV38" s="661">
        <v>6</v>
      </c>
      <c r="AW38" s="661">
        <v>1</v>
      </c>
      <c r="AX38" s="661">
        <v>1</v>
      </c>
      <c r="AY38" s="662">
        <f t="shared" si="39"/>
        <v>1685</v>
      </c>
      <c r="AZ38" s="665">
        <v>1013</v>
      </c>
      <c r="BA38" s="662">
        <v>300</v>
      </c>
      <c r="BB38" s="662">
        <v>106</v>
      </c>
      <c r="BC38" s="662"/>
      <c r="BD38" s="662"/>
      <c r="BE38" s="666">
        <f>(BA38+BB38)*10%</f>
        <v>40.6</v>
      </c>
      <c r="BF38" s="667">
        <f>ROUND(BE38,0)</f>
        <v>41</v>
      </c>
      <c r="BG38" s="666">
        <f>(AZ38+BA38+BB38+BC38)-BF38</f>
        <v>1378</v>
      </c>
      <c r="BH38" s="662">
        <v>324</v>
      </c>
      <c r="BI38" s="662"/>
      <c r="BJ38" s="662">
        <v>15</v>
      </c>
      <c r="BK38" s="662"/>
      <c r="BL38" s="666">
        <f>BH38*10%</f>
        <v>32.4</v>
      </c>
      <c r="BM38" s="667">
        <f>ROUND(BL38,0)</f>
        <v>32</v>
      </c>
      <c r="BN38" s="666">
        <f>(BH38+BI38+BJ38)-BM38</f>
        <v>307</v>
      </c>
      <c r="BO38" s="662"/>
      <c r="BP38" s="662"/>
      <c r="BQ38" s="662">
        <v>130</v>
      </c>
      <c r="BR38" s="662">
        <v>465</v>
      </c>
      <c r="BS38" s="662"/>
      <c r="BT38" s="662"/>
      <c r="BU38" s="662"/>
      <c r="BV38" s="662"/>
      <c r="BW38" s="662"/>
    </row>
    <row r="39" spans="1:75">
      <c r="A39" s="659"/>
      <c r="B39" s="660" t="s">
        <v>474</v>
      </c>
      <c r="C39" s="661">
        <f>D39+I39</f>
        <v>29</v>
      </c>
      <c r="D39" s="661">
        <f>E39+F39</f>
        <v>26</v>
      </c>
      <c r="E39" s="661"/>
      <c r="F39" s="661">
        <v>26</v>
      </c>
      <c r="G39" s="661"/>
      <c r="H39" s="661">
        <v>25</v>
      </c>
      <c r="I39" s="661">
        <v>3</v>
      </c>
      <c r="J39" s="661">
        <v>3</v>
      </c>
      <c r="K39" s="989">
        <f t="shared" si="3"/>
        <v>2662</v>
      </c>
      <c r="L39" s="662">
        <f t="shared" si="33"/>
        <v>2662</v>
      </c>
      <c r="M39" s="662">
        <v>1737</v>
      </c>
      <c r="N39" s="662">
        <v>632</v>
      </c>
      <c r="O39" s="662"/>
      <c r="P39" s="662"/>
      <c r="Q39" s="692"/>
      <c r="R39" s="666">
        <f>((N39+O39)-(BA39+BB39))*10%</f>
        <v>0.8</v>
      </c>
      <c r="S39" s="667">
        <v>65</v>
      </c>
      <c r="T39" s="667">
        <f t="shared" si="34"/>
        <v>66</v>
      </c>
      <c r="U39" s="666">
        <f t="shared" si="35"/>
        <v>2303</v>
      </c>
      <c r="V39" s="662">
        <v>380</v>
      </c>
      <c r="W39" s="662">
        <v>30</v>
      </c>
      <c r="X39" s="692"/>
      <c r="Y39" s="667"/>
      <c r="Z39" s="668">
        <f t="shared" si="36"/>
        <v>38</v>
      </c>
      <c r="AA39" s="667">
        <v>51</v>
      </c>
      <c r="AB39" s="667">
        <f t="shared" si="37"/>
        <v>51</v>
      </c>
      <c r="AC39" s="666">
        <f t="shared" si="38"/>
        <v>359</v>
      </c>
      <c r="AD39" s="662"/>
      <c r="AE39" s="692"/>
      <c r="AF39" s="664"/>
      <c r="AG39" s="664"/>
      <c r="AH39" s="664"/>
      <c r="AI39" s="688"/>
      <c r="AJ39" s="688"/>
      <c r="AK39" s="688"/>
      <c r="AL39" s="688"/>
      <c r="AN39" s="610"/>
      <c r="AO39" s="659"/>
      <c r="AP39" s="660" t="s">
        <v>474</v>
      </c>
      <c r="AQ39" s="661">
        <f>AR39+AW39</f>
        <v>38</v>
      </c>
      <c r="AR39" s="661">
        <f>AS39+AT39</f>
        <v>35</v>
      </c>
      <c r="AS39" s="661"/>
      <c r="AT39" s="661">
        <f>26+9</f>
        <v>35</v>
      </c>
      <c r="AU39" s="661"/>
      <c r="AV39" s="661">
        <v>25</v>
      </c>
      <c r="AW39" s="661">
        <v>3</v>
      </c>
      <c r="AX39" s="661">
        <v>3</v>
      </c>
      <c r="AY39" s="662">
        <f t="shared" si="39"/>
        <v>2724</v>
      </c>
      <c r="AZ39" s="665">
        <v>1802</v>
      </c>
      <c r="BA39" s="662">
        <v>568</v>
      </c>
      <c r="BB39" s="662">
        <v>56</v>
      </c>
      <c r="BC39" s="662"/>
      <c r="BD39" s="692"/>
      <c r="BE39" s="666">
        <f>(BA39+BB39)*10%</f>
        <v>62.400000000000006</v>
      </c>
      <c r="BF39" s="667">
        <f>ROUND(BE39,0)</f>
        <v>62</v>
      </c>
      <c r="BG39" s="666">
        <f>(AZ39+BA39+BB39+BC39)-BF39</f>
        <v>2364</v>
      </c>
      <c r="BH39" s="662">
        <v>400</v>
      </c>
      <c r="BI39" s="692"/>
      <c r="BJ39" s="662"/>
      <c r="BK39" s="692"/>
      <c r="BL39" s="666">
        <f>BH39*10%</f>
        <v>40</v>
      </c>
      <c r="BM39" s="667">
        <f>ROUND(BL39,0)</f>
        <v>40</v>
      </c>
      <c r="BN39" s="666">
        <f>(BH39+BI39+BJ39)-BM39</f>
        <v>360</v>
      </c>
      <c r="BO39" s="662"/>
      <c r="BP39" s="692"/>
      <c r="BQ39" s="662">
        <v>350</v>
      </c>
      <c r="BR39" s="662"/>
      <c r="BS39" s="662"/>
      <c r="BT39" s="692"/>
      <c r="BU39" s="692"/>
      <c r="BV39" s="692"/>
      <c r="BW39" s="692"/>
    </row>
    <row r="40" spans="1:75">
      <c r="A40" s="682"/>
      <c r="B40" s="683" t="s">
        <v>475</v>
      </c>
      <c r="C40" s="684"/>
      <c r="D40" s="684"/>
      <c r="E40" s="684"/>
      <c r="F40" s="684"/>
      <c r="G40" s="684"/>
      <c r="H40" s="684"/>
      <c r="I40" s="684"/>
      <c r="J40" s="684"/>
      <c r="K40" s="989">
        <f t="shared" si="3"/>
        <v>27550</v>
      </c>
      <c r="L40" s="692">
        <f t="shared" si="33"/>
        <v>27550</v>
      </c>
      <c r="M40" s="692"/>
      <c r="N40" s="692"/>
      <c r="O40" s="692"/>
      <c r="P40" s="692"/>
      <c r="Q40" s="692"/>
      <c r="R40" s="666">
        <f>((N40+O40)-(BA40+BB40))*10%</f>
        <v>0</v>
      </c>
      <c r="S40" s="712"/>
      <c r="T40" s="667">
        <f t="shared" si="34"/>
        <v>0</v>
      </c>
      <c r="U40" s="666">
        <f t="shared" si="35"/>
        <v>0</v>
      </c>
      <c r="V40" s="692">
        <v>27550</v>
      </c>
      <c r="W40" s="692"/>
      <c r="X40" s="692"/>
      <c r="Y40" s="667"/>
      <c r="Z40" s="668">
        <f t="shared" si="36"/>
        <v>2755</v>
      </c>
      <c r="AA40" s="712"/>
      <c r="AB40" s="667">
        <f t="shared" si="37"/>
        <v>0</v>
      </c>
      <c r="AC40" s="666">
        <f t="shared" si="38"/>
        <v>27550</v>
      </c>
      <c r="AD40" s="692"/>
      <c r="AE40" s="692"/>
      <c r="AF40" s="688"/>
      <c r="AG40" s="688"/>
      <c r="AH40" s="688"/>
      <c r="AI40" s="688"/>
      <c r="AJ40" s="688"/>
      <c r="AK40" s="688"/>
      <c r="AL40" s="688"/>
      <c r="AN40" s="610"/>
      <c r="AO40" s="682"/>
      <c r="AP40" s="683" t="s">
        <v>475</v>
      </c>
      <c r="AQ40" s="684"/>
      <c r="AR40" s="684"/>
      <c r="AS40" s="684"/>
      <c r="AT40" s="684"/>
      <c r="AU40" s="684"/>
      <c r="AV40" s="684"/>
      <c r="AW40" s="684"/>
      <c r="AX40" s="684"/>
      <c r="AY40" s="692">
        <f t="shared" si="39"/>
        <v>4000</v>
      </c>
      <c r="AZ40" s="713"/>
      <c r="BA40" s="692"/>
      <c r="BB40" s="692"/>
      <c r="BC40" s="692"/>
      <c r="BD40" s="692"/>
      <c r="BE40" s="692"/>
      <c r="BF40" s="712"/>
      <c r="BG40" s="692">
        <f>AZ40+BA40+BB40+BC40-BD40-BE40</f>
        <v>0</v>
      </c>
      <c r="BH40" s="692">
        <f>11000-7000</f>
        <v>4000</v>
      </c>
      <c r="BI40" s="692"/>
      <c r="BJ40" s="692"/>
      <c r="BK40" s="692"/>
      <c r="BL40" s="666"/>
      <c r="BM40" s="712"/>
      <c r="BN40" s="692">
        <f>BH40+BI40+BJ40-BK40-BL40</f>
        <v>4000</v>
      </c>
      <c r="BO40" s="692"/>
      <c r="BP40" s="692"/>
      <c r="BQ40" s="692"/>
      <c r="BR40" s="692"/>
      <c r="BS40" s="692"/>
      <c r="BT40" s="692"/>
      <c r="BU40" s="692"/>
      <c r="BV40" s="692"/>
      <c r="BW40" s="692"/>
    </row>
    <row r="41" spans="1:75" ht="31.2">
      <c r="A41" s="682"/>
      <c r="B41" s="714" t="s">
        <v>476</v>
      </c>
      <c r="C41" s="684"/>
      <c r="D41" s="684"/>
      <c r="E41" s="684"/>
      <c r="F41" s="684"/>
      <c r="G41" s="684"/>
      <c r="H41" s="684"/>
      <c r="I41" s="684"/>
      <c r="J41" s="684"/>
      <c r="K41" s="989">
        <f t="shared" si="3"/>
        <v>0</v>
      </c>
      <c r="L41" s="692">
        <f t="shared" si="33"/>
        <v>0</v>
      </c>
      <c r="M41" s="692"/>
      <c r="N41" s="692"/>
      <c r="O41" s="692"/>
      <c r="P41" s="692"/>
      <c r="Q41" s="692"/>
      <c r="R41" s="692"/>
      <c r="S41" s="712"/>
      <c r="T41" s="667">
        <f t="shared" si="34"/>
        <v>0</v>
      </c>
      <c r="U41" s="666">
        <f t="shared" si="35"/>
        <v>0</v>
      </c>
      <c r="V41" s="692"/>
      <c r="W41" s="692"/>
      <c r="X41" s="692"/>
      <c r="Y41" s="667">
        <f>Z41-BM41</f>
        <v>0</v>
      </c>
      <c r="Z41" s="668">
        <f t="shared" si="36"/>
        <v>0</v>
      </c>
      <c r="AA41" s="712"/>
      <c r="AB41" s="667">
        <f t="shared" si="37"/>
        <v>0</v>
      </c>
      <c r="AC41" s="666">
        <f t="shared" si="38"/>
        <v>0</v>
      </c>
      <c r="AD41" s="692"/>
      <c r="AE41" s="692"/>
      <c r="AF41" s="688"/>
      <c r="AG41" s="688"/>
      <c r="AH41" s="688"/>
      <c r="AI41" s="688"/>
      <c r="AJ41" s="688"/>
      <c r="AK41" s="688"/>
      <c r="AL41" s="688"/>
      <c r="AN41" s="610"/>
      <c r="AO41" s="682"/>
      <c r="AP41" s="714" t="s">
        <v>476</v>
      </c>
      <c r="AQ41" s="684"/>
      <c r="AR41" s="684"/>
      <c r="AS41" s="684"/>
      <c r="AT41" s="684"/>
      <c r="AU41" s="684"/>
      <c r="AV41" s="684"/>
      <c r="AW41" s="684"/>
      <c r="AX41" s="684"/>
      <c r="AY41" s="692">
        <f t="shared" si="39"/>
        <v>20000</v>
      </c>
      <c r="AZ41" s="713"/>
      <c r="BA41" s="692"/>
      <c r="BB41" s="692"/>
      <c r="BC41" s="692"/>
      <c r="BD41" s="692"/>
      <c r="BE41" s="692"/>
      <c r="BF41" s="712"/>
      <c r="BG41" s="692"/>
      <c r="BH41" s="692"/>
      <c r="BI41" s="692"/>
      <c r="BJ41" s="692">
        <v>20000</v>
      </c>
      <c r="BK41" s="692"/>
      <c r="BL41" s="666"/>
      <c r="BM41" s="712"/>
      <c r="BN41" s="692">
        <f>BH41+BI41+BJ41-BK41-BL41</f>
        <v>20000</v>
      </c>
      <c r="BO41" s="692"/>
      <c r="BP41" s="692"/>
      <c r="BQ41" s="692"/>
      <c r="BR41" s="692"/>
      <c r="BS41" s="692"/>
      <c r="BT41" s="692"/>
      <c r="BU41" s="692"/>
      <c r="BV41" s="692"/>
      <c r="BW41" s="692"/>
    </row>
    <row r="42" spans="1:75" s="614" customFormat="1">
      <c r="A42" s="650" t="s">
        <v>477</v>
      </c>
      <c r="B42" s="651" t="s">
        <v>478</v>
      </c>
      <c r="C42" s="653">
        <f t="shared" ref="C42:J42" si="40">SUM(C43:C46,C48:C55)</f>
        <v>124</v>
      </c>
      <c r="D42" s="653">
        <f t="shared" si="40"/>
        <v>97</v>
      </c>
      <c r="E42" s="653">
        <f t="shared" si="40"/>
        <v>0</v>
      </c>
      <c r="F42" s="653">
        <f t="shared" si="40"/>
        <v>97</v>
      </c>
      <c r="G42" s="653">
        <f t="shared" si="40"/>
        <v>0</v>
      </c>
      <c r="H42" s="653">
        <f t="shared" si="40"/>
        <v>95</v>
      </c>
      <c r="I42" s="653">
        <f t="shared" si="40"/>
        <v>27</v>
      </c>
      <c r="J42" s="653">
        <f t="shared" si="40"/>
        <v>26</v>
      </c>
      <c r="K42" s="989">
        <f t="shared" si="3"/>
        <v>86625</v>
      </c>
      <c r="L42" s="653">
        <f>SUM(L43:L46,L48:L55)</f>
        <v>86818</v>
      </c>
      <c r="M42" s="653">
        <f>SUM(M43:M46,M48:M55)</f>
        <v>6669</v>
      </c>
      <c r="N42" s="653">
        <f t="shared" ref="N42:AM42" si="41">SUM(N43:N46,N48:N55)</f>
        <v>2013</v>
      </c>
      <c r="O42" s="653">
        <f t="shared" si="41"/>
        <v>419</v>
      </c>
      <c r="P42" s="653">
        <f t="shared" si="41"/>
        <v>0</v>
      </c>
      <c r="Q42" s="653">
        <f t="shared" si="41"/>
        <v>0</v>
      </c>
      <c r="R42" s="653">
        <f t="shared" si="41"/>
        <v>33.700000000000003</v>
      </c>
      <c r="S42" s="654">
        <f t="shared" si="41"/>
        <v>290</v>
      </c>
      <c r="T42" s="654">
        <f t="shared" si="41"/>
        <v>324</v>
      </c>
      <c r="U42" s="653">
        <f t="shared" si="41"/>
        <v>8777</v>
      </c>
      <c r="V42" s="653">
        <f>SUM(V43:V46,V48:V55)</f>
        <v>77551</v>
      </c>
      <c r="W42" s="653">
        <f t="shared" si="41"/>
        <v>1730</v>
      </c>
      <c r="X42" s="653">
        <f t="shared" si="41"/>
        <v>0</v>
      </c>
      <c r="Y42" s="655">
        <f t="shared" si="41"/>
        <v>7284.1</v>
      </c>
      <c r="Z42" s="653">
        <f t="shared" si="41"/>
        <v>7715.1</v>
      </c>
      <c r="AA42" s="654">
        <f t="shared" si="41"/>
        <v>1020</v>
      </c>
      <c r="AB42" s="654">
        <f t="shared" si="41"/>
        <v>1433</v>
      </c>
      <c r="AC42" s="654">
        <f t="shared" si="41"/>
        <v>77848</v>
      </c>
      <c r="AD42" s="653">
        <f t="shared" si="41"/>
        <v>193</v>
      </c>
      <c r="AE42" s="653">
        <f t="shared" si="41"/>
        <v>0</v>
      </c>
      <c r="AF42" s="656">
        <f t="shared" si="41"/>
        <v>0</v>
      </c>
      <c r="AG42" s="656">
        <f t="shared" si="41"/>
        <v>0</v>
      </c>
      <c r="AH42" s="656">
        <f t="shared" si="41"/>
        <v>0</v>
      </c>
      <c r="AI42" s="656">
        <f t="shared" si="41"/>
        <v>0</v>
      </c>
      <c r="AJ42" s="656">
        <f t="shared" si="41"/>
        <v>0</v>
      </c>
      <c r="AK42" s="656">
        <f t="shared" si="41"/>
        <v>0</v>
      </c>
      <c r="AL42" s="656">
        <f t="shared" si="41"/>
        <v>0</v>
      </c>
      <c r="AM42" s="653">
        <f t="shared" si="41"/>
        <v>0</v>
      </c>
      <c r="AN42" s="610"/>
      <c r="AO42" s="650" t="s">
        <v>477</v>
      </c>
      <c r="AP42" s="651" t="s">
        <v>478</v>
      </c>
      <c r="AQ42" s="653">
        <f t="shared" ref="AQ42:AX42" si="42">SUM(AQ43:AQ46,AQ48:AQ55)</f>
        <v>153</v>
      </c>
      <c r="AR42" s="653">
        <f t="shared" si="42"/>
        <v>114</v>
      </c>
      <c r="AS42" s="653">
        <f t="shared" si="42"/>
        <v>0</v>
      </c>
      <c r="AT42" s="653">
        <f t="shared" si="42"/>
        <v>114</v>
      </c>
      <c r="AU42" s="653">
        <f t="shared" si="42"/>
        <v>0</v>
      </c>
      <c r="AV42" s="653">
        <f t="shared" si="42"/>
        <v>104</v>
      </c>
      <c r="AW42" s="653">
        <f t="shared" si="42"/>
        <v>39</v>
      </c>
      <c r="AX42" s="653">
        <f t="shared" si="42"/>
        <v>27</v>
      </c>
      <c r="AY42" s="653">
        <f>SUM(AY43:AY46,AY48:AY55)</f>
        <v>88492</v>
      </c>
      <c r="AZ42" s="658">
        <f t="shared" ref="AZ42:BW42" si="43">SUM(AZ43:AZ46,AZ48:AZ55)</f>
        <v>7943</v>
      </c>
      <c r="BA42" s="653">
        <f t="shared" si="43"/>
        <v>2441</v>
      </c>
      <c r="BB42" s="653">
        <f t="shared" si="43"/>
        <v>366</v>
      </c>
      <c r="BC42" s="653">
        <f t="shared" si="43"/>
        <v>0</v>
      </c>
      <c r="BD42" s="653">
        <f t="shared" si="43"/>
        <v>0</v>
      </c>
      <c r="BE42" s="653">
        <f t="shared" si="43"/>
        <v>280.7</v>
      </c>
      <c r="BF42" s="655">
        <f t="shared" si="43"/>
        <v>281</v>
      </c>
      <c r="BG42" s="653">
        <f t="shared" si="43"/>
        <v>10469</v>
      </c>
      <c r="BH42" s="653">
        <f t="shared" si="43"/>
        <v>76033</v>
      </c>
      <c r="BI42" s="653">
        <f t="shared" si="43"/>
        <v>900</v>
      </c>
      <c r="BJ42" s="653">
        <f t="shared" si="43"/>
        <v>1603</v>
      </c>
      <c r="BK42" s="653">
        <f t="shared" si="43"/>
        <v>0</v>
      </c>
      <c r="BL42" s="653">
        <f t="shared" si="43"/>
        <v>666.9</v>
      </c>
      <c r="BM42" s="655">
        <f t="shared" si="43"/>
        <v>668</v>
      </c>
      <c r="BN42" s="653">
        <f t="shared" si="43"/>
        <v>77868</v>
      </c>
      <c r="BO42" s="653">
        <f t="shared" si="43"/>
        <v>155</v>
      </c>
      <c r="BP42" s="653">
        <f t="shared" si="43"/>
        <v>0</v>
      </c>
      <c r="BQ42" s="653">
        <f t="shared" si="43"/>
        <v>9867</v>
      </c>
      <c r="BR42" s="653">
        <f t="shared" si="43"/>
        <v>340</v>
      </c>
      <c r="BS42" s="653">
        <f t="shared" si="43"/>
        <v>0</v>
      </c>
      <c r="BT42" s="653">
        <f t="shared" si="43"/>
        <v>0</v>
      </c>
      <c r="BU42" s="653">
        <f t="shared" si="43"/>
        <v>0</v>
      </c>
      <c r="BV42" s="653">
        <f t="shared" si="43"/>
        <v>0</v>
      </c>
      <c r="BW42" s="653">
        <f t="shared" si="43"/>
        <v>0</v>
      </c>
    </row>
    <row r="43" spans="1:75" ht="31.2">
      <c r="A43" s="659">
        <v>8</v>
      </c>
      <c r="B43" s="660" t="s">
        <v>479</v>
      </c>
      <c r="C43" s="661">
        <f>D43+I43</f>
        <v>27</v>
      </c>
      <c r="D43" s="661">
        <f>E43+F43</f>
        <v>8</v>
      </c>
      <c r="E43" s="661"/>
      <c r="F43" s="661">
        <v>8</v>
      </c>
      <c r="G43" s="661"/>
      <c r="H43" s="661">
        <v>6</v>
      </c>
      <c r="I43" s="661">
        <v>19</v>
      </c>
      <c r="J43" s="661">
        <v>18</v>
      </c>
      <c r="K43" s="989">
        <f t="shared" si="3"/>
        <v>2046</v>
      </c>
      <c r="L43" s="666">
        <f t="shared" ref="L43:L55" si="44">U43+AC43+AD43+AE43</f>
        <v>2046</v>
      </c>
      <c r="M43" s="666">
        <v>980</v>
      </c>
      <c r="N43" s="666">
        <v>140</v>
      </c>
      <c r="O43" s="666">
        <v>69</v>
      </c>
      <c r="P43" s="666"/>
      <c r="Q43" s="666"/>
      <c r="R43" s="666"/>
      <c r="S43" s="667">
        <v>34</v>
      </c>
      <c r="T43" s="667">
        <f t="shared" ref="T43:T55" si="45">ROUND((Q43+R43+S43),0)</f>
        <v>34</v>
      </c>
      <c r="U43" s="666">
        <f t="shared" ref="U43:U55" si="46">(M43+N43+O43+P43)-T43</f>
        <v>1155</v>
      </c>
      <c r="V43" s="666">
        <v>530</v>
      </c>
      <c r="W43" s="666">
        <v>470</v>
      </c>
      <c r="X43" s="666"/>
      <c r="Y43" s="667">
        <f>Z43-BM43</f>
        <v>23</v>
      </c>
      <c r="Z43" s="668">
        <f>V43*10%</f>
        <v>53</v>
      </c>
      <c r="AA43" s="667">
        <v>86</v>
      </c>
      <c r="AB43" s="667">
        <f t="shared" ref="AB43:AB52" si="47">ROUND((Y43+AA43+X43),0)</f>
        <v>109</v>
      </c>
      <c r="AC43" s="666">
        <f t="shared" ref="AC43:AC55" si="48">(V43+W43)-AB43</f>
        <v>891</v>
      </c>
      <c r="AD43" s="666"/>
      <c r="AE43" s="666"/>
      <c r="AF43" s="669"/>
      <c r="AG43" s="669"/>
      <c r="AH43" s="669"/>
      <c r="AI43" s="669"/>
      <c r="AJ43" s="669"/>
      <c r="AK43" s="669"/>
      <c r="AL43" s="664"/>
      <c r="AN43" s="610"/>
      <c r="AO43" s="659">
        <v>8</v>
      </c>
      <c r="AP43" s="660" t="s">
        <v>479</v>
      </c>
      <c r="AQ43" s="661">
        <f>AR43+AW43</f>
        <v>42</v>
      </c>
      <c r="AR43" s="661">
        <f>AS43+AT43</f>
        <v>13</v>
      </c>
      <c r="AS43" s="661"/>
      <c r="AT43" s="661">
        <v>13</v>
      </c>
      <c r="AU43" s="661"/>
      <c r="AV43" s="661">
        <v>10</v>
      </c>
      <c r="AW43" s="661">
        <v>29</v>
      </c>
      <c r="AX43" s="661">
        <v>19</v>
      </c>
      <c r="AY43" s="666">
        <f t="shared" ref="AY43:AY55" si="49">BG43+BN43+BO43+BP43</f>
        <v>2307</v>
      </c>
      <c r="AZ43" s="670">
        <f>664+892</f>
        <v>1556</v>
      </c>
      <c r="BA43" s="666">
        <v>270</v>
      </c>
      <c r="BB43" s="666">
        <v>69</v>
      </c>
      <c r="BC43" s="666"/>
      <c r="BD43" s="666"/>
      <c r="BE43" s="666">
        <f t="shared" ref="BE43:BE54" si="50">(BA43+BB43)*10%</f>
        <v>33.9</v>
      </c>
      <c r="BF43" s="667">
        <f>ROUND(BE43,0)</f>
        <v>34</v>
      </c>
      <c r="BG43" s="666">
        <f t="shared" si="17"/>
        <v>1861</v>
      </c>
      <c r="BH43" s="666">
        <v>296</v>
      </c>
      <c r="BI43" s="666"/>
      <c r="BJ43" s="666">
        <v>180</v>
      </c>
      <c r="BK43" s="666"/>
      <c r="BL43" s="666">
        <f>BH43*10%</f>
        <v>29.6</v>
      </c>
      <c r="BM43" s="667">
        <f t="shared" ref="BM43:BM53" si="51">ROUND(BL43,0)</f>
        <v>30</v>
      </c>
      <c r="BN43" s="666">
        <f t="shared" ref="BN43:BN55" si="52">(BH43+BI43+BJ43)-BM43</f>
        <v>446</v>
      </c>
      <c r="BO43" s="666"/>
      <c r="BP43" s="666"/>
      <c r="BQ43" s="666">
        <v>5635</v>
      </c>
      <c r="BR43" s="666"/>
      <c r="BS43" s="666"/>
      <c r="BT43" s="666"/>
      <c r="BU43" s="666"/>
      <c r="BV43" s="666"/>
      <c r="BW43" s="662"/>
    </row>
    <row r="44" spans="1:75" s="698" customFormat="1" ht="46.8">
      <c r="A44" s="694">
        <v>9</v>
      </c>
      <c r="B44" s="695" t="s">
        <v>480</v>
      </c>
      <c r="C44" s="696">
        <f>D44+I44</f>
        <v>31</v>
      </c>
      <c r="D44" s="696">
        <f>E44+F44</f>
        <v>30</v>
      </c>
      <c r="E44" s="696"/>
      <c r="F44" s="696">
        <v>30</v>
      </c>
      <c r="G44" s="696"/>
      <c r="H44" s="696">
        <v>30</v>
      </c>
      <c r="I44" s="696">
        <v>1</v>
      </c>
      <c r="J44" s="696">
        <v>1</v>
      </c>
      <c r="K44" s="989">
        <f t="shared" si="3"/>
        <v>3411</v>
      </c>
      <c r="L44" s="697">
        <f t="shared" si="44"/>
        <v>3411</v>
      </c>
      <c r="M44" s="697">
        <v>1630</v>
      </c>
      <c r="N44" s="697">
        <v>622</v>
      </c>
      <c r="O44" s="697">
        <v>107</v>
      </c>
      <c r="P44" s="697"/>
      <c r="Q44" s="715"/>
      <c r="R44" s="668">
        <f>((N44+O44)-(BA44+BB44))*10%</f>
        <v>33.700000000000003</v>
      </c>
      <c r="S44" s="667">
        <f>39+44</f>
        <v>83</v>
      </c>
      <c r="T44" s="667">
        <f t="shared" si="45"/>
        <v>117</v>
      </c>
      <c r="U44" s="666">
        <f t="shared" si="46"/>
        <v>2242</v>
      </c>
      <c r="V44" s="697">
        <v>902</v>
      </c>
      <c r="W44" s="697">
        <v>440</v>
      </c>
      <c r="X44" s="697"/>
      <c r="Y44" s="667">
        <f>Z44-BM44</f>
        <v>50.2</v>
      </c>
      <c r="Z44" s="668">
        <f>(V44-400)*10%</f>
        <v>50.2</v>
      </c>
      <c r="AA44" s="667">
        <f>123</f>
        <v>123</v>
      </c>
      <c r="AB44" s="667">
        <f t="shared" si="47"/>
        <v>173</v>
      </c>
      <c r="AC44" s="666">
        <f t="shared" si="48"/>
        <v>1169</v>
      </c>
      <c r="AD44" s="697"/>
      <c r="AE44" s="697"/>
      <c r="AF44" s="697"/>
      <c r="AG44" s="697"/>
      <c r="AH44" s="697"/>
      <c r="AI44" s="697"/>
      <c r="AJ44" s="697"/>
      <c r="AK44" s="697"/>
      <c r="AL44" s="697"/>
      <c r="AM44" s="624"/>
      <c r="AN44" s="610"/>
      <c r="AO44" s="694">
        <v>9</v>
      </c>
      <c r="AP44" s="695" t="s">
        <v>480</v>
      </c>
      <c r="AQ44" s="696">
        <f>AR44+AW44</f>
        <v>16</v>
      </c>
      <c r="AR44" s="696">
        <f>AS44+AT44</f>
        <v>15</v>
      </c>
      <c r="AS44" s="696"/>
      <c r="AT44" s="696">
        <v>15</v>
      </c>
      <c r="AU44" s="696"/>
      <c r="AV44" s="696">
        <v>15</v>
      </c>
      <c r="AW44" s="696">
        <v>1</v>
      </c>
      <c r="AX44" s="696">
        <v>1</v>
      </c>
      <c r="AY44" s="697">
        <f t="shared" si="49"/>
        <v>1171</v>
      </c>
      <c r="AZ44" s="697">
        <f>818-45+45</f>
        <v>818</v>
      </c>
      <c r="BA44" s="697">
        <v>300</v>
      </c>
      <c r="BB44" s="697">
        <v>92</v>
      </c>
      <c r="BC44" s="697"/>
      <c r="BD44" s="715"/>
      <c r="BE44" s="666">
        <f t="shared" si="50"/>
        <v>39.200000000000003</v>
      </c>
      <c r="BF44" s="668">
        <f>ROUND(BE44,0)</f>
        <v>39</v>
      </c>
      <c r="BG44" s="668">
        <f>(AZ44+BA44+BB44+BC44)-BF44</f>
        <v>1171</v>
      </c>
      <c r="BH44" s="697">
        <f>437-437</f>
        <v>0</v>
      </c>
      <c r="BI44" s="697"/>
      <c r="BJ44" s="697"/>
      <c r="BK44" s="697"/>
      <c r="BL44" s="666">
        <f>BH44*10%</f>
        <v>0</v>
      </c>
      <c r="BM44" s="668">
        <f t="shared" si="51"/>
        <v>0</v>
      </c>
      <c r="BN44" s="668">
        <f t="shared" si="52"/>
        <v>0</v>
      </c>
      <c r="BO44" s="697"/>
      <c r="BP44" s="697"/>
      <c r="BQ44" s="697">
        <v>342</v>
      </c>
      <c r="BR44" s="697">
        <v>0</v>
      </c>
      <c r="BS44" s="697">
        <v>0</v>
      </c>
      <c r="BT44" s="697"/>
      <c r="BU44" s="697"/>
      <c r="BV44" s="697"/>
      <c r="BW44" s="697"/>
    </row>
    <row r="45" spans="1:75" s="617" customFormat="1" ht="31.2">
      <c r="A45" s="659">
        <v>10</v>
      </c>
      <c r="B45" s="660" t="s">
        <v>481</v>
      </c>
      <c r="C45" s="661">
        <f>D45+I45</f>
        <v>0</v>
      </c>
      <c r="D45" s="661">
        <f>E45+F45</f>
        <v>0</v>
      </c>
      <c r="E45" s="661"/>
      <c r="F45" s="661"/>
      <c r="G45" s="661"/>
      <c r="H45" s="661"/>
      <c r="I45" s="661"/>
      <c r="J45" s="661"/>
      <c r="K45" s="989">
        <f t="shared" si="3"/>
        <v>0</v>
      </c>
      <c r="L45" s="666">
        <f t="shared" si="44"/>
        <v>0</v>
      </c>
      <c r="M45" s="666"/>
      <c r="N45" s="666"/>
      <c r="O45" s="666"/>
      <c r="P45" s="666"/>
      <c r="Q45" s="666"/>
      <c r="R45" s="666"/>
      <c r="S45" s="667"/>
      <c r="T45" s="667">
        <f t="shared" si="45"/>
        <v>0</v>
      </c>
      <c r="U45" s="666">
        <f t="shared" si="46"/>
        <v>0</v>
      </c>
      <c r="V45" s="666"/>
      <c r="W45" s="666"/>
      <c r="X45" s="666"/>
      <c r="Y45" s="667"/>
      <c r="Z45" s="668">
        <f t="shared" ref="Z45:Z55" si="53">V45*10%</f>
        <v>0</v>
      </c>
      <c r="AA45" s="667"/>
      <c r="AB45" s="667">
        <f t="shared" si="47"/>
        <v>0</v>
      </c>
      <c r="AC45" s="666">
        <f t="shared" si="48"/>
        <v>0</v>
      </c>
      <c r="AD45" s="666"/>
      <c r="AE45" s="666"/>
      <c r="AF45" s="669"/>
      <c r="AG45" s="669"/>
      <c r="AH45" s="669"/>
      <c r="AI45" s="669"/>
      <c r="AJ45" s="669"/>
      <c r="AK45" s="669"/>
      <c r="AL45" s="664"/>
      <c r="AN45" s="610"/>
      <c r="AO45" s="659">
        <v>10</v>
      </c>
      <c r="AP45" s="660" t="s">
        <v>481</v>
      </c>
      <c r="AQ45" s="661">
        <f>AR45+AW45</f>
        <v>18</v>
      </c>
      <c r="AR45" s="661">
        <f>AS45+AT45</f>
        <v>17</v>
      </c>
      <c r="AS45" s="661"/>
      <c r="AT45" s="661">
        <v>17</v>
      </c>
      <c r="AU45" s="661"/>
      <c r="AV45" s="661">
        <v>15</v>
      </c>
      <c r="AW45" s="661">
        <v>1</v>
      </c>
      <c r="AX45" s="661">
        <v>0</v>
      </c>
      <c r="AY45" s="666">
        <f t="shared" si="49"/>
        <v>2478</v>
      </c>
      <c r="AZ45" s="670">
        <v>843</v>
      </c>
      <c r="BA45" s="666">
        <f>444-264-36+264</f>
        <v>408</v>
      </c>
      <c r="BB45" s="666">
        <v>36</v>
      </c>
      <c r="BC45" s="666"/>
      <c r="BD45" s="666"/>
      <c r="BE45" s="666">
        <f t="shared" si="50"/>
        <v>44.400000000000006</v>
      </c>
      <c r="BF45" s="667">
        <f>ROUND(BE45,0)</f>
        <v>44</v>
      </c>
      <c r="BG45" s="666">
        <f>(AZ45+BA45+BB45+BC45)-BF45</f>
        <v>1243</v>
      </c>
      <c r="BH45" s="666">
        <f>902+264-264</f>
        <v>902</v>
      </c>
      <c r="BI45" s="666"/>
      <c r="BJ45" s="666">
        <v>366</v>
      </c>
      <c r="BK45" s="666"/>
      <c r="BL45" s="666">
        <f>(BH45-409)*10%</f>
        <v>49.300000000000004</v>
      </c>
      <c r="BM45" s="667">
        <f t="shared" si="51"/>
        <v>49</v>
      </c>
      <c r="BN45" s="666">
        <f t="shared" si="52"/>
        <v>1219</v>
      </c>
      <c r="BO45" s="666">
        <v>16</v>
      </c>
      <c r="BP45" s="666"/>
      <c r="BQ45" s="666">
        <v>117</v>
      </c>
      <c r="BR45" s="666"/>
      <c r="BS45" s="666"/>
      <c r="BT45" s="666"/>
      <c r="BU45" s="666"/>
      <c r="BV45" s="666"/>
      <c r="BW45" s="662"/>
    </row>
    <row r="46" spans="1:75" ht="46.8">
      <c r="A46" s="659">
        <v>11</v>
      </c>
      <c r="B46" s="660" t="s">
        <v>482</v>
      </c>
      <c r="C46" s="661">
        <f>D46+I46</f>
        <v>18</v>
      </c>
      <c r="D46" s="661">
        <f>E46+F46</f>
        <v>15</v>
      </c>
      <c r="E46" s="661"/>
      <c r="F46" s="661">
        <v>15</v>
      </c>
      <c r="G46" s="661"/>
      <c r="H46" s="661">
        <v>15</v>
      </c>
      <c r="I46" s="661">
        <v>3</v>
      </c>
      <c r="J46" s="661">
        <v>3</v>
      </c>
      <c r="K46" s="989">
        <f t="shared" si="3"/>
        <v>3542</v>
      </c>
      <c r="L46" s="716">
        <f t="shared" si="44"/>
        <v>3542</v>
      </c>
      <c r="M46" s="666">
        <v>1118</v>
      </c>
      <c r="N46" s="666">
        <f>333-25</f>
        <v>308</v>
      </c>
      <c r="O46" s="666">
        <v>84</v>
      </c>
      <c r="P46" s="666"/>
      <c r="Q46" s="666"/>
      <c r="R46" s="666"/>
      <c r="S46" s="667">
        <v>42</v>
      </c>
      <c r="T46" s="667">
        <f t="shared" si="45"/>
        <v>42</v>
      </c>
      <c r="U46" s="666">
        <f t="shared" si="46"/>
        <v>1468</v>
      </c>
      <c r="V46" s="666">
        <v>1497</v>
      </c>
      <c r="W46" s="666">
        <v>805</v>
      </c>
      <c r="X46" s="666"/>
      <c r="Y46" s="667">
        <f t="shared" ref="Y46:Y51" si="54">Z46-BM46</f>
        <v>133.70000000000002</v>
      </c>
      <c r="Z46" s="668">
        <f t="shared" si="53"/>
        <v>149.70000000000002</v>
      </c>
      <c r="AA46" s="667">
        <v>94</v>
      </c>
      <c r="AB46" s="667">
        <f t="shared" si="47"/>
        <v>228</v>
      </c>
      <c r="AC46" s="666">
        <f t="shared" si="48"/>
        <v>2074</v>
      </c>
      <c r="AD46" s="666"/>
      <c r="AE46" s="666"/>
      <c r="AF46" s="669"/>
      <c r="AG46" s="669"/>
      <c r="AH46" s="669"/>
      <c r="AI46" s="669"/>
      <c r="AJ46" s="669"/>
      <c r="AK46" s="669"/>
      <c r="AL46" s="664"/>
      <c r="AN46" s="610"/>
      <c r="AO46" s="659">
        <v>11</v>
      </c>
      <c r="AP46" s="660" t="s">
        <v>482</v>
      </c>
      <c r="AQ46" s="661">
        <f>AR46+AW46</f>
        <v>19</v>
      </c>
      <c r="AR46" s="661">
        <f>AS46+AT46</f>
        <v>16</v>
      </c>
      <c r="AS46" s="661"/>
      <c r="AT46" s="661">
        <v>16</v>
      </c>
      <c r="AU46" s="661"/>
      <c r="AV46" s="661">
        <v>16</v>
      </c>
      <c r="AW46" s="661">
        <v>3</v>
      </c>
      <c r="AX46" s="661">
        <v>3</v>
      </c>
      <c r="AY46" s="716">
        <f t="shared" si="49"/>
        <v>3820</v>
      </c>
      <c r="AZ46" s="670">
        <v>1143</v>
      </c>
      <c r="BA46" s="666">
        <v>333</v>
      </c>
      <c r="BB46" s="666">
        <v>84</v>
      </c>
      <c r="BC46" s="666"/>
      <c r="BD46" s="666"/>
      <c r="BE46" s="666">
        <f t="shared" si="50"/>
        <v>41.7</v>
      </c>
      <c r="BF46" s="667">
        <f>ROUND(BE46,0)</f>
        <v>42</v>
      </c>
      <c r="BG46" s="666">
        <f t="shared" si="17"/>
        <v>1518</v>
      </c>
      <c r="BH46" s="666">
        <v>1511</v>
      </c>
      <c r="BI46" s="666"/>
      <c r="BJ46" s="666">
        <v>807</v>
      </c>
      <c r="BK46" s="666"/>
      <c r="BL46" s="666">
        <f>(BH46-533-300-504-18)*10%</f>
        <v>15.600000000000001</v>
      </c>
      <c r="BM46" s="667">
        <f t="shared" si="51"/>
        <v>16</v>
      </c>
      <c r="BN46" s="666">
        <f t="shared" si="52"/>
        <v>2302</v>
      </c>
      <c r="BO46" s="666"/>
      <c r="BP46" s="666"/>
      <c r="BQ46" s="666">
        <v>3093</v>
      </c>
      <c r="BR46" s="666"/>
      <c r="BS46" s="666"/>
      <c r="BT46" s="666"/>
      <c r="BU46" s="666"/>
      <c r="BV46" s="666"/>
      <c r="BW46" s="662"/>
    </row>
    <row r="47" spans="1:75" s="693" customFormat="1" ht="16.2">
      <c r="A47" s="992"/>
      <c r="B47" s="993" t="s">
        <v>483</v>
      </c>
      <c r="C47" s="684"/>
      <c r="D47" s="684"/>
      <c r="E47" s="684"/>
      <c r="F47" s="684"/>
      <c r="G47" s="684"/>
      <c r="H47" s="684"/>
      <c r="I47" s="684"/>
      <c r="J47" s="684"/>
      <c r="K47" s="989">
        <f t="shared" si="3"/>
        <v>1354</v>
      </c>
      <c r="L47" s="717">
        <f t="shared" si="44"/>
        <v>1354</v>
      </c>
      <c r="M47" s="685"/>
      <c r="N47" s="685"/>
      <c r="O47" s="685"/>
      <c r="P47" s="685"/>
      <c r="Q47" s="685"/>
      <c r="R47" s="666">
        <f>((N47+O47)-(BA47+BB47))*10%</f>
        <v>0</v>
      </c>
      <c r="S47" s="686"/>
      <c r="T47" s="667">
        <f t="shared" si="45"/>
        <v>0</v>
      </c>
      <c r="U47" s="666">
        <f t="shared" si="46"/>
        <v>0</v>
      </c>
      <c r="V47" s="685">
        <v>1337</v>
      </c>
      <c r="W47" s="685">
        <v>151</v>
      </c>
      <c r="X47" s="685"/>
      <c r="Y47" s="667">
        <f t="shared" si="54"/>
        <v>133.70000000000002</v>
      </c>
      <c r="Z47" s="668">
        <f t="shared" si="53"/>
        <v>133.70000000000002</v>
      </c>
      <c r="AA47" s="667"/>
      <c r="AB47" s="667">
        <f t="shared" si="47"/>
        <v>134</v>
      </c>
      <c r="AC47" s="666">
        <f t="shared" si="48"/>
        <v>1354</v>
      </c>
      <c r="AD47" s="685"/>
      <c r="AE47" s="685"/>
      <c r="AF47" s="687"/>
      <c r="AG47" s="687"/>
      <c r="AH47" s="687"/>
      <c r="AI47" s="687"/>
      <c r="AJ47" s="687"/>
      <c r="AK47" s="687"/>
      <c r="AL47" s="688"/>
      <c r="AM47" s="689"/>
      <c r="AN47" s="690"/>
      <c r="AO47" s="682"/>
      <c r="AP47" s="683" t="s">
        <v>483</v>
      </c>
      <c r="AQ47" s="684"/>
      <c r="AR47" s="684"/>
      <c r="AS47" s="684"/>
      <c r="AT47" s="684"/>
      <c r="AU47" s="684"/>
      <c r="AV47" s="684"/>
      <c r="AW47" s="684"/>
      <c r="AX47" s="684"/>
      <c r="AY47" s="717">
        <f t="shared" si="49"/>
        <v>1543</v>
      </c>
      <c r="AZ47" s="691"/>
      <c r="BA47" s="685"/>
      <c r="BB47" s="685"/>
      <c r="BC47" s="685"/>
      <c r="BD47" s="685"/>
      <c r="BE47" s="666">
        <f t="shared" si="50"/>
        <v>0</v>
      </c>
      <c r="BF47" s="686"/>
      <c r="BG47" s="666">
        <f t="shared" si="17"/>
        <v>0</v>
      </c>
      <c r="BH47" s="685">
        <f>533+300+504</f>
        <v>1337</v>
      </c>
      <c r="BI47" s="685"/>
      <c r="BJ47" s="685">
        <v>206</v>
      </c>
      <c r="BK47" s="685"/>
      <c r="BL47" s="666"/>
      <c r="BM47" s="667">
        <f t="shared" si="51"/>
        <v>0</v>
      </c>
      <c r="BN47" s="685">
        <f t="shared" si="52"/>
        <v>1543</v>
      </c>
      <c r="BO47" s="685"/>
      <c r="BP47" s="685"/>
      <c r="BQ47" s="685"/>
      <c r="BR47" s="685"/>
      <c r="BS47" s="685"/>
      <c r="BT47" s="685"/>
      <c r="BU47" s="685"/>
      <c r="BV47" s="685"/>
      <c r="BW47" s="692"/>
    </row>
    <row r="48" spans="1:75" ht="31.2">
      <c r="A48" s="659">
        <v>12</v>
      </c>
      <c r="B48" s="660" t="s">
        <v>484</v>
      </c>
      <c r="C48" s="661">
        <f>D48+I48</f>
        <v>0</v>
      </c>
      <c r="D48" s="661">
        <f>E48+F48</f>
        <v>0</v>
      </c>
      <c r="E48" s="661"/>
      <c r="F48" s="661"/>
      <c r="G48" s="661"/>
      <c r="H48" s="661"/>
      <c r="I48" s="661"/>
      <c r="J48" s="661"/>
      <c r="K48" s="989">
        <f t="shared" si="3"/>
        <v>0</v>
      </c>
      <c r="L48" s="666">
        <f t="shared" si="44"/>
        <v>0</v>
      </c>
      <c r="M48" s="666"/>
      <c r="N48" s="666"/>
      <c r="O48" s="666"/>
      <c r="P48" s="666"/>
      <c r="Q48" s="666"/>
      <c r="R48" s="666">
        <f>((N48+O48)-(BA48+BB48))*10%</f>
        <v>0</v>
      </c>
      <c r="S48" s="667"/>
      <c r="T48" s="667">
        <f t="shared" si="45"/>
        <v>0</v>
      </c>
      <c r="U48" s="666">
        <f t="shared" si="46"/>
        <v>0</v>
      </c>
      <c r="V48" s="666"/>
      <c r="W48" s="666"/>
      <c r="X48" s="666"/>
      <c r="Y48" s="667">
        <f t="shared" si="54"/>
        <v>0</v>
      </c>
      <c r="Z48" s="668">
        <f t="shared" si="53"/>
        <v>0</v>
      </c>
      <c r="AA48" s="667"/>
      <c r="AB48" s="667">
        <f t="shared" si="47"/>
        <v>0</v>
      </c>
      <c r="AC48" s="666">
        <f t="shared" si="48"/>
        <v>0</v>
      </c>
      <c r="AD48" s="666"/>
      <c r="AE48" s="666"/>
      <c r="AF48" s="669"/>
      <c r="AG48" s="669"/>
      <c r="AH48" s="669"/>
      <c r="AI48" s="669"/>
      <c r="AJ48" s="669"/>
      <c r="AK48" s="669"/>
      <c r="AL48" s="664"/>
      <c r="AN48" s="610"/>
      <c r="AO48" s="659">
        <v>12</v>
      </c>
      <c r="AP48" s="660" t="s">
        <v>484</v>
      </c>
      <c r="AQ48" s="661">
        <f>AR48+AW48</f>
        <v>6</v>
      </c>
      <c r="AR48" s="661">
        <f>AS48+AT48</f>
        <v>5</v>
      </c>
      <c r="AS48" s="661"/>
      <c r="AT48" s="661">
        <v>5</v>
      </c>
      <c r="AU48" s="661"/>
      <c r="AV48" s="661">
        <v>5</v>
      </c>
      <c r="AW48" s="661">
        <v>1</v>
      </c>
      <c r="AX48" s="661"/>
      <c r="AY48" s="666">
        <f t="shared" si="49"/>
        <v>424</v>
      </c>
      <c r="AZ48" s="670">
        <f>380+44</f>
        <v>424</v>
      </c>
      <c r="BA48" s="666">
        <f>234-234</f>
        <v>0</v>
      </c>
      <c r="BB48" s="666"/>
      <c r="BC48" s="666"/>
      <c r="BD48" s="666"/>
      <c r="BE48" s="666">
        <f t="shared" si="50"/>
        <v>0</v>
      </c>
      <c r="BF48" s="667">
        <f t="shared" ref="BF48:BF53" si="55">ROUND(BE48,0)</f>
        <v>0</v>
      </c>
      <c r="BG48" s="666">
        <f t="shared" si="17"/>
        <v>424</v>
      </c>
      <c r="BH48" s="666"/>
      <c r="BI48" s="666"/>
      <c r="BJ48" s="666"/>
      <c r="BK48" s="666"/>
      <c r="BL48" s="666">
        <f>BH48*10%</f>
        <v>0</v>
      </c>
      <c r="BM48" s="667">
        <f t="shared" si="51"/>
        <v>0</v>
      </c>
      <c r="BN48" s="666">
        <f t="shared" si="52"/>
        <v>0</v>
      </c>
      <c r="BO48" s="666"/>
      <c r="BP48" s="666"/>
      <c r="BQ48" s="666">
        <v>450</v>
      </c>
      <c r="BR48" s="666">
        <v>340</v>
      </c>
      <c r="BS48" s="666"/>
      <c r="BT48" s="666"/>
      <c r="BU48" s="666"/>
      <c r="BV48" s="666"/>
      <c r="BW48" s="662"/>
    </row>
    <row r="49" spans="1:75" ht="31.2">
      <c r="A49" s="659">
        <v>12</v>
      </c>
      <c r="B49" s="660" t="s">
        <v>485</v>
      </c>
      <c r="C49" s="661">
        <f>D49+I49</f>
        <v>10</v>
      </c>
      <c r="D49" s="661">
        <f>E49+F49</f>
        <v>10</v>
      </c>
      <c r="E49" s="661"/>
      <c r="F49" s="661">
        <v>10</v>
      </c>
      <c r="G49" s="661"/>
      <c r="H49" s="661">
        <v>10</v>
      </c>
      <c r="I49" s="661"/>
      <c r="J49" s="661"/>
      <c r="K49" s="989">
        <f t="shared" si="3"/>
        <v>2839</v>
      </c>
      <c r="L49" s="666">
        <f t="shared" si="44"/>
        <v>2879</v>
      </c>
      <c r="M49" s="666">
        <v>729</v>
      </c>
      <c r="N49" s="666">
        <v>237</v>
      </c>
      <c r="O49" s="666">
        <v>24</v>
      </c>
      <c r="P49" s="666"/>
      <c r="Q49" s="666"/>
      <c r="R49" s="666">
        <f>((N49+O49)-(BA49+BB49))*10%</f>
        <v>0</v>
      </c>
      <c r="S49" s="667">
        <v>26</v>
      </c>
      <c r="T49" s="667">
        <f t="shared" si="45"/>
        <v>26</v>
      </c>
      <c r="U49" s="666">
        <f t="shared" si="46"/>
        <v>964</v>
      </c>
      <c r="V49" s="666">
        <v>2128</v>
      </c>
      <c r="W49" s="666">
        <v>15</v>
      </c>
      <c r="X49" s="666"/>
      <c r="Y49" s="667">
        <f t="shared" si="54"/>
        <v>18.800000000000011</v>
      </c>
      <c r="Z49" s="668">
        <f t="shared" si="53"/>
        <v>212.8</v>
      </c>
      <c r="AA49" s="667">
        <v>249</v>
      </c>
      <c r="AB49" s="667">
        <f t="shared" si="47"/>
        <v>268</v>
      </c>
      <c r="AC49" s="666">
        <f t="shared" si="48"/>
        <v>1875</v>
      </c>
      <c r="AD49" s="666">
        <v>40</v>
      </c>
      <c r="AE49" s="666"/>
      <c r="AF49" s="669"/>
      <c r="AG49" s="669"/>
      <c r="AH49" s="669"/>
      <c r="AI49" s="669"/>
      <c r="AJ49" s="669"/>
      <c r="AK49" s="669"/>
      <c r="AL49" s="664"/>
      <c r="AN49" s="610"/>
      <c r="AO49" s="659">
        <v>13</v>
      </c>
      <c r="AP49" s="660" t="s">
        <v>485</v>
      </c>
      <c r="AQ49" s="661">
        <f>AR49+AW49</f>
        <v>10</v>
      </c>
      <c r="AR49" s="661">
        <f>AS49+AT49</f>
        <v>10</v>
      </c>
      <c r="AS49" s="661"/>
      <c r="AT49" s="661">
        <f>6+4</f>
        <v>10</v>
      </c>
      <c r="AU49" s="661"/>
      <c r="AV49" s="661">
        <v>9</v>
      </c>
      <c r="AW49" s="661"/>
      <c r="AX49" s="661"/>
      <c r="AY49" s="666">
        <f t="shared" si="49"/>
        <v>2732</v>
      </c>
      <c r="AZ49" s="670">
        <v>656</v>
      </c>
      <c r="BA49" s="666">
        <f>261-26</f>
        <v>235</v>
      </c>
      <c r="BB49" s="666">
        <v>26</v>
      </c>
      <c r="BC49" s="666"/>
      <c r="BD49" s="666"/>
      <c r="BE49" s="666">
        <f t="shared" si="50"/>
        <v>26.1</v>
      </c>
      <c r="BF49" s="667">
        <f t="shared" si="55"/>
        <v>26</v>
      </c>
      <c r="BG49" s="666">
        <f t="shared" si="17"/>
        <v>891</v>
      </c>
      <c r="BH49" s="666">
        <v>1935</v>
      </c>
      <c r="BI49" s="666"/>
      <c r="BJ49" s="666">
        <v>75</v>
      </c>
      <c r="BK49" s="666"/>
      <c r="BL49" s="666">
        <f>BH49*10%</f>
        <v>193.5</v>
      </c>
      <c r="BM49" s="667">
        <f t="shared" si="51"/>
        <v>194</v>
      </c>
      <c r="BN49" s="666">
        <f t="shared" si="52"/>
        <v>1816</v>
      </c>
      <c r="BO49" s="666">
        <v>25</v>
      </c>
      <c r="BP49" s="666"/>
      <c r="BQ49" s="666"/>
      <c r="BR49" s="666"/>
      <c r="BS49" s="666"/>
      <c r="BT49" s="666"/>
      <c r="BU49" s="666"/>
      <c r="BV49" s="666"/>
      <c r="BW49" s="662"/>
    </row>
    <row r="50" spans="1:75" ht="31.2">
      <c r="A50" s="659">
        <v>13</v>
      </c>
      <c r="B50" s="718" t="s">
        <v>486</v>
      </c>
      <c r="C50" s="661">
        <f>D50+I50</f>
        <v>9</v>
      </c>
      <c r="D50" s="661">
        <f>E50+F50</f>
        <v>8</v>
      </c>
      <c r="E50" s="661"/>
      <c r="F50" s="661">
        <v>8</v>
      </c>
      <c r="G50" s="661"/>
      <c r="H50" s="661">
        <v>8</v>
      </c>
      <c r="I50" s="661">
        <v>1</v>
      </c>
      <c r="J50" s="661">
        <v>1</v>
      </c>
      <c r="K50" s="989">
        <f t="shared" si="3"/>
        <v>1601</v>
      </c>
      <c r="L50" s="666">
        <f t="shared" si="44"/>
        <v>1734</v>
      </c>
      <c r="M50" s="666">
        <v>584</v>
      </c>
      <c r="N50" s="666">
        <v>156</v>
      </c>
      <c r="O50" s="666">
        <v>53</v>
      </c>
      <c r="P50" s="666"/>
      <c r="Q50" s="666"/>
      <c r="R50" s="666">
        <f>((N50+O50)-(BA50+BB50))*10%</f>
        <v>0</v>
      </c>
      <c r="S50" s="667">
        <v>26</v>
      </c>
      <c r="T50" s="667">
        <f t="shared" si="45"/>
        <v>26</v>
      </c>
      <c r="U50" s="666">
        <f t="shared" si="46"/>
        <v>767</v>
      </c>
      <c r="V50" s="666">
        <v>947</v>
      </c>
      <c r="W50" s="666"/>
      <c r="X50" s="666"/>
      <c r="Y50" s="667">
        <f t="shared" si="54"/>
        <v>28.700000000000003</v>
      </c>
      <c r="Z50" s="668">
        <f t="shared" si="53"/>
        <v>94.7</v>
      </c>
      <c r="AA50" s="667">
        <v>84</v>
      </c>
      <c r="AB50" s="667">
        <f t="shared" si="47"/>
        <v>113</v>
      </c>
      <c r="AC50" s="666">
        <f t="shared" si="48"/>
        <v>834</v>
      </c>
      <c r="AD50" s="666">
        <v>133</v>
      </c>
      <c r="AE50" s="666"/>
      <c r="AF50" s="669"/>
      <c r="AG50" s="669"/>
      <c r="AH50" s="669"/>
      <c r="AI50" s="669"/>
      <c r="AJ50" s="669"/>
      <c r="AK50" s="669"/>
      <c r="AL50" s="664"/>
      <c r="AN50" s="610"/>
      <c r="AO50" s="659">
        <v>14</v>
      </c>
      <c r="AP50" s="718" t="s">
        <v>486</v>
      </c>
      <c r="AQ50" s="661">
        <f>AR50+AW50</f>
        <v>9</v>
      </c>
      <c r="AR50" s="661">
        <f>AS50+AT50</f>
        <v>8</v>
      </c>
      <c r="AS50" s="661"/>
      <c r="AT50" s="661">
        <f>10-2</f>
        <v>8</v>
      </c>
      <c r="AU50" s="661"/>
      <c r="AV50" s="661">
        <v>8</v>
      </c>
      <c r="AW50" s="661">
        <v>1</v>
      </c>
      <c r="AX50" s="661">
        <v>1</v>
      </c>
      <c r="AY50" s="666">
        <f t="shared" si="49"/>
        <v>2249</v>
      </c>
      <c r="AZ50" s="670">
        <v>562</v>
      </c>
      <c r="BA50" s="666">
        <v>150</v>
      </c>
      <c r="BB50" s="666">
        <v>59</v>
      </c>
      <c r="BC50" s="666"/>
      <c r="BD50" s="666"/>
      <c r="BE50" s="666">
        <f t="shared" si="50"/>
        <v>20.900000000000002</v>
      </c>
      <c r="BF50" s="667">
        <f t="shared" si="55"/>
        <v>21</v>
      </c>
      <c r="BG50" s="666">
        <f t="shared" si="17"/>
        <v>750</v>
      </c>
      <c r="BH50" s="666">
        <f>1555-900</f>
        <v>655</v>
      </c>
      <c r="BI50" s="666">
        <v>900</v>
      </c>
      <c r="BJ50" s="666">
        <v>10</v>
      </c>
      <c r="BK50" s="666"/>
      <c r="BL50" s="666">
        <f>BH50*10%</f>
        <v>65.5</v>
      </c>
      <c r="BM50" s="667">
        <f t="shared" si="51"/>
        <v>66</v>
      </c>
      <c r="BN50" s="666">
        <f t="shared" si="52"/>
        <v>1499</v>
      </c>
      <c r="BO50" s="666"/>
      <c r="BP50" s="666"/>
      <c r="BQ50" s="666"/>
      <c r="BR50" s="666"/>
      <c r="BS50" s="666"/>
      <c r="BT50" s="666"/>
      <c r="BU50" s="666"/>
      <c r="BV50" s="666"/>
      <c r="BW50" s="662"/>
    </row>
    <row r="51" spans="1:75" s="698" customFormat="1" ht="31.2">
      <c r="A51" s="694">
        <v>14</v>
      </c>
      <c r="B51" s="695" t="s">
        <v>487</v>
      </c>
      <c r="C51" s="696">
        <f>D51+I51</f>
        <v>29</v>
      </c>
      <c r="D51" s="696">
        <f>E51+F51</f>
        <v>26</v>
      </c>
      <c r="E51" s="696"/>
      <c r="F51" s="696">
        <v>26</v>
      </c>
      <c r="G51" s="696"/>
      <c r="H51" s="696">
        <v>26</v>
      </c>
      <c r="I51" s="696">
        <v>3</v>
      </c>
      <c r="J51" s="696">
        <v>3</v>
      </c>
      <c r="K51" s="989">
        <f t="shared" si="3"/>
        <v>4466</v>
      </c>
      <c r="L51" s="697">
        <f t="shared" si="44"/>
        <v>4486</v>
      </c>
      <c r="M51" s="697">
        <v>1628</v>
      </c>
      <c r="N51" s="697">
        <v>550</v>
      </c>
      <c r="O51" s="697">
        <v>82</v>
      </c>
      <c r="P51" s="697"/>
      <c r="Q51" s="697"/>
      <c r="R51" s="668"/>
      <c r="S51" s="667">
        <f>53+26</f>
        <v>79</v>
      </c>
      <c r="T51" s="667">
        <f t="shared" si="45"/>
        <v>79</v>
      </c>
      <c r="U51" s="666">
        <f t="shared" si="46"/>
        <v>2181</v>
      </c>
      <c r="V51" s="697">
        <v>2827</v>
      </c>
      <c r="W51" s="697"/>
      <c r="X51" s="697"/>
      <c r="Y51" s="667">
        <f t="shared" si="54"/>
        <v>157.69999999999999</v>
      </c>
      <c r="Z51" s="668">
        <f>V51*10%</f>
        <v>282.7</v>
      </c>
      <c r="AA51" s="667">
        <f>120+264</f>
        <v>384</v>
      </c>
      <c r="AB51" s="667">
        <f t="shared" si="47"/>
        <v>542</v>
      </c>
      <c r="AC51" s="666">
        <f t="shared" si="48"/>
        <v>2285</v>
      </c>
      <c r="AD51" s="697">
        <v>20</v>
      </c>
      <c r="AE51" s="697"/>
      <c r="AF51" s="697"/>
      <c r="AG51" s="697"/>
      <c r="AH51" s="697"/>
      <c r="AI51" s="697"/>
      <c r="AJ51" s="697"/>
      <c r="AK51" s="697"/>
      <c r="AL51" s="719"/>
      <c r="AM51" s="624"/>
      <c r="AN51" s="610"/>
      <c r="AO51" s="694">
        <v>15</v>
      </c>
      <c r="AP51" s="695" t="s">
        <v>488</v>
      </c>
      <c r="AQ51" s="696">
        <f>AR51+AW51</f>
        <v>22</v>
      </c>
      <c r="AR51" s="696">
        <f>AS51+AT51</f>
        <v>21</v>
      </c>
      <c r="AS51" s="696"/>
      <c r="AT51" s="696">
        <v>21</v>
      </c>
      <c r="AU51" s="696"/>
      <c r="AV51" s="696">
        <v>18</v>
      </c>
      <c r="AW51" s="696">
        <v>1</v>
      </c>
      <c r="AX51" s="696">
        <v>1</v>
      </c>
      <c r="AY51" s="697">
        <f t="shared" si="49"/>
        <v>3000</v>
      </c>
      <c r="AZ51" s="697">
        <v>1297</v>
      </c>
      <c r="BA51" s="697">
        <v>510</v>
      </c>
      <c r="BB51" s="697"/>
      <c r="BC51" s="697"/>
      <c r="BD51" s="697"/>
      <c r="BE51" s="666">
        <f t="shared" si="50"/>
        <v>51</v>
      </c>
      <c r="BF51" s="668">
        <f t="shared" si="55"/>
        <v>51</v>
      </c>
      <c r="BG51" s="668">
        <f t="shared" si="17"/>
        <v>1756</v>
      </c>
      <c r="BH51" s="697">
        <v>1250</v>
      </c>
      <c r="BI51" s="697"/>
      <c r="BJ51" s="697">
        <v>95</v>
      </c>
      <c r="BK51" s="697"/>
      <c r="BL51" s="666">
        <f>BH51*10%</f>
        <v>125</v>
      </c>
      <c r="BM51" s="668">
        <f t="shared" si="51"/>
        <v>125</v>
      </c>
      <c r="BN51" s="668">
        <f t="shared" si="52"/>
        <v>1220</v>
      </c>
      <c r="BO51" s="697">
        <v>24</v>
      </c>
      <c r="BP51" s="697"/>
      <c r="BQ51" s="697">
        <f>300-70</f>
        <v>230</v>
      </c>
      <c r="BR51" s="697"/>
      <c r="BS51" s="697"/>
      <c r="BT51" s="697"/>
      <c r="BU51" s="697"/>
      <c r="BV51" s="697"/>
      <c r="BW51" s="719"/>
    </row>
    <row r="52" spans="1:75" ht="31.2">
      <c r="A52" s="659">
        <v>16</v>
      </c>
      <c r="B52" s="660" t="s">
        <v>489</v>
      </c>
      <c r="C52" s="661">
        <f>D52+I52</f>
        <v>0</v>
      </c>
      <c r="D52" s="661">
        <f>E52+F52</f>
        <v>0</v>
      </c>
      <c r="E52" s="661"/>
      <c r="F52" s="661"/>
      <c r="G52" s="661"/>
      <c r="H52" s="661"/>
      <c r="I52" s="661"/>
      <c r="J52" s="661"/>
      <c r="K52" s="989">
        <f t="shared" si="3"/>
        <v>0</v>
      </c>
      <c r="L52" s="662">
        <f t="shared" si="44"/>
        <v>0</v>
      </c>
      <c r="M52" s="662"/>
      <c r="N52" s="662"/>
      <c r="O52" s="662"/>
      <c r="P52" s="662"/>
      <c r="Q52" s="662"/>
      <c r="R52" s="666"/>
      <c r="S52" s="667"/>
      <c r="T52" s="667">
        <f t="shared" si="45"/>
        <v>0</v>
      </c>
      <c r="U52" s="666">
        <f t="shared" si="46"/>
        <v>0</v>
      </c>
      <c r="V52" s="662"/>
      <c r="W52" s="662"/>
      <c r="X52" s="662"/>
      <c r="Y52" s="667"/>
      <c r="Z52" s="668">
        <f t="shared" si="53"/>
        <v>0</v>
      </c>
      <c r="AA52" s="667"/>
      <c r="AB52" s="667">
        <f t="shared" si="47"/>
        <v>0</v>
      </c>
      <c r="AC52" s="666">
        <f t="shared" si="48"/>
        <v>0</v>
      </c>
      <c r="AD52" s="662"/>
      <c r="AE52" s="662"/>
      <c r="AF52" s="664"/>
      <c r="AG52" s="664"/>
      <c r="AH52" s="664"/>
      <c r="AI52" s="664"/>
      <c r="AJ52" s="664"/>
      <c r="AK52" s="664"/>
      <c r="AL52" s="720"/>
      <c r="AN52" s="610"/>
      <c r="AO52" s="659">
        <v>16</v>
      </c>
      <c r="AP52" s="660" t="s">
        <v>489</v>
      </c>
      <c r="AQ52" s="661">
        <f>AR52+AW52</f>
        <v>11</v>
      </c>
      <c r="AR52" s="661">
        <f>AS52+AT52</f>
        <v>9</v>
      </c>
      <c r="AS52" s="661"/>
      <c r="AT52" s="661">
        <v>9</v>
      </c>
      <c r="AU52" s="661"/>
      <c r="AV52" s="661">
        <v>8</v>
      </c>
      <c r="AW52" s="661">
        <v>2</v>
      </c>
      <c r="AX52" s="661">
        <v>2</v>
      </c>
      <c r="AY52" s="662">
        <f t="shared" si="49"/>
        <v>2711</v>
      </c>
      <c r="AZ52" s="665">
        <v>644</v>
      </c>
      <c r="BA52" s="662">
        <v>235</v>
      </c>
      <c r="BB52" s="662"/>
      <c r="BC52" s="662"/>
      <c r="BD52" s="662"/>
      <c r="BE52" s="666">
        <f t="shared" si="50"/>
        <v>23.5</v>
      </c>
      <c r="BF52" s="667">
        <f t="shared" si="55"/>
        <v>24</v>
      </c>
      <c r="BG52" s="666">
        <f t="shared" si="17"/>
        <v>855</v>
      </c>
      <c r="BH52" s="662">
        <v>1884</v>
      </c>
      <c r="BI52" s="662"/>
      <c r="BJ52" s="662">
        <v>70</v>
      </c>
      <c r="BK52" s="662"/>
      <c r="BL52" s="666">
        <f>BH52*10%</f>
        <v>188.4</v>
      </c>
      <c r="BM52" s="667">
        <f t="shared" si="51"/>
        <v>188</v>
      </c>
      <c r="BN52" s="666">
        <f t="shared" si="52"/>
        <v>1766</v>
      </c>
      <c r="BO52" s="662">
        <v>90</v>
      </c>
      <c r="BP52" s="662"/>
      <c r="BQ52" s="662"/>
      <c r="BR52" s="662"/>
      <c r="BS52" s="662"/>
      <c r="BT52" s="662"/>
      <c r="BU52" s="662"/>
      <c r="BV52" s="662"/>
      <c r="BW52" s="721"/>
    </row>
    <row r="53" spans="1:75" ht="31.2">
      <c r="A53" s="659">
        <v>15</v>
      </c>
      <c r="B53" s="660" t="s">
        <v>797</v>
      </c>
      <c r="C53" s="661"/>
      <c r="D53" s="661"/>
      <c r="E53" s="661"/>
      <c r="F53" s="661"/>
      <c r="G53" s="661"/>
      <c r="H53" s="661"/>
      <c r="I53" s="661"/>
      <c r="J53" s="661"/>
      <c r="K53" s="989">
        <f t="shared" si="3"/>
        <v>60000</v>
      </c>
      <c r="L53" s="662">
        <f t="shared" si="44"/>
        <v>60000</v>
      </c>
      <c r="M53" s="662"/>
      <c r="N53" s="662"/>
      <c r="O53" s="662"/>
      <c r="P53" s="662"/>
      <c r="Q53" s="662"/>
      <c r="R53" s="666">
        <f>((N53+O53)-(BA53+BB53))*10%</f>
        <v>0</v>
      </c>
      <c r="S53" s="667"/>
      <c r="T53" s="667">
        <f t="shared" si="45"/>
        <v>0</v>
      </c>
      <c r="U53" s="666">
        <f t="shared" si="46"/>
        <v>0</v>
      </c>
      <c r="V53" s="991">
        <v>60000</v>
      </c>
      <c r="W53" s="662"/>
      <c r="X53" s="662"/>
      <c r="Y53" s="667">
        <f>Z53-BM53</f>
        <v>6000</v>
      </c>
      <c r="Z53" s="668">
        <f t="shared" si="53"/>
        <v>6000</v>
      </c>
      <c r="AA53" s="667"/>
      <c r="AB53" s="667"/>
      <c r="AC53" s="994">
        <f t="shared" si="48"/>
        <v>60000</v>
      </c>
      <c r="AD53" s="662"/>
      <c r="AE53" s="662"/>
      <c r="AF53" s="664"/>
      <c r="AG53" s="664"/>
      <c r="AH53" s="664"/>
      <c r="AI53" s="664"/>
      <c r="AJ53" s="664"/>
      <c r="AK53" s="664"/>
      <c r="AL53" s="720"/>
      <c r="AN53" s="610"/>
      <c r="AO53" s="659">
        <v>17</v>
      </c>
      <c r="AP53" s="660" t="s">
        <v>490</v>
      </c>
      <c r="AQ53" s="661"/>
      <c r="AR53" s="661"/>
      <c r="AS53" s="661"/>
      <c r="AT53" s="661"/>
      <c r="AU53" s="661"/>
      <c r="AV53" s="661"/>
      <c r="AW53" s="661"/>
      <c r="AX53" s="661"/>
      <c r="AY53" s="662">
        <f t="shared" si="49"/>
        <v>60000</v>
      </c>
      <c r="AZ53" s="665"/>
      <c r="BA53" s="662"/>
      <c r="BB53" s="662"/>
      <c r="BC53" s="662"/>
      <c r="BD53" s="662"/>
      <c r="BE53" s="666">
        <f t="shared" si="50"/>
        <v>0</v>
      </c>
      <c r="BF53" s="667">
        <f t="shared" si="55"/>
        <v>0</v>
      </c>
      <c r="BG53" s="666">
        <f t="shared" si="17"/>
        <v>0</v>
      </c>
      <c r="BH53" s="662">
        <v>60000</v>
      </c>
      <c r="BI53" s="662"/>
      <c r="BJ53" s="662"/>
      <c r="BK53" s="662"/>
      <c r="BL53" s="666"/>
      <c r="BM53" s="667">
        <f t="shared" si="51"/>
        <v>0</v>
      </c>
      <c r="BN53" s="666">
        <f t="shared" si="52"/>
        <v>60000</v>
      </c>
      <c r="BO53" s="662"/>
      <c r="BP53" s="662"/>
      <c r="BQ53" s="662"/>
      <c r="BR53" s="662"/>
      <c r="BS53" s="662"/>
      <c r="BT53" s="662"/>
      <c r="BU53" s="662"/>
      <c r="BV53" s="662"/>
      <c r="BW53" s="721"/>
    </row>
    <row r="54" spans="1:75" ht="31.2">
      <c r="A54" s="659">
        <v>16</v>
      </c>
      <c r="B54" s="722" t="s">
        <v>491</v>
      </c>
      <c r="C54" s="661"/>
      <c r="D54" s="661"/>
      <c r="E54" s="661"/>
      <c r="F54" s="661"/>
      <c r="G54" s="661"/>
      <c r="H54" s="661"/>
      <c r="I54" s="661"/>
      <c r="J54" s="661"/>
      <c r="K54" s="989">
        <f t="shared" si="3"/>
        <v>8720</v>
      </c>
      <c r="L54" s="662">
        <f t="shared" si="44"/>
        <v>8720</v>
      </c>
      <c r="M54" s="662"/>
      <c r="N54" s="662"/>
      <c r="O54" s="662"/>
      <c r="P54" s="662"/>
      <c r="Q54" s="662"/>
      <c r="R54" s="666">
        <f>((N54+O54)-(BA54+BB54))*10%</f>
        <v>0</v>
      </c>
      <c r="S54" s="667"/>
      <c r="T54" s="667">
        <f t="shared" si="45"/>
        <v>0</v>
      </c>
      <c r="U54" s="666">
        <f t="shared" si="46"/>
        <v>0</v>
      </c>
      <c r="V54" s="662">
        <v>8720</v>
      </c>
      <c r="W54" s="662"/>
      <c r="X54" s="662"/>
      <c r="Y54" s="667">
        <f>Z54-BM54</f>
        <v>872</v>
      </c>
      <c r="Z54" s="668">
        <f t="shared" si="53"/>
        <v>872</v>
      </c>
      <c r="AA54" s="667"/>
      <c r="AB54" s="667"/>
      <c r="AC54" s="666">
        <f t="shared" si="48"/>
        <v>8720</v>
      </c>
      <c r="AD54" s="662"/>
      <c r="AE54" s="662"/>
      <c r="AF54" s="664"/>
      <c r="AG54" s="664"/>
      <c r="AH54" s="664"/>
      <c r="AI54" s="664"/>
      <c r="AJ54" s="664"/>
      <c r="AK54" s="664"/>
      <c r="AL54" s="720"/>
      <c r="AN54" s="621"/>
      <c r="AO54" s="659">
        <v>18</v>
      </c>
      <c r="AP54" s="723" t="s">
        <v>491</v>
      </c>
      <c r="AQ54" s="661"/>
      <c r="AR54" s="661"/>
      <c r="AS54" s="661"/>
      <c r="AT54" s="661"/>
      <c r="AU54" s="661"/>
      <c r="AV54" s="661"/>
      <c r="AW54" s="661"/>
      <c r="AX54" s="661"/>
      <c r="AY54" s="662">
        <f t="shared" si="49"/>
        <v>7600</v>
      </c>
      <c r="AZ54" s="665"/>
      <c r="BA54" s="662"/>
      <c r="BB54" s="662"/>
      <c r="BC54" s="662"/>
      <c r="BD54" s="662"/>
      <c r="BE54" s="666">
        <f t="shared" si="50"/>
        <v>0</v>
      </c>
      <c r="BF54" s="667"/>
      <c r="BG54" s="666">
        <f t="shared" si="17"/>
        <v>0</v>
      </c>
      <c r="BH54" s="662">
        <v>7600</v>
      </c>
      <c r="BI54" s="662"/>
      <c r="BJ54" s="662"/>
      <c r="BK54" s="662"/>
      <c r="BL54" s="666"/>
      <c r="BM54" s="667"/>
      <c r="BN54" s="666">
        <f t="shared" si="52"/>
        <v>7600</v>
      </c>
      <c r="BO54" s="662"/>
      <c r="BP54" s="662"/>
      <c r="BQ54" s="662"/>
      <c r="BR54" s="662"/>
      <c r="BS54" s="662"/>
      <c r="BT54" s="662"/>
      <c r="BU54" s="662"/>
      <c r="BV54" s="662"/>
      <c r="BW54" s="721"/>
    </row>
    <row r="55" spans="1:75" s="710" customFormat="1" ht="31.2">
      <c r="A55" s="700">
        <v>17</v>
      </c>
      <c r="B55" s="724" t="s">
        <v>492</v>
      </c>
      <c r="C55" s="702"/>
      <c r="D55" s="702"/>
      <c r="E55" s="702"/>
      <c r="F55" s="702"/>
      <c r="G55" s="702"/>
      <c r="H55" s="702"/>
      <c r="I55" s="702"/>
      <c r="J55" s="702"/>
      <c r="K55" s="989">
        <f t="shared" si="3"/>
        <v>0</v>
      </c>
      <c r="L55" s="703">
        <f t="shared" si="44"/>
        <v>0</v>
      </c>
      <c r="M55" s="703"/>
      <c r="N55" s="703"/>
      <c r="O55" s="703"/>
      <c r="P55" s="703"/>
      <c r="Q55" s="703"/>
      <c r="R55" s="666">
        <f>((N55+O55)-(BA55+BB55))*10%</f>
        <v>0</v>
      </c>
      <c r="S55" s="704"/>
      <c r="T55" s="667">
        <f t="shared" si="45"/>
        <v>0</v>
      </c>
      <c r="U55" s="666">
        <f t="shared" si="46"/>
        <v>0</v>
      </c>
      <c r="V55" s="995"/>
      <c r="W55" s="703"/>
      <c r="X55" s="703"/>
      <c r="Y55" s="667">
        <f>Z55-BM55</f>
        <v>0</v>
      </c>
      <c r="Z55" s="668">
        <f t="shared" si="53"/>
        <v>0</v>
      </c>
      <c r="AA55" s="704"/>
      <c r="AB55" s="667"/>
      <c r="AC55" s="994">
        <f t="shared" si="48"/>
        <v>0</v>
      </c>
      <c r="AD55" s="703"/>
      <c r="AE55" s="703"/>
      <c r="AF55" s="705"/>
      <c r="AG55" s="705"/>
      <c r="AH55" s="705"/>
      <c r="AI55" s="705"/>
      <c r="AJ55" s="705"/>
      <c r="AK55" s="705"/>
      <c r="AL55" s="725"/>
      <c r="AM55" s="706"/>
      <c r="AN55" s="726"/>
      <c r="AO55" s="700">
        <v>19</v>
      </c>
      <c r="AP55" s="727" t="s">
        <v>492</v>
      </c>
      <c r="AQ55" s="702"/>
      <c r="AR55" s="702"/>
      <c r="AS55" s="702"/>
      <c r="AT55" s="702"/>
      <c r="AU55" s="702"/>
      <c r="AV55" s="702"/>
      <c r="AW55" s="702"/>
      <c r="AX55" s="702"/>
      <c r="AY55" s="703">
        <f t="shared" si="49"/>
        <v>0</v>
      </c>
      <c r="AZ55" s="708"/>
      <c r="BA55" s="703"/>
      <c r="BB55" s="703"/>
      <c r="BC55" s="703"/>
      <c r="BD55" s="703"/>
      <c r="BE55" s="709"/>
      <c r="BF55" s="704"/>
      <c r="BG55" s="709"/>
      <c r="BH55" s="703"/>
      <c r="BI55" s="703"/>
      <c r="BJ55" s="703"/>
      <c r="BK55" s="703"/>
      <c r="BL55" s="709"/>
      <c r="BM55" s="704"/>
      <c r="BN55" s="709">
        <f t="shared" si="52"/>
        <v>0</v>
      </c>
      <c r="BO55" s="703"/>
      <c r="BP55" s="703"/>
      <c r="BQ55" s="703"/>
      <c r="BR55" s="703"/>
      <c r="BS55" s="703"/>
      <c r="BT55" s="703"/>
      <c r="BU55" s="703"/>
      <c r="BV55" s="703"/>
      <c r="BW55" s="728"/>
    </row>
    <row r="56" spans="1:75" s="732" customFormat="1">
      <c r="A56" s="729" t="s">
        <v>60</v>
      </c>
      <c r="B56" s="730" t="s">
        <v>493</v>
      </c>
      <c r="C56" s="655">
        <f t="shared" ref="C56:J56" si="56">C57+C60</f>
        <v>2534</v>
      </c>
      <c r="D56" s="655">
        <f t="shared" si="56"/>
        <v>2421</v>
      </c>
      <c r="E56" s="655">
        <f t="shared" si="56"/>
        <v>0</v>
      </c>
      <c r="F56" s="655">
        <f t="shared" si="56"/>
        <v>2421</v>
      </c>
      <c r="G56" s="655">
        <f t="shared" si="56"/>
        <v>0</v>
      </c>
      <c r="H56" s="655">
        <f t="shared" si="56"/>
        <v>2296</v>
      </c>
      <c r="I56" s="655">
        <f t="shared" si="56"/>
        <v>113</v>
      </c>
      <c r="J56" s="655">
        <f t="shared" si="56"/>
        <v>89</v>
      </c>
      <c r="K56" s="989">
        <f t="shared" si="3"/>
        <v>403257</v>
      </c>
      <c r="L56" s="655">
        <f>L57+L60</f>
        <v>444255</v>
      </c>
      <c r="M56" s="655">
        <f t="shared" ref="M56:AL56" si="57">M57+M60</f>
        <v>258426</v>
      </c>
      <c r="N56" s="655">
        <f t="shared" si="57"/>
        <v>28679</v>
      </c>
      <c r="O56" s="655">
        <f t="shared" si="57"/>
        <v>1729</v>
      </c>
      <c r="P56" s="655">
        <f t="shared" si="57"/>
        <v>0</v>
      </c>
      <c r="Q56" s="655">
        <f t="shared" si="57"/>
        <v>0</v>
      </c>
      <c r="R56" s="655">
        <f t="shared" si="57"/>
        <v>3.8000000000000003</v>
      </c>
      <c r="S56" s="655">
        <f t="shared" si="57"/>
        <v>422</v>
      </c>
      <c r="T56" s="655">
        <f t="shared" si="57"/>
        <v>426</v>
      </c>
      <c r="U56" s="655">
        <f t="shared" si="57"/>
        <v>288408</v>
      </c>
      <c r="V56" s="655">
        <f t="shared" si="57"/>
        <v>106564</v>
      </c>
      <c r="W56" s="655">
        <f t="shared" si="57"/>
        <v>9509</v>
      </c>
      <c r="X56" s="655">
        <f t="shared" si="57"/>
        <v>0</v>
      </c>
      <c r="Y56" s="655">
        <f t="shared" si="57"/>
        <v>105.9</v>
      </c>
      <c r="Z56" s="655">
        <f t="shared" si="57"/>
        <v>1290.9000000000001</v>
      </c>
      <c r="AA56" s="655">
        <f t="shared" si="57"/>
        <v>1118</v>
      </c>
      <c r="AB56" s="655">
        <f t="shared" si="57"/>
        <v>1224</v>
      </c>
      <c r="AC56" s="655">
        <f t="shared" si="57"/>
        <v>114849</v>
      </c>
      <c r="AD56" s="731">
        <f t="shared" si="57"/>
        <v>40998</v>
      </c>
      <c r="AE56" s="655">
        <f t="shared" si="57"/>
        <v>0</v>
      </c>
      <c r="AF56" s="655">
        <f t="shared" si="57"/>
        <v>0</v>
      </c>
      <c r="AG56" s="655">
        <f t="shared" si="57"/>
        <v>0</v>
      </c>
      <c r="AH56" s="655">
        <f>AH57+AH60</f>
        <v>0</v>
      </c>
      <c r="AI56" s="655">
        <f t="shared" si="57"/>
        <v>0</v>
      </c>
      <c r="AJ56" s="655">
        <f t="shared" si="57"/>
        <v>0</v>
      </c>
      <c r="AK56" s="655">
        <f t="shared" si="57"/>
        <v>0</v>
      </c>
      <c r="AL56" s="655">
        <f t="shared" si="57"/>
        <v>0</v>
      </c>
      <c r="AM56" s="609">
        <f>L56-AD56+AD235</f>
        <v>461578</v>
      </c>
      <c r="AN56" s="609">
        <v>245621</v>
      </c>
      <c r="AO56" s="729" t="s">
        <v>60</v>
      </c>
      <c r="AP56" s="730" t="s">
        <v>493</v>
      </c>
      <c r="AQ56" s="655">
        <f t="shared" ref="AQ56:AX56" si="58">AQ57+AQ60</f>
        <v>2646</v>
      </c>
      <c r="AR56" s="655">
        <f t="shared" si="58"/>
        <v>2515</v>
      </c>
      <c r="AS56" s="655">
        <f t="shared" si="58"/>
        <v>0</v>
      </c>
      <c r="AT56" s="655">
        <f t="shared" si="58"/>
        <v>2515</v>
      </c>
      <c r="AU56" s="655">
        <f t="shared" si="58"/>
        <v>0</v>
      </c>
      <c r="AV56" s="655">
        <f t="shared" si="58"/>
        <v>2394</v>
      </c>
      <c r="AW56" s="655">
        <f t="shared" si="58"/>
        <v>131</v>
      </c>
      <c r="AX56" s="655">
        <f t="shared" si="58"/>
        <v>92</v>
      </c>
      <c r="AY56" s="655">
        <f>AY57+AY60</f>
        <v>425216</v>
      </c>
      <c r="AZ56" s="655">
        <f t="shared" ref="AZ56:BW56" si="59">AZ57+AZ60</f>
        <v>248340</v>
      </c>
      <c r="BA56" s="655">
        <f t="shared" si="59"/>
        <v>29987</v>
      </c>
      <c r="BB56" s="655">
        <f t="shared" si="59"/>
        <v>1769</v>
      </c>
      <c r="BC56" s="655">
        <f t="shared" si="59"/>
        <v>0</v>
      </c>
      <c r="BD56" s="655">
        <f t="shared" si="59"/>
        <v>0</v>
      </c>
      <c r="BE56" s="655">
        <f t="shared" si="59"/>
        <v>3164.6</v>
      </c>
      <c r="BF56" s="655">
        <f t="shared" si="59"/>
        <v>3165</v>
      </c>
      <c r="BG56" s="655">
        <f t="shared" si="59"/>
        <v>276931</v>
      </c>
      <c r="BH56" s="655">
        <f t="shared" si="59"/>
        <v>93172</v>
      </c>
      <c r="BI56" s="655">
        <f t="shared" si="59"/>
        <v>0</v>
      </c>
      <c r="BJ56" s="655">
        <f t="shared" si="59"/>
        <v>11314</v>
      </c>
      <c r="BK56" s="655">
        <f t="shared" si="59"/>
        <v>0</v>
      </c>
      <c r="BL56" s="655">
        <f t="shared" si="59"/>
        <v>1257.3</v>
      </c>
      <c r="BM56" s="655">
        <f t="shared" si="59"/>
        <v>1257</v>
      </c>
      <c r="BN56" s="655">
        <f t="shared" si="59"/>
        <v>103229</v>
      </c>
      <c r="BO56" s="655">
        <f t="shared" si="59"/>
        <v>45056</v>
      </c>
      <c r="BP56" s="655">
        <f t="shared" si="59"/>
        <v>0</v>
      </c>
      <c r="BQ56" s="655">
        <f t="shared" si="59"/>
        <v>328778</v>
      </c>
      <c r="BR56" s="655">
        <f t="shared" si="59"/>
        <v>0</v>
      </c>
      <c r="BS56" s="655">
        <f>BS57+BS60</f>
        <v>0</v>
      </c>
      <c r="BT56" s="655">
        <f t="shared" si="59"/>
        <v>0</v>
      </c>
      <c r="BU56" s="655">
        <f t="shared" si="59"/>
        <v>0</v>
      </c>
      <c r="BV56" s="655">
        <f t="shared" si="59"/>
        <v>0</v>
      </c>
      <c r="BW56" s="655">
        <f t="shared" si="59"/>
        <v>0</v>
      </c>
    </row>
    <row r="57" spans="1:75">
      <c r="A57" s="650" t="s">
        <v>441</v>
      </c>
      <c r="B57" s="651" t="s">
        <v>494</v>
      </c>
      <c r="C57" s="652">
        <f t="shared" ref="C57:J57" si="60">C58+C59</f>
        <v>2335</v>
      </c>
      <c r="D57" s="652">
        <f t="shared" si="60"/>
        <v>2239</v>
      </c>
      <c r="E57" s="652">
        <f t="shared" si="60"/>
        <v>0</v>
      </c>
      <c r="F57" s="652">
        <f t="shared" si="60"/>
        <v>2239</v>
      </c>
      <c r="G57" s="652">
        <f t="shared" si="60"/>
        <v>0</v>
      </c>
      <c r="H57" s="652">
        <f t="shared" si="60"/>
        <v>2128</v>
      </c>
      <c r="I57" s="652">
        <f t="shared" si="60"/>
        <v>96</v>
      </c>
      <c r="J57" s="652">
        <f t="shared" si="60"/>
        <v>72</v>
      </c>
      <c r="K57" s="989">
        <f t="shared" si="3"/>
        <v>346221</v>
      </c>
      <c r="L57" s="653">
        <f>L58+L59</f>
        <v>348721</v>
      </c>
      <c r="M57" s="653">
        <f t="shared" ref="M57:AL57" si="61">M58+M59</f>
        <v>242122</v>
      </c>
      <c r="N57" s="653">
        <f t="shared" si="61"/>
        <v>26342</v>
      </c>
      <c r="O57" s="653">
        <f t="shared" si="61"/>
        <v>1457</v>
      </c>
      <c r="P57" s="653">
        <f t="shared" si="61"/>
        <v>0</v>
      </c>
      <c r="Q57" s="653">
        <f t="shared" si="61"/>
        <v>0</v>
      </c>
      <c r="R57" s="653">
        <f t="shared" si="61"/>
        <v>0</v>
      </c>
      <c r="S57" s="654">
        <f t="shared" si="61"/>
        <v>130</v>
      </c>
      <c r="T57" s="654">
        <f t="shared" si="61"/>
        <v>130</v>
      </c>
      <c r="U57" s="653">
        <f t="shared" si="61"/>
        <v>269791</v>
      </c>
      <c r="V57" s="653">
        <f t="shared" si="61"/>
        <v>68057</v>
      </c>
      <c r="W57" s="653">
        <f t="shared" si="61"/>
        <v>9023</v>
      </c>
      <c r="X57" s="653">
        <f t="shared" si="61"/>
        <v>0</v>
      </c>
      <c r="Y57" s="655">
        <f t="shared" si="61"/>
        <v>50</v>
      </c>
      <c r="Z57" s="653">
        <f t="shared" si="61"/>
        <v>850</v>
      </c>
      <c r="AA57" s="654">
        <f t="shared" si="61"/>
        <v>600</v>
      </c>
      <c r="AB57" s="654">
        <f t="shared" si="61"/>
        <v>650</v>
      </c>
      <c r="AC57" s="653">
        <f t="shared" si="61"/>
        <v>76430</v>
      </c>
      <c r="AD57" s="653">
        <f t="shared" si="61"/>
        <v>2500</v>
      </c>
      <c r="AE57" s="653">
        <f t="shared" si="61"/>
        <v>0</v>
      </c>
      <c r="AF57" s="656">
        <f t="shared" si="61"/>
        <v>0</v>
      </c>
      <c r="AG57" s="656">
        <f>AG58+AG59</f>
        <v>0</v>
      </c>
      <c r="AH57" s="656">
        <f>AH58+AH59</f>
        <v>0</v>
      </c>
      <c r="AI57" s="656">
        <f t="shared" si="61"/>
        <v>0</v>
      </c>
      <c r="AJ57" s="656">
        <f t="shared" si="61"/>
        <v>0</v>
      </c>
      <c r="AK57" s="656">
        <f t="shared" si="61"/>
        <v>0</v>
      </c>
      <c r="AL57" s="656">
        <f t="shared" si="61"/>
        <v>0</v>
      </c>
      <c r="AN57" s="610"/>
      <c r="AO57" s="650" t="s">
        <v>441</v>
      </c>
      <c r="AP57" s="651" t="s">
        <v>494</v>
      </c>
      <c r="AQ57" s="652">
        <f t="shared" ref="AQ57:AX57" si="62">AQ58+AQ59</f>
        <v>2372</v>
      </c>
      <c r="AR57" s="652">
        <f t="shared" si="62"/>
        <v>2264</v>
      </c>
      <c r="AS57" s="652">
        <f t="shared" si="62"/>
        <v>0</v>
      </c>
      <c r="AT57" s="652">
        <f t="shared" si="62"/>
        <v>2264</v>
      </c>
      <c r="AU57" s="652">
        <f t="shared" si="62"/>
        <v>0</v>
      </c>
      <c r="AV57" s="652">
        <f t="shared" si="62"/>
        <v>2155</v>
      </c>
      <c r="AW57" s="652">
        <f t="shared" si="62"/>
        <v>108</v>
      </c>
      <c r="AX57" s="652">
        <f t="shared" si="62"/>
        <v>70</v>
      </c>
      <c r="AY57" s="653">
        <f>AY58+AY59</f>
        <v>324847</v>
      </c>
      <c r="AZ57" s="658">
        <f t="shared" ref="AZ57:BW57" si="63">AZ58+AZ59</f>
        <v>230981</v>
      </c>
      <c r="BA57" s="653">
        <f t="shared" si="63"/>
        <v>27300</v>
      </c>
      <c r="BB57" s="653">
        <f t="shared" si="63"/>
        <v>1257</v>
      </c>
      <c r="BC57" s="653">
        <f t="shared" si="63"/>
        <v>0</v>
      </c>
      <c r="BD57" s="653">
        <f t="shared" si="63"/>
        <v>0</v>
      </c>
      <c r="BE57" s="653">
        <f t="shared" si="63"/>
        <v>2855.7</v>
      </c>
      <c r="BF57" s="655">
        <f t="shared" si="63"/>
        <v>2856</v>
      </c>
      <c r="BG57" s="653">
        <f t="shared" si="63"/>
        <v>256682</v>
      </c>
      <c r="BH57" s="653">
        <f t="shared" si="63"/>
        <v>57623</v>
      </c>
      <c r="BI57" s="653">
        <f t="shared" si="63"/>
        <v>0</v>
      </c>
      <c r="BJ57" s="653">
        <f t="shared" si="63"/>
        <v>10179</v>
      </c>
      <c r="BK57" s="653">
        <f t="shared" si="63"/>
        <v>0</v>
      </c>
      <c r="BL57" s="653">
        <f t="shared" si="63"/>
        <v>837.4</v>
      </c>
      <c r="BM57" s="655">
        <f t="shared" si="63"/>
        <v>837</v>
      </c>
      <c r="BN57" s="653">
        <f t="shared" si="63"/>
        <v>66965</v>
      </c>
      <c r="BO57" s="653">
        <f t="shared" si="63"/>
        <v>1200</v>
      </c>
      <c r="BP57" s="653">
        <f t="shared" si="63"/>
        <v>0</v>
      </c>
      <c r="BQ57" s="653">
        <f t="shared" si="63"/>
        <v>8613</v>
      </c>
      <c r="BR57" s="653">
        <f>BR58+BR59</f>
        <v>0</v>
      </c>
      <c r="BS57" s="653">
        <f>BS58+BS59</f>
        <v>0</v>
      </c>
      <c r="BT57" s="653">
        <f t="shared" si="63"/>
        <v>0</v>
      </c>
      <c r="BU57" s="653">
        <f t="shared" si="63"/>
        <v>0</v>
      </c>
      <c r="BV57" s="653">
        <f t="shared" si="63"/>
        <v>0</v>
      </c>
      <c r="BW57" s="653">
        <f t="shared" si="63"/>
        <v>0</v>
      </c>
    </row>
    <row r="58" spans="1:75" s="710" customFormat="1" ht="31.2">
      <c r="A58" s="700">
        <v>18</v>
      </c>
      <c r="B58" s="701" t="s">
        <v>495</v>
      </c>
      <c r="C58" s="702">
        <f>D58+I58</f>
        <v>2227</v>
      </c>
      <c r="D58" s="702">
        <f>E58+F58</f>
        <v>2139</v>
      </c>
      <c r="E58" s="702"/>
      <c r="F58" s="702">
        <v>2139</v>
      </c>
      <c r="G58" s="702"/>
      <c r="H58" s="702">
        <v>2034</v>
      </c>
      <c r="I58" s="702">
        <v>88</v>
      </c>
      <c r="J58" s="702">
        <v>65</v>
      </c>
      <c r="K58" s="989">
        <f t="shared" si="3"/>
        <v>335303</v>
      </c>
      <c r="L58" s="709">
        <f>U58+AC58+AD58+AE58</f>
        <v>337803</v>
      </c>
      <c r="M58" s="709">
        <v>233994</v>
      </c>
      <c r="N58" s="709">
        <v>25242</v>
      </c>
      <c r="O58" s="709">
        <v>1200</v>
      </c>
      <c r="P58" s="709"/>
      <c r="Q58" s="709"/>
      <c r="R58" s="666"/>
      <c r="S58" s="704">
        <f>3044-3044</f>
        <v>0</v>
      </c>
      <c r="T58" s="667">
        <f>ROUND((Q58+R58+S58),0)</f>
        <v>0</v>
      </c>
      <c r="U58" s="666">
        <f>(M58+N58+O58+P58)-T58</f>
        <v>260436</v>
      </c>
      <c r="V58" s="709">
        <v>68057</v>
      </c>
      <c r="W58" s="709">
        <f>14033-6573</f>
        <v>7460</v>
      </c>
      <c r="X58" s="709"/>
      <c r="Y58" s="667">
        <f>Z58-BM58</f>
        <v>50</v>
      </c>
      <c r="Z58" s="668">
        <f>(V58-59557)*10%</f>
        <v>850</v>
      </c>
      <c r="AA58" s="704">
        <v>600</v>
      </c>
      <c r="AB58" s="667">
        <f>ROUND((Y58+AA58+X58),0)</f>
        <v>650</v>
      </c>
      <c r="AC58" s="666">
        <f>(V58+W58)-AB58</f>
        <v>74867</v>
      </c>
      <c r="AD58" s="709">
        <f>4225-1725</f>
        <v>2500</v>
      </c>
      <c r="AE58" s="709"/>
      <c r="AF58" s="733"/>
      <c r="AG58" s="733"/>
      <c r="AH58" s="733"/>
      <c r="AI58" s="733"/>
      <c r="AJ58" s="733"/>
      <c r="AK58" s="733"/>
      <c r="AL58" s="733"/>
      <c r="AM58" s="706"/>
      <c r="AN58" s="707"/>
      <c r="AO58" s="700">
        <v>20</v>
      </c>
      <c r="AP58" s="701" t="s">
        <v>495</v>
      </c>
      <c r="AQ58" s="702">
        <f>AR58+AW58</f>
        <v>2264</v>
      </c>
      <c r="AR58" s="702">
        <f>AS58+AT58</f>
        <v>2164</v>
      </c>
      <c r="AS58" s="702"/>
      <c r="AT58" s="702">
        <v>2164</v>
      </c>
      <c r="AU58" s="702"/>
      <c r="AV58" s="702">
        <v>2066</v>
      </c>
      <c r="AW58" s="702">
        <v>100</v>
      </c>
      <c r="AX58" s="702">
        <v>62</v>
      </c>
      <c r="AY58" s="709">
        <f>BG58+BN58+BO58+BP58</f>
        <v>314037</v>
      </c>
      <c r="AZ58" s="734">
        <v>223992</v>
      </c>
      <c r="BA58" s="709">
        <v>26000</v>
      </c>
      <c r="BB58" s="709">
        <v>1145</v>
      </c>
      <c r="BC58" s="709"/>
      <c r="BD58" s="709"/>
      <c r="BE58" s="666">
        <f>(BA58+BB58)*10%</f>
        <v>2714.5</v>
      </c>
      <c r="BF58" s="704">
        <f>ROUND(BE58,0)</f>
        <v>2715</v>
      </c>
      <c r="BG58" s="709">
        <f>(AZ58+BA58+BB58+BC58)-BF58</f>
        <v>248422</v>
      </c>
      <c r="BH58" s="709">
        <f>8000+45868+3381</f>
        <v>57249</v>
      </c>
      <c r="BI58" s="709"/>
      <c r="BJ58" s="709">
        <v>7966</v>
      </c>
      <c r="BK58" s="709"/>
      <c r="BL58" s="666">
        <f>(BH58-49249)*10%</f>
        <v>800</v>
      </c>
      <c r="BM58" s="704">
        <f>ROUND(BL58,0)</f>
        <v>800</v>
      </c>
      <c r="BN58" s="709">
        <f>(BH58+BI58+BJ58)-BM58</f>
        <v>64415</v>
      </c>
      <c r="BO58" s="709">
        <f>6126-4926</f>
        <v>1200</v>
      </c>
      <c r="BP58" s="709"/>
      <c r="BQ58" s="709">
        <v>8142</v>
      </c>
      <c r="BR58" s="709"/>
      <c r="BS58" s="709"/>
      <c r="BT58" s="709"/>
      <c r="BU58" s="709"/>
      <c r="BV58" s="709"/>
      <c r="BW58" s="709"/>
    </row>
    <row r="59" spans="1:75" s="710" customFormat="1">
      <c r="A59" s="700">
        <v>19</v>
      </c>
      <c r="B59" s="701" t="s">
        <v>496</v>
      </c>
      <c r="C59" s="702">
        <f>D59+I59</f>
        <v>108</v>
      </c>
      <c r="D59" s="702">
        <f>E59+F59</f>
        <v>100</v>
      </c>
      <c r="E59" s="702"/>
      <c r="F59" s="702">
        <v>100</v>
      </c>
      <c r="G59" s="702"/>
      <c r="H59" s="702">
        <v>94</v>
      </c>
      <c r="I59" s="702">
        <v>8</v>
      </c>
      <c r="J59" s="702">
        <v>7</v>
      </c>
      <c r="K59" s="989">
        <f t="shared" si="3"/>
        <v>10918</v>
      </c>
      <c r="L59" s="703">
        <f>U59+AC59+AD59+AE59</f>
        <v>10918</v>
      </c>
      <c r="M59" s="703">
        <v>8128</v>
      </c>
      <c r="N59" s="703">
        <v>1100</v>
      </c>
      <c r="O59" s="703">
        <v>257</v>
      </c>
      <c r="P59" s="735"/>
      <c r="Q59" s="703"/>
      <c r="R59" s="666"/>
      <c r="S59" s="704">
        <v>130</v>
      </c>
      <c r="T59" s="667">
        <f>ROUND((Q59+R59+S59),0)</f>
        <v>130</v>
      </c>
      <c r="U59" s="666">
        <f>(M59+N59+O59+P59)-T59</f>
        <v>9355</v>
      </c>
      <c r="V59" s="703"/>
      <c r="W59" s="703">
        <v>1563</v>
      </c>
      <c r="X59" s="735"/>
      <c r="Y59" s="667"/>
      <c r="Z59" s="668">
        <f>V59*10%</f>
        <v>0</v>
      </c>
      <c r="AA59" s="704"/>
      <c r="AB59" s="667">
        <f>ROUND((Y59+AA59+X59),0)</f>
        <v>0</v>
      </c>
      <c r="AC59" s="666">
        <f>(V59+W59)-AB59</f>
        <v>1563</v>
      </c>
      <c r="AD59" s="735"/>
      <c r="AE59" s="735"/>
      <c r="AF59" s="736"/>
      <c r="AG59" s="736"/>
      <c r="AH59" s="736"/>
      <c r="AI59" s="705"/>
      <c r="AJ59" s="705"/>
      <c r="AK59" s="705"/>
      <c r="AL59" s="733"/>
      <c r="AM59" s="706"/>
      <c r="AN59" s="707"/>
      <c r="AO59" s="700">
        <v>21</v>
      </c>
      <c r="AP59" s="701" t="s">
        <v>496</v>
      </c>
      <c r="AQ59" s="702">
        <f>AR59+AW59</f>
        <v>108</v>
      </c>
      <c r="AR59" s="702">
        <f>AS59+AT59</f>
        <v>100</v>
      </c>
      <c r="AS59" s="702"/>
      <c r="AT59" s="702">
        <v>100</v>
      </c>
      <c r="AU59" s="702"/>
      <c r="AV59" s="702">
        <v>89</v>
      </c>
      <c r="AW59" s="702">
        <v>8</v>
      </c>
      <c r="AX59" s="702">
        <v>8</v>
      </c>
      <c r="AY59" s="703">
        <f>BG59+BN59+BO59+BP59</f>
        <v>10810</v>
      </c>
      <c r="AZ59" s="708">
        <v>6989</v>
      </c>
      <c r="BA59" s="703">
        <v>1300</v>
      </c>
      <c r="BB59" s="703">
        <v>112</v>
      </c>
      <c r="BC59" s="735"/>
      <c r="BD59" s="703"/>
      <c r="BE59" s="666">
        <f>(BA59+BB59)*10%</f>
        <v>141.20000000000002</v>
      </c>
      <c r="BF59" s="704">
        <f>ROUND(BE59,0)</f>
        <v>141</v>
      </c>
      <c r="BG59" s="709">
        <f>(AZ59+BA59+BB59+BC59)-BF59</f>
        <v>8260</v>
      </c>
      <c r="BH59" s="703">
        <v>374</v>
      </c>
      <c r="BI59" s="735"/>
      <c r="BJ59" s="703">
        <v>2213</v>
      </c>
      <c r="BK59" s="735"/>
      <c r="BL59" s="666">
        <f>BH59*10%</f>
        <v>37.4</v>
      </c>
      <c r="BM59" s="704">
        <f>ROUND(BL59,0)</f>
        <v>37</v>
      </c>
      <c r="BN59" s="709">
        <f>(BH59+BI59+BJ59)-BM59</f>
        <v>2550</v>
      </c>
      <c r="BO59" s="735"/>
      <c r="BP59" s="735"/>
      <c r="BQ59" s="735">
        <v>471</v>
      </c>
      <c r="BR59" s="735"/>
      <c r="BS59" s="735"/>
      <c r="BT59" s="703"/>
      <c r="BU59" s="703"/>
      <c r="BV59" s="703"/>
      <c r="BW59" s="709"/>
    </row>
    <row r="60" spans="1:75">
      <c r="A60" s="650" t="s">
        <v>463</v>
      </c>
      <c r="B60" s="651" t="s">
        <v>497</v>
      </c>
      <c r="C60" s="652">
        <f>SUM(C61:C72)</f>
        <v>199</v>
      </c>
      <c r="D60" s="652">
        <f t="shared" ref="D60:AL60" si="64">SUM(D61:D72)</f>
        <v>182</v>
      </c>
      <c r="E60" s="652">
        <f t="shared" si="64"/>
        <v>0</v>
      </c>
      <c r="F60" s="652">
        <f t="shared" si="64"/>
        <v>182</v>
      </c>
      <c r="G60" s="652">
        <f t="shared" si="64"/>
        <v>0</v>
      </c>
      <c r="H60" s="652">
        <f t="shared" si="64"/>
        <v>168</v>
      </c>
      <c r="I60" s="652">
        <f t="shared" si="64"/>
        <v>17</v>
      </c>
      <c r="J60" s="652">
        <f t="shared" si="64"/>
        <v>17</v>
      </c>
      <c r="K60" s="989">
        <f t="shared" si="3"/>
        <v>57036</v>
      </c>
      <c r="L60" s="653">
        <f>SUM(L61:L72)</f>
        <v>95534</v>
      </c>
      <c r="M60" s="653">
        <f t="shared" si="64"/>
        <v>16304</v>
      </c>
      <c r="N60" s="653">
        <f t="shared" si="64"/>
        <v>2337</v>
      </c>
      <c r="O60" s="653">
        <f t="shared" si="64"/>
        <v>272</v>
      </c>
      <c r="P60" s="653">
        <f t="shared" si="64"/>
        <v>0</v>
      </c>
      <c r="Q60" s="653">
        <f t="shared" si="64"/>
        <v>0</v>
      </c>
      <c r="R60" s="653">
        <f t="shared" si="64"/>
        <v>3.8000000000000003</v>
      </c>
      <c r="S60" s="654">
        <f t="shared" si="64"/>
        <v>292</v>
      </c>
      <c r="T60" s="654">
        <f t="shared" si="64"/>
        <v>296</v>
      </c>
      <c r="U60" s="653">
        <f t="shared" si="64"/>
        <v>18617</v>
      </c>
      <c r="V60" s="653">
        <f t="shared" si="64"/>
        <v>38507</v>
      </c>
      <c r="W60" s="653">
        <f t="shared" si="64"/>
        <v>486</v>
      </c>
      <c r="X60" s="653">
        <f t="shared" si="64"/>
        <v>0</v>
      </c>
      <c r="Y60" s="655">
        <f t="shared" si="64"/>
        <v>55.900000000000013</v>
      </c>
      <c r="Z60" s="653">
        <f t="shared" si="64"/>
        <v>440.90000000000003</v>
      </c>
      <c r="AA60" s="654">
        <f t="shared" si="64"/>
        <v>518</v>
      </c>
      <c r="AB60" s="654">
        <f t="shared" si="64"/>
        <v>574</v>
      </c>
      <c r="AC60" s="654">
        <f t="shared" si="64"/>
        <v>38419</v>
      </c>
      <c r="AD60" s="653">
        <f t="shared" si="64"/>
        <v>38498</v>
      </c>
      <c r="AE60" s="653">
        <f t="shared" si="64"/>
        <v>0</v>
      </c>
      <c r="AF60" s="656">
        <f t="shared" si="64"/>
        <v>0</v>
      </c>
      <c r="AG60" s="656">
        <f t="shared" si="64"/>
        <v>0</v>
      </c>
      <c r="AH60" s="656">
        <f>SUM(AH61:AH72)</f>
        <v>0</v>
      </c>
      <c r="AI60" s="656">
        <f t="shared" si="64"/>
        <v>0</v>
      </c>
      <c r="AJ60" s="656">
        <f t="shared" si="64"/>
        <v>0</v>
      </c>
      <c r="AK60" s="656">
        <f t="shared" si="64"/>
        <v>0</v>
      </c>
      <c r="AL60" s="656">
        <f t="shared" si="64"/>
        <v>0</v>
      </c>
      <c r="AM60" s="657">
        <f>SUM(AM61:AM70)</f>
        <v>0</v>
      </c>
      <c r="AN60" s="610"/>
      <c r="AO60" s="650" t="s">
        <v>463</v>
      </c>
      <c r="AP60" s="651" t="s">
        <v>497</v>
      </c>
      <c r="AQ60" s="652">
        <f>SUM(AQ61:AQ72)</f>
        <v>274</v>
      </c>
      <c r="AR60" s="652">
        <f t="shared" ref="AR60:BW60" si="65">SUM(AR61:AR72)</f>
        <v>251</v>
      </c>
      <c r="AS60" s="652">
        <f t="shared" si="65"/>
        <v>0</v>
      </c>
      <c r="AT60" s="652">
        <f t="shared" si="65"/>
        <v>251</v>
      </c>
      <c r="AU60" s="652">
        <f t="shared" si="65"/>
        <v>0</v>
      </c>
      <c r="AV60" s="652">
        <f t="shared" si="65"/>
        <v>239</v>
      </c>
      <c r="AW60" s="652">
        <f t="shared" si="65"/>
        <v>23</v>
      </c>
      <c r="AX60" s="652">
        <f t="shared" si="65"/>
        <v>22</v>
      </c>
      <c r="AY60" s="653">
        <f>SUM(AY61:AY72)</f>
        <v>100369</v>
      </c>
      <c r="AZ60" s="658">
        <f t="shared" si="65"/>
        <v>17359</v>
      </c>
      <c r="BA60" s="653">
        <f t="shared" si="65"/>
        <v>2687</v>
      </c>
      <c r="BB60" s="653">
        <f t="shared" si="65"/>
        <v>512</v>
      </c>
      <c r="BC60" s="653">
        <f t="shared" si="65"/>
        <v>0</v>
      </c>
      <c r="BD60" s="653">
        <f t="shared" si="65"/>
        <v>0</v>
      </c>
      <c r="BE60" s="653">
        <f t="shared" si="65"/>
        <v>308.90000000000003</v>
      </c>
      <c r="BF60" s="655">
        <f t="shared" si="65"/>
        <v>309</v>
      </c>
      <c r="BG60" s="653">
        <f t="shared" si="65"/>
        <v>20249</v>
      </c>
      <c r="BH60" s="653">
        <f t="shared" si="65"/>
        <v>35549</v>
      </c>
      <c r="BI60" s="653">
        <f t="shared" si="65"/>
        <v>0</v>
      </c>
      <c r="BJ60" s="653">
        <f t="shared" si="65"/>
        <v>1135</v>
      </c>
      <c r="BK60" s="653">
        <f t="shared" si="65"/>
        <v>0</v>
      </c>
      <c r="BL60" s="653">
        <f t="shared" si="65"/>
        <v>419.9</v>
      </c>
      <c r="BM60" s="655">
        <f t="shared" si="65"/>
        <v>420</v>
      </c>
      <c r="BN60" s="653">
        <f t="shared" si="65"/>
        <v>36264</v>
      </c>
      <c r="BO60" s="653">
        <f t="shared" si="65"/>
        <v>43856</v>
      </c>
      <c r="BP60" s="653">
        <f t="shared" si="65"/>
        <v>0</v>
      </c>
      <c r="BQ60" s="653">
        <f t="shared" si="65"/>
        <v>320165</v>
      </c>
      <c r="BR60" s="653">
        <f t="shared" si="65"/>
        <v>0</v>
      </c>
      <c r="BS60" s="653">
        <f>SUM(BS61:BS72)</f>
        <v>0</v>
      </c>
      <c r="BT60" s="653">
        <f t="shared" si="65"/>
        <v>0</v>
      </c>
      <c r="BU60" s="653">
        <f t="shared" si="65"/>
        <v>0</v>
      </c>
      <c r="BV60" s="653">
        <f t="shared" si="65"/>
        <v>0</v>
      </c>
      <c r="BW60" s="653">
        <f t="shared" si="65"/>
        <v>0</v>
      </c>
    </row>
    <row r="61" spans="1:75" s="710" customFormat="1">
      <c r="A61" s="700">
        <v>20</v>
      </c>
      <c r="B61" s="701" t="s">
        <v>498</v>
      </c>
      <c r="C61" s="702">
        <f t="shared" ref="C61:C68" si="66">D61+I61</f>
        <v>0</v>
      </c>
      <c r="D61" s="702">
        <f t="shared" ref="D61:D68" si="67">E61+F61</f>
        <v>0</v>
      </c>
      <c r="E61" s="702"/>
      <c r="F61" s="702"/>
      <c r="G61" s="702"/>
      <c r="H61" s="702"/>
      <c r="I61" s="702"/>
      <c r="J61" s="702"/>
      <c r="K61" s="989">
        <f t="shared" si="3"/>
        <v>19637</v>
      </c>
      <c r="L61" s="703">
        <f t="shared" ref="L61:L71" si="68">U61+AC61+AD61+AE61</f>
        <v>19637</v>
      </c>
      <c r="M61" s="703"/>
      <c r="N61" s="703"/>
      <c r="O61" s="703"/>
      <c r="P61" s="703"/>
      <c r="Q61" s="703"/>
      <c r="R61" s="666">
        <f>((N61+O61)-(BA61+BB61))*10%</f>
        <v>0</v>
      </c>
      <c r="S61" s="704"/>
      <c r="T61" s="667">
        <f t="shared" ref="T61:T75" si="69">ROUND((Q61+R61+S61),0)</f>
        <v>0</v>
      </c>
      <c r="U61" s="666">
        <f t="shared" ref="U61:U75" si="70">(M61+N61+O61+P61)-T61</f>
        <v>0</v>
      </c>
      <c r="V61" s="703">
        <v>19637</v>
      </c>
      <c r="W61" s="703"/>
      <c r="X61" s="703"/>
      <c r="Y61" s="667">
        <f>Z61-BM61</f>
        <v>0</v>
      </c>
      <c r="Z61" s="668">
        <f>(V61-19637)*10%</f>
        <v>0</v>
      </c>
      <c r="AA61" s="704"/>
      <c r="AB61" s="667">
        <f t="shared" ref="AB61:AB75" si="71">ROUND((Y61+AA61+X61),0)</f>
        <v>0</v>
      </c>
      <c r="AC61" s="666">
        <f t="shared" ref="AC61:AC75" si="72">(V61+W61)-AB61</f>
        <v>19637</v>
      </c>
      <c r="AD61" s="703"/>
      <c r="AE61" s="703"/>
      <c r="AF61" s="705"/>
      <c r="AG61" s="705"/>
      <c r="AH61" s="705"/>
      <c r="AI61" s="705"/>
      <c r="AJ61" s="705"/>
      <c r="AK61" s="705"/>
      <c r="AL61" s="733"/>
      <c r="AM61" s="706"/>
      <c r="AN61" s="707"/>
      <c r="AO61" s="700">
        <v>22</v>
      </c>
      <c r="AP61" s="701" t="s">
        <v>498</v>
      </c>
      <c r="AQ61" s="702">
        <f t="shared" ref="AQ61:AQ68" si="73">AR61+AW61</f>
        <v>0</v>
      </c>
      <c r="AR61" s="702">
        <f t="shared" ref="AR61:AR68" si="74">AS61+AT61</f>
        <v>0</v>
      </c>
      <c r="AS61" s="702"/>
      <c r="AT61" s="702"/>
      <c r="AU61" s="702"/>
      <c r="AV61" s="702"/>
      <c r="AW61" s="702"/>
      <c r="AX61" s="702"/>
      <c r="AY61" s="703">
        <f t="shared" ref="AY61:AY71" si="75">BG61+BN61+BO61+BP61</f>
        <v>11807</v>
      </c>
      <c r="AZ61" s="708"/>
      <c r="BA61" s="703"/>
      <c r="BB61" s="703"/>
      <c r="BC61" s="703"/>
      <c r="BD61" s="703"/>
      <c r="BE61" s="666">
        <f t="shared" ref="BE61:BE70" si="76">(BA61+BB61)*10%</f>
        <v>0</v>
      </c>
      <c r="BF61" s="704">
        <f t="shared" ref="BF61:BF71" si="77">ROUND(BE61,0)</f>
        <v>0</v>
      </c>
      <c r="BG61" s="709">
        <f t="shared" ref="BG61:BG75" si="78">(AZ61+BA61+BB61+BC61)-BF61</f>
        <v>0</v>
      </c>
      <c r="BH61" s="703">
        <f>8867+3542-602</f>
        <v>11807</v>
      </c>
      <c r="BI61" s="703"/>
      <c r="BJ61" s="703"/>
      <c r="BK61" s="703"/>
      <c r="BL61" s="666">
        <f>(BH61-11807)*10%</f>
        <v>0</v>
      </c>
      <c r="BM61" s="704">
        <f t="shared" ref="BM61:BM75" si="79">ROUND(BL61,0)</f>
        <v>0</v>
      </c>
      <c r="BN61" s="709">
        <f t="shared" ref="BN61:BN75" si="80">(BH61+BI61+BJ61)-BM61</f>
        <v>11807</v>
      </c>
      <c r="BO61" s="703"/>
      <c r="BP61" s="703"/>
      <c r="BQ61" s="703">
        <v>308933</v>
      </c>
      <c r="BR61" s="703"/>
      <c r="BS61" s="703"/>
      <c r="BT61" s="703"/>
      <c r="BU61" s="703"/>
      <c r="BV61" s="703"/>
      <c r="BW61" s="709"/>
    </row>
    <row r="62" spans="1:75" s="710" customFormat="1">
      <c r="A62" s="700">
        <v>21</v>
      </c>
      <c r="B62" s="701" t="s">
        <v>499</v>
      </c>
      <c r="C62" s="702">
        <f t="shared" si="66"/>
        <v>49</v>
      </c>
      <c r="D62" s="702">
        <f t="shared" si="67"/>
        <v>46</v>
      </c>
      <c r="E62" s="702"/>
      <c r="F62" s="702">
        <v>46</v>
      </c>
      <c r="G62" s="702"/>
      <c r="H62" s="702">
        <v>44</v>
      </c>
      <c r="I62" s="702">
        <v>3</v>
      </c>
      <c r="J62" s="702">
        <v>3</v>
      </c>
      <c r="K62" s="989">
        <f t="shared" si="3"/>
        <v>7854</v>
      </c>
      <c r="L62" s="703">
        <f t="shared" si="68"/>
        <v>8027</v>
      </c>
      <c r="M62" s="709">
        <v>5211</v>
      </c>
      <c r="N62" s="709">
        <v>900</v>
      </c>
      <c r="O62" s="709">
        <v>135</v>
      </c>
      <c r="P62" s="709"/>
      <c r="Q62" s="709"/>
      <c r="R62" s="666"/>
      <c r="S62" s="704">
        <v>122</v>
      </c>
      <c r="T62" s="667">
        <f t="shared" si="69"/>
        <v>122</v>
      </c>
      <c r="U62" s="666">
        <f t="shared" si="70"/>
        <v>6124</v>
      </c>
      <c r="V62" s="709">
        <v>1500</v>
      </c>
      <c r="W62" s="709">
        <v>486</v>
      </c>
      <c r="X62" s="709"/>
      <c r="Y62" s="667">
        <f>Z62-BM62</f>
        <v>21</v>
      </c>
      <c r="Z62" s="668">
        <f t="shared" ref="Z62:Z75" si="81">V62*10%</f>
        <v>150</v>
      </c>
      <c r="AA62" s="704">
        <v>235</v>
      </c>
      <c r="AB62" s="667">
        <f t="shared" si="71"/>
        <v>256</v>
      </c>
      <c r="AC62" s="666">
        <f t="shared" si="72"/>
        <v>1730</v>
      </c>
      <c r="AD62" s="709">
        <v>173</v>
      </c>
      <c r="AE62" s="709"/>
      <c r="AF62" s="733"/>
      <c r="AG62" s="733"/>
      <c r="AH62" s="733"/>
      <c r="AI62" s="733"/>
      <c r="AJ62" s="733"/>
      <c r="AK62" s="733"/>
      <c r="AL62" s="733"/>
      <c r="AM62" s="706"/>
      <c r="AN62" s="707"/>
      <c r="AO62" s="700">
        <v>23</v>
      </c>
      <c r="AP62" s="701" t="s">
        <v>499</v>
      </c>
      <c r="AQ62" s="702">
        <f t="shared" si="73"/>
        <v>58</v>
      </c>
      <c r="AR62" s="702">
        <f t="shared" si="74"/>
        <v>54</v>
      </c>
      <c r="AS62" s="702"/>
      <c r="AT62" s="702">
        <v>54</v>
      </c>
      <c r="AU62" s="702"/>
      <c r="AV62" s="702">
        <v>48</v>
      </c>
      <c r="AW62" s="702">
        <v>4</v>
      </c>
      <c r="AX62" s="702">
        <v>3</v>
      </c>
      <c r="AY62" s="709">
        <f t="shared" si="75"/>
        <v>17281</v>
      </c>
      <c r="AZ62" s="734">
        <v>5356</v>
      </c>
      <c r="BA62" s="709">
        <v>1000</v>
      </c>
      <c r="BB62" s="709">
        <v>215</v>
      </c>
      <c r="BC62" s="709"/>
      <c r="BD62" s="709"/>
      <c r="BE62" s="666">
        <f t="shared" si="76"/>
        <v>121.5</v>
      </c>
      <c r="BF62" s="704">
        <f t="shared" si="77"/>
        <v>122</v>
      </c>
      <c r="BG62" s="709">
        <f t="shared" si="78"/>
        <v>6449</v>
      </c>
      <c r="BH62" s="709">
        <v>10099</v>
      </c>
      <c r="BI62" s="709"/>
      <c r="BJ62" s="709">
        <v>520</v>
      </c>
      <c r="BK62" s="709"/>
      <c r="BL62" s="666">
        <f>(BH62-8805)*10%</f>
        <v>129.4</v>
      </c>
      <c r="BM62" s="704">
        <f t="shared" si="79"/>
        <v>129</v>
      </c>
      <c r="BN62" s="709">
        <f t="shared" si="80"/>
        <v>10490</v>
      </c>
      <c r="BO62" s="709">
        <v>342</v>
      </c>
      <c r="BP62" s="709"/>
      <c r="BQ62" s="709"/>
      <c r="BR62" s="709"/>
      <c r="BS62" s="709"/>
      <c r="BT62" s="709"/>
      <c r="BU62" s="709"/>
      <c r="BV62" s="709"/>
      <c r="BW62" s="709"/>
    </row>
    <row r="63" spans="1:75" s="698" customFormat="1" ht="46.8">
      <c r="A63" s="694">
        <v>22</v>
      </c>
      <c r="B63" s="695" t="s">
        <v>500</v>
      </c>
      <c r="C63" s="696">
        <f t="shared" si="66"/>
        <v>47</v>
      </c>
      <c r="D63" s="696">
        <f t="shared" si="67"/>
        <v>43</v>
      </c>
      <c r="E63" s="696"/>
      <c r="F63" s="696">
        <v>43</v>
      </c>
      <c r="G63" s="696"/>
      <c r="H63" s="696">
        <v>36</v>
      </c>
      <c r="I63" s="696">
        <v>4</v>
      </c>
      <c r="J63" s="696">
        <v>4</v>
      </c>
      <c r="K63" s="989">
        <f t="shared" si="3"/>
        <v>12453</v>
      </c>
      <c r="L63" s="668">
        <f t="shared" si="68"/>
        <v>12453</v>
      </c>
      <c r="M63" s="668">
        <v>4072</v>
      </c>
      <c r="N63" s="668">
        <v>793</v>
      </c>
      <c r="O63" s="668">
        <v>107</v>
      </c>
      <c r="P63" s="668"/>
      <c r="Q63" s="668"/>
      <c r="R63" s="668"/>
      <c r="S63" s="667">
        <f>65+47</f>
        <v>112</v>
      </c>
      <c r="T63" s="667">
        <f t="shared" si="69"/>
        <v>112</v>
      </c>
      <c r="U63" s="666">
        <f t="shared" si="70"/>
        <v>4860</v>
      </c>
      <c r="V63" s="668">
        <v>7881</v>
      </c>
      <c r="W63" s="668"/>
      <c r="X63" s="668"/>
      <c r="Y63" s="667">
        <f>Z63-BM63</f>
        <v>4.8000000000000114</v>
      </c>
      <c r="Z63" s="668">
        <f>(V63-5773)*10%</f>
        <v>210.8</v>
      </c>
      <c r="AA63" s="667">
        <f>20+263</f>
        <v>283</v>
      </c>
      <c r="AB63" s="667">
        <f t="shared" si="71"/>
        <v>288</v>
      </c>
      <c r="AC63" s="666">
        <f t="shared" si="72"/>
        <v>7593</v>
      </c>
      <c r="AD63" s="668"/>
      <c r="AE63" s="668"/>
      <c r="AF63" s="668"/>
      <c r="AG63" s="668"/>
      <c r="AH63" s="668"/>
      <c r="AI63" s="668"/>
      <c r="AJ63" s="668"/>
      <c r="AK63" s="668"/>
      <c r="AL63" s="697"/>
      <c r="AM63" s="624"/>
      <c r="AN63" s="610"/>
      <c r="AO63" s="694">
        <v>24</v>
      </c>
      <c r="AP63" s="695" t="s">
        <v>500</v>
      </c>
      <c r="AQ63" s="696">
        <f t="shared" si="73"/>
        <v>48</v>
      </c>
      <c r="AR63" s="696">
        <f t="shared" si="74"/>
        <v>44</v>
      </c>
      <c r="AS63" s="696"/>
      <c r="AT63" s="696">
        <v>44</v>
      </c>
      <c r="AU63" s="696"/>
      <c r="AV63" s="696">
        <v>43</v>
      </c>
      <c r="AW63" s="696">
        <v>4</v>
      </c>
      <c r="AX63" s="696">
        <v>4</v>
      </c>
      <c r="AY63" s="668">
        <f t="shared" si="75"/>
        <v>13349</v>
      </c>
      <c r="AZ63" s="668">
        <v>4277</v>
      </c>
      <c r="BA63" s="668">
        <f>1083-250</f>
        <v>833</v>
      </c>
      <c r="BB63" s="668">
        <v>250</v>
      </c>
      <c r="BC63" s="668"/>
      <c r="BD63" s="668"/>
      <c r="BE63" s="666">
        <f t="shared" si="76"/>
        <v>108.30000000000001</v>
      </c>
      <c r="BF63" s="668">
        <f t="shared" si="77"/>
        <v>108</v>
      </c>
      <c r="BG63" s="668">
        <f t="shared" si="78"/>
        <v>5252</v>
      </c>
      <c r="BH63" s="668">
        <v>7779</v>
      </c>
      <c r="BI63" s="668"/>
      <c r="BJ63" s="668">
        <f>216+100</f>
        <v>316</v>
      </c>
      <c r="BK63" s="668"/>
      <c r="BL63" s="666">
        <f>(BH63-5724)*10%</f>
        <v>205.5</v>
      </c>
      <c r="BM63" s="668">
        <f t="shared" si="79"/>
        <v>206</v>
      </c>
      <c r="BN63" s="668">
        <f t="shared" si="80"/>
        <v>7889</v>
      </c>
      <c r="BO63" s="668">
        <v>208</v>
      </c>
      <c r="BP63" s="668"/>
      <c r="BQ63" s="668">
        <v>46</v>
      </c>
      <c r="BR63" s="668"/>
      <c r="BS63" s="668"/>
      <c r="BT63" s="668"/>
      <c r="BU63" s="668"/>
      <c r="BV63" s="668"/>
      <c r="BW63" s="697"/>
    </row>
    <row r="64" spans="1:75" s="710" customFormat="1">
      <c r="A64" s="700">
        <v>23</v>
      </c>
      <c r="B64" s="701" t="s">
        <v>501</v>
      </c>
      <c r="C64" s="702">
        <f t="shared" si="66"/>
        <v>0</v>
      </c>
      <c r="D64" s="702">
        <f t="shared" si="67"/>
        <v>0</v>
      </c>
      <c r="E64" s="702"/>
      <c r="F64" s="702"/>
      <c r="G64" s="702"/>
      <c r="H64" s="702"/>
      <c r="I64" s="702"/>
      <c r="J64" s="702"/>
      <c r="K64" s="989">
        <f t="shared" si="3"/>
        <v>3221</v>
      </c>
      <c r="L64" s="709">
        <f t="shared" si="68"/>
        <v>3221</v>
      </c>
      <c r="M64" s="709"/>
      <c r="N64" s="737"/>
      <c r="O64" s="737"/>
      <c r="P64" s="737"/>
      <c r="Q64" s="737"/>
      <c r="R64" s="666">
        <f>((N64+O64)-(BA64+BB64))*10%</f>
        <v>0</v>
      </c>
      <c r="S64" s="704"/>
      <c r="T64" s="667">
        <f t="shared" si="69"/>
        <v>0</v>
      </c>
      <c r="U64" s="666">
        <f t="shared" si="70"/>
        <v>0</v>
      </c>
      <c r="V64" s="709">
        <v>3221</v>
      </c>
      <c r="W64" s="703"/>
      <c r="X64" s="703"/>
      <c r="Y64" s="667">
        <f>Z64-BM64</f>
        <v>0</v>
      </c>
      <c r="Z64" s="668">
        <f>(V64-3221)*10%</f>
        <v>0</v>
      </c>
      <c r="AA64" s="704"/>
      <c r="AB64" s="667">
        <f t="shared" si="71"/>
        <v>0</v>
      </c>
      <c r="AC64" s="666">
        <f t="shared" si="72"/>
        <v>3221</v>
      </c>
      <c r="AD64" s="703"/>
      <c r="AE64" s="703"/>
      <c r="AF64" s="705"/>
      <c r="AG64" s="705"/>
      <c r="AH64" s="705"/>
      <c r="AI64" s="705"/>
      <c r="AJ64" s="705"/>
      <c r="AK64" s="705"/>
      <c r="AL64" s="705"/>
      <c r="AM64" s="706"/>
      <c r="AN64" s="707"/>
      <c r="AO64" s="700">
        <v>25</v>
      </c>
      <c r="AP64" s="701" t="s">
        <v>501</v>
      </c>
      <c r="AQ64" s="702">
        <f t="shared" si="73"/>
        <v>55</v>
      </c>
      <c r="AR64" s="702">
        <f t="shared" si="74"/>
        <v>50</v>
      </c>
      <c r="AS64" s="702"/>
      <c r="AT64" s="702">
        <v>50</v>
      </c>
      <c r="AU64" s="702"/>
      <c r="AV64" s="702">
        <v>50</v>
      </c>
      <c r="AW64" s="702">
        <v>5</v>
      </c>
      <c r="AX64" s="702">
        <v>5</v>
      </c>
      <c r="AY64" s="709">
        <f t="shared" si="75"/>
        <v>770</v>
      </c>
      <c r="AZ64" s="734"/>
      <c r="BA64" s="737"/>
      <c r="BB64" s="737"/>
      <c r="BC64" s="737"/>
      <c r="BD64" s="737"/>
      <c r="BE64" s="666">
        <f t="shared" si="76"/>
        <v>0</v>
      </c>
      <c r="BF64" s="704">
        <f t="shared" si="77"/>
        <v>0</v>
      </c>
      <c r="BG64" s="709">
        <f t="shared" si="78"/>
        <v>0</v>
      </c>
      <c r="BH64" s="709">
        <f>539+231</f>
        <v>770</v>
      </c>
      <c r="BI64" s="703"/>
      <c r="BJ64" s="703"/>
      <c r="BK64" s="703"/>
      <c r="BL64" s="666">
        <f>(BH64-770)*10%</f>
        <v>0</v>
      </c>
      <c r="BM64" s="704">
        <f t="shared" si="79"/>
        <v>0</v>
      </c>
      <c r="BN64" s="709">
        <f t="shared" si="80"/>
        <v>770</v>
      </c>
      <c r="BO64" s="703"/>
      <c r="BP64" s="703"/>
      <c r="BQ64" s="703">
        <v>7626</v>
      </c>
      <c r="BR64" s="703"/>
      <c r="BS64" s="703"/>
      <c r="BT64" s="703"/>
      <c r="BU64" s="703"/>
      <c r="BV64" s="703"/>
      <c r="BW64" s="703"/>
    </row>
    <row r="65" spans="1:75" s="710" customFormat="1">
      <c r="A65" s="700">
        <v>24</v>
      </c>
      <c r="B65" s="701" t="s">
        <v>502</v>
      </c>
      <c r="C65" s="702">
        <f t="shared" si="66"/>
        <v>75</v>
      </c>
      <c r="D65" s="702">
        <f t="shared" si="67"/>
        <v>70</v>
      </c>
      <c r="E65" s="702"/>
      <c r="F65" s="702">
        <v>70</v>
      </c>
      <c r="G65" s="702"/>
      <c r="H65" s="702">
        <v>65</v>
      </c>
      <c r="I65" s="702">
        <v>5</v>
      </c>
      <c r="J65" s="702">
        <v>5</v>
      </c>
      <c r="K65" s="989">
        <f t="shared" si="3"/>
        <v>7685</v>
      </c>
      <c r="L65" s="709">
        <f t="shared" si="68"/>
        <v>7685</v>
      </c>
      <c r="M65" s="709">
        <v>4584</v>
      </c>
      <c r="N65" s="709"/>
      <c r="O65" s="709"/>
      <c r="P65" s="709"/>
      <c r="Q65" s="709"/>
      <c r="R65" s="666">
        <f>((N65+O65)-(BA65+BB65))*10%</f>
        <v>0</v>
      </c>
      <c r="S65" s="704"/>
      <c r="T65" s="667">
        <f t="shared" si="69"/>
        <v>0</v>
      </c>
      <c r="U65" s="666">
        <f t="shared" si="70"/>
        <v>4584</v>
      </c>
      <c r="V65" s="709">
        <v>3101</v>
      </c>
      <c r="W65" s="709"/>
      <c r="X65" s="709"/>
      <c r="Y65" s="667">
        <f>Z65-BM65</f>
        <v>0</v>
      </c>
      <c r="Z65" s="668">
        <f>(V65-3101)*10%</f>
        <v>0</v>
      </c>
      <c r="AA65" s="704"/>
      <c r="AB65" s="667">
        <f t="shared" si="71"/>
        <v>0</v>
      </c>
      <c r="AC65" s="666">
        <f t="shared" si="72"/>
        <v>3101</v>
      </c>
      <c r="AD65" s="709"/>
      <c r="AE65" s="709"/>
      <c r="AF65" s="733"/>
      <c r="AG65" s="733"/>
      <c r="AH65" s="733"/>
      <c r="AI65" s="733"/>
      <c r="AJ65" s="733"/>
      <c r="AK65" s="733"/>
      <c r="AL65" s="733"/>
      <c r="AM65" s="706"/>
      <c r="AN65" s="707"/>
      <c r="AO65" s="700">
        <v>26</v>
      </c>
      <c r="AP65" s="701" t="s">
        <v>502</v>
      </c>
      <c r="AQ65" s="702">
        <f t="shared" si="73"/>
        <v>76</v>
      </c>
      <c r="AR65" s="702">
        <f t="shared" si="74"/>
        <v>71</v>
      </c>
      <c r="AS65" s="702"/>
      <c r="AT65" s="702">
        <v>71</v>
      </c>
      <c r="AU65" s="702"/>
      <c r="AV65" s="702">
        <v>67</v>
      </c>
      <c r="AW65" s="702">
        <v>5</v>
      </c>
      <c r="AX65" s="702">
        <v>5</v>
      </c>
      <c r="AY65" s="709">
        <f t="shared" si="75"/>
        <v>7075</v>
      </c>
      <c r="AZ65" s="734">
        <v>5044</v>
      </c>
      <c r="BA65" s="709"/>
      <c r="BB65" s="709"/>
      <c r="BC65" s="709"/>
      <c r="BD65" s="709"/>
      <c r="BE65" s="666">
        <f t="shared" si="76"/>
        <v>0</v>
      </c>
      <c r="BF65" s="704">
        <f t="shared" si="77"/>
        <v>0</v>
      </c>
      <c r="BG65" s="709">
        <f t="shared" si="78"/>
        <v>5044</v>
      </c>
      <c r="BH65" s="709">
        <f>1291+707</f>
        <v>1998</v>
      </c>
      <c r="BI65" s="709"/>
      <c r="BJ65" s="709"/>
      <c r="BK65" s="709"/>
      <c r="BL65" s="666">
        <f>(BH65-1998)*10%</f>
        <v>0</v>
      </c>
      <c r="BM65" s="704">
        <f t="shared" si="79"/>
        <v>0</v>
      </c>
      <c r="BN65" s="709">
        <f t="shared" si="80"/>
        <v>1998</v>
      </c>
      <c r="BO65" s="709">
        <v>33</v>
      </c>
      <c r="BP65" s="709"/>
      <c r="BQ65" s="709">
        <v>3560</v>
      </c>
      <c r="BR65" s="709"/>
      <c r="BS65" s="709"/>
      <c r="BT65" s="709"/>
      <c r="BU65" s="709"/>
      <c r="BV65" s="709"/>
      <c r="BW65" s="709"/>
    </row>
    <row r="66" spans="1:75" ht="31.2">
      <c r="A66" s="659">
        <v>25</v>
      </c>
      <c r="B66" s="660" t="s">
        <v>503</v>
      </c>
      <c r="C66" s="661">
        <f t="shared" si="66"/>
        <v>28</v>
      </c>
      <c r="D66" s="661">
        <f>E66+F66</f>
        <v>23</v>
      </c>
      <c r="E66" s="661"/>
      <c r="F66" s="661">
        <v>23</v>
      </c>
      <c r="G66" s="661"/>
      <c r="H66" s="661">
        <v>23</v>
      </c>
      <c r="I66" s="661">
        <v>5</v>
      </c>
      <c r="J66" s="661">
        <v>5</v>
      </c>
      <c r="K66" s="989">
        <f t="shared" si="3"/>
        <v>5766</v>
      </c>
      <c r="L66" s="666">
        <f t="shared" si="68"/>
        <v>5766</v>
      </c>
      <c r="M66" s="666">
        <v>2341</v>
      </c>
      <c r="N66" s="666">
        <v>591</v>
      </c>
      <c r="O66" s="666">
        <v>30</v>
      </c>
      <c r="P66" s="666"/>
      <c r="Q66" s="666"/>
      <c r="R66" s="666">
        <f>((N66+O66)-(BA66+BB66))*10%</f>
        <v>3.8000000000000003</v>
      </c>
      <c r="S66" s="667">
        <v>58</v>
      </c>
      <c r="T66" s="667">
        <f t="shared" si="69"/>
        <v>62</v>
      </c>
      <c r="U66" s="666">
        <f t="shared" si="70"/>
        <v>2900</v>
      </c>
      <c r="V66" s="666">
        <v>2866</v>
      </c>
      <c r="W66" s="666"/>
      <c r="X66" s="666"/>
      <c r="Y66" s="667"/>
      <c r="Z66" s="668">
        <f>(V66-2366)*10%</f>
        <v>50</v>
      </c>
      <c r="AA66" s="667"/>
      <c r="AB66" s="667">
        <f t="shared" si="71"/>
        <v>0</v>
      </c>
      <c r="AC66" s="666">
        <f t="shared" si="72"/>
        <v>2866</v>
      </c>
      <c r="AD66" s="666"/>
      <c r="AE66" s="666"/>
      <c r="AF66" s="669"/>
      <c r="AG66" s="669"/>
      <c r="AH66" s="669"/>
      <c r="AI66" s="669"/>
      <c r="AJ66" s="669"/>
      <c r="AK66" s="669"/>
      <c r="AL66" s="664"/>
      <c r="AN66" s="610"/>
      <c r="AO66" s="659">
        <v>27</v>
      </c>
      <c r="AP66" s="660" t="s">
        <v>503</v>
      </c>
      <c r="AQ66" s="661">
        <f t="shared" si="73"/>
        <v>29</v>
      </c>
      <c r="AR66" s="661">
        <f>AS66+AT66</f>
        <v>24</v>
      </c>
      <c r="AS66" s="661"/>
      <c r="AT66" s="661">
        <v>24</v>
      </c>
      <c r="AU66" s="661"/>
      <c r="AV66" s="661">
        <v>24</v>
      </c>
      <c r="AW66" s="661">
        <v>5</v>
      </c>
      <c r="AX66" s="661">
        <v>5</v>
      </c>
      <c r="AY66" s="666">
        <f t="shared" si="75"/>
        <v>5994</v>
      </c>
      <c r="AZ66" s="670">
        <v>2079</v>
      </c>
      <c r="BA66" s="666">
        <v>583</v>
      </c>
      <c r="BB66" s="666"/>
      <c r="BC66" s="666"/>
      <c r="BD66" s="666"/>
      <c r="BE66" s="666">
        <f t="shared" si="76"/>
        <v>58.300000000000004</v>
      </c>
      <c r="BF66" s="667">
        <f t="shared" si="77"/>
        <v>58</v>
      </c>
      <c r="BG66" s="666">
        <f>(AZ66+BA66+BB66+BC66)-BF66</f>
        <v>2604</v>
      </c>
      <c r="BH66" s="666">
        <v>3096</v>
      </c>
      <c r="BI66" s="666"/>
      <c r="BJ66" s="666">
        <v>299</v>
      </c>
      <c r="BK66" s="666"/>
      <c r="BL66" s="666">
        <f>(BH66-2246)*10%</f>
        <v>85</v>
      </c>
      <c r="BM66" s="667">
        <f t="shared" si="79"/>
        <v>85</v>
      </c>
      <c r="BN66" s="666">
        <f t="shared" si="80"/>
        <v>3310</v>
      </c>
      <c r="BO66" s="666">
        <v>80</v>
      </c>
      <c r="BP66" s="666"/>
      <c r="BQ66" s="666"/>
      <c r="BR66" s="666"/>
      <c r="BS66" s="666"/>
      <c r="BT66" s="666"/>
      <c r="BU66" s="666"/>
      <c r="BV66" s="666"/>
      <c r="BW66" s="662"/>
    </row>
    <row r="67" spans="1:75" ht="31.2">
      <c r="A67" s="659">
        <v>26</v>
      </c>
      <c r="B67" s="660" t="s">
        <v>504</v>
      </c>
      <c r="C67" s="661">
        <f t="shared" si="66"/>
        <v>0</v>
      </c>
      <c r="D67" s="661">
        <f t="shared" si="67"/>
        <v>0</v>
      </c>
      <c r="E67" s="661"/>
      <c r="F67" s="661">
        <f>5-5</f>
        <v>0</v>
      </c>
      <c r="G67" s="661"/>
      <c r="H67" s="661">
        <f>5-5</f>
        <v>0</v>
      </c>
      <c r="I67" s="661"/>
      <c r="J67" s="661"/>
      <c r="K67" s="989">
        <f t="shared" si="3"/>
        <v>0</v>
      </c>
      <c r="L67" s="666">
        <f t="shared" si="68"/>
        <v>0</v>
      </c>
      <c r="M67" s="666">
        <f>331-331</f>
        <v>0</v>
      </c>
      <c r="N67" s="666"/>
      <c r="O67" s="666"/>
      <c r="P67" s="666"/>
      <c r="Q67" s="666"/>
      <c r="R67" s="666"/>
      <c r="S67" s="667"/>
      <c r="T67" s="667">
        <f t="shared" si="69"/>
        <v>0</v>
      </c>
      <c r="U67" s="666">
        <f t="shared" si="70"/>
        <v>0</v>
      </c>
      <c r="V67" s="666"/>
      <c r="W67" s="666"/>
      <c r="X67" s="666"/>
      <c r="Y67" s="667">
        <f t="shared" ref="Y67:Y75" si="82">Z67-BM67</f>
        <v>0</v>
      </c>
      <c r="Z67" s="668">
        <f t="shared" si="81"/>
        <v>0</v>
      </c>
      <c r="AA67" s="667"/>
      <c r="AB67" s="667">
        <f t="shared" si="71"/>
        <v>0</v>
      </c>
      <c r="AC67" s="666">
        <f t="shared" si="72"/>
        <v>0</v>
      </c>
      <c r="AD67" s="666"/>
      <c r="AE67" s="666"/>
      <c r="AF67" s="669"/>
      <c r="AG67" s="669"/>
      <c r="AH67" s="669"/>
      <c r="AI67" s="669"/>
      <c r="AJ67" s="669"/>
      <c r="AK67" s="669"/>
      <c r="AL67" s="664"/>
      <c r="AN67" s="610"/>
      <c r="AO67" s="659">
        <v>28</v>
      </c>
      <c r="AP67" s="660" t="s">
        <v>504</v>
      </c>
      <c r="AQ67" s="661">
        <f t="shared" si="73"/>
        <v>5</v>
      </c>
      <c r="AR67" s="661">
        <f t="shared" si="74"/>
        <v>5</v>
      </c>
      <c r="AS67" s="661"/>
      <c r="AT67" s="661">
        <v>5</v>
      </c>
      <c r="AU67" s="661"/>
      <c r="AV67" s="661">
        <v>5</v>
      </c>
      <c r="AW67" s="661"/>
      <c r="AX67" s="661"/>
      <c r="AY67" s="666">
        <f t="shared" si="75"/>
        <v>426</v>
      </c>
      <c r="AZ67" s="670">
        <f>248+58+3</f>
        <v>309</v>
      </c>
      <c r="BA67" s="666">
        <v>103</v>
      </c>
      <c r="BB67" s="666">
        <v>27</v>
      </c>
      <c r="BC67" s="666"/>
      <c r="BD67" s="666"/>
      <c r="BE67" s="666">
        <f t="shared" si="76"/>
        <v>13</v>
      </c>
      <c r="BF67" s="667">
        <f t="shared" si="77"/>
        <v>13</v>
      </c>
      <c r="BG67" s="666">
        <f t="shared" si="78"/>
        <v>426</v>
      </c>
      <c r="BH67" s="666"/>
      <c r="BI67" s="666"/>
      <c r="BJ67" s="666"/>
      <c r="BK67" s="666"/>
      <c r="BL67" s="666">
        <f>BH67*10%</f>
        <v>0</v>
      </c>
      <c r="BM67" s="667">
        <f t="shared" si="79"/>
        <v>0</v>
      </c>
      <c r="BN67" s="666">
        <f t="shared" si="80"/>
        <v>0</v>
      </c>
      <c r="BO67" s="666"/>
      <c r="BP67" s="666"/>
      <c r="BQ67" s="666"/>
      <c r="BR67" s="666"/>
      <c r="BS67" s="666"/>
      <c r="BT67" s="666"/>
      <c r="BU67" s="666"/>
      <c r="BV67" s="666"/>
      <c r="BW67" s="662"/>
    </row>
    <row r="68" spans="1:75" ht="31.2">
      <c r="A68" s="659">
        <v>29</v>
      </c>
      <c r="B68" s="660" t="s">
        <v>505</v>
      </c>
      <c r="C68" s="661">
        <f t="shared" si="66"/>
        <v>0</v>
      </c>
      <c r="D68" s="661">
        <f t="shared" si="67"/>
        <v>0</v>
      </c>
      <c r="E68" s="661"/>
      <c r="F68" s="661"/>
      <c r="G68" s="661"/>
      <c r="H68" s="661"/>
      <c r="I68" s="661"/>
      <c r="J68" s="661"/>
      <c r="K68" s="989">
        <f t="shared" si="3"/>
        <v>0</v>
      </c>
      <c r="L68" s="666">
        <f t="shared" si="68"/>
        <v>0</v>
      </c>
      <c r="M68" s="666"/>
      <c r="N68" s="666"/>
      <c r="O68" s="666"/>
      <c r="P68" s="666"/>
      <c r="Q68" s="666"/>
      <c r="R68" s="666"/>
      <c r="S68" s="667"/>
      <c r="T68" s="667">
        <f t="shared" si="69"/>
        <v>0</v>
      </c>
      <c r="U68" s="666">
        <f t="shared" si="70"/>
        <v>0</v>
      </c>
      <c r="V68" s="666"/>
      <c r="W68" s="666"/>
      <c r="X68" s="666"/>
      <c r="Y68" s="667">
        <f t="shared" si="82"/>
        <v>0</v>
      </c>
      <c r="Z68" s="668">
        <f t="shared" si="81"/>
        <v>0</v>
      </c>
      <c r="AA68" s="667"/>
      <c r="AB68" s="667">
        <f t="shared" si="71"/>
        <v>0</v>
      </c>
      <c r="AC68" s="666">
        <f t="shared" si="72"/>
        <v>0</v>
      </c>
      <c r="AD68" s="666"/>
      <c r="AE68" s="666"/>
      <c r="AF68" s="669"/>
      <c r="AG68" s="669"/>
      <c r="AH68" s="669"/>
      <c r="AI68" s="669"/>
      <c r="AJ68" s="669"/>
      <c r="AK68" s="669"/>
      <c r="AL68" s="664"/>
      <c r="AN68" s="610"/>
      <c r="AO68" s="659">
        <v>29</v>
      </c>
      <c r="AP68" s="660" t="s">
        <v>505</v>
      </c>
      <c r="AQ68" s="661">
        <f t="shared" si="73"/>
        <v>3</v>
      </c>
      <c r="AR68" s="661">
        <f t="shared" si="74"/>
        <v>3</v>
      </c>
      <c r="AS68" s="661"/>
      <c r="AT68" s="661">
        <v>3</v>
      </c>
      <c r="AU68" s="661"/>
      <c r="AV68" s="661">
        <v>2</v>
      </c>
      <c r="AW68" s="661"/>
      <c r="AX68" s="661"/>
      <c r="AY68" s="666">
        <f t="shared" si="75"/>
        <v>268</v>
      </c>
      <c r="AZ68" s="670">
        <v>198</v>
      </c>
      <c r="BA68" s="666">
        <v>58</v>
      </c>
      <c r="BB68" s="666">
        <v>20</v>
      </c>
      <c r="BC68" s="666"/>
      <c r="BD68" s="666"/>
      <c r="BE68" s="666">
        <f t="shared" si="76"/>
        <v>7.8000000000000007</v>
      </c>
      <c r="BF68" s="667">
        <f t="shared" si="77"/>
        <v>8</v>
      </c>
      <c r="BG68" s="666">
        <f t="shared" si="78"/>
        <v>268</v>
      </c>
      <c r="BH68" s="666"/>
      <c r="BI68" s="666"/>
      <c r="BJ68" s="666"/>
      <c r="BK68" s="666"/>
      <c r="BL68" s="666">
        <f>BH68*10%</f>
        <v>0</v>
      </c>
      <c r="BM68" s="667">
        <f t="shared" si="79"/>
        <v>0</v>
      </c>
      <c r="BN68" s="666">
        <f t="shared" si="80"/>
        <v>0</v>
      </c>
      <c r="BO68" s="666"/>
      <c r="BP68" s="666"/>
      <c r="BQ68" s="666"/>
      <c r="BR68" s="666"/>
      <c r="BS68" s="666"/>
      <c r="BT68" s="666"/>
      <c r="BU68" s="666"/>
      <c r="BV68" s="666"/>
      <c r="BW68" s="662"/>
    </row>
    <row r="69" spans="1:75" ht="31.2">
      <c r="A69" s="659">
        <v>27</v>
      </c>
      <c r="B69" s="660" t="s">
        <v>506</v>
      </c>
      <c r="C69" s="661"/>
      <c r="D69" s="661"/>
      <c r="E69" s="661"/>
      <c r="F69" s="661"/>
      <c r="G69" s="661"/>
      <c r="H69" s="661"/>
      <c r="I69" s="661"/>
      <c r="J69" s="661"/>
      <c r="K69" s="989">
        <f t="shared" si="3"/>
        <v>0</v>
      </c>
      <c r="L69" s="662">
        <f t="shared" si="68"/>
        <v>2345</v>
      </c>
      <c r="M69" s="662"/>
      <c r="N69" s="662"/>
      <c r="O69" s="662"/>
      <c r="P69" s="662"/>
      <c r="Q69" s="662"/>
      <c r="R69" s="666">
        <f>((N69+O69)-(BA69+BB69))*10%</f>
        <v>0</v>
      </c>
      <c r="S69" s="667">
        <f>ROUND(R69,0)</f>
        <v>0</v>
      </c>
      <c r="T69" s="667">
        <f t="shared" si="69"/>
        <v>0</v>
      </c>
      <c r="U69" s="666">
        <f t="shared" si="70"/>
        <v>0</v>
      </c>
      <c r="V69" s="662"/>
      <c r="W69" s="662"/>
      <c r="X69" s="662"/>
      <c r="Y69" s="667">
        <f t="shared" si="82"/>
        <v>0</v>
      </c>
      <c r="Z69" s="668">
        <f t="shared" si="81"/>
        <v>0</v>
      </c>
      <c r="AA69" s="667"/>
      <c r="AB69" s="667">
        <f t="shared" si="71"/>
        <v>0</v>
      </c>
      <c r="AC69" s="666">
        <f t="shared" si="72"/>
        <v>0</v>
      </c>
      <c r="AD69" s="697">
        <v>2345</v>
      </c>
      <c r="AE69" s="662"/>
      <c r="AF69" s="664"/>
      <c r="AG69" s="664"/>
      <c r="AH69" s="664"/>
      <c r="AI69" s="664"/>
      <c r="AJ69" s="664"/>
      <c r="AK69" s="664"/>
      <c r="AL69" s="664"/>
      <c r="AN69" s="610"/>
      <c r="AO69" s="659">
        <v>30</v>
      </c>
      <c r="AP69" s="660" t="s">
        <v>506</v>
      </c>
      <c r="AQ69" s="661"/>
      <c r="AR69" s="661"/>
      <c r="AS69" s="661"/>
      <c r="AT69" s="661"/>
      <c r="AU69" s="661"/>
      <c r="AV69" s="661"/>
      <c r="AW69" s="661"/>
      <c r="AX69" s="661"/>
      <c r="AY69" s="662">
        <f t="shared" si="75"/>
        <v>2000</v>
      </c>
      <c r="AZ69" s="665"/>
      <c r="BA69" s="662"/>
      <c r="BB69" s="662"/>
      <c r="BC69" s="662"/>
      <c r="BD69" s="662"/>
      <c r="BE69" s="666">
        <f t="shared" si="76"/>
        <v>0</v>
      </c>
      <c r="BF69" s="667">
        <f t="shared" si="77"/>
        <v>0</v>
      </c>
      <c r="BG69" s="666">
        <f t="shared" si="78"/>
        <v>0</v>
      </c>
      <c r="BH69" s="662"/>
      <c r="BI69" s="662"/>
      <c r="BJ69" s="662"/>
      <c r="BK69" s="662"/>
      <c r="BL69" s="666">
        <f>BH69*10%</f>
        <v>0</v>
      </c>
      <c r="BM69" s="667">
        <f t="shared" si="79"/>
        <v>0</v>
      </c>
      <c r="BN69" s="666">
        <f t="shared" si="80"/>
        <v>0</v>
      </c>
      <c r="BO69" s="662">
        <v>2000</v>
      </c>
      <c r="BP69" s="662"/>
      <c r="BQ69" s="662"/>
      <c r="BR69" s="662"/>
      <c r="BS69" s="662"/>
      <c r="BT69" s="662"/>
      <c r="BU69" s="662"/>
      <c r="BV69" s="662"/>
      <c r="BW69" s="662"/>
    </row>
    <row r="70" spans="1:75" s="710" customFormat="1" ht="62.4">
      <c r="A70" s="700">
        <v>28</v>
      </c>
      <c r="B70" s="701" t="s">
        <v>507</v>
      </c>
      <c r="C70" s="702"/>
      <c r="D70" s="702"/>
      <c r="E70" s="702"/>
      <c r="F70" s="702"/>
      <c r="G70" s="702"/>
      <c r="H70" s="702"/>
      <c r="I70" s="702"/>
      <c r="J70" s="702"/>
      <c r="K70" s="989">
        <f t="shared" si="3"/>
        <v>0</v>
      </c>
      <c r="L70" s="709">
        <f t="shared" si="68"/>
        <v>1725</v>
      </c>
      <c r="M70" s="709"/>
      <c r="N70" s="709"/>
      <c r="O70" s="709"/>
      <c r="P70" s="709"/>
      <c r="Q70" s="709"/>
      <c r="R70" s="666">
        <f>((N70+O70)-(BA70+BB70))*10%</f>
        <v>0</v>
      </c>
      <c r="S70" s="704">
        <f>ROUND(R70,0)</f>
        <v>0</v>
      </c>
      <c r="T70" s="667">
        <f t="shared" si="69"/>
        <v>0</v>
      </c>
      <c r="U70" s="666">
        <f t="shared" si="70"/>
        <v>0</v>
      </c>
      <c r="V70" s="709"/>
      <c r="W70" s="709"/>
      <c r="X70" s="709"/>
      <c r="Y70" s="667">
        <f t="shared" si="82"/>
        <v>0</v>
      </c>
      <c r="Z70" s="668">
        <f t="shared" si="81"/>
        <v>0</v>
      </c>
      <c r="AA70" s="704"/>
      <c r="AB70" s="667">
        <f t="shared" si="71"/>
        <v>0</v>
      </c>
      <c r="AC70" s="666">
        <f t="shared" si="72"/>
        <v>0</v>
      </c>
      <c r="AD70" s="709">
        <v>1725</v>
      </c>
      <c r="AE70" s="709"/>
      <c r="AF70" s="733"/>
      <c r="AG70" s="733"/>
      <c r="AH70" s="733"/>
      <c r="AI70" s="733"/>
      <c r="AJ70" s="733"/>
      <c r="AK70" s="733"/>
      <c r="AL70" s="705"/>
      <c r="AM70" s="706"/>
      <c r="AN70" s="707"/>
      <c r="AO70" s="700">
        <v>31</v>
      </c>
      <c r="AP70" s="701" t="s">
        <v>507</v>
      </c>
      <c r="AQ70" s="702"/>
      <c r="AR70" s="702"/>
      <c r="AS70" s="702"/>
      <c r="AT70" s="702"/>
      <c r="AU70" s="702"/>
      <c r="AV70" s="702"/>
      <c r="AW70" s="702"/>
      <c r="AX70" s="702"/>
      <c r="AY70" s="709">
        <f t="shared" si="75"/>
        <v>4926</v>
      </c>
      <c r="AZ70" s="734"/>
      <c r="BA70" s="709"/>
      <c r="BB70" s="709"/>
      <c r="BC70" s="709"/>
      <c r="BD70" s="709"/>
      <c r="BE70" s="666">
        <f t="shared" si="76"/>
        <v>0</v>
      </c>
      <c r="BF70" s="704">
        <f t="shared" si="77"/>
        <v>0</v>
      </c>
      <c r="BG70" s="709">
        <f t="shared" si="78"/>
        <v>0</v>
      </c>
      <c r="BH70" s="709"/>
      <c r="BI70" s="709"/>
      <c r="BJ70" s="709"/>
      <c r="BK70" s="709"/>
      <c r="BL70" s="666">
        <f>BH70*10%</f>
        <v>0</v>
      </c>
      <c r="BM70" s="704">
        <f t="shared" si="79"/>
        <v>0</v>
      </c>
      <c r="BN70" s="709">
        <f t="shared" si="80"/>
        <v>0</v>
      </c>
      <c r="BO70" s="709">
        <v>4926</v>
      </c>
      <c r="BP70" s="709"/>
      <c r="BQ70" s="709"/>
      <c r="BR70" s="709"/>
      <c r="BS70" s="709"/>
      <c r="BT70" s="709"/>
      <c r="BU70" s="709"/>
      <c r="BV70" s="709"/>
      <c r="BW70" s="703"/>
    </row>
    <row r="71" spans="1:75" s="710" customFormat="1" ht="78">
      <c r="A71" s="700">
        <v>29</v>
      </c>
      <c r="B71" s="701" t="s">
        <v>508</v>
      </c>
      <c r="C71" s="702"/>
      <c r="D71" s="702"/>
      <c r="E71" s="702"/>
      <c r="F71" s="702"/>
      <c r="G71" s="702"/>
      <c r="H71" s="702"/>
      <c r="I71" s="702"/>
      <c r="J71" s="702"/>
      <c r="K71" s="989">
        <f t="shared" si="3"/>
        <v>420</v>
      </c>
      <c r="L71" s="709">
        <f t="shared" si="68"/>
        <v>420</v>
      </c>
      <c r="M71" s="709">
        <v>96</v>
      </c>
      <c r="N71" s="709">
        <v>53</v>
      </c>
      <c r="O71" s="709"/>
      <c r="P71" s="709"/>
      <c r="Q71" s="709"/>
      <c r="R71" s="666"/>
      <c r="S71" s="704"/>
      <c r="T71" s="667">
        <f t="shared" si="69"/>
        <v>0</v>
      </c>
      <c r="U71" s="666">
        <f t="shared" si="70"/>
        <v>149</v>
      </c>
      <c r="V71" s="709">
        <v>301</v>
      </c>
      <c r="W71" s="709"/>
      <c r="X71" s="709"/>
      <c r="Y71" s="667">
        <f t="shared" si="82"/>
        <v>30.1</v>
      </c>
      <c r="Z71" s="668">
        <f t="shared" si="81"/>
        <v>30.1</v>
      </c>
      <c r="AA71" s="704"/>
      <c r="AB71" s="667">
        <f t="shared" si="71"/>
        <v>30</v>
      </c>
      <c r="AC71" s="666">
        <f t="shared" si="72"/>
        <v>271</v>
      </c>
      <c r="AD71" s="709"/>
      <c r="AE71" s="709"/>
      <c r="AF71" s="733"/>
      <c r="AG71" s="733"/>
      <c r="AH71" s="733"/>
      <c r="AI71" s="733"/>
      <c r="AJ71" s="733"/>
      <c r="AK71" s="733"/>
      <c r="AL71" s="705"/>
      <c r="AM71" s="706"/>
      <c r="AN71" s="707"/>
      <c r="AO71" s="700">
        <v>32</v>
      </c>
      <c r="AP71" s="701" t="s">
        <v>508</v>
      </c>
      <c r="AQ71" s="702"/>
      <c r="AR71" s="702"/>
      <c r="AS71" s="702"/>
      <c r="AT71" s="702"/>
      <c r="AU71" s="702"/>
      <c r="AV71" s="702"/>
      <c r="AW71" s="702"/>
      <c r="AX71" s="702"/>
      <c r="AY71" s="709">
        <f t="shared" si="75"/>
        <v>1000</v>
      </c>
      <c r="AZ71" s="734">
        <v>96</v>
      </c>
      <c r="BA71" s="709">
        <v>110</v>
      </c>
      <c r="BB71" s="709"/>
      <c r="BC71" s="709"/>
      <c r="BD71" s="709"/>
      <c r="BE71" s="666"/>
      <c r="BF71" s="704">
        <f t="shared" si="77"/>
        <v>0</v>
      </c>
      <c r="BG71" s="709">
        <f>(AZ71+BA71+BB71+BC71)-BF71</f>
        <v>206</v>
      </c>
      <c r="BH71" s="709"/>
      <c r="BI71" s="709"/>
      <c r="BJ71" s="709"/>
      <c r="BK71" s="709"/>
      <c r="BL71" s="666">
        <f>BH71*10%</f>
        <v>0</v>
      </c>
      <c r="BM71" s="704"/>
      <c r="BN71" s="709">
        <f t="shared" si="80"/>
        <v>0</v>
      </c>
      <c r="BO71" s="709">
        <v>794</v>
      </c>
      <c r="BP71" s="709"/>
      <c r="BQ71" s="709"/>
      <c r="BR71" s="709"/>
      <c r="BS71" s="709"/>
      <c r="BT71" s="709"/>
      <c r="BU71" s="709"/>
      <c r="BV71" s="709"/>
      <c r="BW71" s="703"/>
    </row>
    <row r="72" spans="1:75" ht="31.2">
      <c r="A72" s="659">
        <v>30</v>
      </c>
      <c r="B72" s="695" t="s">
        <v>509</v>
      </c>
      <c r="C72" s="661">
        <f>SUM(C73:C75)</f>
        <v>0</v>
      </c>
      <c r="D72" s="661">
        <f t="shared" ref="D72:AL72" si="83">SUM(D73:D75)</f>
        <v>0</v>
      </c>
      <c r="E72" s="661"/>
      <c r="F72" s="661"/>
      <c r="G72" s="661"/>
      <c r="H72" s="661"/>
      <c r="I72" s="661"/>
      <c r="J72" s="661"/>
      <c r="K72" s="989">
        <f t="shared" si="3"/>
        <v>0</v>
      </c>
      <c r="L72" s="662">
        <f t="shared" si="83"/>
        <v>34255</v>
      </c>
      <c r="M72" s="662">
        <f t="shared" si="83"/>
        <v>0</v>
      </c>
      <c r="N72" s="662">
        <f t="shared" si="83"/>
        <v>0</v>
      </c>
      <c r="O72" s="662">
        <f t="shared" si="83"/>
        <v>0</v>
      </c>
      <c r="P72" s="662">
        <f t="shared" si="83"/>
        <v>0</v>
      </c>
      <c r="Q72" s="662">
        <f t="shared" si="83"/>
        <v>0</v>
      </c>
      <c r="R72" s="662">
        <f t="shared" si="83"/>
        <v>0</v>
      </c>
      <c r="S72" s="663"/>
      <c r="T72" s="667">
        <f t="shared" si="69"/>
        <v>0</v>
      </c>
      <c r="U72" s="666">
        <f t="shared" si="70"/>
        <v>0</v>
      </c>
      <c r="V72" s="662">
        <f t="shared" si="83"/>
        <v>0</v>
      </c>
      <c r="W72" s="662">
        <f t="shared" si="83"/>
        <v>0</v>
      </c>
      <c r="X72" s="662">
        <f t="shared" si="83"/>
        <v>0</v>
      </c>
      <c r="Y72" s="667">
        <f t="shared" si="82"/>
        <v>0</v>
      </c>
      <c r="Z72" s="668">
        <f t="shared" si="81"/>
        <v>0</v>
      </c>
      <c r="AA72" s="667"/>
      <c r="AB72" s="667"/>
      <c r="AC72" s="666">
        <f t="shared" si="72"/>
        <v>0</v>
      </c>
      <c r="AD72" s="697">
        <f t="shared" si="83"/>
        <v>34255</v>
      </c>
      <c r="AE72" s="662">
        <f t="shared" si="83"/>
        <v>0</v>
      </c>
      <c r="AF72" s="664">
        <f t="shared" si="83"/>
        <v>0</v>
      </c>
      <c r="AG72" s="664">
        <f t="shared" si="83"/>
        <v>0</v>
      </c>
      <c r="AH72" s="664">
        <f>SUM(AH73:AH75)</f>
        <v>0</v>
      </c>
      <c r="AI72" s="664">
        <f t="shared" si="83"/>
        <v>0</v>
      </c>
      <c r="AJ72" s="664">
        <f t="shared" si="83"/>
        <v>0</v>
      </c>
      <c r="AK72" s="664">
        <f t="shared" si="83"/>
        <v>0</v>
      </c>
      <c r="AL72" s="664">
        <f t="shared" si="83"/>
        <v>0</v>
      </c>
      <c r="AN72" s="610"/>
      <c r="AO72" s="659">
        <v>33</v>
      </c>
      <c r="AP72" s="660" t="s">
        <v>509</v>
      </c>
      <c r="AQ72" s="661">
        <f>SUM(AQ73:AQ75)</f>
        <v>0</v>
      </c>
      <c r="AR72" s="661">
        <f t="shared" ref="AR72:BW72" si="84">SUM(AR73:AR75)</f>
        <v>0</v>
      </c>
      <c r="AS72" s="661">
        <f t="shared" si="84"/>
        <v>0</v>
      </c>
      <c r="AT72" s="661">
        <f t="shared" si="84"/>
        <v>0</v>
      </c>
      <c r="AU72" s="661">
        <f t="shared" si="84"/>
        <v>0</v>
      </c>
      <c r="AV72" s="661">
        <f t="shared" si="84"/>
        <v>0</v>
      </c>
      <c r="AW72" s="661">
        <f t="shared" si="84"/>
        <v>0</v>
      </c>
      <c r="AX72" s="661">
        <f t="shared" si="84"/>
        <v>0</v>
      </c>
      <c r="AY72" s="662">
        <f t="shared" si="84"/>
        <v>35473</v>
      </c>
      <c r="AZ72" s="665">
        <f t="shared" si="84"/>
        <v>0</v>
      </c>
      <c r="BA72" s="662">
        <f t="shared" si="84"/>
        <v>0</v>
      </c>
      <c r="BB72" s="662">
        <f t="shared" si="84"/>
        <v>0</v>
      </c>
      <c r="BC72" s="662">
        <f t="shared" si="84"/>
        <v>0</v>
      </c>
      <c r="BD72" s="662">
        <f t="shared" si="84"/>
        <v>0</v>
      </c>
      <c r="BE72" s="662">
        <f t="shared" si="84"/>
        <v>0</v>
      </c>
      <c r="BF72" s="663"/>
      <c r="BG72" s="662"/>
      <c r="BH72" s="662">
        <f t="shared" si="84"/>
        <v>0</v>
      </c>
      <c r="BI72" s="662">
        <f t="shared" si="84"/>
        <v>0</v>
      </c>
      <c r="BJ72" s="662">
        <f t="shared" si="84"/>
        <v>0</v>
      </c>
      <c r="BK72" s="662">
        <f t="shared" si="84"/>
        <v>0</v>
      </c>
      <c r="BL72" s="662">
        <f t="shared" si="84"/>
        <v>0</v>
      </c>
      <c r="BM72" s="667">
        <f t="shared" si="79"/>
        <v>0</v>
      </c>
      <c r="BN72" s="666">
        <f t="shared" si="80"/>
        <v>0</v>
      </c>
      <c r="BO72" s="662">
        <f t="shared" si="84"/>
        <v>35473</v>
      </c>
      <c r="BP72" s="662">
        <f t="shared" si="84"/>
        <v>0</v>
      </c>
      <c r="BQ72" s="662">
        <f t="shared" si="84"/>
        <v>0</v>
      </c>
      <c r="BR72" s="662">
        <f t="shared" si="84"/>
        <v>0</v>
      </c>
      <c r="BS72" s="662">
        <f>SUM(BS73:BS75)</f>
        <v>0</v>
      </c>
      <c r="BT72" s="662">
        <f t="shared" si="84"/>
        <v>0</v>
      </c>
      <c r="BU72" s="662">
        <f t="shared" si="84"/>
        <v>0</v>
      </c>
      <c r="BV72" s="662">
        <f t="shared" si="84"/>
        <v>0</v>
      </c>
      <c r="BW72" s="662">
        <f t="shared" si="84"/>
        <v>0</v>
      </c>
    </row>
    <row r="73" spans="1:75" s="693" customFormat="1" ht="16.2">
      <c r="A73" s="682"/>
      <c r="B73" s="683" t="s">
        <v>510</v>
      </c>
      <c r="C73" s="684"/>
      <c r="D73" s="684"/>
      <c r="E73" s="684"/>
      <c r="F73" s="684"/>
      <c r="G73" s="684"/>
      <c r="H73" s="684"/>
      <c r="I73" s="684"/>
      <c r="J73" s="684"/>
      <c r="K73" s="989">
        <f t="shared" ref="K73:K136" si="85">L73-AD73</f>
        <v>0</v>
      </c>
      <c r="L73" s="685">
        <f>U73+AC73+AD73+AE73</f>
        <v>33603</v>
      </c>
      <c r="M73" s="685"/>
      <c r="N73" s="685"/>
      <c r="O73" s="685"/>
      <c r="P73" s="685"/>
      <c r="Q73" s="685"/>
      <c r="R73" s="685"/>
      <c r="S73" s="686"/>
      <c r="T73" s="667">
        <f t="shared" si="69"/>
        <v>0</v>
      </c>
      <c r="U73" s="666">
        <f t="shared" si="70"/>
        <v>0</v>
      </c>
      <c r="V73" s="685"/>
      <c r="W73" s="685"/>
      <c r="X73" s="685"/>
      <c r="Y73" s="667">
        <f t="shared" si="82"/>
        <v>0</v>
      </c>
      <c r="Z73" s="668">
        <f t="shared" si="81"/>
        <v>0</v>
      </c>
      <c r="AA73" s="686"/>
      <c r="AB73" s="667"/>
      <c r="AC73" s="666">
        <f t="shared" si="72"/>
        <v>0</v>
      </c>
      <c r="AD73" s="685">
        <v>33603</v>
      </c>
      <c r="AE73" s="685"/>
      <c r="AF73" s="687"/>
      <c r="AG73" s="687"/>
      <c r="AH73" s="687"/>
      <c r="AI73" s="687"/>
      <c r="AJ73" s="687"/>
      <c r="AK73" s="687"/>
      <c r="AL73" s="688"/>
      <c r="AM73" s="689"/>
      <c r="AN73" s="690"/>
      <c r="AO73" s="682"/>
      <c r="AP73" s="683" t="s">
        <v>510</v>
      </c>
      <c r="AQ73" s="684"/>
      <c r="AR73" s="684"/>
      <c r="AS73" s="684"/>
      <c r="AT73" s="684"/>
      <c r="AU73" s="684"/>
      <c r="AV73" s="684"/>
      <c r="AW73" s="684"/>
      <c r="AX73" s="684"/>
      <c r="AY73" s="685">
        <f>BG73+BN73+BO73+BP73</f>
        <v>33160</v>
      </c>
      <c r="AZ73" s="691"/>
      <c r="BA73" s="685"/>
      <c r="BB73" s="685"/>
      <c r="BC73" s="685"/>
      <c r="BD73" s="685"/>
      <c r="BE73" s="685"/>
      <c r="BF73" s="686">
        <f>ROUND(BE73,0)</f>
        <v>0</v>
      </c>
      <c r="BG73" s="685">
        <f t="shared" si="78"/>
        <v>0</v>
      </c>
      <c r="BH73" s="685"/>
      <c r="BI73" s="685"/>
      <c r="BJ73" s="685"/>
      <c r="BK73" s="685"/>
      <c r="BL73" s="685"/>
      <c r="BM73" s="686">
        <f t="shared" si="79"/>
        <v>0</v>
      </c>
      <c r="BN73" s="685">
        <f t="shared" si="80"/>
        <v>0</v>
      </c>
      <c r="BO73" s="685">
        <v>33160</v>
      </c>
      <c r="BP73" s="685"/>
      <c r="BQ73" s="685"/>
      <c r="BR73" s="685"/>
      <c r="BS73" s="685"/>
      <c r="BT73" s="685"/>
      <c r="BU73" s="685"/>
      <c r="BV73" s="685"/>
      <c r="BW73" s="692"/>
    </row>
    <row r="74" spans="1:75" s="693" customFormat="1" ht="16.2">
      <c r="A74" s="682"/>
      <c r="B74" s="683" t="s">
        <v>511</v>
      </c>
      <c r="C74" s="684"/>
      <c r="D74" s="684"/>
      <c r="E74" s="684"/>
      <c r="F74" s="684"/>
      <c r="G74" s="684"/>
      <c r="H74" s="684"/>
      <c r="I74" s="684"/>
      <c r="J74" s="684"/>
      <c r="K74" s="989">
        <f t="shared" si="85"/>
        <v>0</v>
      </c>
      <c r="L74" s="685">
        <f>U74+AC74+AD74+AE74</f>
        <v>652</v>
      </c>
      <c r="M74" s="685"/>
      <c r="N74" s="685"/>
      <c r="O74" s="685"/>
      <c r="P74" s="685"/>
      <c r="Q74" s="685"/>
      <c r="R74" s="685"/>
      <c r="S74" s="686"/>
      <c r="T74" s="667">
        <f t="shared" si="69"/>
        <v>0</v>
      </c>
      <c r="U74" s="666">
        <f t="shared" si="70"/>
        <v>0</v>
      </c>
      <c r="V74" s="685"/>
      <c r="W74" s="685"/>
      <c r="X74" s="685"/>
      <c r="Y74" s="667">
        <f t="shared" si="82"/>
        <v>0</v>
      </c>
      <c r="Z74" s="668">
        <f t="shared" si="81"/>
        <v>0</v>
      </c>
      <c r="AA74" s="686"/>
      <c r="AB74" s="667"/>
      <c r="AC74" s="666">
        <f t="shared" si="72"/>
        <v>0</v>
      </c>
      <c r="AD74" s="685">
        <v>652</v>
      </c>
      <c r="AE74" s="685"/>
      <c r="AF74" s="687"/>
      <c r="AG74" s="687"/>
      <c r="AH74" s="687"/>
      <c r="AI74" s="687"/>
      <c r="AJ74" s="687"/>
      <c r="AK74" s="687"/>
      <c r="AL74" s="688"/>
      <c r="AM74" s="689"/>
      <c r="AN74" s="690"/>
      <c r="AO74" s="682"/>
      <c r="AP74" s="683" t="s">
        <v>511</v>
      </c>
      <c r="AQ74" s="684"/>
      <c r="AR74" s="684"/>
      <c r="AS74" s="684"/>
      <c r="AT74" s="684"/>
      <c r="AU74" s="684"/>
      <c r="AV74" s="684"/>
      <c r="AW74" s="684"/>
      <c r="AX74" s="684"/>
      <c r="AY74" s="685">
        <f>BG74+BN74+BO74+BP74</f>
        <v>710</v>
      </c>
      <c r="AZ74" s="691"/>
      <c r="BA74" s="685"/>
      <c r="BB74" s="685"/>
      <c r="BC74" s="685"/>
      <c r="BD74" s="685"/>
      <c r="BE74" s="685"/>
      <c r="BF74" s="686">
        <f>ROUND(BE74,0)</f>
        <v>0</v>
      </c>
      <c r="BG74" s="685">
        <f t="shared" si="78"/>
        <v>0</v>
      </c>
      <c r="BH74" s="685"/>
      <c r="BI74" s="685"/>
      <c r="BJ74" s="685"/>
      <c r="BK74" s="685"/>
      <c r="BL74" s="685"/>
      <c r="BM74" s="686">
        <f t="shared" si="79"/>
        <v>0</v>
      </c>
      <c r="BN74" s="685">
        <f t="shared" si="80"/>
        <v>0</v>
      </c>
      <c r="BO74" s="685">
        <v>710</v>
      </c>
      <c r="BP74" s="685"/>
      <c r="BQ74" s="685"/>
      <c r="BR74" s="685"/>
      <c r="BS74" s="685"/>
      <c r="BT74" s="685"/>
      <c r="BU74" s="685"/>
      <c r="BV74" s="685"/>
      <c r="BW74" s="692"/>
    </row>
    <row r="75" spans="1:75" s="693" customFormat="1" ht="16.2">
      <c r="A75" s="682"/>
      <c r="B75" s="683" t="s">
        <v>512</v>
      </c>
      <c r="C75" s="684"/>
      <c r="D75" s="684"/>
      <c r="E75" s="684"/>
      <c r="F75" s="684"/>
      <c r="G75" s="684"/>
      <c r="H75" s="684"/>
      <c r="I75" s="684"/>
      <c r="J75" s="684"/>
      <c r="K75" s="989">
        <f t="shared" si="85"/>
        <v>0</v>
      </c>
      <c r="L75" s="685">
        <f>U75+AC75+AD75+AE75</f>
        <v>0</v>
      </c>
      <c r="M75" s="685"/>
      <c r="N75" s="685"/>
      <c r="O75" s="685"/>
      <c r="P75" s="685"/>
      <c r="Q75" s="685"/>
      <c r="R75" s="685"/>
      <c r="S75" s="686"/>
      <c r="T75" s="667">
        <f t="shared" si="69"/>
        <v>0</v>
      </c>
      <c r="U75" s="666">
        <f t="shared" si="70"/>
        <v>0</v>
      </c>
      <c r="V75" s="685"/>
      <c r="W75" s="685"/>
      <c r="X75" s="685"/>
      <c r="Y75" s="667">
        <f t="shared" si="82"/>
        <v>0</v>
      </c>
      <c r="Z75" s="668">
        <f t="shared" si="81"/>
        <v>0</v>
      </c>
      <c r="AA75" s="686"/>
      <c r="AB75" s="667">
        <f t="shared" si="71"/>
        <v>0</v>
      </c>
      <c r="AC75" s="666">
        <f t="shared" si="72"/>
        <v>0</v>
      </c>
      <c r="AD75" s="685"/>
      <c r="AE75" s="685"/>
      <c r="AF75" s="687"/>
      <c r="AG75" s="687"/>
      <c r="AH75" s="687"/>
      <c r="AI75" s="687"/>
      <c r="AJ75" s="687"/>
      <c r="AK75" s="687"/>
      <c r="AL75" s="688"/>
      <c r="AM75" s="689"/>
      <c r="AN75" s="690"/>
      <c r="AO75" s="682"/>
      <c r="AP75" s="683" t="s">
        <v>512</v>
      </c>
      <c r="AQ75" s="684"/>
      <c r="AR75" s="684"/>
      <c r="AS75" s="684"/>
      <c r="AT75" s="684"/>
      <c r="AU75" s="684"/>
      <c r="AV75" s="684"/>
      <c r="AW75" s="684"/>
      <c r="AX75" s="684"/>
      <c r="AY75" s="685">
        <f>BG75+BN75+BO75+BP75</f>
        <v>1603</v>
      </c>
      <c r="AZ75" s="691"/>
      <c r="BA75" s="685"/>
      <c r="BB75" s="685"/>
      <c r="BC75" s="685"/>
      <c r="BD75" s="685"/>
      <c r="BE75" s="685"/>
      <c r="BF75" s="686">
        <f>ROUND(BE75,0)</f>
        <v>0</v>
      </c>
      <c r="BG75" s="685">
        <f t="shared" si="78"/>
        <v>0</v>
      </c>
      <c r="BH75" s="685"/>
      <c r="BI75" s="685"/>
      <c r="BJ75" s="685"/>
      <c r="BK75" s="685"/>
      <c r="BL75" s="685"/>
      <c r="BM75" s="686">
        <f t="shared" si="79"/>
        <v>0</v>
      </c>
      <c r="BN75" s="685">
        <f t="shared" si="80"/>
        <v>0</v>
      </c>
      <c r="BO75" s="685">
        <v>1603</v>
      </c>
      <c r="BP75" s="685"/>
      <c r="BQ75" s="685"/>
      <c r="BR75" s="685"/>
      <c r="BS75" s="685"/>
      <c r="BT75" s="685"/>
      <c r="BU75" s="685"/>
      <c r="BV75" s="685"/>
      <c r="BW75" s="692"/>
    </row>
    <row r="76" spans="1:75" s="614" customFormat="1">
      <c r="A76" s="650" t="s">
        <v>315</v>
      </c>
      <c r="B76" s="651" t="s">
        <v>513</v>
      </c>
      <c r="C76" s="653">
        <f t="shared" ref="C76:AL76" si="86">C77+C91</f>
        <v>3319</v>
      </c>
      <c r="D76" s="653">
        <f t="shared" si="86"/>
        <v>3167</v>
      </c>
      <c r="E76" s="653">
        <f t="shared" si="86"/>
        <v>29</v>
      </c>
      <c r="F76" s="653">
        <f t="shared" si="86"/>
        <v>2036</v>
      </c>
      <c r="G76" s="653">
        <f t="shared" si="86"/>
        <v>29</v>
      </c>
      <c r="H76" s="653">
        <f t="shared" si="86"/>
        <v>2002</v>
      </c>
      <c r="I76" s="653">
        <f t="shared" si="86"/>
        <v>94</v>
      </c>
      <c r="J76" s="653">
        <f t="shared" si="86"/>
        <v>86</v>
      </c>
      <c r="K76" s="989">
        <f t="shared" si="85"/>
        <v>583911</v>
      </c>
      <c r="L76" s="653">
        <f t="shared" si="86"/>
        <v>583931</v>
      </c>
      <c r="M76" s="653">
        <f t="shared" si="86"/>
        <v>83571</v>
      </c>
      <c r="N76" s="653">
        <f t="shared" si="86"/>
        <v>15340</v>
      </c>
      <c r="O76" s="653">
        <f t="shared" si="86"/>
        <v>0</v>
      </c>
      <c r="P76" s="653">
        <f t="shared" si="86"/>
        <v>0</v>
      </c>
      <c r="Q76" s="653">
        <f t="shared" si="86"/>
        <v>0</v>
      </c>
      <c r="R76" s="653">
        <f t="shared" si="86"/>
        <v>636.80000000000007</v>
      </c>
      <c r="S76" s="655">
        <f t="shared" si="86"/>
        <v>1037.8888888888889</v>
      </c>
      <c r="T76" s="655">
        <f t="shared" si="86"/>
        <v>1675</v>
      </c>
      <c r="U76" s="653">
        <f t="shared" si="86"/>
        <v>97236</v>
      </c>
      <c r="V76" s="653">
        <f t="shared" si="86"/>
        <v>485546</v>
      </c>
      <c r="W76" s="653">
        <f t="shared" si="86"/>
        <v>3095</v>
      </c>
      <c r="X76" s="653">
        <f t="shared" si="86"/>
        <v>0</v>
      </c>
      <c r="Y76" s="655">
        <f t="shared" si="86"/>
        <v>42047.199999999997</v>
      </c>
      <c r="Z76" s="653">
        <f t="shared" si="86"/>
        <v>42250</v>
      </c>
      <c r="AA76" s="655">
        <f t="shared" si="86"/>
        <v>750</v>
      </c>
      <c r="AB76" s="655">
        <f t="shared" si="86"/>
        <v>1966</v>
      </c>
      <c r="AC76" s="653">
        <f t="shared" si="86"/>
        <v>486675</v>
      </c>
      <c r="AD76" s="653">
        <f t="shared" si="86"/>
        <v>20</v>
      </c>
      <c r="AE76" s="653">
        <f t="shared" si="86"/>
        <v>0</v>
      </c>
      <c r="AF76" s="656">
        <f t="shared" si="86"/>
        <v>0</v>
      </c>
      <c r="AG76" s="656">
        <f t="shared" si="86"/>
        <v>0</v>
      </c>
      <c r="AH76" s="656">
        <f t="shared" si="86"/>
        <v>0</v>
      </c>
      <c r="AI76" s="656">
        <f t="shared" si="86"/>
        <v>0</v>
      </c>
      <c r="AJ76" s="656">
        <f t="shared" si="86"/>
        <v>0</v>
      </c>
      <c r="AK76" s="656">
        <f t="shared" si="86"/>
        <v>0</v>
      </c>
      <c r="AL76" s="656">
        <f t="shared" si="86"/>
        <v>0</v>
      </c>
      <c r="AM76" s="608"/>
      <c r="AN76" s="610">
        <v>128525.1</v>
      </c>
      <c r="AO76" s="650" t="s">
        <v>315</v>
      </c>
      <c r="AP76" s="651" t="s">
        <v>513</v>
      </c>
      <c r="AQ76" s="653">
        <f t="shared" ref="AQ76:BW76" si="87">AQ77+AQ91</f>
        <v>3359</v>
      </c>
      <c r="AR76" s="653">
        <f t="shared" si="87"/>
        <v>3194</v>
      </c>
      <c r="AS76" s="653">
        <f t="shared" si="87"/>
        <v>29</v>
      </c>
      <c r="AT76" s="653">
        <f t="shared" si="87"/>
        <v>3165</v>
      </c>
      <c r="AU76" s="653">
        <f t="shared" si="87"/>
        <v>30</v>
      </c>
      <c r="AV76" s="653">
        <f t="shared" si="87"/>
        <v>3002</v>
      </c>
      <c r="AW76" s="653">
        <f t="shared" si="87"/>
        <v>165</v>
      </c>
      <c r="AX76" s="653">
        <f t="shared" si="87"/>
        <v>145</v>
      </c>
      <c r="AY76" s="653">
        <f t="shared" si="87"/>
        <v>578894</v>
      </c>
      <c r="AZ76" s="658">
        <f t="shared" si="87"/>
        <v>96645</v>
      </c>
      <c r="BA76" s="653">
        <f t="shared" si="87"/>
        <v>11600</v>
      </c>
      <c r="BB76" s="653">
        <f t="shared" si="87"/>
        <v>0</v>
      </c>
      <c r="BC76" s="653">
        <f t="shared" si="87"/>
        <v>0</v>
      </c>
      <c r="BD76" s="653">
        <f t="shared" si="87"/>
        <v>0</v>
      </c>
      <c r="BE76" s="653">
        <f t="shared" si="87"/>
        <v>1160</v>
      </c>
      <c r="BF76" s="655">
        <f t="shared" si="87"/>
        <v>1160</v>
      </c>
      <c r="BG76" s="653">
        <f t="shared" si="87"/>
        <v>107085</v>
      </c>
      <c r="BH76" s="653">
        <f t="shared" si="87"/>
        <v>470559</v>
      </c>
      <c r="BI76" s="653">
        <f t="shared" si="87"/>
        <v>0</v>
      </c>
      <c r="BJ76" s="653">
        <f t="shared" si="87"/>
        <v>576</v>
      </c>
      <c r="BK76" s="653">
        <f t="shared" si="87"/>
        <v>0</v>
      </c>
      <c r="BL76" s="653">
        <f t="shared" si="87"/>
        <v>854.7</v>
      </c>
      <c r="BM76" s="655">
        <f t="shared" si="87"/>
        <v>856</v>
      </c>
      <c r="BN76" s="653">
        <f t="shared" si="87"/>
        <v>470279</v>
      </c>
      <c r="BO76" s="653">
        <f t="shared" si="87"/>
        <v>1530</v>
      </c>
      <c r="BP76" s="653">
        <f t="shared" si="87"/>
        <v>0</v>
      </c>
      <c r="BQ76" s="653">
        <f t="shared" si="87"/>
        <v>673426</v>
      </c>
      <c r="BR76" s="653">
        <f t="shared" si="87"/>
        <v>117</v>
      </c>
      <c r="BS76" s="653">
        <f t="shared" si="87"/>
        <v>0</v>
      </c>
      <c r="BT76" s="653">
        <f t="shared" si="87"/>
        <v>138</v>
      </c>
      <c r="BU76" s="653">
        <f t="shared" si="87"/>
        <v>6705</v>
      </c>
      <c r="BV76" s="653">
        <f t="shared" si="87"/>
        <v>30000</v>
      </c>
      <c r="BW76" s="653">
        <f t="shared" si="87"/>
        <v>0</v>
      </c>
    </row>
    <row r="77" spans="1:75">
      <c r="A77" s="650" t="s">
        <v>441</v>
      </c>
      <c r="B77" s="651" t="s">
        <v>514</v>
      </c>
      <c r="C77" s="652">
        <f>C78</f>
        <v>376</v>
      </c>
      <c r="D77" s="652">
        <f t="shared" ref="D77:AM77" si="88">D78</f>
        <v>347</v>
      </c>
      <c r="E77" s="652">
        <f t="shared" si="88"/>
        <v>29</v>
      </c>
      <c r="F77" s="652">
        <f t="shared" si="88"/>
        <v>318</v>
      </c>
      <c r="G77" s="652">
        <f t="shared" si="88"/>
        <v>29</v>
      </c>
      <c r="H77" s="652">
        <f t="shared" si="88"/>
        <v>305</v>
      </c>
      <c r="I77" s="652">
        <f t="shared" si="88"/>
        <v>29</v>
      </c>
      <c r="J77" s="652">
        <f t="shared" si="88"/>
        <v>21</v>
      </c>
      <c r="K77" s="989">
        <f t="shared" si="85"/>
        <v>88054</v>
      </c>
      <c r="L77" s="653">
        <f>L78</f>
        <v>88074</v>
      </c>
      <c r="M77" s="653">
        <f>M78</f>
        <v>22454</v>
      </c>
      <c r="N77" s="653">
        <f t="shared" si="88"/>
        <v>5288</v>
      </c>
      <c r="O77" s="653">
        <f t="shared" si="88"/>
        <v>0</v>
      </c>
      <c r="P77" s="653">
        <f t="shared" si="88"/>
        <v>0</v>
      </c>
      <c r="Q77" s="653">
        <f t="shared" si="88"/>
        <v>0</v>
      </c>
      <c r="R77" s="653">
        <f t="shared" si="88"/>
        <v>249.00000000000003</v>
      </c>
      <c r="S77" s="654">
        <f t="shared" si="88"/>
        <v>520.88888888888891</v>
      </c>
      <c r="T77" s="654">
        <f t="shared" si="88"/>
        <v>770</v>
      </c>
      <c r="U77" s="653">
        <f t="shared" si="88"/>
        <v>26972</v>
      </c>
      <c r="V77" s="653">
        <f t="shared" si="88"/>
        <v>59953</v>
      </c>
      <c r="W77" s="653">
        <f t="shared" si="88"/>
        <v>3095</v>
      </c>
      <c r="X77" s="653">
        <f t="shared" si="88"/>
        <v>0</v>
      </c>
      <c r="Y77" s="655">
        <f t="shared" si="88"/>
        <v>1215.7</v>
      </c>
      <c r="Z77" s="653">
        <f t="shared" si="88"/>
        <v>1418.5</v>
      </c>
      <c r="AA77" s="654">
        <f t="shared" si="88"/>
        <v>750</v>
      </c>
      <c r="AB77" s="654">
        <f t="shared" si="88"/>
        <v>1966</v>
      </c>
      <c r="AC77" s="653">
        <f t="shared" si="88"/>
        <v>61082</v>
      </c>
      <c r="AD77" s="653">
        <f t="shared" si="88"/>
        <v>20</v>
      </c>
      <c r="AE77" s="653">
        <f t="shared" si="88"/>
        <v>0</v>
      </c>
      <c r="AF77" s="656">
        <f t="shared" si="88"/>
        <v>0</v>
      </c>
      <c r="AG77" s="656">
        <f t="shared" si="88"/>
        <v>0</v>
      </c>
      <c r="AH77" s="656">
        <f t="shared" si="88"/>
        <v>0</v>
      </c>
      <c r="AI77" s="656">
        <f t="shared" si="88"/>
        <v>0</v>
      </c>
      <c r="AJ77" s="656">
        <f t="shared" si="88"/>
        <v>0</v>
      </c>
      <c r="AK77" s="656">
        <f t="shared" si="88"/>
        <v>0</v>
      </c>
      <c r="AL77" s="656">
        <f t="shared" si="88"/>
        <v>0</v>
      </c>
      <c r="AM77" s="657">
        <f t="shared" si="88"/>
        <v>0</v>
      </c>
      <c r="AN77" s="610"/>
      <c r="AO77" s="650" t="s">
        <v>441</v>
      </c>
      <c r="AP77" s="651" t="s">
        <v>514</v>
      </c>
      <c r="AQ77" s="652">
        <f>AQ78</f>
        <v>564</v>
      </c>
      <c r="AR77" s="652">
        <f t="shared" ref="AR77:BW77" si="89">AR78</f>
        <v>522</v>
      </c>
      <c r="AS77" s="652">
        <f t="shared" si="89"/>
        <v>29</v>
      </c>
      <c r="AT77" s="652">
        <f t="shared" si="89"/>
        <v>493</v>
      </c>
      <c r="AU77" s="652">
        <f t="shared" si="89"/>
        <v>30</v>
      </c>
      <c r="AV77" s="652">
        <f t="shared" si="89"/>
        <v>451</v>
      </c>
      <c r="AW77" s="652">
        <f t="shared" si="89"/>
        <v>42</v>
      </c>
      <c r="AX77" s="652">
        <f t="shared" si="89"/>
        <v>32</v>
      </c>
      <c r="AY77" s="653">
        <f>AY78</f>
        <v>91935</v>
      </c>
      <c r="AZ77" s="658">
        <f>AZ78</f>
        <v>41846</v>
      </c>
      <c r="BA77" s="653">
        <f t="shared" si="89"/>
        <v>5208</v>
      </c>
      <c r="BB77" s="653">
        <f t="shared" si="89"/>
        <v>0</v>
      </c>
      <c r="BC77" s="653">
        <f t="shared" si="89"/>
        <v>0</v>
      </c>
      <c r="BD77" s="653">
        <f t="shared" si="89"/>
        <v>0</v>
      </c>
      <c r="BE77" s="653">
        <f t="shared" si="89"/>
        <v>520.79999999999995</v>
      </c>
      <c r="BF77" s="655">
        <f t="shared" si="89"/>
        <v>521</v>
      </c>
      <c r="BG77" s="653">
        <f t="shared" si="89"/>
        <v>46533</v>
      </c>
      <c r="BH77" s="653">
        <f t="shared" si="89"/>
        <v>45877</v>
      </c>
      <c r="BI77" s="653">
        <f t="shared" si="89"/>
        <v>0</v>
      </c>
      <c r="BJ77" s="653">
        <f t="shared" si="89"/>
        <v>326</v>
      </c>
      <c r="BK77" s="653">
        <f t="shared" si="89"/>
        <v>0</v>
      </c>
      <c r="BL77" s="653">
        <f t="shared" si="89"/>
        <v>854.7</v>
      </c>
      <c r="BM77" s="655">
        <f t="shared" si="89"/>
        <v>856</v>
      </c>
      <c r="BN77" s="653">
        <f t="shared" si="89"/>
        <v>45347</v>
      </c>
      <c r="BO77" s="653">
        <f t="shared" si="89"/>
        <v>55</v>
      </c>
      <c r="BP77" s="653">
        <f t="shared" si="89"/>
        <v>0</v>
      </c>
      <c r="BQ77" s="653">
        <f t="shared" si="89"/>
        <v>18308</v>
      </c>
      <c r="BR77" s="653">
        <f t="shared" si="89"/>
        <v>117</v>
      </c>
      <c r="BS77" s="653">
        <f t="shared" si="89"/>
        <v>0</v>
      </c>
      <c r="BT77" s="653">
        <f t="shared" si="89"/>
        <v>138</v>
      </c>
      <c r="BU77" s="653">
        <f t="shared" si="89"/>
        <v>6705</v>
      </c>
      <c r="BV77" s="653">
        <f t="shared" si="89"/>
        <v>30000</v>
      </c>
      <c r="BW77" s="653">
        <f t="shared" si="89"/>
        <v>0</v>
      </c>
    </row>
    <row r="78" spans="1:75">
      <c r="A78" s="659">
        <v>31</v>
      </c>
      <c r="B78" s="660" t="s">
        <v>515</v>
      </c>
      <c r="C78" s="661">
        <f>SUM(C79:C89)</f>
        <v>376</v>
      </c>
      <c r="D78" s="661">
        <f>SUM(D79:D89)</f>
        <v>347</v>
      </c>
      <c r="E78" s="661">
        <f t="shared" ref="E78:J78" si="90">SUM(E79:E89)</f>
        <v>29</v>
      </c>
      <c r="F78" s="661">
        <f t="shared" si="90"/>
        <v>318</v>
      </c>
      <c r="G78" s="661">
        <f t="shared" si="90"/>
        <v>29</v>
      </c>
      <c r="H78" s="661">
        <f t="shared" si="90"/>
        <v>305</v>
      </c>
      <c r="I78" s="661">
        <f t="shared" si="90"/>
        <v>29</v>
      </c>
      <c r="J78" s="661">
        <f t="shared" si="90"/>
        <v>21</v>
      </c>
      <c r="K78" s="989">
        <f t="shared" si="85"/>
        <v>88054</v>
      </c>
      <c r="L78" s="662">
        <f t="shared" ref="L78:AL78" si="91">SUM(L79:L89)</f>
        <v>88074</v>
      </c>
      <c r="M78" s="662">
        <f t="shared" si="91"/>
        <v>22454</v>
      </c>
      <c r="N78" s="662">
        <f t="shared" si="91"/>
        <v>5288</v>
      </c>
      <c r="O78" s="662">
        <f t="shared" si="91"/>
        <v>0</v>
      </c>
      <c r="P78" s="662">
        <f t="shared" si="91"/>
        <v>0</v>
      </c>
      <c r="Q78" s="662">
        <f t="shared" si="91"/>
        <v>0</v>
      </c>
      <c r="R78" s="662">
        <f t="shared" si="91"/>
        <v>249.00000000000003</v>
      </c>
      <c r="S78" s="663">
        <f t="shared" si="91"/>
        <v>520.88888888888891</v>
      </c>
      <c r="T78" s="663">
        <f t="shared" si="91"/>
        <v>770</v>
      </c>
      <c r="U78" s="662">
        <f t="shared" si="91"/>
        <v>26972</v>
      </c>
      <c r="V78" s="662">
        <f t="shared" si="91"/>
        <v>59953</v>
      </c>
      <c r="W78" s="662">
        <f t="shared" si="91"/>
        <v>3095</v>
      </c>
      <c r="X78" s="662">
        <f t="shared" si="91"/>
        <v>0</v>
      </c>
      <c r="Y78" s="663">
        <f t="shared" si="91"/>
        <v>1215.7</v>
      </c>
      <c r="Z78" s="662">
        <f t="shared" si="91"/>
        <v>1418.5</v>
      </c>
      <c r="AA78" s="663">
        <f t="shared" si="91"/>
        <v>750</v>
      </c>
      <c r="AB78" s="663">
        <f t="shared" si="91"/>
        <v>1966</v>
      </c>
      <c r="AC78" s="662">
        <f t="shared" si="91"/>
        <v>61082</v>
      </c>
      <c r="AD78" s="662">
        <f t="shared" si="91"/>
        <v>20</v>
      </c>
      <c r="AE78" s="662">
        <f t="shared" si="91"/>
        <v>0</v>
      </c>
      <c r="AF78" s="664">
        <f t="shared" si="91"/>
        <v>0</v>
      </c>
      <c r="AG78" s="664">
        <f t="shared" si="91"/>
        <v>0</v>
      </c>
      <c r="AH78" s="664">
        <f t="shared" si="91"/>
        <v>0</v>
      </c>
      <c r="AI78" s="664">
        <f t="shared" si="91"/>
        <v>0</v>
      </c>
      <c r="AJ78" s="664">
        <f t="shared" si="91"/>
        <v>0</v>
      </c>
      <c r="AK78" s="664">
        <f t="shared" si="91"/>
        <v>0</v>
      </c>
      <c r="AL78" s="664">
        <f t="shared" si="91"/>
        <v>0</v>
      </c>
      <c r="AN78" s="621"/>
      <c r="AO78" s="659">
        <v>34</v>
      </c>
      <c r="AP78" s="660" t="s">
        <v>515</v>
      </c>
      <c r="AQ78" s="661">
        <f>SUM(AQ79:AQ89)</f>
        <v>564</v>
      </c>
      <c r="AR78" s="661">
        <f>SUM(AR79:AR89)</f>
        <v>522</v>
      </c>
      <c r="AS78" s="661">
        <f t="shared" ref="AS78:AX78" si="92">SUM(AS79:AS89)</f>
        <v>29</v>
      </c>
      <c r="AT78" s="661">
        <f t="shared" si="92"/>
        <v>493</v>
      </c>
      <c r="AU78" s="661">
        <f t="shared" si="92"/>
        <v>30</v>
      </c>
      <c r="AV78" s="661">
        <f t="shared" si="92"/>
        <v>451</v>
      </c>
      <c r="AW78" s="661">
        <f t="shared" si="92"/>
        <v>42</v>
      </c>
      <c r="AX78" s="661">
        <f t="shared" si="92"/>
        <v>32</v>
      </c>
      <c r="AY78" s="662">
        <f t="shared" ref="AY78:BW78" si="93">SUM(AY79:AY89)</f>
        <v>91935</v>
      </c>
      <c r="AZ78" s="665">
        <f>SUM(AZ79:AZ89)</f>
        <v>41846</v>
      </c>
      <c r="BA78" s="662">
        <f t="shared" si="93"/>
        <v>5208</v>
      </c>
      <c r="BB78" s="662">
        <f t="shared" si="93"/>
        <v>0</v>
      </c>
      <c r="BC78" s="662">
        <f t="shared" si="93"/>
        <v>0</v>
      </c>
      <c r="BD78" s="662">
        <f t="shared" si="93"/>
        <v>0</v>
      </c>
      <c r="BE78" s="662">
        <f t="shared" si="93"/>
        <v>520.79999999999995</v>
      </c>
      <c r="BF78" s="663">
        <f t="shared" si="93"/>
        <v>521</v>
      </c>
      <c r="BG78" s="662">
        <f t="shared" si="93"/>
        <v>46533</v>
      </c>
      <c r="BH78" s="662">
        <f t="shared" si="93"/>
        <v>45877</v>
      </c>
      <c r="BI78" s="662">
        <f t="shared" si="93"/>
        <v>0</v>
      </c>
      <c r="BJ78" s="662">
        <f t="shared" si="93"/>
        <v>326</v>
      </c>
      <c r="BK78" s="662">
        <f t="shared" si="93"/>
        <v>0</v>
      </c>
      <c r="BL78" s="662">
        <f t="shared" si="93"/>
        <v>854.7</v>
      </c>
      <c r="BM78" s="663">
        <f t="shared" si="93"/>
        <v>856</v>
      </c>
      <c r="BN78" s="662">
        <f t="shared" si="93"/>
        <v>45347</v>
      </c>
      <c r="BO78" s="662">
        <f t="shared" si="93"/>
        <v>55</v>
      </c>
      <c r="BP78" s="662">
        <f t="shared" si="93"/>
        <v>0</v>
      </c>
      <c r="BQ78" s="662">
        <f t="shared" si="93"/>
        <v>18308</v>
      </c>
      <c r="BR78" s="662">
        <f t="shared" si="93"/>
        <v>117</v>
      </c>
      <c r="BS78" s="662">
        <f t="shared" si="93"/>
        <v>0</v>
      </c>
      <c r="BT78" s="662">
        <f t="shared" si="93"/>
        <v>138</v>
      </c>
      <c r="BU78" s="662">
        <f t="shared" si="93"/>
        <v>6705</v>
      </c>
      <c r="BV78" s="662">
        <f t="shared" si="93"/>
        <v>30000</v>
      </c>
      <c r="BW78" s="662">
        <f t="shared" si="93"/>
        <v>0</v>
      </c>
    </row>
    <row r="79" spans="1:75" s="710" customFormat="1" ht="31.2">
      <c r="A79" s="700"/>
      <c r="B79" s="701" t="s">
        <v>516</v>
      </c>
      <c r="C79" s="702">
        <f>D79+I79</f>
        <v>0</v>
      </c>
      <c r="D79" s="702">
        <f>E79+F79</f>
        <v>0</v>
      </c>
      <c r="E79" s="702"/>
      <c r="F79" s="702"/>
      <c r="G79" s="702"/>
      <c r="H79" s="702"/>
      <c r="I79" s="702"/>
      <c r="J79" s="702"/>
      <c r="K79" s="989">
        <f t="shared" si="85"/>
        <v>49356</v>
      </c>
      <c r="L79" s="703">
        <f t="shared" ref="L79:L90" si="94">U79+AC79+AD79+AE79</f>
        <v>49356</v>
      </c>
      <c r="M79" s="703"/>
      <c r="N79" s="703"/>
      <c r="O79" s="703"/>
      <c r="P79" s="703"/>
      <c r="Q79" s="703"/>
      <c r="R79" s="666">
        <f>((N79+O79)-(BA79+BB79))*10%</f>
        <v>0</v>
      </c>
      <c r="S79" s="704"/>
      <c r="T79" s="667">
        <f t="shared" ref="T79:T90" si="95">ROUND((Q79+R79+S79),0)</f>
        <v>0</v>
      </c>
      <c r="U79" s="666">
        <f t="shared" ref="U79:U90" si="96">(M79+N79+O79+P79)-T79</f>
        <v>0</v>
      </c>
      <c r="V79" s="703">
        <f>((29700+2861+549+4946+3000))+6000+500+500</f>
        <v>48056</v>
      </c>
      <c r="W79" s="703">
        <v>2000</v>
      </c>
      <c r="X79" s="703"/>
      <c r="Y79" s="667">
        <f>Z79-BM79</f>
        <v>700</v>
      </c>
      <c r="Z79" s="668">
        <f>(V79-41056)*10%</f>
        <v>700</v>
      </c>
      <c r="AA79" s="704"/>
      <c r="AB79" s="667">
        <f t="shared" ref="AB79:AB90" si="97">ROUND((Y79+AA79+X79),0)</f>
        <v>700</v>
      </c>
      <c r="AC79" s="666">
        <f t="shared" ref="AC79:AC90" si="98">(V79+W79)-AB79</f>
        <v>49356</v>
      </c>
      <c r="AD79" s="703"/>
      <c r="AE79" s="703"/>
      <c r="AF79" s="705"/>
      <c r="AG79" s="705"/>
      <c r="AH79" s="705"/>
      <c r="AI79" s="705"/>
      <c r="AJ79" s="705"/>
      <c r="AK79" s="705"/>
      <c r="AL79" s="705"/>
      <c r="AM79" s="706"/>
      <c r="AN79" s="726"/>
      <c r="AO79" s="700"/>
      <c r="AP79" s="701" t="s">
        <v>516</v>
      </c>
      <c r="AQ79" s="702">
        <f>AR79+AW79</f>
        <v>0</v>
      </c>
      <c r="AR79" s="702">
        <f>AS79+AT79</f>
        <v>0</v>
      </c>
      <c r="AS79" s="702"/>
      <c r="AT79" s="702"/>
      <c r="AU79" s="702"/>
      <c r="AV79" s="702"/>
      <c r="AW79" s="702"/>
      <c r="AX79" s="702"/>
      <c r="AY79" s="703">
        <f t="shared" ref="AY79:AY89" si="99">BG79+BN79+BO79+BP79</f>
        <v>33195</v>
      </c>
      <c r="AZ79" s="708"/>
      <c r="BA79" s="703"/>
      <c r="BB79" s="703"/>
      <c r="BC79" s="703"/>
      <c r="BD79" s="703"/>
      <c r="BE79" s="709">
        <f t="shared" ref="BE79:BE89" si="100">(BA79+BB79)*10%</f>
        <v>0</v>
      </c>
      <c r="BF79" s="704">
        <f t="shared" ref="BF79:BF89" si="101">ROUND(BE79,0)</f>
        <v>0</v>
      </c>
      <c r="BG79" s="709">
        <f t="shared" ref="BG79:BG89" si="102">(AZ79+BA79+BB79+BC79)-BF79</f>
        <v>0</v>
      </c>
      <c r="BH79" s="703">
        <f>33195</f>
        <v>33195</v>
      </c>
      <c r="BI79" s="703"/>
      <c r="BJ79" s="703"/>
      <c r="BK79" s="703"/>
      <c r="BL79" s="709">
        <f>(BH79-33195)*10%</f>
        <v>0</v>
      </c>
      <c r="BM79" s="704">
        <f t="shared" ref="BM79:BM88" si="103">ROUND(BL79,0)</f>
        <v>0</v>
      </c>
      <c r="BN79" s="709">
        <f t="shared" ref="BN79:BN89" si="104">(BH79+BI79+BJ79)-BM79</f>
        <v>33195</v>
      </c>
      <c r="BO79" s="703"/>
      <c r="BP79" s="703"/>
      <c r="BQ79" s="703"/>
      <c r="BR79" s="703"/>
      <c r="BS79" s="703"/>
      <c r="BT79" s="703"/>
      <c r="BU79" s="703"/>
      <c r="BV79" s="703">
        <v>30000</v>
      </c>
      <c r="BW79" s="703"/>
    </row>
    <row r="80" spans="1:75" s="710" customFormat="1" ht="16.8">
      <c r="A80" s="700"/>
      <c r="B80" s="738" t="s">
        <v>517</v>
      </c>
      <c r="C80" s="702">
        <f>D80+I80</f>
        <v>15</v>
      </c>
      <c r="D80" s="702">
        <f>E80+F80</f>
        <v>14</v>
      </c>
      <c r="E80" s="702">
        <v>14</v>
      </c>
      <c r="F80" s="702"/>
      <c r="G80" s="702">
        <v>14</v>
      </c>
      <c r="H80" s="702"/>
      <c r="I80" s="702">
        <v>1</v>
      </c>
      <c r="J80" s="702">
        <v>1</v>
      </c>
      <c r="K80" s="989">
        <f t="shared" si="85"/>
        <v>2200</v>
      </c>
      <c r="L80" s="703">
        <f t="shared" si="94"/>
        <v>2200</v>
      </c>
      <c r="M80" s="739">
        <v>1393</v>
      </c>
      <c r="N80" s="739">
        <v>406</v>
      </c>
      <c r="O80" s="703"/>
      <c r="P80" s="703"/>
      <c r="Q80" s="703"/>
      <c r="R80" s="666"/>
      <c r="S80" s="704">
        <v>49</v>
      </c>
      <c r="T80" s="667">
        <f t="shared" si="95"/>
        <v>49</v>
      </c>
      <c r="U80" s="666">
        <f t="shared" si="96"/>
        <v>1750</v>
      </c>
      <c r="V80" s="703">
        <v>500</v>
      </c>
      <c r="W80" s="703"/>
      <c r="X80" s="703"/>
      <c r="Y80" s="667">
        <f>Z80-BM80</f>
        <v>0</v>
      </c>
      <c r="Z80" s="668">
        <f t="shared" ref="Z80:Z114" si="105">V80*10%</f>
        <v>50</v>
      </c>
      <c r="AA80" s="704">
        <v>50</v>
      </c>
      <c r="AB80" s="667">
        <f t="shared" si="97"/>
        <v>50</v>
      </c>
      <c r="AC80" s="666">
        <f t="shared" si="98"/>
        <v>450</v>
      </c>
      <c r="AD80" s="703"/>
      <c r="AE80" s="703"/>
      <c r="AF80" s="705"/>
      <c r="AG80" s="705"/>
      <c r="AH80" s="705"/>
      <c r="AI80" s="705"/>
      <c r="AJ80" s="705"/>
      <c r="AK80" s="705"/>
      <c r="AL80" s="705"/>
      <c r="AM80" s="706"/>
      <c r="AN80" s="707"/>
      <c r="AO80" s="700"/>
      <c r="AP80" s="738" t="s">
        <v>517</v>
      </c>
      <c r="AQ80" s="702">
        <f>AR80+AW80</f>
        <v>16</v>
      </c>
      <c r="AR80" s="702">
        <f>AS80+AT80</f>
        <v>14</v>
      </c>
      <c r="AS80" s="702">
        <v>14</v>
      </c>
      <c r="AT80" s="702"/>
      <c r="AU80" s="702">
        <v>15</v>
      </c>
      <c r="AV80" s="702"/>
      <c r="AW80" s="702">
        <v>2</v>
      </c>
      <c r="AX80" s="702">
        <v>1</v>
      </c>
      <c r="AY80" s="703">
        <f t="shared" si="99"/>
        <v>3157</v>
      </c>
      <c r="AZ80" s="740">
        <f>(843+3+211+190)+46+12+11</f>
        <v>1316</v>
      </c>
      <c r="BA80" s="739">
        <v>435</v>
      </c>
      <c r="BB80" s="703"/>
      <c r="BC80" s="703"/>
      <c r="BD80" s="703"/>
      <c r="BE80" s="666">
        <f t="shared" si="100"/>
        <v>43.5</v>
      </c>
      <c r="BF80" s="704">
        <f t="shared" si="101"/>
        <v>44</v>
      </c>
      <c r="BG80" s="709">
        <f t="shared" si="102"/>
        <v>1707</v>
      </c>
      <c r="BH80" s="703">
        <f>1000+500</f>
        <v>1500</v>
      </c>
      <c r="BI80" s="703"/>
      <c r="BJ80" s="703"/>
      <c r="BK80" s="703"/>
      <c r="BL80" s="666">
        <f>(BH80-1000)*10%</f>
        <v>50</v>
      </c>
      <c r="BM80" s="704">
        <f t="shared" si="103"/>
        <v>50</v>
      </c>
      <c r="BN80" s="709">
        <f t="shared" si="104"/>
        <v>1450</v>
      </c>
      <c r="BO80" s="703"/>
      <c r="BP80" s="703"/>
      <c r="BQ80" s="703"/>
      <c r="BR80" s="703"/>
      <c r="BS80" s="703"/>
      <c r="BT80" s="703"/>
      <c r="BU80" s="703">
        <v>6705</v>
      </c>
      <c r="BV80" s="703"/>
      <c r="BW80" s="703"/>
    </row>
    <row r="81" spans="1:75" s="710" customFormat="1" ht="16.8">
      <c r="A81" s="700"/>
      <c r="B81" s="738" t="s">
        <v>518</v>
      </c>
      <c r="C81" s="702">
        <f>D81+I81</f>
        <v>18</v>
      </c>
      <c r="D81" s="702">
        <f>E81+F81</f>
        <v>15</v>
      </c>
      <c r="E81" s="702">
        <v>15</v>
      </c>
      <c r="F81" s="702"/>
      <c r="G81" s="702">
        <v>15</v>
      </c>
      <c r="H81" s="702"/>
      <c r="I81" s="702">
        <v>3</v>
      </c>
      <c r="J81" s="741">
        <v>2</v>
      </c>
      <c r="K81" s="989">
        <f t="shared" si="85"/>
        <v>1896</v>
      </c>
      <c r="L81" s="703">
        <f t="shared" si="94"/>
        <v>1916</v>
      </c>
      <c r="M81" s="739">
        <v>1248</v>
      </c>
      <c r="N81" s="739">
        <v>435</v>
      </c>
      <c r="O81" s="703"/>
      <c r="P81" s="703"/>
      <c r="Q81" s="703"/>
      <c r="R81" s="666">
        <f>((N81+O81)-(BA81+BB81))*10%</f>
        <v>0</v>
      </c>
      <c r="S81" s="704">
        <v>41</v>
      </c>
      <c r="T81" s="667">
        <f t="shared" si="95"/>
        <v>41</v>
      </c>
      <c r="U81" s="666">
        <f t="shared" si="96"/>
        <v>1642</v>
      </c>
      <c r="V81" s="703">
        <v>204</v>
      </c>
      <c r="W81" s="703">
        <v>95</v>
      </c>
      <c r="X81" s="703"/>
      <c r="Y81" s="667"/>
      <c r="Z81" s="668">
        <f t="shared" si="105"/>
        <v>20.400000000000002</v>
      </c>
      <c r="AA81" s="704">
        <v>45</v>
      </c>
      <c r="AB81" s="667">
        <f t="shared" si="97"/>
        <v>45</v>
      </c>
      <c r="AC81" s="666">
        <f t="shared" si="98"/>
        <v>254</v>
      </c>
      <c r="AD81" s="703">
        <v>20</v>
      </c>
      <c r="AE81" s="703"/>
      <c r="AF81" s="705"/>
      <c r="AG81" s="705"/>
      <c r="AH81" s="705"/>
      <c r="AI81" s="705"/>
      <c r="AJ81" s="705"/>
      <c r="AK81" s="705"/>
      <c r="AL81" s="705"/>
      <c r="AM81" s="706"/>
      <c r="AN81" s="707"/>
      <c r="AO81" s="700"/>
      <c r="AP81" s="738" t="s">
        <v>518</v>
      </c>
      <c r="AQ81" s="702">
        <f>AR81+AW81</f>
        <v>18</v>
      </c>
      <c r="AR81" s="702">
        <f>AS81+AT81</f>
        <v>15</v>
      </c>
      <c r="AS81" s="702">
        <v>15</v>
      </c>
      <c r="AT81" s="702"/>
      <c r="AU81" s="702">
        <v>15</v>
      </c>
      <c r="AV81" s="702"/>
      <c r="AW81" s="702">
        <v>3</v>
      </c>
      <c r="AX81" s="741">
        <v>2</v>
      </c>
      <c r="AY81" s="703">
        <f t="shared" si="99"/>
        <v>2009</v>
      </c>
      <c r="AZ81" s="740">
        <f>(845+5+211+190)+(56+14+13)</f>
        <v>1334</v>
      </c>
      <c r="BA81" s="739">
        <v>435</v>
      </c>
      <c r="BB81" s="703"/>
      <c r="BC81" s="703"/>
      <c r="BD81" s="703"/>
      <c r="BE81" s="666">
        <f t="shared" si="100"/>
        <v>43.5</v>
      </c>
      <c r="BF81" s="704">
        <f t="shared" si="101"/>
        <v>44</v>
      </c>
      <c r="BG81" s="709">
        <f>(AZ81+BA81+BB81+BC81)-BF81</f>
        <v>1725</v>
      </c>
      <c r="BH81" s="703">
        <f>178+138</f>
        <v>316</v>
      </c>
      <c r="BI81" s="703"/>
      <c r="BJ81" s="703"/>
      <c r="BK81" s="703"/>
      <c r="BL81" s="666">
        <f>BH81*10%</f>
        <v>31.6</v>
      </c>
      <c r="BM81" s="704">
        <f t="shared" si="103"/>
        <v>32</v>
      </c>
      <c r="BN81" s="709">
        <f t="shared" si="104"/>
        <v>284</v>
      </c>
      <c r="BO81" s="703"/>
      <c r="BP81" s="703"/>
      <c r="BQ81" s="703">
        <f>393-98</f>
        <v>295</v>
      </c>
      <c r="BR81" s="703">
        <v>80</v>
      </c>
      <c r="BS81" s="703"/>
      <c r="BT81" s="703">
        <v>138</v>
      </c>
      <c r="BU81" s="703"/>
      <c r="BV81" s="703"/>
      <c r="BW81" s="703"/>
    </row>
    <row r="82" spans="1:75" s="750" customFormat="1" ht="46.8">
      <c r="A82" s="742"/>
      <c r="B82" s="743" t="s">
        <v>519</v>
      </c>
      <c r="C82" s="744">
        <f>D82+I82</f>
        <v>134</v>
      </c>
      <c r="D82" s="744">
        <f>E82+F82</f>
        <v>121</v>
      </c>
      <c r="E82" s="744"/>
      <c r="F82" s="744">
        <v>121</v>
      </c>
      <c r="G82" s="744"/>
      <c r="H82" s="744">
        <v>112</v>
      </c>
      <c r="I82" s="744">
        <v>13</v>
      </c>
      <c r="J82" s="744">
        <v>6</v>
      </c>
      <c r="K82" s="989">
        <f t="shared" si="85"/>
        <v>14755</v>
      </c>
      <c r="L82" s="745">
        <f t="shared" si="94"/>
        <v>14755</v>
      </c>
      <c r="M82" s="746">
        <f>(9004+378+250)-1930</f>
        <v>7702</v>
      </c>
      <c r="N82" s="746">
        <v>1073</v>
      </c>
      <c r="O82" s="745"/>
      <c r="P82" s="745"/>
      <c r="Q82" s="745"/>
      <c r="R82" s="668"/>
      <c r="S82" s="704">
        <f>57+60+31</f>
        <v>148</v>
      </c>
      <c r="T82" s="667">
        <f t="shared" si="95"/>
        <v>148</v>
      </c>
      <c r="U82" s="666">
        <f t="shared" si="96"/>
        <v>8627</v>
      </c>
      <c r="V82" s="745">
        <f>(1200+80+80+3200+150+77+100)+1930+470</f>
        <v>7287</v>
      </c>
      <c r="W82" s="745"/>
      <c r="X82" s="745"/>
      <c r="Y82" s="667">
        <f>Z82-BM82</f>
        <v>515.70000000000005</v>
      </c>
      <c r="Z82" s="668">
        <f>(V82-1930)*10%</f>
        <v>535.70000000000005</v>
      </c>
      <c r="AA82" s="704">
        <f>150+376+117</f>
        <v>643</v>
      </c>
      <c r="AB82" s="667">
        <f t="shared" si="97"/>
        <v>1159</v>
      </c>
      <c r="AC82" s="666">
        <f t="shared" si="98"/>
        <v>6128</v>
      </c>
      <c r="AD82" s="745"/>
      <c r="AE82" s="745"/>
      <c r="AF82" s="745"/>
      <c r="AG82" s="745"/>
      <c r="AH82" s="745"/>
      <c r="AI82" s="745"/>
      <c r="AJ82" s="745"/>
      <c r="AK82" s="745"/>
      <c r="AL82" s="745"/>
      <c r="AM82" s="747"/>
      <c r="AN82" s="707"/>
      <c r="AO82" s="742"/>
      <c r="AP82" s="748" t="s">
        <v>520</v>
      </c>
      <c r="AQ82" s="744">
        <f>AR82+AW82</f>
        <v>81</v>
      </c>
      <c r="AR82" s="744">
        <f>AS82+AT82</f>
        <v>77</v>
      </c>
      <c r="AS82" s="744"/>
      <c r="AT82" s="744">
        <v>77</v>
      </c>
      <c r="AU82" s="744"/>
      <c r="AV82" s="744">
        <v>76</v>
      </c>
      <c r="AW82" s="744">
        <v>4</v>
      </c>
      <c r="AX82" s="744">
        <v>4</v>
      </c>
      <c r="AY82" s="745">
        <f t="shared" si="99"/>
        <v>7489</v>
      </c>
      <c r="AZ82" s="746">
        <f>(4802-43+1)+43+193</f>
        <v>4996</v>
      </c>
      <c r="BA82" s="746">
        <v>1240</v>
      </c>
      <c r="BB82" s="745"/>
      <c r="BC82" s="745"/>
      <c r="BD82" s="745"/>
      <c r="BE82" s="666">
        <f t="shared" si="100"/>
        <v>124</v>
      </c>
      <c r="BF82" s="749">
        <f t="shared" si="101"/>
        <v>124</v>
      </c>
      <c r="BG82" s="749">
        <f>(AZ82+BA82+BB82+BC82)-BF82</f>
        <v>6112</v>
      </c>
      <c r="BH82" s="745">
        <f>1200+37+80+80</f>
        <v>1397</v>
      </c>
      <c r="BI82" s="745"/>
      <c r="BJ82" s="745"/>
      <c r="BK82" s="745"/>
      <c r="BL82" s="666">
        <f>(BH82-1200)*10%</f>
        <v>19.700000000000003</v>
      </c>
      <c r="BM82" s="749">
        <f t="shared" si="103"/>
        <v>20</v>
      </c>
      <c r="BN82" s="749">
        <f t="shared" si="104"/>
        <v>1377</v>
      </c>
      <c r="BO82" s="745"/>
      <c r="BP82" s="745"/>
      <c r="BQ82" s="745">
        <f>9771-(310+133)</f>
        <v>9328</v>
      </c>
      <c r="BR82" s="745"/>
      <c r="BS82" s="745"/>
      <c r="BT82" s="745"/>
      <c r="BU82" s="745"/>
      <c r="BV82" s="745"/>
      <c r="BW82" s="745"/>
    </row>
    <row r="83" spans="1:75" s="710" customFormat="1">
      <c r="A83" s="700"/>
      <c r="B83" s="738" t="s">
        <v>521</v>
      </c>
      <c r="C83" s="702">
        <f>D83+I83</f>
        <v>0</v>
      </c>
      <c r="D83" s="702">
        <f t="shared" ref="D83:D89" si="106">E83+F83</f>
        <v>0</v>
      </c>
      <c r="E83" s="702"/>
      <c r="F83" s="702"/>
      <c r="G83" s="702"/>
      <c r="H83" s="702"/>
      <c r="I83" s="702"/>
      <c r="J83" s="702"/>
      <c r="K83" s="989">
        <f t="shared" si="85"/>
        <v>0</v>
      </c>
      <c r="L83" s="703">
        <f t="shared" si="94"/>
        <v>0</v>
      </c>
      <c r="M83" s="703"/>
      <c r="N83" s="703"/>
      <c r="O83" s="703"/>
      <c r="P83" s="703"/>
      <c r="Q83" s="703"/>
      <c r="R83" s="666"/>
      <c r="S83" s="704"/>
      <c r="T83" s="667">
        <f t="shared" si="95"/>
        <v>0</v>
      </c>
      <c r="U83" s="666">
        <f t="shared" si="96"/>
        <v>0</v>
      </c>
      <c r="V83" s="703"/>
      <c r="W83" s="703"/>
      <c r="X83" s="703"/>
      <c r="Y83" s="667">
        <f>Z83-BM83</f>
        <v>0</v>
      </c>
      <c r="Z83" s="668">
        <f t="shared" si="105"/>
        <v>0</v>
      </c>
      <c r="AA83" s="704"/>
      <c r="AB83" s="667">
        <f t="shared" si="97"/>
        <v>0</v>
      </c>
      <c r="AC83" s="666">
        <f t="shared" si="98"/>
        <v>0</v>
      </c>
      <c r="AD83" s="703"/>
      <c r="AE83" s="703"/>
      <c r="AF83" s="705"/>
      <c r="AG83" s="705"/>
      <c r="AH83" s="705"/>
      <c r="AI83" s="705"/>
      <c r="AJ83" s="705"/>
      <c r="AK83" s="705"/>
      <c r="AL83" s="705"/>
      <c r="AM83" s="706"/>
      <c r="AN83" s="707"/>
      <c r="AO83" s="700"/>
      <c r="AP83" s="738" t="s">
        <v>521</v>
      </c>
      <c r="AQ83" s="702">
        <f>AR83+AW83</f>
        <v>29</v>
      </c>
      <c r="AR83" s="702">
        <f t="shared" ref="AR83:AR89" si="107">AS83+AT83</f>
        <v>26</v>
      </c>
      <c r="AS83" s="702"/>
      <c r="AT83" s="702">
        <v>26</v>
      </c>
      <c r="AU83" s="702"/>
      <c r="AV83" s="702">
        <v>25</v>
      </c>
      <c r="AW83" s="702">
        <v>3</v>
      </c>
      <c r="AX83" s="702">
        <v>3</v>
      </c>
      <c r="AY83" s="703">
        <f t="shared" si="99"/>
        <v>2698</v>
      </c>
      <c r="AZ83" s="708">
        <f>(2020+42+159)-459</f>
        <v>1762</v>
      </c>
      <c r="BA83" s="703">
        <v>530</v>
      </c>
      <c r="BB83" s="703"/>
      <c r="BC83" s="703"/>
      <c r="BD83" s="703"/>
      <c r="BE83" s="666">
        <f t="shared" si="100"/>
        <v>53</v>
      </c>
      <c r="BF83" s="704">
        <f t="shared" si="101"/>
        <v>53</v>
      </c>
      <c r="BG83" s="709">
        <f t="shared" si="102"/>
        <v>2239</v>
      </c>
      <c r="BH83" s="703">
        <v>459</v>
      </c>
      <c r="BI83" s="703"/>
      <c r="BJ83" s="703"/>
      <c r="BK83" s="703"/>
      <c r="BL83" s="666">
        <f>(BH83-459)*10%</f>
        <v>0</v>
      </c>
      <c r="BM83" s="704">
        <f t="shared" si="103"/>
        <v>0</v>
      </c>
      <c r="BN83" s="709">
        <f t="shared" si="104"/>
        <v>459</v>
      </c>
      <c r="BO83" s="703"/>
      <c r="BP83" s="703"/>
      <c r="BQ83" s="703">
        <v>230</v>
      </c>
      <c r="BR83" s="703"/>
      <c r="BS83" s="703"/>
      <c r="BT83" s="703"/>
      <c r="BU83" s="703"/>
      <c r="BV83" s="703"/>
      <c r="BW83" s="703"/>
    </row>
    <row r="84" spans="1:75" s="710" customFormat="1" ht="16.8">
      <c r="A84" s="700"/>
      <c r="B84" s="738" t="s">
        <v>522</v>
      </c>
      <c r="C84" s="702">
        <f t="shared" ref="C84:C89" si="108">D84+I84</f>
        <v>29</v>
      </c>
      <c r="D84" s="702">
        <f t="shared" si="106"/>
        <v>27</v>
      </c>
      <c r="E84" s="702"/>
      <c r="F84" s="702">
        <v>27</v>
      </c>
      <c r="G84" s="702"/>
      <c r="H84" s="702">
        <v>24</v>
      </c>
      <c r="I84" s="702">
        <v>2</v>
      </c>
      <c r="J84" s="702">
        <v>2</v>
      </c>
      <c r="K84" s="989">
        <f t="shared" si="85"/>
        <v>4717</v>
      </c>
      <c r="L84" s="703">
        <f t="shared" si="94"/>
        <v>4717</v>
      </c>
      <c r="M84" s="746">
        <f>(1821+126+58)-301</f>
        <v>1704</v>
      </c>
      <c r="N84" s="739">
        <v>656</v>
      </c>
      <c r="O84" s="703"/>
      <c r="P84" s="703"/>
      <c r="Q84" s="703"/>
      <c r="R84" s="666">
        <f>((N84+O84)-(BA84+BB84))*10%</f>
        <v>3.2</v>
      </c>
      <c r="S84" s="704">
        <v>53</v>
      </c>
      <c r="T84" s="667">
        <f t="shared" si="95"/>
        <v>56</v>
      </c>
      <c r="U84" s="666">
        <f t="shared" si="96"/>
        <v>2304</v>
      </c>
      <c r="V84" s="745">
        <f>1124+301</f>
        <v>1425</v>
      </c>
      <c r="W84" s="703">
        <v>1000</v>
      </c>
      <c r="X84" s="703"/>
      <c r="Y84" s="667"/>
      <c r="Z84" s="668">
        <f>(V84-301)*10%</f>
        <v>112.4</v>
      </c>
      <c r="AA84" s="704">
        <v>12</v>
      </c>
      <c r="AB84" s="667">
        <f t="shared" si="97"/>
        <v>12</v>
      </c>
      <c r="AC84" s="666">
        <f t="shared" si="98"/>
        <v>2413</v>
      </c>
      <c r="AD84" s="703"/>
      <c r="AE84" s="703"/>
      <c r="AF84" s="705"/>
      <c r="AG84" s="705"/>
      <c r="AH84" s="705"/>
      <c r="AI84" s="705"/>
      <c r="AJ84" s="705"/>
      <c r="AK84" s="705"/>
      <c r="AL84" s="705"/>
      <c r="AM84" s="706"/>
      <c r="AN84" s="707"/>
      <c r="AO84" s="700"/>
      <c r="AP84" s="738" t="s">
        <v>522</v>
      </c>
      <c r="AQ84" s="702">
        <f t="shared" ref="AQ84:AQ89" si="109">AR84+AW84</f>
        <v>28</v>
      </c>
      <c r="AR84" s="702">
        <f t="shared" si="107"/>
        <v>26</v>
      </c>
      <c r="AS84" s="702"/>
      <c r="AT84" s="702">
        <v>26</v>
      </c>
      <c r="AU84" s="702"/>
      <c r="AV84" s="702">
        <v>23</v>
      </c>
      <c r="AW84" s="702">
        <v>2</v>
      </c>
      <c r="AX84" s="702">
        <v>2</v>
      </c>
      <c r="AY84" s="703">
        <f t="shared" si="99"/>
        <v>5318</v>
      </c>
      <c r="AZ84" s="740">
        <f>(((1881-102-24)+82)+(102+24)+59)-377</f>
        <v>1645</v>
      </c>
      <c r="BA84" s="739">
        <v>624</v>
      </c>
      <c r="BB84" s="703"/>
      <c r="BC84" s="703"/>
      <c r="BD84" s="703"/>
      <c r="BE84" s="666">
        <f t="shared" si="100"/>
        <v>62.400000000000006</v>
      </c>
      <c r="BF84" s="704">
        <f t="shared" si="101"/>
        <v>62</v>
      </c>
      <c r="BG84" s="709">
        <f t="shared" si="102"/>
        <v>2207</v>
      </c>
      <c r="BH84" s="703">
        <f>200+377+2667</f>
        <v>3244</v>
      </c>
      <c r="BI84" s="703"/>
      <c r="BJ84" s="703">
        <f>154</f>
        <v>154</v>
      </c>
      <c r="BK84" s="703"/>
      <c r="BL84" s="666">
        <f>(BH84-377)*10%</f>
        <v>286.7</v>
      </c>
      <c r="BM84" s="704">
        <f t="shared" si="103"/>
        <v>287</v>
      </c>
      <c r="BN84" s="709">
        <f t="shared" si="104"/>
        <v>3111</v>
      </c>
      <c r="BO84" s="703"/>
      <c r="BP84" s="703"/>
      <c r="BQ84" s="703">
        <f>244-24</f>
        <v>220</v>
      </c>
      <c r="BR84" s="703">
        <v>15</v>
      </c>
      <c r="BS84" s="703"/>
      <c r="BT84" s="703"/>
      <c r="BU84" s="703"/>
      <c r="BV84" s="703"/>
      <c r="BW84" s="703"/>
    </row>
    <row r="85" spans="1:75" s="710" customFormat="1" ht="16.8">
      <c r="A85" s="700"/>
      <c r="B85" s="738" t="s">
        <v>523</v>
      </c>
      <c r="C85" s="702">
        <f t="shared" si="108"/>
        <v>0</v>
      </c>
      <c r="D85" s="702">
        <f t="shared" si="106"/>
        <v>0</v>
      </c>
      <c r="E85" s="702"/>
      <c r="F85" s="702"/>
      <c r="G85" s="702"/>
      <c r="H85" s="702"/>
      <c r="I85" s="702"/>
      <c r="J85" s="702"/>
      <c r="K85" s="989">
        <f t="shared" si="85"/>
        <v>0</v>
      </c>
      <c r="L85" s="703">
        <f t="shared" si="94"/>
        <v>0</v>
      </c>
      <c r="M85" s="739"/>
      <c r="N85" s="739"/>
      <c r="O85" s="703"/>
      <c r="P85" s="703"/>
      <c r="Q85" s="703"/>
      <c r="R85" s="666"/>
      <c r="S85" s="704"/>
      <c r="T85" s="667">
        <f t="shared" si="95"/>
        <v>0</v>
      </c>
      <c r="U85" s="666">
        <f t="shared" si="96"/>
        <v>0</v>
      </c>
      <c r="V85" s="703"/>
      <c r="W85" s="703"/>
      <c r="X85" s="703"/>
      <c r="Y85" s="667"/>
      <c r="Z85" s="668">
        <f t="shared" si="105"/>
        <v>0</v>
      </c>
      <c r="AA85" s="704"/>
      <c r="AB85" s="667">
        <f t="shared" si="97"/>
        <v>0</v>
      </c>
      <c r="AC85" s="666">
        <f t="shared" si="98"/>
        <v>0</v>
      </c>
      <c r="AD85" s="703"/>
      <c r="AE85" s="703"/>
      <c r="AF85" s="705"/>
      <c r="AG85" s="705"/>
      <c r="AH85" s="705"/>
      <c r="AI85" s="705"/>
      <c r="AJ85" s="705"/>
      <c r="AK85" s="705"/>
      <c r="AL85" s="705"/>
      <c r="AM85" s="706"/>
      <c r="AN85" s="707"/>
      <c r="AO85" s="700"/>
      <c r="AP85" s="738" t="s">
        <v>523</v>
      </c>
      <c r="AQ85" s="702">
        <f t="shared" si="109"/>
        <v>13</v>
      </c>
      <c r="AR85" s="702">
        <f t="shared" si="107"/>
        <v>10</v>
      </c>
      <c r="AS85" s="702"/>
      <c r="AT85" s="702">
        <v>10</v>
      </c>
      <c r="AU85" s="702"/>
      <c r="AV85" s="702">
        <v>9</v>
      </c>
      <c r="AW85" s="702">
        <v>3</v>
      </c>
      <c r="AX85" s="702">
        <v>3</v>
      </c>
      <c r="AY85" s="703">
        <f t="shared" si="99"/>
        <v>2082</v>
      </c>
      <c r="AZ85" s="740">
        <f>((472+37+3+80+119-46)+46+122)-80</f>
        <v>753</v>
      </c>
      <c r="BA85" s="739">
        <v>260</v>
      </c>
      <c r="BB85" s="703"/>
      <c r="BC85" s="703"/>
      <c r="BD85" s="703"/>
      <c r="BE85" s="666">
        <f t="shared" si="100"/>
        <v>26</v>
      </c>
      <c r="BF85" s="704">
        <f t="shared" si="101"/>
        <v>26</v>
      </c>
      <c r="BG85" s="709">
        <f t="shared" si="102"/>
        <v>987</v>
      </c>
      <c r="BH85" s="703">
        <f>989+78+80</f>
        <v>1147</v>
      </c>
      <c r="BI85" s="703"/>
      <c r="BJ85" s="703"/>
      <c r="BK85" s="703"/>
      <c r="BL85" s="666">
        <f>(BH85-80)*10%</f>
        <v>106.7</v>
      </c>
      <c r="BM85" s="704">
        <f t="shared" si="103"/>
        <v>107</v>
      </c>
      <c r="BN85" s="709">
        <f t="shared" si="104"/>
        <v>1040</v>
      </c>
      <c r="BO85" s="703">
        <f>26+29</f>
        <v>55</v>
      </c>
      <c r="BP85" s="703"/>
      <c r="BQ85" s="703"/>
      <c r="BR85" s="703"/>
      <c r="BS85" s="703"/>
      <c r="BT85" s="703"/>
      <c r="BU85" s="703"/>
      <c r="BV85" s="703"/>
      <c r="BW85" s="703"/>
    </row>
    <row r="86" spans="1:75" s="710" customFormat="1" ht="16.8">
      <c r="A86" s="700"/>
      <c r="B86" s="738" t="s">
        <v>524</v>
      </c>
      <c r="C86" s="702">
        <f t="shared" si="108"/>
        <v>0</v>
      </c>
      <c r="D86" s="702">
        <f t="shared" si="106"/>
        <v>0</v>
      </c>
      <c r="E86" s="702"/>
      <c r="F86" s="702"/>
      <c r="G86" s="702"/>
      <c r="H86" s="702"/>
      <c r="I86" s="702"/>
      <c r="J86" s="702"/>
      <c r="K86" s="989">
        <f t="shared" si="85"/>
        <v>0</v>
      </c>
      <c r="L86" s="703">
        <f t="shared" si="94"/>
        <v>0</v>
      </c>
      <c r="M86" s="739"/>
      <c r="N86" s="703"/>
      <c r="O86" s="703"/>
      <c r="P86" s="703"/>
      <c r="Q86" s="703"/>
      <c r="R86" s="666"/>
      <c r="S86" s="704"/>
      <c r="T86" s="667">
        <f t="shared" si="95"/>
        <v>0</v>
      </c>
      <c r="U86" s="666">
        <f t="shared" si="96"/>
        <v>0</v>
      </c>
      <c r="V86" s="703"/>
      <c r="W86" s="703"/>
      <c r="X86" s="703"/>
      <c r="Y86" s="667"/>
      <c r="Z86" s="668">
        <f t="shared" si="105"/>
        <v>0</v>
      </c>
      <c r="AA86" s="704"/>
      <c r="AB86" s="667">
        <f t="shared" si="97"/>
        <v>0</v>
      </c>
      <c r="AC86" s="666">
        <f t="shared" si="98"/>
        <v>0</v>
      </c>
      <c r="AD86" s="703"/>
      <c r="AE86" s="703"/>
      <c r="AF86" s="705"/>
      <c r="AG86" s="705"/>
      <c r="AH86" s="705"/>
      <c r="AI86" s="705"/>
      <c r="AJ86" s="705"/>
      <c r="AK86" s="705"/>
      <c r="AL86" s="705"/>
      <c r="AM86" s="706"/>
      <c r="AN86" s="707"/>
      <c r="AO86" s="700"/>
      <c r="AP86" s="738" t="s">
        <v>524</v>
      </c>
      <c r="AQ86" s="702">
        <f t="shared" si="109"/>
        <v>29</v>
      </c>
      <c r="AR86" s="702">
        <f t="shared" si="107"/>
        <v>26</v>
      </c>
      <c r="AS86" s="702"/>
      <c r="AT86" s="702">
        <v>26</v>
      </c>
      <c r="AU86" s="702"/>
      <c r="AV86" s="702">
        <v>26</v>
      </c>
      <c r="AW86" s="702">
        <v>3</v>
      </c>
      <c r="AX86" s="702">
        <v>2</v>
      </c>
      <c r="AY86" s="703">
        <f t="shared" si="99"/>
        <v>6300</v>
      </c>
      <c r="AZ86" s="740">
        <f>(2257+69)-714</f>
        <v>1612</v>
      </c>
      <c r="BA86" s="703">
        <v>624</v>
      </c>
      <c r="BB86" s="703"/>
      <c r="BC86" s="703"/>
      <c r="BD86" s="703"/>
      <c r="BE86" s="666">
        <f t="shared" si="100"/>
        <v>62.400000000000006</v>
      </c>
      <c r="BF86" s="704">
        <f t="shared" si="101"/>
        <v>62</v>
      </c>
      <c r="BG86" s="709">
        <f t="shared" si="102"/>
        <v>2174</v>
      </c>
      <c r="BH86" s="703">
        <f>3600+714</f>
        <v>4314</v>
      </c>
      <c r="BI86" s="703"/>
      <c r="BJ86" s="703">
        <v>172</v>
      </c>
      <c r="BK86" s="703"/>
      <c r="BL86" s="666">
        <f>(BH86-714)*10%</f>
        <v>360</v>
      </c>
      <c r="BM86" s="704">
        <f t="shared" si="103"/>
        <v>360</v>
      </c>
      <c r="BN86" s="709">
        <f t="shared" si="104"/>
        <v>4126</v>
      </c>
      <c r="BO86" s="703"/>
      <c r="BP86" s="703"/>
      <c r="BQ86" s="703">
        <f>155-16</f>
        <v>139</v>
      </c>
      <c r="BR86" s="703">
        <v>12</v>
      </c>
      <c r="BS86" s="703"/>
      <c r="BT86" s="703"/>
      <c r="BU86" s="703"/>
      <c r="BV86" s="703"/>
      <c r="BW86" s="703"/>
    </row>
    <row r="87" spans="1:75" s="710" customFormat="1">
      <c r="A87" s="700"/>
      <c r="B87" s="738" t="s">
        <v>525</v>
      </c>
      <c r="C87" s="702">
        <f t="shared" si="108"/>
        <v>11</v>
      </c>
      <c r="D87" s="702">
        <f t="shared" si="106"/>
        <v>10</v>
      </c>
      <c r="E87" s="702"/>
      <c r="F87" s="702">
        <v>10</v>
      </c>
      <c r="G87" s="702"/>
      <c r="H87" s="702">
        <v>9</v>
      </c>
      <c r="I87" s="702">
        <v>1</v>
      </c>
      <c r="J87" s="702">
        <v>1</v>
      </c>
      <c r="K87" s="989">
        <f t="shared" si="85"/>
        <v>1362</v>
      </c>
      <c r="L87" s="703">
        <f t="shared" si="94"/>
        <v>1362</v>
      </c>
      <c r="M87" s="703">
        <v>818</v>
      </c>
      <c r="N87" s="703">
        <v>261</v>
      </c>
      <c r="O87" s="703"/>
      <c r="P87" s="703"/>
      <c r="Q87" s="703"/>
      <c r="R87" s="666">
        <f>((N87+O87)-(BA87+BB87))*10%</f>
        <v>0.1</v>
      </c>
      <c r="S87" s="704">
        <v>21</v>
      </c>
      <c r="T87" s="667">
        <f t="shared" si="95"/>
        <v>21</v>
      </c>
      <c r="U87" s="666">
        <f t="shared" si="96"/>
        <v>1058</v>
      </c>
      <c r="V87" s="703">
        <f>304</f>
        <v>304</v>
      </c>
      <c r="W87" s="703"/>
      <c r="X87" s="703"/>
      <c r="Y87" s="667">
        <f>Z87-BM87</f>
        <v>0</v>
      </c>
      <c r="Z87" s="668">
        <f>(V87-304)*10%</f>
        <v>0</v>
      </c>
      <c r="AA87" s="704"/>
      <c r="AB87" s="667">
        <f t="shared" si="97"/>
        <v>0</v>
      </c>
      <c r="AC87" s="666">
        <f t="shared" si="98"/>
        <v>304</v>
      </c>
      <c r="AD87" s="703"/>
      <c r="AE87" s="703"/>
      <c r="AF87" s="705"/>
      <c r="AG87" s="705"/>
      <c r="AH87" s="705"/>
      <c r="AI87" s="705"/>
      <c r="AJ87" s="705"/>
      <c r="AK87" s="705"/>
      <c r="AL87" s="705"/>
      <c r="AM87" s="706"/>
      <c r="AN87" s="707"/>
      <c r="AO87" s="700"/>
      <c r="AP87" s="738" t="s">
        <v>525</v>
      </c>
      <c r="AQ87" s="702">
        <f t="shared" si="109"/>
        <v>11</v>
      </c>
      <c r="AR87" s="702">
        <f t="shared" si="107"/>
        <v>10</v>
      </c>
      <c r="AS87" s="702"/>
      <c r="AT87" s="702">
        <v>10</v>
      </c>
      <c r="AU87" s="702"/>
      <c r="AV87" s="702">
        <v>8</v>
      </c>
      <c r="AW87" s="702">
        <v>1</v>
      </c>
      <c r="AX87" s="702">
        <v>1</v>
      </c>
      <c r="AY87" s="703">
        <f t="shared" si="99"/>
        <v>1264</v>
      </c>
      <c r="AZ87" s="708">
        <f>(((983-90)+90+47)-305)</f>
        <v>725</v>
      </c>
      <c r="BA87" s="703">
        <v>260</v>
      </c>
      <c r="BB87" s="703"/>
      <c r="BC87" s="703"/>
      <c r="BD87" s="703"/>
      <c r="BE87" s="666">
        <f t="shared" si="100"/>
        <v>26</v>
      </c>
      <c r="BF87" s="704">
        <f t="shared" si="101"/>
        <v>26</v>
      </c>
      <c r="BG87" s="709">
        <f t="shared" si="102"/>
        <v>959</v>
      </c>
      <c r="BH87" s="703">
        <f>305</f>
        <v>305</v>
      </c>
      <c r="BI87" s="703"/>
      <c r="BJ87" s="703"/>
      <c r="BK87" s="703"/>
      <c r="BL87" s="666">
        <f>(BH87-305)*10%</f>
        <v>0</v>
      </c>
      <c r="BM87" s="704">
        <f t="shared" si="103"/>
        <v>0</v>
      </c>
      <c r="BN87" s="709">
        <f t="shared" si="104"/>
        <v>305</v>
      </c>
      <c r="BO87" s="703"/>
      <c r="BP87" s="703"/>
      <c r="BQ87" s="703">
        <f>109-5</f>
        <v>104</v>
      </c>
      <c r="BR87" s="703">
        <v>10</v>
      </c>
      <c r="BS87" s="703"/>
      <c r="BT87" s="703"/>
      <c r="BU87" s="703"/>
      <c r="BV87" s="703"/>
      <c r="BW87" s="703"/>
    </row>
    <row r="88" spans="1:75" s="750" customFormat="1" ht="62.4">
      <c r="A88" s="742"/>
      <c r="B88" s="743" t="s">
        <v>526</v>
      </c>
      <c r="C88" s="744">
        <f t="shared" si="108"/>
        <v>169</v>
      </c>
      <c r="D88" s="744">
        <f t="shared" si="106"/>
        <v>160</v>
      </c>
      <c r="E88" s="744"/>
      <c r="F88" s="744">
        <v>160</v>
      </c>
      <c r="G88" s="744"/>
      <c r="H88" s="744">
        <v>160</v>
      </c>
      <c r="I88" s="744">
        <v>9</v>
      </c>
      <c r="J88" s="744">
        <v>9</v>
      </c>
      <c r="K88" s="989">
        <f t="shared" si="85"/>
        <v>13768</v>
      </c>
      <c r="L88" s="745">
        <f t="shared" si="94"/>
        <v>13768</v>
      </c>
      <c r="M88" s="745">
        <v>9589</v>
      </c>
      <c r="N88" s="745">
        <v>2457</v>
      </c>
      <c r="O88" s="745"/>
      <c r="P88" s="745"/>
      <c r="Q88" s="745"/>
      <c r="R88" s="668">
        <f>((N88+O88)-(BA88+BB88))*10%</f>
        <v>245.70000000000002</v>
      </c>
      <c r="S88" s="704">
        <f>(382/9)*4+(88/9)*4</f>
        <v>208.88888888888889</v>
      </c>
      <c r="T88" s="667">
        <f>ROUND((Q88+R88+S88),0)</f>
        <v>455</v>
      </c>
      <c r="U88" s="666">
        <f t="shared" si="96"/>
        <v>11591</v>
      </c>
      <c r="V88" s="745">
        <v>2177</v>
      </c>
      <c r="W88" s="745"/>
      <c r="X88" s="745"/>
      <c r="Y88" s="667">
        <f>Z88-BM88</f>
        <v>0</v>
      </c>
      <c r="Z88" s="668">
        <f>(V88-2177)*10%</f>
        <v>0</v>
      </c>
      <c r="AA88" s="704"/>
      <c r="AB88" s="667">
        <f t="shared" si="97"/>
        <v>0</v>
      </c>
      <c r="AC88" s="666">
        <f t="shared" si="98"/>
        <v>2177</v>
      </c>
      <c r="AD88" s="745"/>
      <c r="AE88" s="745"/>
      <c r="AF88" s="745"/>
      <c r="AG88" s="745"/>
      <c r="AH88" s="745"/>
      <c r="AI88" s="745"/>
      <c r="AJ88" s="745"/>
      <c r="AK88" s="745"/>
      <c r="AL88" s="745"/>
      <c r="AM88" s="747"/>
      <c r="AN88" s="707"/>
      <c r="AO88" s="742"/>
      <c r="AP88" s="748" t="s">
        <v>527</v>
      </c>
      <c r="AQ88" s="744">
        <f t="shared" si="109"/>
        <v>299</v>
      </c>
      <c r="AR88" s="744">
        <f t="shared" si="107"/>
        <v>278</v>
      </c>
      <c r="AS88" s="744"/>
      <c r="AT88" s="744">
        <v>278</v>
      </c>
      <c r="AU88" s="744"/>
      <c r="AV88" s="744">
        <v>246</v>
      </c>
      <c r="AW88" s="744">
        <f>2+3+2+3+2+3+2+2+2</f>
        <v>21</v>
      </c>
      <c r="AX88" s="744">
        <v>14</v>
      </c>
      <c r="AY88" s="745">
        <f t="shared" si="99"/>
        <v>25135</v>
      </c>
      <c r="AZ88" s="745">
        <f>((22544+2591))</f>
        <v>25135</v>
      </c>
      <c r="BA88" s="745"/>
      <c r="BB88" s="745"/>
      <c r="BC88" s="745"/>
      <c r="BD88" s="745"/>
      <c r="BE88" s="666">
        <f t="shared" si="100"/>
        <v>0</v>
      </c>
      <c r="BF88" s="749">
        <f t="shared" si="101"/>
        <v>0</v>
      </c>
      <c r="BG88" s="749">
        <f t="shared" si="102"/>
        <v>25135</v>
      </c>
      <c r="BH88" s="745"/>
      <c r="BI88" s="745"/>
      <c r="BJ88" s="745"/>
      <c r="BK88" s="745"/>
      <c r="BL88" s="666">
        <f>BH88*10%</f>
        <v>0</v>
      </c>
      <c r="BM88" s="749">
        <f t="shared" si="103"/>
        <v>0</v>
      </c>
      <c r="BN88" s="749">
        <f t="shared" si="104"/>
        <v>0</v>
      </c>
      <c r="BO88" s="745"/>
      <c r="BP88" s="745"/>
      <c r="BQ88" s="745">
        <f>(8603-(300+311))</f>
        <v>7992</v>
      </c>
      <c r="BR88" s="745"/>
      <c r="BS88" s="745"/>
      <c r="BT88" s="745"/>
      <c r="BU88" s="745"/>
      <c r="BV88" s="745"/>
      <c r="BW88" s="745"/>
    </row>
    <row r="89" spans="1:75">
      <c r="A89" s="659"/>
      <c r="B89" s="751" t="s">
        <v>528</v>
      </c>
      <c r="C89" s="661">
        <f t="shared" si="108"/>
        <v>0</v>
      </c>
      <c r="D89" s="661">
        <f t="shared" si="106"/>
        <v>0</v>
      </c>
      <c r="E89" s="661"/>
      <c r="F89" s="661"/>
      <c r="G89" s="661"/>
      <c r="H89" s="661"/>
      <c r="I89" s="661"/>
      <c r="J89" s="661"/>
      <c r="K89" s="989">
        <f t="shared" si="85"/>
        <v>0</v>
      </c>
      <c r="L89" s="662">
        <f t="shared" si="94"/>
        <v>0</v>
      </c>
      <c r="M89" s="662"/>
      <c r="N89" s="662"/>
      <c r="O89" s="662"/>
      <c r="P89" s="662"/>
      <c r="Q89" s="662"/>
      <c r="R89" s="666"/>
      <c r="S89" s="667"/>
      <c r="T89" s="667">
        <f t="shared" si="95"/>
        <v>0</v>
      </c>
      <c r="U89" s="666">
        <f t="shared" si="96"/>
        <v>0</v>
      </c>
      <c r="V89" s="662"/>
      <c r="W89" s="662"/>
      <c r="X89" s="662"/>
      <c r="Y89" s="667">
        <f>Z89-BM89</f>
        <v>0</v>
      </c>
      <c r="Z89" s="668">
        <f t="shared" si="105"/>
        <v>0</v>
      </c>
      <c r="AA89" s="667"/>
      <c r="AB89" s="667">
        <f t="shared" si="97"/>
        <v>0</v>
      </c>
      <c r="AC89" s="666">
        <f t="shared" si="98"/>
        <v>0</v>
      </c>
      <c r="AD89" s="662"/>
      <c r="AE89" s="662"/>
      <c r="AF89" s="664"/>
      <c r="AG89" s="664"/>
      <c r="AH89" s="664"/>
      <c r="AI89" s="664"/>
      <c r="AJ89" s="664"/>
      <c r="AK89" s="664"/>
      <c r="AL89" s="664"/>
      <c r="AN89" s="610"/>
      <c r="AO89" s="659"/>
      <c r="AP89" s="751" t="s">
        <v>528</v>
      </c>
      <c r="AQ89" s="661">
        <f t="shared" si="109"/>
        <v>40</v>
      </c>
      <c r="AR89" s="661">
        <f t="shared" si="107"/>
        <v>40</v>
      </c>
      <c r="AS89" s="661"/>
      <c r="AT89" s="661">
        <v>40</v>
      </c>
      <c r="AU89" s="661"/>
      <c r="AV89" s="661">
        <v>38</v>
      </c>
      <c r="AW89" s="661"/>
      <c r="AX89" s="661"/>
      <c r="AY89" s="662">
        <f t="shared" si="99"/>
        <v>3288</v>
      </c>
      <c r="AZ89" s="665">
        <f>2006+73+489</f>
        <v>2568</v>
      </c>
      <c r="BA89" s="662">
        <v>800</v>
      </c>
      <c r="BB89" s="662"/>
      <c r="BC89" s="662"/>
      <c r="BD89" s="662"/>
      <c r="BE89" s="666">
        <f t="shared" si="100"/>
        <v>80</v>
      </c>
      <c r="BF89" s="667">
        <f t="shared" si="101"/>
        <v>80</v>
      </c>
      <c r="BG89" s="666">
        <f t="shared" si="102"/>
        <v>3288</v>
      </c>
      <c r="BH89" s="662"/>
      <c r="BI89" s="662"/>
      <c r="BJ89" s="662"/>
      <c r="BK89" s="662"/>
      <c r="BL89" s="666">
        <f>BH89*10%</f>
        <v>0</v>
      </c>
      <c r="BM89" s="667"/>
      <c r="BN89" s="666">
        <f t="shared" si="104"/>
        <v>0</v>
      </c>
      <c r="BO89" s="662"/>
      <c r="BP89" s="662"/>
      <c r="BQ89" s="662"/>
      <c r="BR89" s="662"/>
      <c r="BS89" s="662"/>
      <c r="BT89" s="662"/>
      <c r="BU89" s="662"/>
      <c r="BV89" s="662"/>
      <c r="BW89" s="662"/>
    </row>
    <row r="90" spans="1:75" s="766" customFormat="1" ht="31.2">
      <c r="A90" s="752"/>
      <c r="B90" s="753" t="s">
        <v>529</v>
      </c>
      <c r="C90" s="754">
        <f>D90+I90</f>
        <v>0</v>
      </c>
      <c r="D90" s="754">
        <f>E90+F90</f>
        <v>0</v>
      </c>
      <c r="E90" s="754"/>
      <c r="F90" s="754"/>
      <c r="G90" s="754"/>
      <c r="H90" s="754"/>
      <c r="I90" s="754"/>
      <c r="J90" s="754"/>
      <c r="K90" s="989">
        <f t="shared" si="85"/>
        <v>470</v>
      </c>
      <c r="L90" s="755">
        <f t="shared" si="94"/>
        <v>470</v>
      </c>
      <c r="M90" s="755"/>
      <c r="N90" s="755"/>
      <c r="O90" s="755"/>
      <c r="P90" s="755"/>
      <c r="Q90" s="755"/>
      <c r="R90" s="666">
        <f>((N90+O90)-(BA90+BB90))*10%</f>
        <v>0</v>
      </c>
      <c r="S90" s="756"/>
      <c r="T90" s="667">
        <f t="shared" si="95"/>
        <v>0</v>
      </c>
      <c r="U90" s="666">
        <f t="shared" si="96"/>
        <v>0</v>
      </c>
      <c r="V90" s="755">
        <v>470</v>
      </c>
      <c r="W90" s="755"/>
      <c r="X90" s="755"/>
      <c r="Y90" s="667">
        <f>Z90-BM90</f>
        <v>0</v>
      </c>
      <c r="Z90" s="668"/>
      <c r="AA90" s="756"/>
      <c r="AB90" s="667">
        <f t="shared" si="97"/>
        <v>0</v>
      </c>
      <c r="AC90" s="666">
        <f t="shared" si="98"/>
        <v>470</v>
      </c>
      <c r="AD90" s="755"/>
      <c r="AE90" s="755"/>
      <c r="AF90" s="757"/>
      <c r="AG90" s="757"/>
      <c r="AH90" s="757"/>
      <c r="AI90" s="757"/>
      <c r="AJ90" s="757"/>
      <c r="AK90" s="757"/>
      <c r="AL90" s="757"/>
      <c r="AM90" s="758"/>
      <c r="AN90" s="759"/>
      <c r="AO90" s="752"/>
      <c r="AP90" s="760" t="s">
        <v>530</v>
      </c>
      <c r="AQ90" s="761"/>
      <c r="AR90" s="761"/>
      <c r="AS90" s="761"/>
      <c r="AT90" s="761"/>
      <c r="AU90" s="761"/>
      <c r="AV90" s="761"/>
      <c r="AW90" s="761"/>
      <c r="AX90" s="761"/>
      <c r="AY90" s="762"/>
      <c r="AZ90" s="763"/>
      <c r="BA90" s="762"/>
      <c r="BB90" s="762"/>
      <c r="BC90" s="762"/>
      <c r="BD90" s="762"/>
      <c r="BE90" s="764"/>
      <c r="BF90" s="765"/>
      <c r="BG90" s="764"/>
      <c r="BH90" s="762"/>
      <c r="BI90" s="762"/>
      <c r="BJ90" s="762"/>
      <c r="BK90" s="762"/>
      <c r="BL90" s="764"/>
      <c r="BM90" s="765"/>
      <c r="BN90" s="764"/>
      <c r="BO90" s="762"/>
      <c r="BP90" s="762"/>
      <c r="BQ90" s="762"/>
      <c r="BR90" s="762"/>
      <c r="BS90" s="762"/>
      <c r="BT90" s="762"/>
      <c r="BU90" s="762"/>
      <c r="BV90" s="762">
        <v>30000</v>
      </c>
      <c r="BW90" s="762"/>
    </row>
    <row r="91" spans="1:75">
      <c r="A91" s="650" t="s">
        <v>463</v>
      </c>
      <c r="B91" s="651" t="s">
        <v>531</v>
      </c>
      <c r="C91" s="652">
        <f t="shared" ref="C91:Y91" si="110">SUM(C92:C93,C109:C114)</f>
        <v>2943</v>
      </c>
      <c r="D91" s="652">
        <f t="shared" si="110"/>
        <v>2820</v>
      </c>
      <c r="E91" s="652">
        <f t="shared" si="110"/>
        <v>0</v>
      </c>
      <c r="F91" s="652">
        <f t="shared" si="110"/>
        <v>1718</v>
      </c>
      <c r="G91" s="652">
        <f t="shared" si="110"/>
        <v>0</v>
      </c>
      <c r="H91" s="652">
        <f t="shared" si="110"/>
        <v>1697</v>
      </c>
      <c r="I91" s="652">
        <f t="shared" si="110"/>
        <v>65</v>
      </c>
      <c r="J91" s="652">
        <f t="shared" si="110"/>
        <v>65</v>
      </c>
      <c r="K91" s="989">
        <f t="shared" si="85"/>
        <v>495857</v>
      </c>
      <c r="L91" s="767">
        <f>SUM(L92:L93,L109:L114)</f>
        <v>495857</v>
      </c>
      <c r="M91" s="767">
        <f t="shared" si="110"/>
        <v>61117</v>
      </c>
      <c r="N91" s="767">
        <f t="shared" si="110"/>
        <v>10052</v>
      </c>
      <c r="O91" s="767">
        <f t="shared" si="110"/>
        <v>0</v>
      </c>
      <c r="P91" s="767">
        <f t="shared" si="110"/>
        <v>0</v>
      </c>
      <c r="Q91" s="767">
        <f t="shared" si="110"/>
        <v>0</v>
      </c>
      <c r="R91" s="767">
        <f t="shared" si="110"/>
        <v>387.8</v>
      </c>
      <c r="S91" s="768">
        <f t="shared" si="110"/>
        <v>517</v>
      </c>
      <c r="T91" s="768">
        <f t="shared" si="110"/>
        <v>905</v>
      </c>
      <c r="U91" s="767">
        <f t="shared" si="110"/>
        <v>70264</v>
      </c>
      <c r="V91" s="767">
        <f t="shared" si="110"/>
        <v>425593</v>
      </c>
      <c r="W91" s="767">
        <f t="shared" si="110"/>
        <v>0</v>
      </c>
      <c r="X91" s="767">
        <f t="shared" si="110"/>
        <v>0</v>
      </c>
      <c r="Y91" s="768">
        <f t="shared" si="110"/>
        <v>40831.5</v>
      </c>
      <c r="Z91" s="767">
        <f>SUM(Z92:Z93,Z109:Z114)</f>
        <v>40831.5</v>
      </c>
      <c r="AA91" s="767">
        <f>SUM(AA92:AA93,AA109:AA114)</f>
        <v>0</v>
      </c>
      <c r="AB91" s="767">
        <f>SUM(AB92:AB93,AB109:AB114)</f>
        <v>0</v>
      </c>
      <c r="AC91" s="767">
        <f t="shared" ref="AC91:AM91" si="111">SUM(AC92:AC93,AC109:AC114)</f>
        <v>425593</v>
      </c>
      <c r="AD91" s="767">
        <f t="shared" si="111"/>
        <v>0</v>
      </c>
      <c r="AE91" s="767">
        <f t="shared" si="111"/>
        <v>0</v>
      </c>
      <c r="AF91" s="769">
        <f t="shared" si="111"/>
        <v>0</v>
      </c>
      <c r="AG91" s="769">
        <f t="shared" si="111"/>
        <v>0</v>
      </c>
      <c r="AH91" s="769">
        <f t="shared" si="111"/>
        <v>0</v>
      </c>
      <c r="AI91" s="769">
        <f t="shared" si="111"/>
        <v>0</v>
      </c>
      <c r="AJ91" s="769">
        <f t="shared" si="111"/>
        <v>0</v>
      </c>
      <c r="AK91" s="769">
        <f t="shared" si="111"/>
        <v>0</v>
      </c>
      <c r="AL91" s="769">
        <f t="shared" si="111"/>
        <v>0</v>
      </c>
      <c r="AM91" s="770">
        <f t="shared" si="111"/>
        <v>0</v>
      </c>
      <c r="AN91" s="610"/>
      <c r="AO91" s="650" t="s">
        <v>463</v>
      </c>
      <c r="AP91" s="651" t="s">
        <v>531</v>
      </c>
      <c r="AQ91" s="652">
        <f t="shared" ref="AQ91:BL91" si="112">SUM(AQ92:AQ93,AQ109:AQ114)</f>
        <v>2795</v>
      </c>
      <c r="AR91" s="652">
        <f t="shared" si="112"/>
        <v>2672</v>
      </c>
      <c r="AS91" s="652">
        <f t="shared" si="112"/>
        <v>0</v>
      </c>
      <c r="AT91" s="652">
        <f t="shared" si="112"/>
        <v>2672</v>
      </c>
      <c r="AU91" s="652">
        <f t="shared" si="112"/>
        <v>0</v>
      </c>
      <c r="AV91" s="652">
        <f t="shared" si="112"/>
        <v>2551</v>
      </c>
      <c r="AW91" s="652">
        <f t="shared" si="112"/>
        <v>123</v>
      </c>
      <c r="AX91" s="652">
        <f t="shared" si="112"/>
        <v>113</v>
      </c>
      <c r="AY91" s="767">
        <f t="shared" si="112"/>
        <v>486959</v>
      </c>
      <c r="AZ91" s="771">
        <f t="shared" si="112"/>
        <v>54799</v>
      </c>
      <c r="BA91" s="767">
        <f t="shared" si="112"/>
        <v>6392</v>
      </c>
      <c r="BB91" s="767">
        <f t="shared" si="112"/>
        <v>0</v>
      </c>
      <c r="BC91" s="767">
        <f t="shared" si="112"/>
        <v>0</v>
      </c>
      <c r="BD91" s="767">
        <f t="shared" si="112"/>
        <v>0</v>
      </c>
      <c r="BE91" s="767">
        <f t="shared" si="112"/>
        <v>639.20000000000005</v>
      </c>
      <c r="BF91" s="768">
        <f t="shared" si="112"/>
        <v>639</v>
      </c>
      <c r="BG91" s="767">
        <f t="shared" si="112"/>
        <v>60552</v>
      </c>
      <c r="BH91" s="767">
        <f t="shared" si="112"/>
        <v>424682</v>
      </c>
      <c r="BI91" s="767">
        <f t="shared" si="112"/>
        <v>0</v>
      </c>
      <c r="BJ91" s="767">
        <f t="shared" si="112"/>
        <v>250</v>
      </c>
      <c r="BK91" s="767">
        <f t="shared" si="112"/>
        <v>0</v>
      </c>
      <c r="BL91" s="767">
        <f t="shared" si="112"/>
        <v>0</v>
      </c>
      <c r="BM91" s="768"/>
      <c r="BN91" s="767">
        <f t="shared" ref="BN91:BW91" si="113">SUM(BN92:BN93,BN109:BN114)</f>
        <v>424932</v>
      </c>
      <c r="BO91" s="767">
        <f t="shared" si="113"/>
        <v>1475</v>
      </c>
      <c r="BP91" s="767">
        <f t="shared" si="113"/>
        <v>0</v>
      </c>
      <c r="BQ91" s="767">
        <f t="shared" si="113"/>
        <v>655118</v>
      </c>
      <c r="BR91" s="767">
        <f t="shared" si="113"/>
        <v>0</v>
      </c>
      <c r="BS91" s="767">
        <f t="shared" si="113"/>
        <v>0</v>
      </c>
      <c r="BT91" s="767">
        <f t="shared" si="113"/>
        <v>0</v>
      </c>
      <c r="BU91" s="767">
        <f t="shared" si="113"/>
        <v>0</v>
      </c>
      <c r="BV91" s="767">
        <f t="shared" si="113"/>
        <v>0</v>
      </c>
      <c r="BW91" s="767">
        <f t="shared" si="113"/>
        <v>0</v>
      </c>
    </row>
    <row r="92" spans="1:75" s="710" customFormat="1">
      <c r="A92" s="700">
        <v>32</v>
      </c>
      <c r="B92" s="701" t="s">
        <v>532</v>
      </c>
      <c r="C92" s="702">
        <f>D92+I92</f>
        <v>57</v>
      </c>
      <c r="D92" s="702">
        <f>E92+F92</f>
        <v>55</v>
      </c>
      <c r="E92" s="702"/>
      <c r="F92" s="702">
        <v>55</v>
      </c>
      <c r="G92" s="702"/>
      <c r="H92" s="702">
        <v>53</v>
      </c>
      <c r="I92" s="702">
        <v>2</v>
      </c>
      <c r="J92" s="702">
        <v>2</v>
      </c>
      <c r="K92" s="989">
        <f t="shared" si="85"/>
        <v>1900</v>
      </c>
      <c r="L92" s="703">
        <f>U92+AC92+AD92+AE92</f>
        <v>1900</v>
      </c>
      <c r="M92" s="703">
        <v>1900</v>
      </c>
      <c r="N92" s="703"/>
      <c r="O92" s="703"/>
      <c r="P92" s="703"/>
      <c r="Q92" s="703"/>
      <c r="R92" s="666">
        <f>((N92+O92)-(BA92+BB92))*10%</f>
        <v>0</v>
      </c>
      <c r="S92" s="704"/>
      <c r="T92" s="667">
        <f>ROUND((Q92+R92+S92),0)</f>
        <v>0</v>
      </c>
      <c r="U92" s="666">
        <f>(M92+N92+O92+P92)-T92</f>
        <v>1900</v>
      </c>
      <c r="V92" s="703"/>
      <c r="W92" s="703"/>
      <c r="X92" s="703"/>
      <c r="Y92" s="667">
        <f>Z92-BM92</f>
        <v>0</v>
      </c>
      <c r="Z92" s="668">
        <f t="shared" si="105"/>
        <v>0</v>
      </c>
      <c r="AA92" s="704"/>
      <c r="AB92" s="667">
        <f>ROUND((Y92+AA92+X92),0)</f>
        <v>0</v>
      </c>
      <c r="AC92" s="709">
        <f>(V92+W92)-AA92</f>
        <v>0</v>
      </c>
      <c r="AD92" s="703"/>
      <c r="AE92" s="703"/>
      <c r="AF92" s="705"/>
      <c r="AG92" s="705"/>
      <c r="AH92" s="705"/>
      <c r="AI92" s="705"/>
      <c r="AJ92" s="705"/>
      <c r="AK92" s="705"/>
      <c r="AL92" s="705"/>
      <c r="AM92" s="706"/>
      <c r="AN92" s="707"/>
      <c r="AO92" s="700">
        <v>35</v>
      </c>
      <c r="AP92" s="701" t="s">
        <v>532</v>
      </c>
      <c r="AQ92" s="702">
        <f>AR92+AW92</f>
        <v>57</v>
      </c>
      <c r="AR92" s="702">
        <f>AS92+AT92</f>
        <v>55</v>
      </c>
      <c r="AS92" s="702"/>
      <c r="AT92" s="702">
        <v>55</v>
      </c>
      <c r="AU92" s="702"/>
      <c r="AV92" s="702">
        <v>55</v>
      </c>
      <c r="AW92" s="702">
        <v>2</v>
      </c>
      <c r="AX92" s="702">
        <v>2</v>
      </c>
      <c r="AY92" s="703">
        <f>BG92+BN92+BO92+BP92</f>
        <v>2750</v>
      </c>
      <c r="AZ92" s="708">
        <f>2396-96</f>
        <v>2300</v>
      </c>
      <c r="BA92" s="703"/>
      <c r="BB92" s="703"/>
      <c r="BC92" s="703"/>
      <c r="BD92" s="703"/>
      <c r="BE92" s="666">
        <f>(BA92+BB92)*10%</f>
        <v>0</v>
      </c>
      <c r="BF92" s="704">
        <f>ROUND(BE92,0)</f>
        <v>0</v>
      </c>
      <c r="BG92" s="709">
        <f>(AZ92+BA92+BB92+BC92)-BF92</f>
        <v>2300</v>
      </c>
      <c r="BH92" s="703"/>
      <c r="BI92" s="703"/>
      <c r="BJ92" s="703">
        <f>250</f>
        <v>250</v>
      </c>
      <c r="BK92" s="703"/>
      <c r="BL92" s="709">
        <f>BH92*10%</f>
        <v>0</v>
      </c>
      <c r="BM92" s="704">
        <f>ROUND(BL92,0)</f>
        <v>0</v>
      </c>
      <c r="BN92" s="709">
        <f>(BH92+BI92+BJ92)-BM92</f>
        <v>250</v>
      </c>
      <c r="BO92" s="703">
        <v>200</v>
      </c>
      <c r="BP92" s="703"/>
      <c r="BQ92" s="703">
        <f>14363-50</f>
        <v>14313</v>
      </c>
      <c r="BR92" s="703"/>
      <c r="BS92" s="703"/>
      <c r="BT92" s="703"/>
      <c r="BU92" s="703"/>
      <c r="BV92" s="703"/>
      <c r="BW92" s="703"/>
    </row>
    <row r="93" spans="1:75">
      <c r="A93" s="659">
        <v>33</v>
      </c>
      <c r="B93" s="660" t="s">
        <v>533</v>
      </c>
      <c r="C93" s="662">
        <f>C95+C98+C104+C105+C106+C107+C108+C94</f>
        <v>2886</v>
      </c>
      <c r="D93" s="662">
        <f>D95+D98+D104+D105+D106+D107+D108+D94</f>
        <v>2765</v>
      </c>
      <c r="E93" s="662">
        <f t="shared" ref="E93:J93" si="114">E95+E98+E104+E105+E106+E107+E108+E94</f>
        <v>0</v>
      </c>
      <c r="F93" s="662">
        <f t="shared" si="114"/>
        <v>1663</v>
      </c>
      <c r="G93" s="662">
        <f t="shared" si="114"/>
        <v>0</v>
      </c>
      <c r="H93" s="662">
        <f t="shared" si="114"/>
        <v>1644</v>
      </c>
      <c r="I93" s="662">
        <f t="shared" si="114"/>
        <v>63</v>
      </c>
      <c r="J93" s="662">
        <f t="shared" si="114"/>
        <v>63</v>
      </c>
      <c r="K93" s="989">
        <f t="shared" si="85"/>
        <v>85642</v>
      </c>
      <c r="L93" s="662">
        <f>L95+L98+L104+L105+L106+L107+L108+L94</f>
        <v>85642</v>
      </c>
      <c r="M93" s="662">
        <f t="shared" ref="M93:AC93" si="115">M95+M98+M104+M105+M106+M107+M108+M94</f>
        <v>59217</v>
      </c>
      <c r="N93" s="662">
        <f t="shared" si="115"/>
        <v>10052</v>
      </c>
      <c r="O93" s="662">
        <f t="shared" si="115"/>
        <v>0</v>
      </c>
      <c r="P93" s="662">
        <f t="shared" si="115"/>
        <v>0</v>
      </c>
      <c r="Q93" s="662">
        <f t="shared" si="115"/>
        <v>0</v>
      </c>
      <c r="R93" s="662">
        <f t="shared" si="115"/>
        <v>387.8</v>
      </c>
      <c r="S93" s="663">
        <f t="shared" si="115"/>
        <v>517</v>
      </c>
      <c r="T93" s="663">
        <f t="shared" si="115"/>
        <v>905</v>
      </c>
      <c r="U93" s="662">
        <f t="shared" si="115"/>
        <v>68364</v>
      </c>
      <c r="V93" s="662">
        <f t="shared" si="115"/>
        <v>17278</v>
      </c>
      <c r="W93" s="662">
        <f t="shared" si="115"/>
        <v>0</v>
      </c>
      <c r="X93" s="662">
        <f t="shared" si="115"/>
        <v>0</v>
      </c>
      <c r="Y93" s="662">
        <f t="shared" si="115"/>
        <v>0</v>
      </c>
      <c r="Z93" s="662">
        <f t="shared" si="115"/>
        <v>0</v>
      </c>
      <c r="AA93" s="663">
        <f t="shared" si="115"/>
        <v>0</v>
      </c>
      <c r="AB93" s="663"/>
      <c r="AC93" s="662">
        <f t="shared" si="115"/>
        <v>17278</v>
      </c>
      <c r="AD93" s="662"/>
      <c r="AE93" s="662">
        <f t="shared" ref="AE93:AL93" si="116">AE95+AE98+AE104+AE105+AE106+AE107+AE108+AE94</f>
        <v>0</v>
      </c>
      <c r="AF93" s="664">
        <f t="shared" si="116"/>
        <v>0</v>
      </c>
      <c r="AG93" s="664">
        <f t="shared" si="116"/>
        <v>0</v>
      </c>
      <c r="AH93" s="664">
        <f t="shared" si="116"/>
        <v>0</v>
      </c>
      <c r="AI93" s="664">
        <f t="shared" si="116"/>
        <v>0</v>
      </c>
      <c r="AJ93" s="664">
        <f t="shared" si="116"/>
        <v>0</v>
      </c>
      <c r="AK93" s="664">
        <f t="shared" si="116"/>
        <v>0</v>
      </c>
      <c r="AL93" s="664">
        <f t="shared" si="116"/>
        <v>0</v>
      </c>
      <c r="AM93" s="772">
        <f>AM95+AM98+AM104+AM105+AM106+AM107+AM108</f>
        <v>0</v>
      </c>
      <c r="AN93" s="610"/>
      <c r="AO93" s="659">
        <v>36</v>
      </c>
      <c r="AP93" s="660" t="s">
        <v>533</v>
      </c>
      <c r="AQ93" s="662">
        <f>AQ95+AQ98+AQ104+AQ105+AQ106+AQ107+AQ108+AQ94</f>
        <v>2738</v>
      </c>
      <c r="AR93" s="662">
        <f t="shared" ref="AR93:BW93" si="117">AR95+AR98+AR104+AR105+AR106+AR107+AR108+AR94</f>
        <v>2617</v>
      </c>
      <c r="AS93" s="662">
        <f t="shared" si="117"/>
        <v>0</v>
      </c>
      <c r="AT93" s="662">
        <f t="shared" si="117"/>
        <v>2617</v>
      </c>
      <c r="AU93" s="662">
        <f t="shared" si="117"/>
        <v>0</v>
      </c>
      <c r="AV93" s="662">
        <f t="shared" si="117"/>
        <v>2496</v>
      </c>
      <c r="AW93" s="662">
        <f t="shared" si="117"/>
        <v>121</v>
      </c>
      <c r="AX93" s="662">
        <f t="shared" si="117"/>
        <v>111</v>
      </c>
      <c r="AY93" s="662">
        <f t="shared" si="117"/>
        <v>76251</v>
      </c>
      <c r="AZ93" s="665">
        <f t="shared" si="117"/>
        <v>52499</v>
      </c>
      <c r="BA93" s="662">
        <f t="shared" si="117"/>
        <v>6392</v>
      </c>
      <c r="BB93" s="662">
        <f t="shared" si="117"/>
        <v>0</v>
      </c>
      <c r="BC93" s="662">
        <f t="shared" si="117"/>
        <v>0</v>
      </c>
      <c r="BD93" s="662">
        <f t="shared" si="117"/>
        <v>0</v>
      </c>
      <c r="BE93" s="662">
        <f t="shared" si="117"/>
        <v>639.20000000000005</v>
      </c>
      <c r="BF93" s="663">
        <f t="shared" si="117"/>
        <v>639</v>
      </c>
      <c r="BG93" s="662">
        <f t="shared" si="117"/>
        <v>58252</v>
      </c>
      <c r="BH93" s="662">
        <f t="shared" si="117"/>
        <v>16724</v>
      </c>
      <c r="BI93" s="662">
        <f t="shared" si="117"/>
        <v>0</v>
      </c>
      <c r="BJ93" s="662">
        <f t="shared" si="117"/>
        <v>0</v>
      </c>
      <c r="BK93" s="662">
        <f t="shared" si="117"/>
        <v>0</v>
      </c>
      <c r="BL93" s="662">
        <f t="shared" si="117"/>
        <v>0</v>
      </c>
      <c r="BM93" s="663">
        <f t="shared" si="117"/>
        <v>0</v>
      </c>
      <c r="BN93" s="662">
        <f t="shared" si="117"/>
        <v>16724</v>
      </c>
      <c r="BO93" s="662">
        <f t="shared" si="117"/>
        <v>1275</v>
      </c>
      <c r="BP93" s="662">
        <f t="shared" si="117"/>
        <v>0</v>
      </c>
      <c r="BQ93" s="662">
        <f t="shared" si="117"/>
        <v>638785</v>
      </c>
      <c r="BR93" s="662">
        <f t="shared" si="117"/>
        <v>0</v>
      </c>
      <c r="BS93" s="662">
        <f t="shared" si="117"/>
        <v>0</v>
      </c>
      <c r="BT93" s="662">
        <f t="shared" si="117"/>
        <v>0</v>
      </c>
      <c r="BU93" s="662">
        <f t="shared" si="117"/>
        <v>0</v>
      </c>
      <c r="BV93" s="662">
        <f t="shared" si="117"/>
        <v>0</v>
      </c>
      <c r="BW93" s="662">
        <f t="shared" si="117"/>
        <v>0</v>
      </c>
    </row>
    <row r="94" spans="1:75" s="710" customFormat="1">
      <c r="A94" s="700"/>
      <c r="B94" s="701" t="s">
        <v>534</v>
      </c>
      <c r="C94" s="702">
        <f>D94+I94</f>
        <v>554</v>
      </c>
      <c r="D94" s="702">
        <f>E94+F94</f>
        <v>527</v>
      </c>
      <c r="E94" s="702"/>
      <c r="F94" s="702">
        <v>527</v>
      </c>
      <c r="G94" s="702"/>
      <c r="H94" s="702">
        <v>527</v>
      </c>
      <c r="I94" s="702">
        <v>27</v>
      </c>
      <c r="J94" s="702">
        <v>27</v>
      </c>
      <c r="K94" s="989">
        <f t="shared" si="85"/>
        <v>0</v>
      </c>
      <c r="L94" s="703">
        <f>U94+AC94+AD94+AE94</f>
        <v>0</v>
      </c>
      <c r="M94" s="703"/>
      <c r="N94" s="703"/>
      <c r="O94" s="703"/>
      <c r="P94" s="703"/>
      <c r="Q94" s="703"/>
      <c r="R94" s="666">
        <f t="shared" ref="R94:R107" si="118">((N94+O94)-(BA94+BB94))*10%</f>
        <v>0</v>
      </c>
      <c r="S94" s="704"/>
      <c r="T94" s="704"/>
      <c r="U94" s="666">
        <f t="shared" ref="U94:U108" si="119">(M94+N94+O94+P94)-T94</f>
        <v>0</v>
      </c>
      <c r="V94" s="703"/>
      <c r="W94" s="703"/>
      <c r="X94" s="703"/>
      <c r="Y94" s="667">
        <f t="shared" ref="Y94:Y114" si="120">Z94-BM94</f>
        <v>0</v>
      </c>
      <c r="Z94" s="668">
        <f t="shared" si="105"/>
        <v>0</v>
      </c>
      <c r="AA94" s="704"/>
      <c r="AB94" s="667">
        <f t="shared" ref="AB94:AB108" si="121">ROUND((Y94+AA94+X94),0)</f>
        <v>0</v>
      </c>
      <c r="AC94" s="666">
        <f t="shared" ref="AC94:AC114" si="122">(V94+W94)-AB94</f>
        <v>0</v>
      </c>
      <c r="AD94" s="703"/>
      <c r="AE94" s="703"/>
      <c r="AF94" s="705"/>
      <c r="AG94" s="705"/>
      <c r="AH94" s="705"/>
      <c r="AI94" s="705"/>
      <c r="AJ94" s="705"/>
      <c r="AK94" s="705"/>
      <c r="AL94" s="705"/>
      <c r="AM94" s="773"/>
      <c r="AN94" s="707"/>
      <c r="AO94" s="700"/>
      <c r="AP94" s="701" t="s">
        <v>534</v>
      </c>
      <c r="AQ94" s="702">
        <f>AR94+AW94</f>
        <v>565</v>
      </c>
      <c r="AR94" s="702">
        <f>AS94+AT94</f>
        <v>535</v>
      </c>
      <c r="AS94" s="702"/>
      <c r="AT94" s="702">
        <v>535</v>
      </c>
      <c r="AU94" s="702"/>
      <c r="AV94" s="702">
        <v>535</v>
      </c>
      <c r="AW94" s="702">
        <v>30</v>
      </c>
      <c r="AX94" s="702">
        <v>30</v>
      </c>
      <c r="AY94" s="703">
        <f>BG94+BN94+BO94+BP94</f>
        <v>1275</v>
      </c>
      <c r="AZ94" s="708"/>
      <c r="BA94" s="703"/>
      <c r="BB94" s="703"/>
      <c r="BC94" s="703"/>
      <c r="BD94" s="703"/>
      <c r="BE94" s="666">
        <f>(BA94+BB94)*10%</f>
        <v>0</v>
      </c>
      <c r="BF94" s="704">
        <f>ROUND(BE94,0)</f>
        <v>0</v>
      </c>
      <c r="BG94" s="709">
        <f>(AZ94+BA94+BB94+BC94)-BF94</f>
        <v>0</v>
      </c>
      <c r="BH94" s="703"/>
      <c r="BI94" s="703"/>
      <c r="BJ94" s="703">
        <f>8600-8600</f>
        <v>0</v>
      </c>
      <c r="BK94" s="703"/>
      <c r="BL94" s="709">
        <f>BH94*10%</f>
        <v>0</v>
      </c>
      <c r="BM94" s="704">
        <f>ROUND(BL94,0)</f>
        <v>0</v>
      </c>
      <c r="BN94" s="709">
        <f>(BH94+BI94+BJ94)-BM94</f>
        <v>0</v>
      </c>
      <c r="BO94" s="703">
        <v>1275</v>
      </c>
      <c r="BP94" s="703"/>
      <c r="BQ94" s="703">
        <f>291008-261</f>
        <v>290747</v>
      </c>
      <c r="BR94" s="703"/>
      <c r="BS94" s="703"/>
      <c r="BT94" s="703"/>
      <c r="BU94" s="703"/>
      <c r="BV94" s="703"/>
      <c r="BW94" s="703"/>
    </row>
    <row r="95" spans="1:75" s="710" customFormat="1">
      <c r="A95" s="700"/>
      <c r="B95" s="701" t="s">
        <v>535</v>
      </c>
      <c r="C95" s="702">
        <f>C96+C97</f>
        <v>347</v>
      </c>
      <c r="D95" s="702">
        <f>D96+D97</f>
        <v>330</v>
      </c>
      <c r="E95" s="702"/>
      <c r="F95" s="702"/>
      <c r="G95" s="702"/>
      <c r="H95" s="702"/>
      <c r="I95" s="702"/>
      <c r="J95" s="702"/>
      <c r="K95" s="989">
        <f t="shared" si="85"/>
        <v>0</v>
      </c>
      <c r="L95" s="703">
        <f t="shared" ref="L95:Q95" si="123">L96+L97</f>
        <v>0</v>
      </c>
      <c r="M95" s="703">
        <f t="shared" si="123"/>
        <v>0</v>
      </c>
      <c r="N95" s="703">
        <f t="shared" si="123"/>
        <v>0</v>
      </c>
      <c r="O95" s="703">
        <f t="shared" si="123"/>
        <v>0</v>
      </c>
      <c r="P95" s="703">
        <f t="shared" si="123"/>
        <v>0</v>
      </c>
      <c r="Q95" s="703">
        <f t="shared" si="123"/>
        <v>0</v>
      </c>
      <c r="R95" s="666">
        <f t="shared" si="118"/>
        <v>0</v>
      </c>
      <c r="S95" s="774">
        <f>S96+S97</f>
        <v>0</v>
      </c>
      <c r="T95" s="667">
        <f t="shared" ref="T95:T114" si="124">ROUND((Q95+R95+S95),0)</f>
        <v>0</v>
      </c>
      <c r="U95" s="666">
        <f t="shared" si="119"/>
        <v>0</v>
      </c>
      <c r="V95" s="703"/>
      <c r="W95" s="703"/>
      <c r="X95" s="703"/>
      <c r="Y95" s="667">
        <f t="shared" si="120"/>
        <v>0</v>
      </c>
      <c r="Z95" s="668">
        <f t="shared" si="105"/>
        <v>0</v>
      </c>
      <c r="AA95" s="774"/>
      <c r="AB95" s="667">
        <f t="shared" si="121"/>
        <v>0</v>
      </c>
      <c r="AC95" s="666">
        <f t="shared" si="122"/>
        <v>0</v>
      </c>
      <c r="AD95" s="703">
        <f>AD96+AD97</f>
        <v>0</v>
      </c>
      <c r="AE95" s="703">
        <f>AE96+AE97</f>
        <v>0</v>
      </c>
      <c r="AF95" s="705"/>
      <c r="AG95" s="705"/>
      <c r="AH95" s="705"/>
      <c r="AI95" s="705"/>
      <c r="AJ95" s="705"/>
      <c r="AK95" s="705"/>
      <c r="AL95" s="705"/>
      <c r="AM95" s="706"/>
      <c r="AN95" s="707"/>
      <c r="AO95" s="700"/>
      <c r="AP95" s="701" t="s">
        <v>535</v>
      </c>
      <c r="AQ95" s="702">
        <f>AQ96+AQ97</f>
        <v>361</v>
      </c>
      <c r="AR95" s="702">
        <f t="shared" ref="AR95:AX95" si="125">AR96+AR97</f>
        <v>341</v>
      </c>
      <c r="AS95" s="702">
        <f t="shared" si="125"/>
        <v>0</v>
      </c>
      <c r="AT95" s="702">
        <f t="shared" si="125"/>
        <v>341</v>
      </c>
      <c r="AU95" s="702">
        <f t="shared" si="125"/>
        <v>0</v>
      </c>
      <c r="AV95" s="702">
        <f t="shared" si="125"/>
        <v>325</v>
      </c>
      <c r="AW95" s="702">
        <f t="shared" si="125"/>
        <v>20</v>
      </c>
      <c r="AX95" s="702">
        <f t="shared" si="125"/>
        <v>10</v>
      </c>
      <c r="AY95" s="703">
        <f>AY96+AY97</f>
        <v>4000</v>
      </c>
      <c r="AZ95" s="708">
        <f t="shared" ref="AZ95:BP95" si="126">AZ96+AZ97</f>
        <v>4000</v>
      </c>
      <c r="BA95" s="703">
        <f t="shared" si="126"/>
        <v>0</v>
      </c>
      <c r="BB95" s="703">
        <f t="shared" si="126"/>
        <v>0</v>
      </c>
      <c r="BC95" s="703">
        <f t="shared" si="126"/>
        <v>0</v>
      </c>
      <c r="BD95" s="703">
        <f t="shared" si="126"/>
        <v>0</v>
      </c>
      <c r="BE95" s="662">
        <f t="shared" si="126"/>
        <v>0</v>
      </c>
      <c r="BF95" s="774">
        <f t="shared" si="126"/>
        <v>0</v>
      </c>
      <c r="BG95" s="703">
        <f t="shared" si="126"/>
        <v>4000</v>
      </c>
      <c r="BH95" s="703">
        <f t="shared" si="126"/>
        <v>0</v>
      </c>
      <c r="BI95" s="703">
        <f t="shared" si="126"/>
        <v>0</v>
      </c>
      <c r="BJ95" s="703">
        <f t="shared" si="126"/>
        <v>0</v>
      </c>
      <c r="BK95" s="703">
        <f t="shared" si="126"/>
        <v>0</v>
      </c>
      <c r="BL95" s="703">
        <f t="shared" si="126"/>
        <v>0</v>
      </c>
      <c r="BM95" s="774"/>
      <c r="BN95" s="703">
        <f t="shared" si="126"/>
        <v>0</v>
      </c>
      <c r="BO95" s="703">
        <f t="shared" si="126"/>
        <v>0</v>
      </c>
      <c r="BP95" s="703">
        <f t="shared" si="126"/>
        <v>0</v>
      </c>
      <c r="BQ95" s="703">
        <f>(61037+35049)-(74+42)</f>
        <v>95970</v>
      </c>
      <c r="BR95" s="703"/>
      <c r="BS95" s="703"/>
      <c r="BT95" s="703"/>
      <c r="BU95" s="703"/>
      <c r="BV95" s="703"/>
      <c r="BW95" s="703"/>
    </row>
    <row r="96" spans="1:75" s="710" customFormat="1">
      <c r="A96" s="700"/>
      <c r="B96" s="701" t="s">
        <v>536</v>
      </c>
      <c r="C96" s="702">
        <f>D96+I96</f>
        <v>168</v>
      </c>
      <c r="D96" s="702">
        <f>E96+F96</f>
        <v>160</v>
      </c>
      <c r="E96" s="702"/>
      <c r="F96" s="702">
        <v>160</v>
      </c>
      <c r="G96" s="702"/>
      <c r="H96" s="702">
        <v>154</v>
      </c>
      <c r="I96" s="702">
        <v>8</v>
      </c>
      <c r="J96" s="702">
        <v>8</v>
      </c>
      <c r="K96" s="989">
        <f t="shared" si="85"/>
        <v>0</v>
      </c>
      <c r="L96" s="703">
        <f>U96+AC96+AD96+AE96</f>
        <v>0</v>
      </c>
      <c r="M96" s="703"/>
      <c r="N96" s="703"/>
      <c r="O96" s="703"/>
      <c r="P96" s="703"/>
      <c r="Q96" s="703"/>
      <c r="R96" s="666">
        <f t="shared" si="118"/>
        <v>0</v>
      </c>
      <c r="S96" s="704"/>
      <c r="T96" s="667">
        <f t="shared" si="124"/>
        <v>0</v>
      </c>
      <c r="U96" s="666">
        <f t="shared" si="119"/>
        <v>0</v>
      </c>
      <c r="V96" s="703"/>
      <c r="W96" s="703"/>
      <c r="X96" s="703"/>
      <c r="Y96" s="667">
        <f t="shared" si="120"/>
        <v>0</v>
      </c>
      <c r="Z96" s="668">
        <f t="shared" si="105"/>
        <v>0</v>
      </c>
      <c r="AA96" s="704"/>
      <c r="AB96" s="667">
        <f t="shared" si="121"/>
        <v>0</v>
      </c>
      <c r="AC96" s="666">
        <f t="shared" si="122"/>
        <v>0</v>
      </c>
      <c r="AD96" s="703"/>
      <c r="AE96" s="703"/>
      <c r="AF96" s="705"/>
      <c r="AG96" s="705"/>
      <c r="AH96" s="705"/>
      <c r="AI96" s="705"/>
      <c r="AJ96" s="705"/>
      <c r="AK96" s="705"/>
      <c r="AL96" s="705"/>
      <c r="AM96" s="706"/>
      <c r="AN96" s="707"/>
      <c r="AO96" s="700"/>
      <c r="AP96" s="701" t="s">
        <v>536</v>
      </c>
      <c r="AQ96" s="702">
        <f>AR96+AW96</f>
        <v>180</v>
      </c>
      <c r="AR96" s="702">
        <f>AS96+AT96</f>
        <v>170</v>
      </c>
      <c r="AS96" s="702"/>
      <c r="AT96" s="702">
        <v>170</v>
      </c>
      <c r="AU96" s="702"/>
      <c r="AV96" s="702">
        <v>161</v>
      </c>
      <c r="AW96" s="702">
        <v>10</v>
      </c>
      <c r="AX96" s="702">
        <v>10</v>
      </c>
      <c r="AY96" s="703">
        <f>BG96+BN96+BO96+BP96</f>
        <v>4000</v>
      </c>
      <c r="AZ96" s="708">
        <v>4000</v>
      </c>
      <c r="BA96" s="703"/>
      <c r="BB96" s="703"/>
      <c r="BC96" s="703"/>
      <c r="BD96" s="703"/>
      <c r="BE96" s="666">
        <f>(BA96+BB96)*10%</f>
        <v>0</v>
      </c>
      <c r="BF96" s="704">
        <f>ROUND(BE96,0)</f>
        <v>0</v>
      </c>
      <c r="BG96" s="709">
        <f>(AZ96+BA96+BB96+BC96)-BF96</f>
        <v>4000</v>
      </c>
      <c r="BH96" s="703"/>
      <c r="BI96" s="703"/>
      <c r="BJ96" s="703"/>
      <c r="BK96" s="703"/>
      <c r="BL96" s="709">
        <f>BH96*10%</f>
        <v>0</v>
      </c>
      <c r="BM96" s="704">
        <f>ROUND(BL96,0)</f>
        <v>0</v>
      </c>
      <c r="BN96" s="709">
        <f>(BH96+BI96+BJ96)-BM96</f>
        <v>0</v>
      </c>
      <c r="BO96" s="703"/>
      <c r="BP96" s="703"/>
      <c r="BQ96" s="703"/>
      <c r="BR96" s="703"/>
      <c r="BS96" s="703"/>
      <c r="BT96" s="703"/>
      <c r="BU96" s="703"/>
      <c r="BV96" s="703"/>
      <c r="BW96" s="703"/>
    </row>
    <row r="97" spans="1:75" s="710" customFormat="1">
      <c r="A97" s="700"/>
      <c r="B97" s="701" t="s">
        <v>537</v>
      </c>
      <c r="C97" s="702">
        <f>D97+I97</f>
        <v>179</v>
      </c>
      <c r="D97" s="702">
        <f>E97+F97</f>
        <v>170</v>
      </c>
      <c r="E97" s="702"/>
      <c r="F97" s="702">
        <v>170</v>
      </c>
      <c r="G97" s="702"/>
      <c r="H97" s="702">
        <v>165</v>
      </c>
      <c r="I97" s="702">
        <v>9</v>
      </c>
      <c r="J97" s="702">
        <v>9</v>
      </c>
      <c r="K97" s="989">
        <f t="shared" si="85"/>
        <v>0</v>
      </c>
      <c r="L97" s="703">
        <f>U97+AC97+AD97+AE97</f>
        <v>0</v>
      </c>
      <c r="M97" s="703"/>
      <c r="N97" s="703"/>
      <c r="O97" s="703"/>
      <c r="P97" s="703"/>
      <c r="Q97" s="703"/>
      <c r="R97" s="666">
        <f t="shared" si="118"/>
        <v>0</v>
      </c>
      <c r="S97" s="704"/>
      <c r="T97" s="667">
        <f t="shared" si="124"/>
        <v>0</v>
      </c>
      <c r="U97" s="666">
        <f t="shared" si="119"/>
        <v>0</v>
      </c>
      <c r="V97" s="703"/>
      <c r="W97" s="703"/>
      <c r="X97" s="703"/>
      <c r="Y97" s="667">
        <f t="shared" si="120"/>
        <v>0</v>
      </c>
      <c r="Z97" s="668">
        <f t="shared" si="105"/>
        <v>0</v>
      </c>
      <c r="AA97" s="704"/>
      <c r="AB97" s="667">
        <f t="shared" si="121"/>
        <v>0</v>
      </c>
      <c r="AC97" s="666">
        <f t="shared" si="122"/>
        <v>0</v>
      </c>
      <c r="AD97" s="703"/>
      <c r="AE97" s="703"/>
      <c r="AF97" s="705"/>
      <c r="AG97" s="705"/>
      <c r="AH97" s="705"/>
      <c r="AI97" s="705"/>
      <c r="AJ97" s="705"/>
      <c r="AK97" s="705"/>
      <c r="AL97" s="705"/>
      <c r="AM97" s="706"/>
      <c r="AN97" s="707"/>
      <c r="AO97" s="700"/>
      <c r="AP97" s="701" t="s">
        <v>537</v>
      </c>
      <c r="AQ97" s="702">
        <f>AR97+AW97</f>
        <v>181</v>
      </c>
      <c r="AR97" s="702">
        <f>AS97+AT97</f>
        <v>171</v>
      </c>
      <c r="AS97" s="702"/>
      <c r="AT97" s="702">
        <f>165+6</f>
        <v>171</v>
      </c>
      <c r="AU97" s="702"/>
      <c r="AV97" s="702">
        <v>164</v>
      </c>
      <c r="AW97" s="702">
        <v>10</v>
      </c>
      <c r="AX97" s="702"/>
      <c r="AY97" s="703">
        <f>BG97+BN97+BO97+BP97</f>
        <v>0</v>
      </c>
      <c r="AZ97" s="708"/>
      <c r="BA97" s="703"/>
      <c r="BB97" s="703"/>
      <c r="BC97" s="703"/>
      <c r="BD97" s="703"/>
      <c r="BE97" s="666">
        <f>(BA97+BB97)*10%</f>
        <v>0</v>
      </c>
      <c r="BF97" s="704">
        <f>ROUND(BE97,0)</f>
        <v>0</v>
      </c>
      <c r="BG97" s="709">
        <f>(AZ97+BA97+BB97+BC97)-BF97</f>
        <v>0</v>
      </c>
      <c r="BH97" s="703"/>
      <c r="BI97" s="703"/>
      <c r="BJ97" s="703"/>
      <c r="BK97" s="703"/>
      <c r="BL97" s="709">
        <f>BH97*10%</f>
        <v>0</v>
      </c>
      <c r="BM97" s="704">
        <f>ROUND(BL97,0)</f>
        <v>0</v>
      </c>
      <c r="BN97" s="709">
        <f>(BH97+BI97+BJ97)-BM97</f>
        <v>0</v>
      </c>
      <c r="BO97" s="703"/>
      <c r="BP97" s="703"/>
      <c r="BQ97" s="703"/>
      <c r="BR97" s="703"/>
      <c r="BS97" s="703"/>
      <c r="BT97" s="703"/>
      <c r="BU97" s="703"/>
      <c r="BV97" s="703"/>
      <c r="BW97" s="703"/>
    </row>
    <row r="98" spans="1:75" s="710" customFormat="1">
      <c r="A98" s="700"/>
      <c r="B98" s="701" t="s">
        <v>538</v>
      </c>
      <c r="C98" s="702">
        <f>C99+C100+C101+C102+C103</f>
        <v>813</v>
      </c>
      <c r="D98" s="702">
        <f>D99+D100+D101+D102+D103</f>
        <v>772</v>
      </c>
      <c r="E98" s="702"/>
      <c r="F98" s="702"/>
      <c r="G98" s="702"/>
      <c r="H98" s="702"/>
      <c r="I98" s="702"/>
      <c r="J98" s="702"/>
      <c r="K98" s="989">
        <f t="shared" si="85"/>
        <v>12100</v>
      </c>
      <c r="L98" s="703">
        <f t="shared" ref="L98:Q98" si="127">SUM(L99:L103)</f>
        <v>12100</v>
      </c>
      <c r="M98" s="703">
        <f t="shared" si="127"/>
        <v>12100</v>
      </c>
      <c r="N98" s="703">
        <f t="shared" si="127"/>
        <v>0</v>
      </c>
      <c r="O98" s="703">
        <f t="shared" si="127"/>
        <v>0</v>
      </c>
      <c r="P98" s="703">
        <f t="shared" si="127"/>
        <v>0</v>
      </c>
      <c r="Q98" s="703">
        <f t="shared" si="127"/>
        <v>0</v>
      </c>
      <c r="R98" s="666">
        <f t="shared" si="118"/>
        <v>0</v>
      </c>
      <c r="S98" s="774"/>
      <c r="T98" s="667">
        <f t="shared" si="124"/>
        <v>0</v>
      </c>
      <c r="U98" s="666">
        <f t="shared" si="119"/>
        <v>12100</v>
      </c>
      <c r="V98" s="703"/>
      <c r="W98" s="703"/>
      <c r="X98" s="703"/>
      <c r="Y98" s="667">
        <f t="shared" si="120"/>
        <v>0</v>
      </c>
      <c r="Z98" s="668">
        <f t="shared" si="105"/>
        <v>0</v>
      </c>
      <c r="AA98" s="774"/>
      <c r="AB98" s="667">
        <f t="shared" si="121"/>
        <v>0</v>
      </c>
      <c r="AC98" s="666">
        <f t="shared" si="122"/>
        <v>0</v>
      </c>
      <c r="AD98" s="703">
        <f>SUM(AD99:AD103)</f>
        <v>0</v>
      </c>
      <c r="AE98" s="703">
        <f>SUM(AE99:AE103)</f>
        <v>0</v>
      </c>
      <c r="AF98" s="705"/>
      <c r="AG98" s="705"/>
      <c r="AH98" s="705"/>
      <c r="AI98" s="705"/>
      <c r="AJ98" s="705"/>
      <c r="AK98" s="705"/>
      <c r="AL98" s="705"/>
      <c r="AM98" s="706"/>
      <c r="AN98" s="707"/>
      <c r="AO98" s="700"/>
      <c r="AP98" s="701" t="s">
        <v>538</v>
      </c>
      <c r="AQ98" s="702">
        <f>AQ99+AQ100+AQ101+AQ102+AQ103</f>
        <v>616</v>
      </c>
      <c r="AR98" s="702">
        <f t="shared" ref="AR98:AX98" si="128">AR99+AR100+AR101+AR102+AR103</f>
        <v>583</v>
      </c>
      <c r="AS98" s="702">
        <f t="shared" si="128"/>
        <v>0</v>
      </c>
      <c r="AT98" s="702">
        <f t="shared" si="128"/>
        <v>583</v>
      </c>
      <c r="AU98" s="702">
        <f t="shared" si="128"/>
        <v>0</v>
      </c>
      <c r="AV98" s="702">
        <f t="shared" si="128"/>
        <v>537</v>
      </c>
      <c r="AW98" s="702">
        <f t="shared" si="128"/>
        <v>33</v>
      </c>
      <c r="AX98" s="702">
        <f t="shared" si="128"/>
        <v>33</v>
      </c>
      <c r="AY98" s="703">
        <f t="shared" ref="AY98:BP98" si="129">SUM(AY99:AY103)</f>
        <v>900</v>
      </c>
      <c r="AZ98" s="708">
        <f t="shared" si="129"/>
        <v>900</v>
      </c>
      <c r="BA98" s="703">
        <f t="shared" si="129"/>
        <v>0</v>
      </c>
      <c r="BB98" s="703">
        <f t="shared" si="129"/>
        <v>0</v>
      </c>
      <c r="BC98" s="703">
        <f t="shared" si="129"/>
        <v>0</v>
      </c>
      <c r="BD98" s="703">
        <f t="shared" si="129"/>
        <v>0</v>
      </c>
      <c r="BE98" s="662">
        <f t="shared" si="129"/>
        <v>0</v>
      </c>
      <c r="BF98" s="774">
        <f t="shared" si="129"/>
        <v>0</v>
      </c>
      <c r="BG98" s="703">
        <f>SUM(BG99:BG103)</f>
        <v>900</v>
      </c>
      <c r="BH98" s="703">
        <f t="shared" si="129"/>
        <v>0</v>
      </c>
      <c r="BI98" s="703">
        <f t="shared" si="129"/>
        <v>0</v>
      </c>
      <c r="BJ98" s="703">
        <f t="shared" si="129"/>
        <v>0</v>
      </c>
      <c r="BK98" s="703">
        <f t="shared" si="129"/>
        <v>0</v>
      </c>
      <c r="BL98" s="703">
        <f t="shared" si="129"/>
        <v>0</v>
      </c>
      <c r="BM98" s="774"/>
      <c r="BN98" s="703">
        <f t="shared" si="129"/>
        <v>0</v>
      </c>
      <c r="BO98" s="703">
        <f t="shared" si="129"/>
        <v>0</v>
      </c>
      <c r="BP98" s="703">
        <f t="shared" si="129"/>
        <v>0</v>
      </c>
      <c r="BQ98" s="703">
        <f>(29187+22058+26913+46249+23150)-(18+19+16+23+15)</f>
        <v>147466</v>
      </c>
      <c r="BR98" s="703"/>
      <c r="BS98" s="703"/>
      <c r="BT98" s="703"/>
      <c r="BU98" s="703"/>
      <c r="BV98" s="703"/>
      <c r="BW98" s="703"/>
    </row>
    <row r="99" spans="1:75" s="710" customFormat="1" ht="31.2">
      <c r="A99" s="700"/>
      <c r="B99" s="701" t="s">
        <v>539</v>
      </c>
      <c r="C99" s="702">
        <f t="shared" ref="C99:C108" si="130">D99+I99</f>
        <v>209</v>
      </c>
      <c r="D99" s="702">
        <f t="shared" ref="D99:D108" si="131">E99+F99</f>
        <v>201</v>
      </c>
      <c r="E99" s="702"/>
      <c r="F99" s="702">
        <v>201</v>
      </c>
      <c r="G99" s="702"/>
      <c r="H99" s="702">
        <v>181</v>
      </c>
      <c r="I99" s="702">
        <v>8</v>
      </c>
      <c r="J99" s="702">
        <v>8</v>
      </c>
      <c r="K99" s="989">
        <f t="shared" si="85"/>
        <v>0</v>
      </c>
      <c r="L99" s="703">
        <f t="shared" ref="L99:L114" si="132">U99+AC99+AD99+AE99</f>
        <v>0</v>
      </c>
      <c r="M99" s="703"/>
      <c r="N99" s="703"/>
      <c r="O99" s="703"/>
      <c r="P99" s="703"/>
      <c r="Q99" s="703"/>
      <c r="R99" s="666">
        <f t="shared" si="118"/>
        <v>0</v>
      </c>
      <c r="S99" s="704"/>
      <c r="T99" s="667">
        <f t="shared" si="124"/>
        <v>0</v>
      </c>
      <c r="U99" s="666">
        <f t="shared" si="119"/>
        <v>0</v>
      </c>
      <c r="V99" s="703"/>
      <c r="W99" s="703"/>
      <c r="X99" s="703"/>
      <c r="Y99" s="667">
        <f t="shared" si="120"/>
        <v>0</v>
      </c>
      <c r="Z99" s="668">
        <f t="shared" si="105"/>
        <v>0</v>
      </c>
      <c r="AA99" s="704"/>
      <c r="AB99" s="667">
        <f t="shared" si="121"/>
        <v>0</v>
      </c>
      <c r="AC99" s="666">
        <f t="shared" si="122"/>
        <v>0</v>
      </c>
      <c r="AD99" s="703"/>
      <c r="AE99" s="703"/>
      <c r="AF99" s="705"/>
      <c r="AG99" s="705"/>
      <c r="AH99" s="705"/>
      <c r="AI99" s="705"/>
      <c r="AJ99" s="705"/>
      <c r="AK99" s="705"/>
      <c r="AL99" s="705"/>
      <c r="AM99" s="706"/>
      <c r="AN99" s="707"/>
      <c r="AO99" s="700"/>
      <c r="AP99" s="701" t="s">
        <v>540</v>
      </c>
      <c r="AQ99" s="702">
        <f t="shared" ref="AQ99:AQ108" si="133">AR99+AW99</f>
        <v>177</v>
      </c>
      <c r="AR99" s="702">
        <f t="shared" ref="AR99:AR108" si="134">AS99+AT99</f>
        <v>170</v>
      </c>
      <c r="AS99" s="702"/>
      <c r="AT99" s="702">
        <v>170</v>
      </c>
      <c r="AU99" s="702"/>
      <c r="AV99" s="702">
        <v>130</v>
      </c>
      <c r="AW99" s="702">
        <v>7</v>
      </c>
      <c r="AX99" s="702">
        <v>7</v>
      </c>
      <c r="AY99" s="703">
        <f t="shared" ref="AY99:AY114" si="135">BG99+BN99+BO99+BP99</f>
        <v>0</v>
      </c>
      <c r="AZ99" s="708"/>
      <c r="BA99" s="703"/>
      <c r="BB99" s="703"/>
      <c r="BC99" s="703"/>
      <c r="BD99" s="703"/>
      <c r="BE99" s="666">
        <f t="shared" ref="BE99:BE108" si="136">(BA99+BB99)*10%</f>
        <v>0</v>
      </c>
      <c r="BF99" s="704">
        <f>ROUND(BE99,0)</f>
        <v>0</v>
      </c>
      <c r="BG99" s="709">
        <f t="shared" ref="BG99:BG108" si="137">(AZ99+BA99+BB99+BC99)-BF99</f>
        <v>0</v>
      </c>
      <c r="BH99" s="703"/>
      <c r="BI99" s="703"/>
      <c r="BJ99" s="703"/>
      <c r="BK99" s="703"/>
      <c r="BL99" s="709">
        <f>BH99*10%</f>
        <v>0</v>
      </c>
      <c r="BM99" s="704">
        <f t="shared" ref="BM99:BM108" si="138">ROUND(BL99,0)</f>
        <v>0</v>
      </c>
      <c r="BN99" s="709">
        <f t="shared" ref="BN99:BN108" si="139">(BH99+BI99+BJ99)-BM99</f>
        <v>0</v>
      </c>
      <c r="BO99" s="703"/>
      <c r="BP99" s="703"/>
      <c r="BQ99" s="703"/>
      <c r="BR99" s="703"/>
      <c r="BS99" s="703"/>
      <c r="BT99" s="703"/>
      <c r="BU99" s="703"/>
      <c r="BV99" s="703"/>
      <c r="BW99" s="703"/>
    </row>
    <row r="100" spans="1:75" s="710" customFormat="1" ht="31.2">
      <c r="A100" s="700"/>
      <c r="B100" s="701" t="s">
        <v>541</v>
      </c>
      <c r="C100" s="702">
        <f t="shared" si="130"/>
        <v>160</v>
      </c>
      <c r="D100" s="702">
        <f t="shared" si="131"/>
        <v>152</v>
      </c>
      <c r="E100" s="702"/>
      <c r="F100" s="702">
        <v>152</v>
      </c>
      <c r="G100" s="702"/>
      <c r="H100" s="702">
        <v>139</v>
      </c>
      <c r="I100" s="702">
        <v>8</v>
      </c>
      <c r="J100" s="702">
        <v>8</v>
      </c>
      <c r="K100" s="989">
        <f t="shared" si="85"/>
        <v>4000</v>
      </c>
      <c r="L100" s="703">
        <f t="shared" si="132"/>
        <v>4000</v>
      </c>
      <c r="M100" s="703">
        <v>4000</v>
      </c>
      <c r="N100" s="703"/>
      <c r="O100" s="703"/>
      <c r="P100" s="703"/>
      <c r="Q100" s="703"/>
      <c r="R100" s="666">
        <f t="shared" si="118"/>
        <v>0</v>
      </c>
      <c r="S100" s="704"/>
      <c r="T100" s="667">
        <f t="shared" si="124"/>
        <v>0</v>
      </c>
      <c r="U100" s="666">
        <f t="shared" si="119"/>
        <v>4000</v>
      </c>
      <c r="V100" s="703"/>
      <c r="W100" s="703"/>
      <c r="X100" s="703"/>
      <c r="Y100" s="667">
        <f t="shared" si="120"/>
        <v>0</v>
      </c>
      <c r="Z100" s="668">
        <f t="shared" si="105"/>
        <v>0</v>
      </c>
      <c r="AA100" s="704"/>
      <c r="AB100" s="667">
        <f t="shared" si="121"/>
        <v>0</v>
      </c>
      <c r="AC100" s="666">
        <f t="shared" si="122"/>
        <v>0</v>
      </c>
      <c r="AD100" s="703"/>
      <c r="AE100" s="703"/>
      <c r="AF100" s="705"/>
      <c r="AG100" s="705"/>
      <c r="AH100" s="705"/>
      <c r="AI100" s="705"/>
      <c r="AJ100" s="705"/>
      <c r="AK100" s="705"/>
      <c r="AL100" s="705"/>
      <c r="AM100" s="706"/>
      <c r="AN100" s="707"/>
      <c r="AO100" s="700"/>
      <c r="AP100" s="701" t="s">
        <v>542</v>
      </c>
      <c r="AQ100" s="702">
        <f t="shared" si="133"/>
        <v>117</v>
      </c>
      <c r="AR100" s="702">
        <f t="shared" si="134"/>
        <v>110</v>
      </c>
      <c r="AS100" s="702"/>
      <c r="AT100" s="702">
        <v>110</v>
      </c>
      <c r="AU100" s="702"/>
      <c r="AV100" s="702">
        <v>107</v>
      </c>
      <c r="AW100" s="702">
        <v>7</v>
      </c>
      <c r="AX100" s="702">
        <v>7</v>
      </c>
      <c r="AY100" s="703">
        <f t="shared" si="135"/>
        <v>900</v>
      </c>
      <c r="AZ100" s="708">
        <f>3056-2156</f>
        <v>900</v>
      </c>
      <c r="BA100" s="703"/>
      <c r="BB100" s="703"/>
      <c r="BC100" s="703"/>
      <c r="BD100" s="703"/>
      <c r="BE100" s="666">
        <f t="shared" si="136"/>
        <v>0</v>
      </c>
      <c r="BF100" s="704">
        <f>ROUND(BE100,0)</f>
        <v>0</v>
      </c>
      <c r="BG100" s="709">
        <f t="shared" si="137"/>
        <v>900</v>
      </c>
      <c r="BH100" s="703"/>
      <c r="BI100" s="703"/>
      <c r="BJ100" s="703"/>
      <c r="BK100" s="703"/>
      <c r="BL100" s="709">
        <f t="shared" ref="BL100:BL108" si="140">BH100*10%</f>
        <v>0</v>
      </c>
      <c r="BM100" s="704">
        <f t="shared" si="138"/>
        <v>0</v>
      </c>
      <c r="BN100" s="709">
        <f t="shared" si="139"/>
        <v>0</v>
      </c>
      <c r="BO100" s="703"/>
      <c r="BP100" s="703"/>
      <c r="BQ100" s="703"/>
      <c r="BR100" s="703"/>
      <c r="BS100" s="703"/>
      <c r="BT100" s="703"/>
      <c r="BU100" s="703"/>
      <c r="BV100" s="703"/>
      <c r="BW100" s="703"/>
    </row>
    <row r="101" spans="1:75" s="710" customFormat="1" ht="31.2">
      <c r="A101" s="700"/>
      <c r="B101" s="701" t="s">
        <v>543</v>
      </c>
      <c r="C101" s="702">
        <f t="shared" si="130"/>
        <v>166</v>
      </c>
      <c r="D101" s="702">
        <f t="shared" si="131"/>
        <v>158</v>
      </c>
      <c r="E101" s="702"/>
      <c r="F101" s="702">
        <v>158</v>
      </c>
      <c r="G101" s="702"/>
      <c r="H101" s="702">
        <v>145</v>
      </c>
      <c r="I101" s="702">
        <v>8</v>
      </c>
      <c r="J101" s="702">
        <v>8</v>
      </c>
      <c r="K101" s="989">
        <f t="shared" si="85"/>
        <v>2400</v>
      </c>
      <c r="L101" s="703">
        <f t="shared" si="132"/>
        <v>2400</v>
      </c>
      <c r="M101" s="703">
        <v>2400</v>
      </c>
      <c r="N101" s="703"/>
      <c r="O101" s="703"/>
      <c r="P101" s="703"/>
      <c r="Q101" s="703"/>
      <c r="R101" s="666">
        <f t="shared" si="118"/>
        <v>0</v>
      </c>
      <c r="S101" s="704"/>
      <c r="T101" s="667">
        <f t="shared" si="124"/>
        <v>0</v>
      </c>
      <c r="U101" s="666">
        <f t="shared" si="119"/>
        <v>2400</v>
      </c>
      <c r="V101" s="703"/>
      <c r="W101" s="703"/>
      <c r="X101" s="703"/>
      <c r="Y101" s="667">
        <f t="shared" si="120"/>
        <v>0</v>
      </c>
      <c r="Z101" s="668">
        <f t="shared" si="105"/>
        <v>0</v>
      </c>
      <c r="AA101" s="704"/>
      <c r="AB101" s="667">
        <f t="shared" si="121"/>
        <v>0</v>
      </c>
      <c r="AC101" s="666">
        <f t="shared" si="122"/>
        <v>0</v>
      </c>
      <c r="AD101" s="703"/>
      <c r="AE101" s="703"/>
      <c r="AF101" s="705"/>
      <c r="AG101" s="705"/>
      <c r="AH101" s="705"/>
      <c r="AI101" s="705"/>
      <c r="AJ101" s="705"/>
      <c r="AK101" s="705"/>
      <c r="AL101" s="705"/>
      <c r="AM101" s="706"/>
      <c r="AN101" s="707"/>
      <c r="AO101" s="700"/>
      <c r="AP101" s="701" t="s">
        <v>544</v>
      </c>
      <c r="AQ101" s="702">
        <f t="shared" si="133"/>
        <v>116</v>
      </c>
      <c r="AR101" s="702">
        <f t="shared" si="134"/>
        <v>110</v>
      </c>
      <c r="AS101" s="702"/>
      <c r="AT101" s="702">
        <v>110</v>
      </c>
      <c r="AU101" s="702"/>
      <c r="AV101" s="702">
        <v>109</v>
      </c>
      <c r="AW101" s="702">
        <v>6</v>
      </c>
      <c r="AX101" s="702">
        <v>6</v>
      </c>
      <c r="AY101" s="703">
        <f t="shared" si="135"/>
        <v>0</v>
      </c>
      <c r="AZ101" s="708"/>
      <c r="BA101" s="703"/>
      <c r="BB101" s="703"/>
      <c r="BC101" s="703"/>
      <c r="BD101" s="703"/>
      <c r="BE101" s="666">
        <f t="shared" si="136"/>
        <v>0</v>
      </c>
      <c r="BF101" s="704">
        <f>ROUND(BE101,0)</f>
        <v>0</v>
      </c>
      <c r="BG101" s="709">
        <f t="shared" si="137"/>
        <v>0</v>
      </c>
      <c r="BH101" s="703"/>
      <c r="BI101" s="703"/>
      <c r="BJ101" s="703"/>
      <c r="BK101" s="703"/>
      <c r="BL101" s="709">
        <f t="shared" si="140"/>
        <v>0</v>
      </c>
      <c r="BM101" s="704">
        <f t="shared" si="138"/>
        <v>0</v>
      </c>
      <c r="BN101" s="709">
        <f t="shared" si="139"/>
        <v>0</v>
      </c>
      <c r="BO101" s="703"/>
      <c r="BP101" s="703"/>
      <c r="BQ101" s="703"/>
      <c r="BR101" s="703"/>
      <c r="BS101" s="703"/>
      <c r="BT101" s="703"/>
      <c r="BU101" s="703"/>
      <c r="BV101" s="703"/>
      <c r="BW101" s="703"/>
    </row>
    <row r="102" spans="1:75" s="710" customFormat="1" ht="31.2">
      <c r="A102" s="700"/>
      <c r="B102" s="701" t="s">
        <v>545</v>
      </c>
      <c r="C102" s="702">
        <f t="shared" si="130"/>
        <v>124</v>
      </c>
      <c r="D102" s="702">
        <f t="shared" si="131"/>
        <v>117</v>
      </c>
      <c r="E102" s="702"/>
      <c r="F102" s="702">
        <v>117</v>
      </c>
      <c r="G102" s="702"/>
      <c r="H102" s="702">
        <v>117</v>
      </c>
      <c r="I102" s="702">
        <v>7</v>
      </c>
      <c r="J102" s="702">
        <v>7</v>
      </c>
      <c r="K102" s="989">
        <f t="shared" si="85"/>
        <v>5700</v>
      </c>
      <c r="L102" s="703">
        <f t="shared" si="132"/>
        <v>5700</v>
      </c>
      <c r="M102" s="703">
        <v>5700</v>
      </c>
      <c r="N102" s="703"/>
      <c r="O102" s="703"/>
      <c r="P102" s="703"/>
      <c r="Q102" s="703"/>
      <c r="R102" s="666">
        <f t="shared" si="118"/>
        <v>0</v>
      </c>
      <c r="S102" s="704"/>
      <c r="T102" s="667">
        <f t="shared" si="124"/>
        <v>0</v>
      </c>
      <c r="U102" s="666">
        <f t="shared" si="119"/>
        <v>5700</v>
      </c>
      <c r="V102" s="703"/>
      <c r="W102" s="703"/>
      <c r="X102" s="703"/>
      <c r="Y102" s="667">
        <f t="shared" si="120"/>
        <v>0</v>
      </c>
      <c r="Z102" s="668">
        <f t="shared" si="105"/>
        <v>0</v>
      </c>
      <c r="AA102" s="704"/>
      <c r="AB102" s="667">
        <f t="shared" si="121"/>
        <v>0</v>
      </c>
      <c r="AC102" s="666">
        <f t="shared" si="122"/>
        <v>0</v>
      </c>
      <c r="AD102" s="703"/>
      <c r="AE102" s="703"/>
      <c r="AF102" s="705"/>
      <c r="AG102" s="705"/>
      <c r="AH102" s="705"/>
      <c r="AI102" s="705"/>
      <c r="AJ102" s="705"/>
      <c r="AK102" s="705"/>
      <c r="AL102" s="705"/>
      <c r="AM102" s="706"/>
      <c r="AN102" s="707"/>
      <c r="AO102" s="700"/>
      <c r="AP102" s="701" t="s">
        <v>546</v>
      </c>
      <c r="AQ102" s="702">
        <f t="shared" si="133"/>
        <v>84</v>
      </c>
      <c r="AR102" s="702">
        <f t="shared" si="134"/>
        <v>78</v>
      </c>
      <c r="AS102" s="702"/>
      <c r="AT102" s="702">
        <v>78</v>
      </c>
      <c r="AU102" s="702"/>
      <c r="AV102" s="702">
        <v>78</v>
      </c>
      <c r="AW102" s="702">
        <v>6</v>
      </c>
      <c r="AX102" s="702">
        <v>6</v>
      </c>
      <c r="AY102" s="703">
        <f t="shared" si="135"/>
        <v>0</v>
      </c>
      <c r="AZ102" s="708"/>
      <c r="BA102" s="703"/>
      <c r="BB102" s="703"/>
      <c r="BC102" s="703"/>
      <c r="BD102" s="703"/>
      <c r="BE102" s="666">
        <f t="shared" si="136"/>
        <v>0</v>
      </c>
      <c r="BF102" s="704">
        <f>ROUND(BE102,0)</f>
        <v>0</v>
      </c>
      <c r="BG102" s="709">
        <f t="shared" si="137"/>
        <v>0</v>
      </c>
      <c r="BH102" s="703"/>
      <c r="BI102" s="703"/>
      <c r="BJ102" s="703"/>
      <c r="BK102" s="703"/>
      <c r="BL102" s="709">
        <f t="shared" si="140"/>
        <v>0</v>
      </c>
      <c r="BM102" s="704">
        <f t="shared" si="138"/>
        <v>0</v>
      </c>
      <c r="BN102" s="709">
        <f t="shared" si="139"/>
        <v>0</v>
      </c>
      <c r="BO102" s="703"/>
      <c r="BP102" s="703"/>
      <c r="BQ102" s="703"/>
      <c r="BR102" s="703"/>
      <c r="BS102" s="703"/>
      <c r="BT102" s="703"/>
      <c r="BU102" s="703"/>
      <c r="BV102" s="703"/>
      <c r="BW102" s="703"/>
    </row>
    <row r="103" spans="1:75" s="710" customFormat="1" ht="31.2">
      <c r="A103" s="700"/>
      <c r="B103" s="701" t="s">
        <v>547</v>
      </c>
      <c r="C103" s="702">
        <f t="shared" si="130"/>
        <v>154</v>
      </c>
      <c r="D103" s="702">
        <f t="shared" si="131"/>
        <v>144</v>
      </c>
      <c r="E103" s="702"/>
      <c r="F103" s="702">
        <v>144</v>
      </c>
      <c r="G103" s="702"/>
      <c r="H103" s="702">
        <v>135</v>
      </c>
      <c r="I103" s="702">
        <v>10</v>
      </c>
      <c r="J103" s="702">
        <v>10</v>
      </c>
      <c r="K103" s="989">
        <f t="shared" si="85"/>
        <v>0</v>
      </c>
      <c r="L103" s="703">
        <f t="shared" si="132"/>
        <v>0</v>
      </c>
      <c r="M103" s="703"/>
      <c r="N103" s="703"/>
      <c r="O103" s="703"/>
      <c r="P103" s="703"/>
      <c r="Q103" s="703"/>
      <c r="R103" s="666">
        <f t="shared" si="118"/>
        <v>0</v>
      </c>
      <c r="S103" s="704"/>
      <c r="T103" s="667">
        <f t="shared" si="124"/>
        <v>0</v>
      </c>
      <c r="U103" s="666">
        <f t="shared" si="119"/>
        <v>0</v>
      </c>
      <c r="V103" s="703"/>
      <c r="W103" s="703"/>
      <c r="X103" s="703"/>
      <c r="Y103" s="667">
        <f t="shared" si="120"/>
        <v>0</v>
      </c>
      <c r="Z103" s="668">
        <f t="shared" si="105"/>
        <v>0</v>
      </c>
      <c r="AA103" s="704"/>
      <c r="AB103" s="667">
        <f t="shared" si="121"/>
        <v>0</v>
      </c>
      <c r="AC103" s="666">
        <f t="shared" si="122"/>
        <v>0</v>
      </c>
      <c r="AD103" s="703"/>
      <c r="AE103" s="703"/>
      <c r="AF103" s="705"/>
      <c r="AG103" s="705"/>
      <c r="AH103" s="705"/>
      <c r="AI103" s="705"/>
      <c r="AJ103" s="705"/>
      <c r="AK103" s="705"/>
      <c r="AL103" s="705"/>
      <c r="AM103" s="706"/>
      <c r="AN103" s="707"/>
      <c r="AO103" s="700"/>
      <c r="AP103" s="701" t="s">
        <v>548</v>
      </c>
      <c r="AQ103" s="702">
        <f t="shared" si="133"/>
        <v>122</v>
      </c>
      <c r="AR103" s="702">
        <f t="shared" si="134"/>
        <v>115</v>
      </c>
      <c r="AS103" s="702"/>
      <c r="AT103" s="702">
        <v>115</v>
      </c>
      <c r="AU103" s="702"/>
      <c r="AV103" s="702">
        <v>113</v>
      </c>
      <c r="AW103" s="702">
        <v>7</v>
      </c>
      <c r="AX103" s="702">
        <v>7</v>
      </c>
      <c r="AY103" s="703">
        <f t="shared" si="135"/>
        <v>0</v>
      </c>
      <c r="AZ103" s="708">
        <f>493-493</f>
        <v>0</v>
      </c>
      <c r="BA103" s="703"/>
      <c r="BB103" s="703"/>
      <c r="BC103" s="703"/>
      <c r="BD103" s="703"/>
      <c r="BE103" s="666">
        <f t="shared" si="136"/>
        <v>0</v>
      </c>
      <c r="BF103" s="704">
        <f>ROUND(BE103,0)</f>
        <v>0</v>
      </c>
      <c r="BG103" s="709">
        <f t="shared" si="137"/>
        <v>0</v>
      </c>
      <c r="BH103" s="703"/>
      <c r="BI103" s="703"/>
      <c r="BJ103" s="703"/>
      <c r="BK103" s="703"/>
      <c r="BL103" s="709">
        <f t="shared" si="140"/>
        <v>0</v>
      </c>
      <c r="BM103" s="704">
        <f t="shared" si="138"/>
        <v>0</v>
      </c>
      <c r="BN103" s="709">
        <f t="shared" si="139"/>
        <v>0</v>
      </c>
      <c r="BO103" s="703"/>
      <c r="BP103" s="703"/>
      <c r="BQ103" s="703"/>
      <c r="BR103" s="703"/>
      <c r="BS103" s="703"/>
      <c r="BT103" s="703"/>
      <c r="BU103" s="703"/>
      <c r="BV103" s="703"/>
      <c r="BW103" s="703"/>
    </row>
    <row r="104" spans="1:75" s="710" customFormat="1">
      <c r="A104" s="700"/>
      <c r="B104" s="738" t="s">
        <v>549</v>
      </c>
      <c r="C104" s="702">
        <f t="shared" si="130"/>
        <v>92</v>
      </c>
      <c r="D104" s="702">
        <f t="shared" si="131"/>
        <v>83</v>
      </c>
      <c r="E104" s="702"/>
      <c r="F104" s="702">
        <v>83</v>
      </c>
      <c r="G104" s="702"/>
      <c r="H104" s="702">
        <v>82</v>
      </c>
      <c r="I104" s="702">
        <v>9</v>
      </c>
      <c r="J104" s="702">
        <v>9</v>
      </c>
      <c r="K104" s="989">
        <f t="shared" si="85"/>
        <v>0</v>
      </c>
      <c r="L104" s="703">
        <f t="shared" si="132"/>
        <v>0</v>
      </c>
      <c r="M104" s="703"/>
      <c r="N104" s="703"/>
      <c r="O104" s="703"/>
      <c r="P104" s="703"/>
      <c r="Q104" s="703"/>
      <c r="R104" s="666">
        <f t="shared" si="118"/>
        <v>0</v>
      </c>
      <c r="S104" s="704"/>
      <c r="T104" s="667">
        <f t="shared" si="124"/>
        <v>0</v>
      </c>
      <c r="U104" s="666">
        <f t="shared" si="119"/>
        <v>0</v>
      </c>
      <c r="V104" s="703"/>
      <c r="W104" s="703"/>
      <c r="X104" s="703"/>
      <c r="Y104" s="667">
        <f t="shared" si="120"/>
        <v>0</v>
      </c>
      <c r="Z104" s="668">
        <f t="shared" si="105"/>
        <v>0</v>
      </c>
      <c r="AA104" s="704"/>
      <c r="AB104" s="667">
        <f t="shared" si="121"/>
        <v>0</v>
      </c>
      <c r="AC104" s="666">
        <f t="shared" si="122"/>
        <v>0</v>
      </c>
      <c r="AD104" s="703"/>
      <c r="AE104" s="703"/>
      <c r="AF104" s="705"/>
      <c r="AG104" s="705"/>
      <c r="AH104" s="705"/>
      <c r="AI104" s="705"/>
      <c r="AJ104" s="705"/>
      <c r="AK104" s="705"/>
      <c r="AL104" s="705"/>
      <c r="AM104" s="706"/>
      <c r="AN104" s="707"/>
      <c r="AO104" s="700"/>
      <c r="AP104" s="738" t="s">
        <v>549</v>
      </c>
      <c r="AQ104" s="702">
        <f t="shared" si="133"/>
        <v>91</v>
      </c>
      <c r="AR104" s="702">
        <f t="shared" si="134"/>
        <v>82</v>
      </c>
      <c r="AS104" s="702"/>
      <c r="AT104" s="702">
        <v>82</v>
      </c>
      <c r="AU104" s="702"/>
      <c r="AV104" s="702">
        <v>80</v>
      </c>
      <c r="AW104" s="702">
        <v>9</v>
      </c>
      <c r="AX104" s="702">
        <v>9</v>
      </c>
      <c r="AY104" s="703">
        <f t="shared" si="135"/>
        <v>0</v>
      </c>
      <c r="AZ104" s="708"/>
      <c r="BA104" s="703"/>
      <c r="BB104" s="703"/>
      <c r="BC104" s="703"/>
      <c r="BD104" s="703"/>
      <c r="BE104" s="666">
        <f t="shared" si="136"/>
        <v>0</v>
      </c>
      <c r="BF104" s="704">
        <f t="shared" ref="BF104:BF114" si="141">ROUND(BE104,0)</f>
        <v>0</v>
      </c>
      <c r="BG104" s="709">
        <f t="shared" si="137"/>
        <v>0</v>
      </c>
      <c r="BH104" s="703"/>
      <c r="BI104" s="703"/>
      <c r="BJ104" s="703"/>
      <c r="BK104" s="703"/>
      <c r="BL104" s="709">
        <f t="shared" si="140"/>
        <v>0</v>
      </c>
      <c r="BM104" s="704">
        <f t="shared" si="138"/>
        <v>0</v>
      </c>
      <c r="BN104" s="709">
        <f t="shared" si="139"/>
        <v>0</v>
      </c>
      <c r="BO104" s="703"/>
      <c r="BP104" s="703"/>
      <c r="BQ104" s="703">
        <f>20626-17</f>
        <v>20609</v>
      </c>
      <c r="BR104" s="703"/>
      <c r="BS104" s="703"/>
      <c r="BT104" s="703"/>
      <c r="BU104" s="703"/>
      <c r="BV104" s="703"/>
      <c r="BW104" s="703"/>
    </row>
    <row r="105" spans="1:75" s="710" customFormat="1">
      <c r="A105" s="700"/>
      <c r="B105" s="738" t="s">
        <v>550</v>
      </c>
      <c r="C105" s="702">
        <f t="shared" si="130"/>
        <v>254</v>
      </c>
      <c r="D105" s="702">
        <f t="shared" si="131"/>
        <v>235</v>
      </c>
      <c r="E105" s="702"/>
      <c r="F105" s="702">
        <v>235</v>
      </c>
      <c r="G105" s="702"/>
      <c r="H105" s="702">
        <v>235</v>
      </c>
      <c r="I105" s="702">
        <v>19</v>
      </c>
      <c r="J105" s="702">
        <v>19</v>
      </c>
      <c r="K105" s="989">
        <f t="shared" si="85"/>
        <v>0</v>
      </c>
      <c r="L105" s="703">
        <f t="shared" si="132"/>
        <v>0</v>
      </c>
      <c r="M105" s="703"/>
      <c r="N105" s="703"/>
      <c r="O105" s="703"/>
      <c r="P105" s="703"/>
      <c r="Q105" s="703"/>
      <c r="R105" s="666">
        <f t="shared" si="118"/>
        <v>0</v>
      </c>
      <c r="S105" s="704"/>
      <c r="T105" s="667">
        <f t="shared" si="124"/>
        <v>0</v>
      </c>
      <c r="U105" s="666">
        <f t="shared" si="119"/>
        <v>0</v>
      </c>
      <c r="V105" s="703"/>
      <c r="W105" s="703"/>
      <c r="X105" s="703"/>
      <c r="Y105" s="667">
        <f t="shared" si="120"/>
        <v>0</v>
      </c>
      <c r="Z105" s="668">
        <f t="shared" si="105"/>
        <v>0</v>
      </c>
      <c r="AA105" s="704"/>
      <c r="AB105" s="667">
        <f t="shared" si="121"/>
        <v>0</v>
      </c>
      <c r="AC105" s="666">
        <f t="shared" si="122"/>
        <v>0</v>
      </c>
      <c r="AD105" s="703"/>
      <c r="AE105" s="703"/>
      <c r="AF105" s="705"/>
      <c r="AG105" s="705"/>
      <c r="AH105" s="705"/>
      <c r="AI105" s="705"/>
      <c r="AJ105" s="705"/>
      <c r="AK105" s="705"/>
      <c r="AL105" s="705"/>
      <c r="AM105" s="706"/>
      <c r="AN105" s="707"/>
      <c r="AO105" s="700"/>
      <c r="AP105" s="738" t="s">
        <v>550</v>
      </c>
      <c r="AQ105" s="702">
        <f t="shared" si="133"/>
        <v>258</v>
      </c>
      <c r="AR105" s="702">
        <f t="shared" si="134"/>
        <v>238</v>
      </c>
      <c r="AS105" s="702"/>
      <c r="AT105" s="702">
        <v>238</v>
      </c>
      <c r="AU105" s="702"/>
      <c r="AV105" s="702">
        <v>218</v>
      </c>
      <c r="AW105" s="702">
        <v>20</v>
      </c>
      <c r="AX105" s="702">
        <v>20</v>
      </c>
      <c r="AY105" s="703">
        <f t="shared" si="135"/>
        <v>0</v>
      </c>
      <c r="AZ105" s="708"/>
      <c r="BA105" s="703"/>
      <c r="BB105" s="703"/>
      <c r="BC105" s="703"/>
      <c r="BD105" s="703"/>
      <c r="BE105" s="666">
        <f t="shared" si="136"/>
        <v>0</v>
      </c>
      <c r="BF105" s="704">
        <f t="shared" si="141"/>
        <v>0</v>
      </c>
      <c r="BG105" s="709">
        <f t="shared" si="137"/>
        <v>0</v>
      </c>
      <c r="BH105" s="703"/>
      <c r="BI105" s="703"/>
      <c r="BJ105" s="703"/>
      <c r="BK105" s="703"/>
      <c r="BL105" s="709">
        <f t="shared" si="140"/>
        <v>0</v>
      </c>
      <c r="BM105" s="704">
        <f t="shared" si="138"/>
        <v>0</v>
      </c>
      <c r="BN105" s="709">
        <f t="shared" si="139"/>
        <v>0</v>
      </c>
      <c r="BO105" s="703"/>
      <c r="BP105" s="703"/>
      <c r="BQ105" s="703">
        <f>78456-45</f>
        <v>78411</v>
      </c>
      <c r="BR105" s="703"/>
      <c r="BS105" s="703"/>
      <c r="BT105" s="703"/>
      <c r="BU105" s="703"/>
      <c r="BV105" s="703"/>
      <c r="BW105" s="703"/>
    </row>
    <row r="106" spans="1:75" s="710" customFormat="1">
      <c r="A106" s="700"/>
      <c r="B106" s="738" t="s">
        <v>551</v>
      </c>
      <c r="C106" s="702">
        <f t="shared" si="130"/>
        <v>108</v>
      </c>
      <c r="D106" s="702">
        <f t="shared" si="131"/>
        <v>100</v>
      </c>
      <c r="E106" s="702"/>
      <c r="F106" s="702">
        <v>100</v>
      </c>
      <c r="G106" s="702"/>
      <c r="H106" s="702">
        <v>82</v>
      </c>
      <c r="I106" s="702">
        <v>8</v>
      </c>
      <c r="J106" s="702">
        <v>8</v>
      </c>
      <c r="K106" s="989">
        <f t="shared" si="85"/>
        <v>4600</v>
      </c>
      <c r="L106" s="703">
        <f t="shared" si="132"/>
        <v>4600</v>
      </c>
      <c r="M106" s="703">
        <v>4600</v>
      </c>
      <c r="N106" s="703"/>
      <c r="O106" s="703"/>
      <c r="P106" s="703"/>
      <c r="Q106" s="703"/>
      <c r="R106" s="666">
        <f t="shared" si="118"/>
        <v>0</v>
      </c>
      <c r="S106" s="704"/>
      <c r="T106" s="667">
        <f t="shared" si="124"/>
        <v>0</v>
      </c>
      <c r="U106" s="666">
        <f t="shared" si="119"/>
        <v>4600</v>
      </c>
      <c r="V106" s="703"/>
      <c r="W106" s="703"/>
      <c r="X106" s="703"/>
      <c r="Y106" s="667">
        <f t="shared" si="120"/>
        <v>0</v>
      </c>
      <c r="Z106" s="668">
        <f t="shared" si="105"/>
        <v>0</v>
      </c>
      <c r="AA106" s="704"/>
      <c r="AB106" s="667">
        <f t="shared" si="121"/>
        <v>0</v>
      </c>
      <c r="AC106" s="666">
        <f t="shared" si="122"/>
        <v>0</v>
      </c>
      <c r="AD106" s="703"/>
      <c r="AE106" s="703"/>
      <c r="AF106" s="705"/>
      <c r="AG106" s="705"/>
      <c r="AH106" s="705"/>
      <c r="AI106" s="705"/>
      <c r="AJ106" s="705"/>
      <c r="AK106" s="705"/>
      <c r="AL106" s="705"/>
      <c r="AM106" s="706"/>
      <c r="AN106" s="707"/>
      <c r="AO106" s="700"/>
      <c r="AP106" s="738" t="s">
        <v>551</v>
      </c>
      <c r="AQ106" s="702">
        <f t="shared" si="133"/>
        <v>86</v>
      </c>
      <c r="AR106" s="702">
        <f t="shared" si="134"/>
        <v>77</v>
      </c>
      <c r="AS106" s="702"/>
      <c r="AT106" s="702">
        <v>77</v>
      </c>
      <c r="AU106" s="702"/>
      <c r="AV106" s="702">
        <v>76</v>
      </c>
      <c r="AW106" s="702">
        <v>9</v>
      </c>
      <c r="AX106" s="702">
        <v>9</v>
      </c>
      <c r="AY106" s="703">
        <f t="shared" si="135"/>
        <v>4600</v>
      </c>
      <c r="AZ106" s="708">
        <f>6292-1692</f>
        <v>4600</v>
      </c>
      <c r="BA106" s="703"/>
      <c r="BB106" s="703"/>
      <c r="BC106" s="703"/>
      <c r="BD106" s="703"/>
      <c r="BE106" s="666">
        <f t="shared" si="136"/>
        <v>0</v>
      </c>
      <c r="BF106" s="704">
        <f t="shared" si="141"/>
        <v>0</v>
      </c>
      <c r="BG106" s="709">
        <f t="shared" si="137"/>
        <v>4600</v>
      </c>
      <c r="BH106" s="703"/>
      <c r="BI106" s="703"/>
      <c r="BJ106" s="703"/>
      <c r="BK106" s="703"/>
      <c r="BL106" s="709">
        <f t="shared" si="140"/>
        <v>0</v>
      </c>
      <c r="BM106" s="704">
        <f t="shared" si="138"/>
        <v>0</v>
      </c>
      <c r="BN106" s="709">
        <f t="shared" si="139"/>
        <v>0</v>
      </c>
      <c r="BO106" s="703"/>
      <c r="BP106" s="703"/>
      <c r="BQ106" s="703">
        <f>5085</f>
        <v>5085</v>
      </c>
      <c r="BR106" s="703"/>
      <c r="BS106" s="703"/>
      <c r="BT106" s="703"/>
      <c r="BU106" s="703"/>
      <c r="BV106" s="703"/>
      <c r="BW106" s="703"/>
    </row>
    <row r="107" spans="1:75" s="710" customFormat="1">
      <c r="A107" s="700"/>
      <c r="B107" s="738" t="s">
        <v>552</v>
      </c>
      <c r="C107" s="702">
        <f t="shared" si="130"/>
        <v>718</v>
      </c>
      <c r="D107" s="702">
        <f t="shared" si="131"/>
        <v>718</v>
      </c>
      <c r="E107" s="702"/>
      <c r="F107" s="702">
        <v>718</v>
      </c>
      <c r="G107" s="702"/>
      <c r="H107" s="702">
        <v>718</v>
      </c>
      <c r="I107" s="702"/>
      <c r="J107" s="702"/>
      <c r="K107" s="989">
        <f t="shared" si="85"/>
        <v>68942</v>
      </c>
      <c r="L107" s="703">
        <f t="shared" si="132"/>
        <v>68942</v>
      </c>
      <c r="M107" s="703">
        <v>42517</v>
      </c>
      <c r="N107" s="703">
        <v>10052</v>
      </c>
      <c r="O107" s="703"/>
      <c r="P107" s="703"/>
      <c r="Q107" s="703"/>
      <c r="R107" s="666">
        <f t="shared" si="118"/>
        <v>387.8</v>
      </c>
      <c r="S107" s="704">
        <v>517</v>
      </c>
      <c r="T107" s="667">
        <f t="shared" si="124"/>
        <v>905</v>
      </c>
      <c r="U107" s="666">
        <f t="shared" si="119"/>
        <v>51664</v>
      </c>
      <c r="V107" s="703">
        <v>17278</v>
      </c>
      <c r="W107" s="703"/>
      <c r="X107" s="703"/>
      <c r="Y107" s="667">
        <f t="shared" si="120"/>
        <v>0</v>
      </c>
      <c r="Z107" s="668">
        <f>(V107-17278)*10%</f>
        <v>0</v>
      </c>
      <c r="AA107" s="704"/>
      <c r="AB107" s="667">
        <f t="shared" si="121"/>
        <v>0</v>
      </c>
      <c r="AC107" s="666">
        <f t="shared" si="122"/>
        <v>17278</v>
      </c>
      <c r="AD107" s="703"/>
      <c r="AE107" s="703"/>
      <c r="AF107" s="705"/>
      <c r="AG107" s="705"/>
      <c r="AH107" s="705"/>
      <c r="AI107" s="705"/>
      <c r="AJ107" s="705"/>
      <c r="AK107" s="705"/>
      <c r="AL107" s="705"/>
      <c r="AM107" s="706"/>
      <c r="AN107" s="707">
        <v>63459</v>
      </c>
      <c r="AO107" s="700"/>
      <c r="AP107" s="738" t="s">
        <v>553</v>
      </c>
      <c r="AQ107" s="702">
        <f t="shared" si="133"/>
        <v>735</v>
      </c>
      <c r="AR107" s="702">
        <f t="shared" si="134"/>
        <v>735</v>
      </c>
      <c r="AS107" s="702"/>
      <c r="AT107" s="702">
        <v>735</v>
      </c>
      <c r="AU107" s="702"/>
      <c r="AV107" s="702">
        <v>725</v>
      </c>
      <c r="AW107" s="702"/>
      <c r="AX107" s="702"/>
      <c r="AY107" s="703">
        <f t="shared" si="135"/>
        <v>63459</v>
      </c>
      <c r="AZ107" s="708">
        <f>56746+287+147+350+372-16724</f>
        <v>41178</v>
      </c>
      <c r="BA107" s="703">
        <v>6174</v>
      </c>
      <c r="BB107" s="703"/>
      <c r="BC107" s="703"/>
      <c r="BD107" s="703"/>
      <c r="BE107" s="666">
        <f t="shared" si="136"/>
        <v>617.40000000000009</v>
      </c>
      <c r="BF107" s="704">
        <f t="shared" si="141"/>
        <v>617</v>
      </c>
      <c r="BG107" s="709">
        <f t="shared" si="137"/>
        <v>46735</v>
      </c>
      <c r="BH107" s="703">
        <v>16724</v>
      </c>
      <c r="BI107" s="703"/>
      <c r="BJ107" s="703"/>
      <c r="BK107" s="703"/>
      <c r="BL107" s="709">
        <f>(BH107-16724)*10%</f>
        <v>0</v>
      </c>
      <c r="BM107" s="704">
        <f t="shared" si="138"/>
        <v>0</v>
      </c>
      <c r="BN107" s="709">
        <f t="shared" si="139"/>
        <v>16724</v>
      </c>
      <c r="BO107" s="703"/>
      <c r="BP107" s="703"/>
      <c r="BQ107" s="703">
        <v>93</v>
      </c>
      <c r="BR107" s="703"/>
      <c r="BS107" s="703"/>
      <c r="BT107" s="703"/>
      <c r="BU107" s="703"/>
      <c r="BV107" s="703"/>
      <c r="BW107" s="703"/>
    </row>
    <row r="108" spans="1:75">
      <c r="A108" s="659"/>
      <c r="B108" s="775" t="s">
        <v>554</v>
      </c>
      <c r="C108" s="661">
        <f t="shared" si="130"/>
        <v>0</v>
      </c>
      <c r="D108" s="661">
        <f t="shared" si="131"/>
        <v>0</v>
      </c>
      <c r="E108" s="776"/>
      <c r="F108" s="776"/>
      <c r="G108" s="776"/>
      <c r="H108" s="776"/>
      <c r="I108" s="776"/>
      <c r="J108" s="776"/>
      <c r="K108" s="989">
        <f t="shared" si="85"/>
        <v>0</v>
      </c>
      <c r="L108" s="662">
        <f t="shared" si="132"/>
        <v>0</v>
      </c>
      <c r="M108" s="662"/>
      <c r="N108" s="662"/>
      <c r="O108" s="775"/>
      <c r="P108" s="775"/>
      <c r="Q108" s="775"/>
      <c r="R108" s="666"/>
      <c r="S108" s="667"/>
      <c r="T108" s="667">
        <f t="shared" si="124"/>
        <v>0</v>
      </c>
      <c r="U108" s="666">
        <f t="shared" si="119"/>
        <v>0</v>
      </c>
      <c r="V108" s="777"/>
      <c r="W108" s="775"/>
      <c r="X108" s="775"/>
      <c r="Y108" s="667">
        <f t="shared" si="120"/>
        <v>0</v>
      </c>
      <c r="Z108" s="668">
        <f t="shared" si="105"/>
        <v>0</v>
      </c>
      <c r="AA108" s="667"/>
      <c r="AB108" s="667">
        <f t="shared" si="121"/>
        <v>0</v>
      </c>
      <c r="AC108" s="666">
        <f t="shared" si="122"/>
        <v>0</v>
      </c>
      <c r="AD108" s="775"/>
      <c r="AE108" s="775"/>
      <c r="AF108" s="778"/>
      <c r="AG108" s="778"/>
      <c r="AH108" s="778"/>
      <c r="AI108" s="778"/>
      <c r="AJ108" s="778"/>
      <c r="AK108" s="778"/>
      <c r="AL108" s="778"/>
      <c r="AN108" s="610"/>
      <c r="AO108" s="659"/>
      <c r="AP108" s="775" t="s">
        <v>554</v>
      </c>
      <c r="AQ108" s="661">
        <f t="shared" si="133"/>
        <v>26</v>
      </c>
      <c r="AR108" s="661">
        <f t="shared" si="134"/>
        <v>26</v>
      </c>
      <c r="AS108" s="776"/>
      <c r="AT108" s="776">
        <v>26</v>
      </c>
      <c r="AU108" s="776"/>
      <c r="AV108" s="776"/>
      <c r="AW108" s="776"/>
      <c r="AX108" s="776"/>
      <c r="AY108" s="662">
        <f t="shared" si="135"/>
        <v>2017</v>
      </c>
      <c r="AZ108" s="665">
        <f>1130+11+414+266</f>
        <v>1821</v>
      </c>
      <c r="BA108" s="662">
        <v>218</v>
      </c>
      <c r="BB108" s="775"/>
      <c r="BC108" s="775"/>
      <c r="BD108" s="775"/>
      <c r="BE108" s="666">
        <f t="shared" si="136"/>
        <v>21.8</v>
      </c>
      <c r="BF108" s="667">
        <f t="shared" si="141"/>
        <v>22</v>
      </c>
      <c r="BG108" s="666">
        <f t="shared" si="137"/>
        <v>2017</v>
      </c>
      <c r="BH108" s="777"/>
      <c r="BI108" s="775"/>
      <c r="BJ108" s="775"/>
      <c r="BK108" s="775"/>
      <c r="BL108" s="666">
        <f t="shared" si="140"/>
        <v>0</v>
      </c>
      <c r="BM108" s="667">
        <f t="shared" si="138"/>
        <v>0</v>
      </c>
      <c r="BN108" s="666">
        <f t="shared" si="139"/>
        <v>0</v>
      </c>
      <c r="BO108" s="775"/>
      <c r="BP108" s="775"/>
      <c r="BQ108" s="775">
        <v>404</v>
      </c>
      <c r="BR108" s="775"/>
      <c r="BS108" s="775"/>
      <c r="BT108" s="775"/>
      <c r="BU108" s="775"/>
      <c r="BV108" s="775"/>
      <c r="BW108" s="775"/>
    </row>
    <row r="109" spans="1:75">
      <c r="A109" s="659">
        <v>34</v>
      </c>
      <c r="B109" s="775" t="s">
        <v>555</v>
      </c>
      <c r="C109" s="661"/>
      <c r="D109" s="661"/>
      <c r="E109" s="776"/>
      <c r="F109" s="776"/>
      <c r="G109" s="776"/>
      <c r="H109" s="776"/>
      <c r="I109" s="776"/>
      <c r="J109" s="776"/>
      <c r="K109" s="989">
        <f t="shared" si="85"/>
        <v>66774</v>
      </c>
      <c r="L109" s="662">
        <f t="shared" si="132"/>
        <v>66774</v>
      </c>
      <c r="M109" s="662"/>
      <c r="N109" s="662"/>
      <c r="O109" s="775"/>
      <c r="P109" s="775"/>
      <c r="Q109" s="775"/>
      <c r="R109" s="775"/>
      <c r="S109" s="667"/>
      <c r="T109" s="667">
        <f t="shared" si="124"/>
        <v>0</v>
      </c>
      <c r="U109" s="666">
        <f>(M109+N109+O109+P109)-R109</f>
        <v>0</v>
      </c>
      <c r="V109" s="777">
        <v>66774</v>
      </c>
      <c r="W109" s="775"/>
      <c r="X109" s="775"/>
      <c r="Y109" s="667">
        <f t="shared" si="120"/>
        <v>6677.4000000000005</v>
      </c>
      <c r="Z109" s="668">
        <f t="shared" si="105"/>
        <v>6677.4000000000005</v>
      </c>
      <c r="AA109" s="779"/>
      <c r="AB109" s="667"/>
      <c r="AC109" s="666">
        <f t="shared" si="122"/>
        <v>66774</v>
      </c>
      <c r="AD109" s="775"/>
      <c r="AE109" s="775"/>
      <c r="AF109" s="778"/>
      <c r="AG109" s="778"/>
      <c r="AH109" s="778"/>
      <c r="AI109" s="778"/>
      <c r="AJ109" s="778"/>
      <c r="AK109" s="778"/>
      <c r="AL109" s="778"/>
      <c r="AN109" s="610"/>
      <c r="AO109" s="659">
        <v>37</v>
      </c>
      <c r="AP109" s="775" t="s">
        <v>555</v>
      </c>
      <c r="AQ109" s="661"/>
      <c r="AR109" s="661"/>
      <c r="AS109" s="776"/>
      <c r="AT109" s="776"/>
      <c r="AU109" s="776"/>
      <c r="AV109" s="776"/>
      <c r="AW109" s="776"/>
      <c r="AX109" s="776"/>
      <c r="AY109" s="662">
        <f t="shared" si="135"/>
        <v>66774</v>
      </c>
      <c r="AZ109" s="665"/>
      <c r="BA109" s="662"/>
      <c r="BB109" s="775"/>
      <c r="BC109" s="775"/>
      <c r="BD109" s="775"/>
      <c r="BE109" s="775"/>
      <c r="BF109" s="667">
        <f t="shared" si="141"/>
        <v>0</v>
      </c>
      <c r="BG109" s="666">
        <f>(AZ109+BA109+BB109+BC109)-BE109</f>
        <v>0</v>
      </c>
      <c r="BH109" s="777">
        <v>66774</v>
      </c>
      <c r="BI109" s="775"/>
      <c r="BJ109" s="775"/>
      <c r="BK109" s="775"/>
      <c r="BL109" s="777"/>
      <c r="BM109" s="779"/>
      <c r="BN109" s="662">
        <f t="shared" ref="BN109:BN114" si="142">BH109+BI109+BJ109-BK109-BL109</f>
        <v>66774</v>
      </c>
      <c r="BO109" s="775"/>
      <c r="BP109" s="775"/>
      <c r="BQ109" s="775">
        <v>404</v>
      </c>
      <c r="BR109" s="775"/>
      <c r="BS109" s="775"/>
      <c r="BT109" s="775"/>
      <c r="BU109" s="775"/>
      <c r="BV109" s="775"/>
      <c r="BW109" s="775"/>
    </row>
    <row r="110" spans="1:75">
      <c r="A110" s="659">
        <v>35</v>
      </c>
      <c r="B110" s="775" t="s">
        <v>556</v>
      </c>
      <c r="C110" s="661"/>
      <c r="D110" s="661"/>
      <c r="E110" s="776"/>
      <c r="F110" s="776"/>
      <c r="G110" s="776"/>
      <c r="H110" s="776"/>
      <c r="I110" s="776"/>
      <c r="J110" s="776"/>
      <c r="K110" s="989">
        <f t="shared" si="85"/>
        <v>15450</v>
      </c>
      <c r="L110" s="662">
        <f t="shared" si="132"/>
        <v>15450</v>
      </c>
      <c r="M110" s="662"/>
      <c r="N110" s="662"/>
      <c r="O110" s="775"/>
      <c r="P110" s="775"/>
      <c r="Q110" s="775"/>
      <c r="R110" s="775"/>
      <c r="S110" s="667"/>
      <c r="T110" s="667">
        <f t="shared" si="124"/>
        <v>0</v>
      </c>
      <c r="U110" s="666">
        <f>(M110+N110+O110+P110)-R110</f>
        <v>0</v>
      </c>
      <c r="V110" s="777">
        <v>15450</v>
      </c>
      <c r="W110" s="775"/>
      <c r="X110" s="775"/>
      <c r="Y110" s="667">
        <f t="shared" si="120"/>
        <v>1545</v>
      </c>
      <c r="Z110" s="668">
        <f t="shared" si="105"/>
        <v>1545</v>
      </c>
      <c r="AA110" s="779"/>
      <c r="AB110" s="667"/>
      <c r="AC110" s="666">
        <f t="shared" si="122"/>
        <v>15450</v>
      </c>
      <c r="AD110" s="775"/>
      <c r="AE110" s="775"/>
      <c r="AF110" s="778"/>
      <c r="AG110" s="778"/>
      <c r="AH110" s="778"/>
      <c r="AI110" s="778"/>
      <c r="AJ110" s="778"/>
      <c r="AK110" s="778"/>
      <c r="AL110" s="778"/>
      <c r="AN110" s="610"/>
      <c r="AO110" s="659">
        <v>38</v>
      </c>
      <c r="AP110" s="775" t="s">
        <v>556</v>
      </c>
      <c r="AQ110" s="661"/>
      <c r="AR110" s="661"/>
      <c r="AS110" s="776"/>
      <c r="AT110" s="776"/>
      <c r="AU110" s="776"/>
      <c r="AV110" s="776"/>
      <c r="AW110" s="776"/>
      <c r="AX110" s="776"/>
      <c r="AY110" s="662">
        <f t="shared" si="135"/>
        <v>15450</v>
      </c>
      <c r="AZ110" s="665"/>
      <c r="BA110" s="662"/>
      <c r="BB110" s="775"/>
      <c r="BC110" s="775"/>
      <c r="BD110" s="775"/>
      <c r="BE110" s="775"/>
      <c r="BF110" s="667">
        <f t="shared" si="141"/>
        <v>0</v>
      </c>
      <c r="BG110" s="666">
        <f>(AZ110+BA110+BB110+BC110)-BE110</f>
        <v>0</v>
      </c>
      <c r="BH110" s="777">
        <v>15450</v>
      </c>
      <c r="BI110" s="775"/>
      <c r="BJ110" s="775"/>
      <c r="BK110" s="775"/>
      <c r="BL110" s="777"/>
      <c r="BM110" s="779"/>
      <c r="BN110" s="662">
        <f t="shared" si="142"/>
        <v>15450</v>
      </c>
      <c r="BO110" s="775"/>
      <c r="BP110" s="775"/>
      <c r="BQ110" s="775">
        <v>404</v>
      </c>
      <c r="BR110" s="775"/>
      <c r="BS110" s="775"/>
      <c r="BT110" s="775"/>
      <c r="BU110" s="775"/>
      <c r="BV110" s="775"/>
      <c r="BW110" s="775"/>
    </row>
    <row r="111" spans="1:75" ht="31.2">
      <c r="A111" s="659">
        <v>36</v>
      </c>
      <c r="B111" s="780" t="s">
        <v>557</v>
      </c>
      <c r="C111" s="661"/>
      <c r="D111" s="661"/>
      <c r="E111" s="776"/>
      <c r="F111" s="776"/>
      <c r="G111" s="776"/>
      <c r="H111" s="776"/>
      <c r="I111" s="776"/>
      <c r="J111" s="776"/>
      <c r="K111" s="989">
        <f t="shared" si="85"/>
        <v>303759</v>
      </c>
      <c r="L111" s="662">
        <f t="shared" si="132"/>
        <v>303759</v>
      </c>
      <c r="M111" s="662"/>
      <c r="N111" s="662"/>
      <c r="O111" s="775"/>
      <c r="P111" s="775"/>
      <c r="Q111" s="775"/>
      <c r="R111" s="775"/>
      <c r="S111" s="667"/>
      <c r="T111" s="667">
        <f t="shared" si="124"/>
        <v>0</v>
      </c>
      <c r="U111" s="666">
        <f>(M111+N111+O111+P111)-R111</f>
        <v>0</v>
      </c>
      <c r="V111" s="777">
        <v>303759</v>
      </c>
      <c r="W111" s="775"/>
      <c r="X111" s="775"/>
      <c r="Y111" s="667">
        <f t="shared" si="120"/>
        <v>30375.9</v>
      </c>
      <c r="Z111" s="668">
        <f t="shared" si="105"/>
        <v>30375.9</v>
      </c>
      <c r="AA111" s="779"/>
      <c r="AB111" s="667"/>
      <c r="AC111" s="666">
        <f t="shared" si="122"/>
        <v>303759</v>
      </c>
      <c r="AD111" s="775"/>
      <c r="AE111" s="775"/>
      <c r="AF111" s="778"/>
      <c r="AG111" s="778"/>
      <c r="AH111" s="778"/>
      <c r="AI111" s="778"/>
      <c r="AJ111" s="778"/>
      <c r="AK111" s="778"/>
      <c r="AL111" s="778"/>
      <c r="AN111" s="610"/>
      <c r="AO111" s="659">
        <v>39</v>
      </c>
      <c r="AP111" s="780" t="s">
        <v>557</v>
      </c>
      <c r="AQ111" s="661"/>
      <c r="AR111" s="661"/>
      <c r="AS111" s="776"/>
      <c r="AT111" s="776"/>
      <c r="AU111" s="776"/>
      <c r="AV111" s="776"/>
      <c r="AW111" s="776"/>
      <c r="AX111" s="776"/>
      <c r="AY111" s="662">
        <f t="shared" si="135"/>
        <v>303759</v>
      </c>
      <c r="AZ111" s="665"/>
      <c r="BA111" s="662"/>
      <c r="BB111" s="775"/>
      <c r="BC111" s="775"/>
      <c r="BD111" s="775"/>
      <c r="BE111" s="775"/>
      <c r="BF111" s="667">
        <f t="shared" si="141"/>
        <v>0</v>
      </c>
      <c r="BG111" s="666">
        <f>(AZ111+BA111+BB111+BC111)-BE111</f>
        <v>0</v>
      </c>
      <c r="BH111" s="777">
        <v>303759</v>
      </c>
      <c r="BI111" s="775"/>
      <c r="BJ111" s="775"/>
      <c r="BK111" s="775"/>
      <c r="BL111" s="777"/>
      <c r="BM111" s="779"/>
      <c r="BN111" s="662">
        <f t="shared" si="142"/>
        <v>303759</v>
      </c>
      <c r="BO111" s="775"/>
      <c r="BP111" s="775"/>
      <c r="BQ111" s="775">
        <v>404</v>
      </c>
      <c r="BR111" s="775"/>
      <c r="BS111" s="775"/>
      <c r="BT111" s="775"/>
      <c r="BU111" s="775"/>
      <c r="BV111" s="775"/>
      <c r="BW111" s="775"/>
    </row>
    <row r="112" spans="1:75">
      <c r="A112" s="659">
        <v>37</v>
      </c>
      <c r="B112" s="780" t="s">
        <v>798</v>
      </c>
      <c r="C112" s="661"/>
      <c r="D112" s="661"/>
      <c r="E112" s="776"/>
      <c r="F112" s="776"/>
      <c r="G112" s="776"/>
      <c r="H112" s="776"/>
      <c r="I112" s="776"/>
      <c r="J112" s="776"/>
      <c r="K112" s="989">
        <f t="shared" si="85"/>
        <v>4278</v>
      </c>
      <c r="L112" s="662">
        <f t="shared" si="132"/>
        <v>4278</v>
      </c>
      <c r="M112" s="662"/>
      <c r="N112" s="662"/>
      <c r="O112" s="775"/>
      <c r="P112" s="775"/>
      <c r="Q112" s="775"/>
      <c r="R112" s="775"/>
      <c r="S112" s="667"/>
      <c r="T112" s="667">
        <f t="shared" si="124"/>
        <v>0</v>
      </c>
      <c r="U112" s="666"/>
      <c r="V112" s="777">
        <v>4278</v>
      </c>
      <c r="W112" s="775"/>
      <c r="X112" s="775"/>
      <c r="Y112" s="667">
        <f t="shared" si="120"/>
        <v>427.8</v>
      </c>
      <c r="Z112" s="668">
        <f t="shared" si="105"/>
        <v>427.8</v>
      </c>
      <c r="AA112" s="779"/>
      <c r="AB112" s="667"/>
      <c r="AC112" s="666">
        <f t="shared" si="122"/>
        <v>4278</v>
      </c>
      <c r="AD112" s="775"/>
      <c r="AE112" s="775"/>
      <c r="AF112" s="778"/>
      <c r="AG112" s="778"/>
      <c r="AH112" s="778"/>
      <c r="AI112" s="778"/>
      <c r="AJ112" s="778"/>
      <c r="AK112" s="778"/>
      <c r="AL112" s="778"/>
      <c r="AN112" s="610"/>
      <c r="AO112" s="659">
        <v>40</v>
      </c>
      <c r="AP112" s="780" t="s">
        <v>558</v>
      </c>
      <c r="AQ112" s="661"/>
      <c r="AR112" s="661"/>
      <c r="AS112" s="776"/>
      <c r="AT112" s="776"/>
      <c r="AU112" s="776"/>
      <c r="AV112" s="776"/>
      <c r="AW112" s="776"/>
      <c r="AX112" s="776"/>
      <c r="AY112" s="662">
        <f t="shared" si="135"/>
        <v>3921</v>
      </c>
      <c r="AZ112" s="665"/>
      <c r="BA112" s="662"/>
      <c r="BB112" s="775"/>
      <c r="BC112" s="775"/>
      <c r="BD112" s="775"/>
      <c r="BE112" s="775"/>
      <c r="BF112" s="667"/>
      <c r="BG112" s="666"/>
      <c r="BH112" s="777">
        <v>3921</v>
      </c>
      <c r="BI112" s="775"/>
      <c r="BJ112" s="775"/>
      <c r="BK112" s="775"/>
      <c r="BL112" s="777"/>
      <c r="BM112" s="779"/>
      <c r="BN112" s="662">
        <f t="shared" si="142"/>
        <v>3921</v>
      </c>
      <c r="BO112" s="775"/>
      <c r="BP112" s="775"/>
      <c r="BQ112" s="775"/>
      <c r="BR112" s="775"/>
      <c r="BS112" s="775"/>
      <c r="BT112" s="775"/>
      <c r="BU112" s="775"/>
      <c r="BV112" s="775"/>
      <c r="BW112" s="775"/>
    </row>
    <row r="113" spans="1:75">
      <c r="A113" s="659">
        <v>38</v>
      </c>
      <c r="B113" s="780" t="s">
        <v>559</v>
      </c>
      <c r="C113" s="661"/>
      <c r="D113" s="661"/>
      <c r="E113" s="776"/>
      <c r="F113" s="776"/>
      <c r="G113" s="776"/>
      <c r="H113" s="776"/>
      <c r="I113" s="776"/>
      <c r="J113" s="776"/>
      <c r="K113" s="989">
        <f t="shared" si="85"/>
        <v>15337</v>
      </c>
      <c r="L113" s="662">
        <f t="shared" si="132"/>
        <v>15337</v>
      </c>
      <c r="M113" s="662"/>
      <c r="N113" s="662"/>
      <c r="O113" s="775"/>
      <c r="P113" s="775"/>
      <c r="Q113" s="775"/>
      <c r="R113" s="775"/>
      <c r="S113" s="667"/>
      <c r="T113" s="667">
        <f t="shared" si="124"/>
        <v>0</v>
      </c>
      <c r="U113" s="666">
        <f>(M113+N113+O113+P113)-R113</f>
        <v>0</v>
      </c>
      <c r="V113" s="777">
        <v>15337</v>
      </c>
      <c r="W113" s="775"/>
      <c r="X113" s="775"/>
      <c r="Y113" s="667">
        <f t="shared" si="120"/>
        <v>1533.7</v>
      </c>
      <c r="Z113" s="668">
        <f t="shared" si="105"/>
        <v>1533.7</v>
      </c>
      <c r="AA113" s="779"/>
      <c r="AB113" s="667"/>
      <c r="AC113" s="666">
        <f t="shared" si="122"/>
        <v>15337</v>
      </c>
      <c r="AD113" s="775"/>
      <c r="AE113" s="775"/>
      <c r="AF113" s="778"/>
      <c r="AG113" s="778"/>
      <c r="AH113" s="778"/>
      <c r="AI113" s="778"/>
      <c r="AJ113" s="778"/>
      <c r="AK113" s="778"/>
      <c r="AL113" s="778"/>
      <c r="AN113" s="610"/>
      <c r="AO113" s="659">
        <v>41</v>
      </c>
      <c r="AP113" s="780" t="s">
        <v>559</v>
      </c>
      <c r="AQ113" s="661"/>
      <c r="AR113" s="661"/>
      <c r="AS113" s="776"/>
      <c r="AT113" s="776"/>
      <c r="AU113" s="776"/>
      <c r="AV113" s="776"/>
      <c r="AW113" s="776"/>
      <c r="AX113" s="776"/>
      <c r="AY113" s="662">
        <f t="shared" si="135"/>
        <v>15337</v>
      </c>
      <c r="AZ113" s="665"/>
      <c r="BA113" s="662"/>
      <c r="BB113" s="775"/>
      <c r="BC113" s="775"/>
      <c r="BD113" s="775"/>
      <c r="BE113" s="775"/>
      <c r="BF113" s="667">
        <f t="shared" si="141"/>
        <v>0</v>
      </c>
      <c r="BG113" s="666">
        <f>(AZ113+BA113+BB113+BC113)-BE113</f>
        <v>0</v>
      </c>
      <c r="BH113" s="777">
        <v>15337</v>
      </c>
      <c r="BI113" s="775"/>
      <c r="BJ113" s="775"/>
      <c r="BK113" s="775"/>
      <c r="BL113" s="777"/>
      <c r="BM113" s="779"/>
      <c r="BN113" s="662">
        <f t="shared" si="142"/>
        <v>15337</v>
      </c>
      <c r="BO113" s="775"/>
      <c r="BP113" s="775"/>
      <c r="BQ113" s="775">
        <v>404</v>
      </c>
      <c r="BR113" s="775"/>
      <c r="BS113" s="775"/>
      <c r="BT113" s="775"/>
      <c r="BU113" s="775"/>
      <c r="BV113" s="775"/>
      <c r="BW113" s="775"/>
    </row>
    <row r="114" spans="1:75" ht="31.2">
      <c r="A114" s="659">
        <v>39</v>
      </c>
      <c r="B114" s="780" t="s">
        <v>560</v>
      </c>
      <c r="C114" s="661"/>
      <c r="D114" s="661"/>
      <c r="E114" s="776"/>
      <c r="F114" s="776"/>
      <c r="G114" s="776"/>
      <c r="H114" s="776"/>
      <c r="I114" s="776"/>
      <c r="J114" s="776"/>
      <c r="K114" s="989">
        <f t="shared" si="85"/>
        <v>2717</v>
      </c>
      <c r="L114" s="662">
        <f t="shared" si="132"/>
        <v>2717</v>
      </c>
      <c r="M114" s="662"/>
      <c r="N114" s="662"/>
      <c r="O114" s="775"/>
      <c r="P114" s="775"/>
      <c r="Q114" s="775"/>
      <c r="R114" s="775"/>
      <c r="S114" s="667"/>
      <c r="T114" s="667">
        <f t="shared" si="124"/>
        <v>0</v>
      </c>
      <c r="U114" s="666">
        <f>(M114+N114+O114+P114)-R114</f>
        <v>0</v>
      </c>
      <c r="V114" s="777">
        <v>2717</v>
      </c>
      <c r="W114" s="775"/>
      <c r="X114" s="775"/>
      <c r="Y114" s="667">
        <f t="shared" si="120"/>
        <v>271.7</v>
      </c>
      <c r="Z114" s="668">
        <f t="shared" si="105"/>
        <v>271.7</v>
      </c>
      <c r="AA114" s="779"/>
      <c r="AB114" s="667"/>
      <c r="AC114" s="666">
        <f t="shared" si="122"/>
        <v>2717</v>
      </c>
      <c r="AD114" s="775"/>
      <c r="AE114" s="775"/>
      <c r="AF114" s="778"/>
      <c r="AG114" s="778"/>
      <c r="AH114" s="778"/>
      <c r="AI114" s="778"/>
      <c r="AJ114" s="778"/>
      <c r="AK114" s="778"/>
      <c r="AL114" s="778"/>
      <c r="AN114" s="610"/>
      <c r="AO114" s="659">
        <v>42</v>
      </c>
      <c r="AP114" s="780" t="s">
        <v>560</v>
      </c>
      <c r="AQ114" s="661"/>
      <c r="AR114" s="661"/>
      <c r="AS114" s="776"/>
      <c r="AT114" s="776"/>
      <c r="AU114" s="776"/>
      <c r="AV114" s="776"/>
      <c r="AW114" s="776"/>
      <c r="AX114" s="776"/>
      <c r="AY114" s="662">
        <f t="shared" si="135"/>
        <v>2717</v>
      </c>
      <c r="AZ114" s="665"/>
      <c r="BA114" s="662"/>
      <c r="BB114" s="775"/>
      <c r="BC114" s="775"/>
      <c r="BD114" s="775"/>
      <c r="BE114" s="775"/>
      <c r="BF114" s="667">
        <f t="shared" si="141"/>
        <v>0</v>
      </c>
      <c r="BG114" s="666">
        <f>(AZ114+BA114+BB114+BC114)-BE114</f>
        <v>0</v>
      </c>
      <c r="BH114" s="777">
        <v>2717</v>
      </c>
      <c r="BI114" s="775"/>
      <c r="BJ114" s="775"/>
      <c r="BK114" s="775"/>
      <c r="BL114" s="777"/>
      <c r="BM114" s="779"/>
      <c r="BN114" s="662">
        <f t="shared" si="142"/>
        <v>2717</v>
      </c>
      <c r="BO114" s="775"/>
      <c r="BP114" s="775"/>
      <c r="BQ114" s="775">
        <v>404</v>
      </c>
      <c r="BR114" s="775"/>
      <c r="BS114" s="775"/>
      <c r="BT114" s="775"/>
      <c r="BU114" s="775"/>
      <c r="BV114" s="775"/>
      <c r="BW114" s="775"/>
    </row>
    <row r="115" spans="1:75" s="614" customFormat="1" ht="31.2">
      <c r="A115" s="650" t="s">
        <v>317</v>
      </c>
      <c r="B115" s="651" t="s">
        <v>561</v>
      </c>
      <c r="C115" s="652">
        <f>D115+I115</f>
        <v>0</v>
      </c>
      <c r="D115" s="652">
        <f>E115+F115</f>
        <v>0</v>
      </c>
      <c r="E115" s="652">
        <f t="shared" ref="E115:AJ115" si="143">E116</f>
        <v>0</v>
      </c>
      <c r="F115" s="652">
        <f t="shared" si="143"/>
        <v>0</v>
      </c>
      <c r="G115" s="652">
        <f t="shared" si="143"/>
        <v>0</v>
      </c>
      <c r="H115" s="652">
        <f t="shared" si="143"/>
        <v>0</v>
      </c>
      <c r="I115" s="652">
        <f t="shared" si="143"/>
        <v>0</v>
      </c>
      <c r="J115" s="652">
        <f t="shared" si="143"/>
        <v>0</v>
      </c>
      <c r="K115" s="989">
        <f t="shared" si="85"/>
        <v>29797</v>
      </c>
      <c r="L115" s="653">
        <f t="shared" si="143"/>
        <v>29815</v>
      </c>
      <c r="M115" s="653">
        <f t="shared" si="143"/>
        <v>14016</v>
      </c>
      <c r="N115" s="653">
        <f t="shared" si="143"/>
        <v>3580</v>
      </c>
      <c r="O115" s="653">
        <f t="shared" si="143"/>
        <v>356</v>
      </c>
      <c r="P115" s="653">
        <f t="shared" si="143"/>
        <v>0</v>
      </c>
      <c r="Q115" s="653">
        <f t="shared" si="143"/>
        <v>0</v>
      </c>
      <c r="R115" s="653">
        <f t="shared" si="143"/>
        <v>12.700000000000001</v>
      </c>
      <c r="S115" s="654">
        <f t="shared" si="143"/>
        <v>425</v>
      </c>
      <c r="T115" s="654">
        <f t="shared" si="143"/>
        <v>438</v>
      </c>
      <c r="U115" s="653">
        <f t="shared" si="143"/>
        <v>17514</v>
      </c>
      <c r="V115" s="653">
        <f t="shared" si="143"/>
        <v>11589</v>
      </c>
      <c r="W115" s="653">
        <f t="shared" si="143"/>
        <v>1843</v>
      </c>
      <c r="X115" s="653">
        <f t="shared" si="143"/>
        <v>0</v>
      </c>
      <c r="Y115" s="655">
        <f t="shared" si="143"/>
        <v>126.10000000000002</v>
      </c>
      <c r="Z115" s="653">
        <f t="shared" si="143"/>
        <v>861</v>
      </c>
      <c r="AA115" s="654">
        <f t="shared" si="143"/>
        <v>1022</v>
      </c>
      <c r="AB115" s="654">
        <f t="shared" si="143"/>
        <v>1149</v>
      </c>
      <c r="AC115" s="653">
        <f t="shared" si="143"/>
        <v>12283</v>
      </c>
      <c r="AD115" s="653">
        <f t="shared" si="143"/>
        <v>18</v>
      </c>
      <c r="AE115" s="653">
        <f t="shared" si="143"/>
        <v>0</v>
      </c>
      <c r="AF115" s="656">
        <f t="shared" si="143"/>
        <v>0</v>
      </c>
      <c r="AG115" s="656">
        <f t="shared" si="143"/>
        <v>0</v>
      </c>
      <c r="AH115" s="656">
        <f t="shared" si="143"/>
        <v>0</v>
      </c>
      <c r="AI115" s="656">
        <f t="shared" si="143"/>
        <v>0</v>
      </c>
      <c r="AJ115" s="656">
        <f t="shared" si="143"/>
        <v>0</v>
      </c>
      <c r="AK115" s="656">
        <f>AK116</f>
        <v>0</v>
      </c>
      <c r="AL115" s="656">
        <f>AL116</f>
        <v>0</v>
      </c>
      <c r="AM115" s="612"/>
      <c r="AN115" s="610">
        <v>15891</v>
      </c>
      <c r="AO115" s="650" t="s">
        <v>317</v>
      </c>
      <c r="AP115" s="651" t="s">
        <v>561</v>
      </c>
      <c r="AQ115" s="652">
        <f>AR115+AW115</f>
        <v>209</v>
      </c>
      <c r="AR115" s="652">
        <f>AS115+AT115</f>
        <v>172</v>
      </c>
      <c r="AS115" s="652">
        <f t="shared" ref="AS115:BU115" si="144">AS116</f>
        <v>0</v>
      </c>
      <c r="AT115" s="652">
        <f t="shared" si="144"/>
        <v>172</v>
      </c>
      <c r="AU115" s="652">
        <f t="shared" si="144"/>
        <v>0</v>
      </c>
      <c r="AV115" s="652">
        <f t="shared" si="144"/>
        <v>145</v>
      </c>
      <c r="AW115" s="652">
        <f t="shared" si="144"/>
        <v>37</v>
      </c>
      <c r="AX115" s="652">
        <f t="shared" si="144"/>
        <v>37</v>
      </c>
      <c r="AY115" s="653">
        <f t="shared" si="144"/>
        <v>30032</v>
      </c>
      <c r="AZ115" s="658">
        <f t="shared" si="144"/>
        <v>12776</v>
      </c>
      <c r="BA115" s="653">
        <f t="shared" si="144"/>
        <v>3346</v>
      </c>
      <c r="BB115" s="653">
        <f t="shared" si="144"/>
        <v>578</v>
      </c>
      <c r="BC115" s="653">
        <f t="shared" si="144"/>
        <v>0</v>
      </c>
      <c r="BD115" s="653">
        <f t="shared" si="144"/>
        <v>0</v>
      </c>
      <c r="BE115" s="653">
        <f t="shared" si="144"/>
        <v>392.40000000000003</v>
      </c>
      <c r="BF115" s="655">
        <f t="shared" si="144"/>
        <v>393</v>
      </c>
      <c r="BG115" s="653">
        <f t="shared" si="144"/>
        <v>16307</v>
      </c>
      <c r="BH115" s="653">
        <f t="shared" si="144"/>
        <v>12610</v>
      </c>
      <c r="BI115" s="653">
        <f t="shared" si="144"/>
        <v>0</v>
      </c>
      <c r="BJ115" s="653">
        <f t="shared" si="144"/>
        <v>1980</v>
      </c>
      <c r="BK115" s="653">
        <f t="shared" si="144"/>
        <v>0</v>
      </c>
      <c r="BL115" s="653">
        <f t="shared" si="144"/>
        <v>914.5</v>
      </c>
      <c r="BM115" s="655">
        <f t="shared" si="144"/>
        <v>915</v>
      </c>
      <c r="BN115" s="653">
        <f t="shared" si="144"/>
        <v>13675</v>
      </c>
      <c r="BO115" s="653">
        <f t="shared" si="144"/>
        <v>50</v>
      </c>
      <c r="BP115" s="653">
        <f t="shared" si="144"/>
        <v>0</v>
      </c>
      <c r="BQ115" s="653">
        <f t="shared" si="144"/>
        <v>724</v>
      </c>
      <c r="BR115" s="653">
        <f t="shared" si="144"/>
        <v>38</v>
      </c>
      <c r="BS115" s="653">
        <f t="shared" si="144"/>
        <v>0</v>
      </c>
      <c r="BT115" s="653">
        <f t="shared" si="144"/>
        <v>0</v>
      </c>
      <c r="BU115" s="653">
        <f t="shared" si="144"/>
        <v>2289</v>
      </c>
      <c r="BV115" s="653">
        <f>BV116</f>
        <v>0</v>
      </c>
      <c r="BW115" s="653">
        <f>BW116</f>
        <v>0</v>
      </c>
    </row>
    <row r="116" spans="1:75" ht="31.2">
      <c r="A116" s="659">
        <v>40</v>
      </c>
      <c r="B116" s="660" t="s">
        <v>562</v>
      </c>
      <c r="C116" s="661">
        <f>SUM(C117:C123)</f>
        <v>201</v>
      </c>
      <c r="D116" s="661">
        <f>SUM(D117:D123)</f>
        <v>164</v>
      </c>
      <c r="E116" s="661"/>
      <c r="F116" s="661"/>
      <c r="G116" s="661"/>
      <c r="H116" s="661"/>
      <c r="I116" s="661"/>
      <c r="J116" s="661"/>
      <c r="K116" s="989">
        <f t="shared" si="85"/>
        <v>29797</v>
      </c>
      <c r="L116" s="662">
        <f>SUM(L117:L123)</f>
        <v>29815</v>
      </c>
      <c r="M116" s="662">
        <f>SUM(M117:M123)</f>
        <v>14016</v>
      </c>
      <c r="N116" s="662">
        <f t="shared" ref="N116:AM116" si="145">SUM(N117:N123)</f>
        <v>3580</v>
      </c>
      <c r="O116" s="662">
        <f t="shared" si="145"/>
        <v>356</v>
      </c>
      <c r="P116" s="662">
        <f t="shared" si="145"/>
        <v>0</v>
      </c>
      <c r="Q116" s="662">
        <f t="shared" si="145"/>
        <v>0</v>
      </c>
      <c r="R116" s="662">
        <f t="shared" si="145"/>
        <v>12.700000000000001</v>
      </c>
      <c r="S116" s="663">
        <f t="shared" si="145"/>
        <v>425</v>
      </c>
      <c r="T116" s="663">
        <f t="shared" si="145"/>
        <v>438</v>
      </c>
      <c r="U116" s="662">
        <f t="shared" si="145"/>
        <v>17514</v>
      </c>
      <c r="V116" s="662">
        <f t="shared" si="145"/>
        <v>11589</v>
      </c>
      <c r="W116" s="662">
        <f t="shared" si="145"/>
        <v>1843</v>
      </c>
      <c r="X116" s="662">
        <f t="shared" si="145"/>
        <v>0</v>
      </c>
      <c r="Y116" s="663">
        <f t="shared" si="145"/>
        <v>126.10000000000002</v>
      </c>
      <c r="Z116" s="662">
        <f t="shared" si="145"/>
        <v>861</v>
      </c>
      <c r="AA116" s="663">
        <f t="shared" si="145"/>
        <v>1022</v>
      </c>
      <c r="AB116" s="663">
        <f t="shared" si="145"/>
        <v>1149</v>
      </c>
      <c r="AC116" s="662">
        <f t="shared" si="145"/>
        <v>12283</v>
      </c>
      <c r="AD116" s="662">
        <f t="shared" si="145"/>
        <v>18</v>
      </c>
      <c r="AE116" s="662">
        <f t="shared" si="145"/>
        <v>0</v>
      </c>
      <c r="AF116" s="664">
        <f t="shared" si="145"/>
        <v>0</v>
      </c>
      <c r="AG116" s="664">
        <f>SUM(AG117:AG123)</f>
        <v>0</v>
      </c>
      <c r="AH116" s="664">
        <f>SUM(AH117:AH123)</f>
        <v>0</v>
      </c>
      <c r="AI116" s="664">
        <f t="shared" si="145"/>
        <v>0</v>
      </c>
      <c r="AJ116" s="664">
        <f t="shared" si="145"/>
        <v>0</v>
      </c>
      <c r="AK116" s="664">
        <f t="shared" si="145"/>
        <v>0</v>
      </c>
      <c r="AL116" s="664">
        <f t="shared" si="145"/>
        <v>0</v>
      </c>
      <c r="AM116" s="772">
        <f t="shared" si="145"/>
        <v>0</v>
      </c>
      <c r="AN116" s="610"/>
      <c r="AO116" s="659">
        <v>43</v>
      </c>
      <c r="AP116" s="660" t="s">
        <v>562</v>
      </c>
      <c r="AQ116" s="661">
        <f>SUM(AQ117:AQ123)</f>
        <v>209</v>
      </c>
      <c r="AR116" s="661">
        <f t="shared" ref="AR116:AX116" si="146">SUM(AR117:AR123)</f>
        <v>172</v>
      </c>
      <c r="AS116" s="661">
        <f t="shared" si="146"/>
        <v>0</v>
      </c>
      <c r="AT116" s="661">
        <f>SUM(AT117:AT123)</f>
        <v>172</v>
      </c>
      <c r="AU116" s="661">
        <f t="shared" si="146"/>
        <v>0</v>
      </c>
      <c r="AV116" s="661">
        <f>SUM(AV117:AV123)</f>
        <v>145</v>
      </c>
      <c r="AW116" s="661">
        <f t="shared" si="146"/>
        <v>37</v>
      </c>
      <c r="AX116" s="661">
        <f t="shared" si="146"/>
        <v>37</v>
      </c>
      <c r="AY116" s="662">
        <f>SUM(AY117:AY123)</f>
        <v>30032</v>
      </c>
      <c r="AZ116" s="665">
        <f>SUM(AZ117:AZ123)</f>
        <v>12776</v>
      </c>
      <c r="BA116" s="662">
        <f t="shared" ref="BA116:BW116" si="147">SUM(BA117:BA123)</f>
        <v>3346</v>
      </c>
      <c r="BB116" s="662">
        <f t="shared" si="147"/>
        <v>578</v>
      </c>
      <c r="BC116" s="662">
        <f t="shared" si="147"/>
        <v>0</v>
      </c>
      <c r="BD116" s="662">
        <f t="shared" si="147"/>
        <v>0</v>
      </c>
      <c r="BE116" s="662">
        <f t="shared" si="147"/>
        <v>392.40000000000003</v>
      </c>
      <c r="BF116" s="663">
        <f t="shared" si="147"/>
        <v>393</v>
      </c>
      <c r="BG116" s="662">
        <f t="shared" si="147"/>
        <v>16307</v>
      </c>
      <c r="BH116" s="662">
        <f t="shared" si="147"/>
        <v>12610</v>
      </c>
      <c r="BI116" s="662">
        <f t="shared" si="147"/>
        <v>0</v>
      </c>
      <c r="BJ116" s="662">
        <f t="shared" si="147"/>
        <v>1980</v>
      </c>
      <c r="BK116" s="662">
        <f t="shared" si="147"/>
        <v>0</v>
      </c>
      <c r="BL116" s="662">
        <f t="shared" si="147"/>
        <v>914.5</v>
      </c>
      <c r="BM116" s="663">
        <f t="shared" si="147"/>
        <v>915</v>
      </c>
      <c r="BN116" s="662">
        <f t="shared" si="147"/>
        <v>13675</v>
      </c>
      <c r="BO116" s="662">
        <f t="shared" si="147"/>
        <v>50</v>
      </c>
      <c r="BP116" s="662">
        <f t="shared" si="147"/>
        <v>0</v>
      </c>
      <c r="BQ116" s="662">
        <f t="shared" si="147"/>
        <v>724</v>
      </c>
      <c r="BR116" s="662">
        <f>SUM(BR117:BR123)</f>
        <v>38</v>
      </c>
      <c r="BS116" s="662">
        <f>SUM(BS117:BS123)</f>
        <v>0</v>
      </c>
      <c r="BT116" s="662">
        <f t="shared" si="147"/>
        <v>0</v>
      </c>
      <c r="BU116" s="662">
        <f t="shared" si="147"/>
        <v>2289</v>
      </c>
      <c r="BV116" s="662">
        <f t="shared" si="147"/>
        <v>0</v>
      </c>
      <c r="BW116" s="662">
        <f t="shared" si="147"/>
        <v>0</v>
      </c>
    </row>
    <row r="117" spans="1:75">
      <c r="A117" s="659"/>
      <c r="B117" s="660" t="s">
        <v>459</v>
      </c>
      <c r="C117" s="661">
        <f t="shared" ref="C117:C123" si="148">D117+I117</f>
        <v>0</v>
      </c>
      <c r="D117" s="661">
        <f t="shared" ref="D117:D123" si="149">E117+F117</f>
        <v>0</v>
      </c>
      <c r="E117" s="661"/>
      <c r="F117" s="661"/>
      <c r="G117" s="661"/>
      <c r="H117" s="661"/>
      <c r="I117" s="661"/>
      <c r="J117" s="661"/>
      <c r="K117" s="989">
        <f t="shared" si="85"/>
        <v>0</v>
      </c>
      <c r="L117" s="666">
        <f t="shared" ref="L117:L123" si="150">U117+AC117+AD117+AE117</f>
        <v>0</v>
      </c>
      <c r="M117" s="666"/>
      <c r="N117" s="666"/>
      <c r="O117" s="666"/>
      <c r="P117" s="666"/>
      <c r="Q117" s="666"/>
      <c r="R117" s="666">
        <f>((N117+O117)-(BA117+BB117))*10%</f>
        <v>0</v>
      </c>
      <c r="S117" s="667"/>
      <c r="T117" s="667">
        <f t="shared" ref="T117:T123" si="151">ROUND((Q117+R117+S117),0)</f>
        <v>0</v>
      </c>
      <c r="U117" s="666">
        <f t="shared" ref="U117:U123" si="152">(M117+N117+O117+P117)-T117</f>
        <v>0</v>
      </c>
      <c r="V117" s="666"/>
      <c r="W117" s="666"/>
      <c r="X117" s="666"/>
      <c r="Y117" s="667">
        <f>Z117-BM117</f>
        <v>0</v>
      </c>
      <c r="Z117" s="668">
        <f>V117*10%</f>
        <v>0</v>
      </c>
      <c r="AA117" s="667"/>
      <c r="AB117" s="667">
        <f t="shared" ref="AB117:AB123" si="153">ROUND((Y117+AA117+X117),0)</f>
        <v>0</v>
      </c>
      <c r="AC117" s="666">
        <f t="shared" ref="AC117:AC123" si="154">(V117+W117)-AB117</f>
        <v>0</v>
      </c>
      <c r="AD117" s="666"/>
      <c r="AE117" s="666"/>
      <c r="AF117" s="669"/>
      <c r="AG117" s="669"/>
      <c r="AH117" s="669"/>
      <c r="AI117" s="669"/>
      <c r="AJ117" s="669"/>
      <c r="AK117" s="669"/>
      <c r="AL117" s="664"/>
      <c r="AN117" s="610"/>
      <c r="AO117" s="659"/>
      <c r="AP117" s="660" t="s">
        <v>459</v>
      </c>
      <c r="AQ117" s="661">
        <f t="shared" ref="AQ117:AQ123" si="155">AR117+AW117</f>
        <v>0</v>
      </c>
      <c r="AR117" s="661">
        <f t="shared" ref="AR117:AR123" si="156">AS117+AT117</f>
        <v>0</v>
      </c>
      <c r="AS117" s="661"/>
      <c r="AT117" s="661"/>
      <c r="AU117" s="661"/>
      <c r="AV117" s="661"/>
      <c r="AW117" s="661"/>
      <c r="AX117" s="661"/>
      <c r="AY117" s="666">
        <f t="shared" ref="AY117:AY123" si="157">BG117+BN117+BO117+BP117</f>
        <v>0</v>
      </c>
      <c r="AZ117" s="670"/>
      <c r="BA117" s="666"/>
      <c r="BB117" s="666"/>
      <c r="BC117" s="666"/>
      <c r="BD117" s="666"/>
      <c r="BE117" s="666">
        <f t="shared" ref="BE117:BE123" si="158">(BA117+BB117)*10%</f>
        <v>0</v>
      </c>
      <c r="BF117" s="667">
        <f t="shared" ref="BF117:BF125" si="159">ROUND(BE117,0)</f>
        <v>0</v>
      </c>
      <c r="BG117" s="666">
        <f t="shared" ref="BG117:BG123" si="160">(AZ117+BA117+BB117+BC117)-BF117</f>
        <v>0</v>
      </c>
      <c r="BH117" s="666">
        <f>1308-1308</f>
        <v>0</v>
      </c>
      <c r="BI117" s="666"/>
      <c r="BJ117" s="666"/>
      <c r="BK117" s="666"/>
      <c r="BL117" s="666">
        <f t="shared" ref="BL117:BL123" si="161">BH117*10%</f>
        <v>0</v>
      </c>
      <c r="BM117" s="667">
        <f t="shared" ref="BM117:BM125" si="162">ROUND(BL117,0)</f>
        <v>0</v>
      </c>
      <c r="BN117" s="666">
        <f t="shared" ref="BN117:BN123" si="163">(BH117+BI117+BJ117)-BM117</f>
        <v>0</v>
      </c>
      <c r="BO117" s="666"/>
      <c r="BP117" s="666"/>
      <c r="BQ117" s="666"/>
      <c r="BR117" s="666"/>
      <c r="BS117" s="666"/>
      <c r="BT117" s="666"/>
      <c r="BU117" s="666">
        <v>2289</v>
      </c>
      <c r="BV117" s="666"/>
      <c r="BW117" s="662"/>
    </row>
    <row r="118" spans="1:75">
      <c r="A118" s="659"/>
      <c r="B118" s="660" t="s">
        <v>563</v>
      </c>
      <c r="C118" s="661">
        <f t="shared" si="148"/>
        <v>48</v>
      </c>
      <c r="D118" s="661">
        <f t="shared" si="149"/>
        <v>42</v>
      </c>
      <c r="E118" s="661"/>
      <c r="F118" s="661">
        <v>42</v>
      </c>
      <c r="G118" s="661"/>
      <c r="H118" s="661">
        <v>38</v>
      </c>
      <c r="I118" s="661">
        <v>6</v>
      </c>
      <c r="J118" s="661">
        <v>5</v>
      </c>
      <c r="K118" s="989">
        <f t="shared" si="85"/>
        <v>5263</v>
      </c>
      <c r="L118" s="666">
        <f t="shared" si="150"/>
        <v>5263</v>
      </c>
      <c r="M118" s="666">
        <v>3749</v>
      </c>
      <c r="N118" s="666">
        <v>913</v>
      </c>
      <c r="O118" s="666">
        <v>32</v>
      </c>
      <c r="P118" s="666"/>
      <c r="Q118" s="666"/>
      <c r="R118" s="666">
        <f>((N118+O118)-(BA118+BB118))*10%</f>
        <v>0</v>
      </c>
      <c r="S118" s="667">
        <v>99</v>
      </c>
      <c r="T118" s="667">
        <f t="shared" si="151"/>
        <v>99</v>
      </c>
      <c r="U118" s="666">
        <f t="shared" si="152"/>
        <v>4595</v>
      </c>
      <c r="V118" s="666">
        <v>687</v>
      </c>
      <c r="W118" s="666">
        <v>35</v>
      </c>
      <c r="X118" s="666"/>
      <c r="Y118" s="667">
        <f>Z118-BM118</f>
        <v>2.7000000000000028</v>
      </c>
      <c r="Z118" s="668">
        <f>V118*10%</f>
        <v>68.7</v>
      </c>
      <c r="AA118" s="667">
        <v>51</v>
      </c>
      <c r="AB118" s="667">
        <f t="shared" si="153"/>
        <v>54</v>
      </c>
      <c r="AC118" s="666">
        <f t="shared" si="154"/>
        <v>668</v>
      </c>
      <c r="AD118" s="666"/>
      <c r="AE118" s="666"/>
      <c r="AF118" s="669"/>
      <c r="AG118" s="669"/>
      <c r="AH118" s="669"/>
      <c r="AI118" s="669"/>
      <c r="AJ118" s="669"/>
      <c r="AK118" s="669"/>
      <c r="AL118" s="664"/>
      <c r="AN118" s="610"/>
      <c r="AO118" s="659"/>
      <c r="AP118" s="660" t="s">
        <v>563</v>
      </c>
      <c r="AQ118" s="661">
        <f t="shared" si="155"/>
        <v>48</v>
      </c>
      <c r="AR118" s="661">
        <f t="shared" si="156"/>
        <v>42</v>
      </c>
      <c r="AS118" s="661"/>
      <c r="AT118" s="661">
        <v>42</v>
      </c>
      <c r="AU118" s="661"/>
      <c r="AV118" s="661">
        <v>40</v>
      </c>
      <c r="AW118" s="661">
        <v>6</v>
      </c>
      <c r="AX118" s="661">
        <v>6</v>
      </c>
      <c r="AY118" s="666">
        <f t="shared" si="157"/>
        <v>5200</v>
      </c>
      <c r="AZ118" s="670">
        <v>3506</v>
      </c>
      <c r="BA118" s="666">
        <v>814</v>
      </c>
      <c r="BB118" s="666">
        <v>131</v>
      </c>
      <c r="BC118" s="666"/>
      <c r="BD118" s="666"/>
      <c r="BE118" s="666">
        <f t="shared" si="158"/>
        <v>94.5</v>
      </c>
      <c r="BF118" s="667">
        <f t="shared" si="159"/>
        <v>95</v>
      </c>
      <c r="BG118" s="666">
        <f t="shared" si="160"/>
        <v>4356</v>
      </c>
      <c r="BH118" s="666">
        <v>660</v>
      </c>
      <c r="BI118" s="666"/>
      <c r="BJ118" s="666">
        <v>250</v>
      </c>
      <c r="BK118" s="666"/>
      <c r="BL118" s="666">
        <f t="shared" si="161"/>
        <v>66</v>
      </c>
      <c r="BM118" s="667">
        <f t="shared" si="162"/>
        <v>66</v>
      </c>
      <c r="BN118" s="666">
        <f t="shared" si="163"/>
        <v>844</v>
      </c>
      <c r="BO118" s="666"/>
      <c r="BP118" s="666"/>
      <c r="BQ118" s="666">
        <v>300</v>
      </c>
      <c r="BR118" s="666"/>
      <c r="BS118" s="666"/>
      <c r="BT118" s="666"/>
      <c r="BU118" s="666"/>
      <c r="BV118" s="666"/>
      <c r="BW118" s="662"/>
    </row>
    <row r="119" spans="1:75">
      <c r="A119" s="659"/>
      <c r="B119" s="660" t="s">
        <v>564</v>
      </c>
      <c r="C119" s="661">
        <f t="shared" si="148"/>
        <v>26</v>
      </c>
      <c r="D119" s="661">
        <f t="shared" si="149"/>
        <v>24</v>
      </c>
      <c r="E119" s="661"/>
      <c r="F119" s="661">
        <v>24</v>
      </c>
      <c r="G119" s="661"/>
      <c r="H119" s="661">
        <v>22</v>
      </c>
      <c r="I119" s="661">
        <v>2</v>
      </c>
      <c r="J119" s="661">
        <v>2</v>
      </c>
      <c r="K119" s="989">
        <f t="shared" si="85"/>
        <v>3613</v>
      </c>
      <c r="L119" s="666">
        <f t="shared" si="150"/>
        <v>3631</v>
      </c>
      <c r="M119" s="666">
        <v>1982</v>
      </c>
      <c r="N119" s="666">
        <v>540</v>
      </c>
      <c r="O119" s="666">
        <v>43</v>
      </c>
      <c r="P119" s="666"/>
      <c r="Q119" s="666"/>
      <c r="R119" s="666"/>
      <c r="S119" s="667">
        <v>63</v>
      </c>
      <c r="T119" s="667">
        <f t="shared" si="151"/>
        <v>63</v>
      </c>
      <c r="U119" s="666">
        <f t="shared" si="152"/>
        <v>2502</v>
      </c>
      <c r="V119" s="666">
        <v>426</v>
      </c>
      <c r="W119" s="666">
        <v>730</v>
      </c>
      <c r="X119" s="666"/>
      <c r="Y119" s="667">
        <f>Z119-BM119</f>
        <v>10.600000000000001</v>
      </c>
      <c r="Z119" s="668">
        <f>V119*10%</f>
        <v>42.6</v>
      </c>
      <c r="AA119" s="667">
        <v>34</v>
      </c>
      <c r="AB119" s="667">
        <f t="shared" si="153"/>
        <v>45</v>
      </c>
      <c r="AC119" s="666">
        <f t="shared" si="154"/>
        <v>1111</v>
      </c>
      <c r="AD119" s="666">
        <v>18</v>
      </c>
      <c r="AE119" s="666"/>
      <c r="AF119" s="669"/>
      <c r="AG119" s="669"/>
      <c r="AH119" s="669"/>
      <c r="AI119" s="669"/>
      <c r="AJ119" s="669"/>
      <c r="AK119" s="669"/>
      <c r="AL119" s="664"/>
      <c r="AN119" s="610">
        <v>3138</v>
      </c>
      <c r="AO119" s="659"/>
      <c r="AP119" s="660" t="s">
        <v>564</v>
      </c>
      <c r="AQ119" s="661">
        <f t="shared" si="155"/>
        <v>27</v>
      </c>
      <c r="AR119" s="661">
        <f t="shared" si="156"/>
        <v>25</v>
      </c>
      <c r="AS119" s="661"/>
      <c r="AT119" s="661">
        <v>25</v>
      </c>
      <c r="AU119" s="661"/>
      <c r="AV119" s="661">
        <v>24</v>
      </c>
      <c r="AW119" s="661">
        <v>2</v>
      </c>
      <c r="AX119" s="661">
        <v>2</v>
      </c>
      <c r="AY119" s="666">
        <f t="shared" si="157"/>
        <v>3045</v>
      </c>
      <c r="AZ119" s="670">
        <v>1894</v>
      </c>
      <c r="BA119" s="666">
        <v>538</v>
      </c>
      <c r="BB119" s="666">
        <v>70</v>
      </c>
      <c r="BC119" s="666"/>
      <c r="BD119" s="666"/>
      <c r="BE119" s="666">
        <f t="shared" si="158"/>
        <v>60.800000000000004</v>
      </c>
      <c r="BF119" s="667">
        <f t="shared" si="159"/>
        <v>61</v>
      </c>
      <c r="BG119" s="666">
        <f t="shared" si="160"/>
        <v>2441</v>
      </c>
      <c r="BH119" s="666">
        <f>318-150+150</f>
        <v>318</v>
      </c>
      <c r="BI119" s="666"/>
      <c r="BJ119" s="666">
        <f>18+150-150+300</f>
        <v>318</v>
      </c>
      <c r="BK119" s="666"/>
      <c r="BL119" s="666">
        <f t="shared" si="161"/>
        <v>31.8</v>
      </c>
      <c r="BM119" s="667">
        <f t="shared" si="162"/>
        <v>32</v>
      </c>
      <c r="BN119" s="666">
        <f t="shared" si="163"/>
        <v>604</v>
      </c>
      <c r="BO119" s="666"/>
      <c r="BP119" s="666"/>
      <c r="BQ119" s="666">
        <v>50</v>
      </c>
      <c r="BR119" s="666"/>
      <c r="BS119" s="666"/>
      <c r="BT119" s="666"/>
      <c r="BU119" s="666"/>
      <c r="BV119" s="666"/>
      <c r="BW119" s="662"/>
    </row>
    <row r="120" spans="1:75">
      <c r="A120" s="659"/>
      <c r="B120" s="660" t="s">
        <v>565</v>
      </c>
      <c r="C120" s="661">
        <f t="shared" si="148"/>
        <v>19</v>
      </c>
      <c r="D120" s="661">
        <f t="shared" si="149"/>
        <v>15</v>
      </c>
      <c r="E120" s="661"/>
      <c r="F120" s="661">
        <v>15</v>
      </c>
      <c r="G120" s="661"/>
      <c r="H120" s="661">
        <v>15</v>
      </c>
      <c r="I120" s="661">
        <v>4</v>
      </c>
      <c r="J120" s="661">
        <v>2</v>
      </c>
      <c r="K120" s="989">
        <f t="shared" si="85"/>
        <v>2865</v>
      </c>
      <c r="L120" s="666">
        <f t="shared" si="150"/>
        <v>2865</v>
      </c>
      <c r="M120" s="666">
        <v>1376</v>
      </c>
      <c r="N120" s="666">
        <v>377</v>
      </c>
      <c r="O120" s="666">
        <v>15</v>
      </c>
      <c r="P120" s="666"/>
      <c r="Q120" s="666"/>
      <c r="R120" s="666">
        <f>((N120+O120)-(BA120+BB120))*10%</f>
        <v>0</v>
      </c>
      <c r="S120" s="667">
        <v>63</v>
      </c>
      <c r="T120" s="667">
        <f t="shared" si="151"/>
        <v>63</v>
      </c>
      <c r="U120" s="666">
        <f t="shared" si="152"/>
        <v>1705</v>
      </c>
      <c r="V120" s="666">
        <v>1132</v>
      </c>
      <c r="W120" s="666">
        <v>256</v>
      </c>
      <c r="X120" s="666"/>
      <c r="Y120" s="667">
        <f>Z120-BM120</f>
        <v>93.2</v>
      </c>
      <c r="Z120" s="668">
        <f>V120*10%</f>
        <v>113.2</v>
      </c>
      <c r="AA120" s="667">
        <v>135</v>
      </c>
      <c r="AB120" s="667">
        <f t="shared" si="153"/>
        <v>228</v>
      </c>
      <c r="AC120" s="666">
        <f t="shared" si="154"/>
        <v>1160</v>
      </c>
      <c r="AD120" s="666"/>
      <c r="AE120" s="666"/>
      <c r="AF120" s="669"/>
      <c r="AG120" s="669"/>
      <c r="AH120" s="669"/>
      <c r="AI120" s="669"/>
      <c r="AJ120" s="669"/>
      <c r="AK120" s="669"/>
      <c r="AL120" s="664"/>
      <c r="AN120" s="610"/>
      <c r="AO120" s="659"/>
      <c r="AP120" s="660" t="s">
        <v>565</v>
      </c>
      <c r="AQ120" s="661">
        <f t="shared" si="155"/>
        <v>29</v>
      </c>
      <c r="AR120" s="661">
        <f t="shared" si="156"/>
        <v>15</v>
      </c>
      <c r="AS120" s="661"/>
      <c r="AT120" s="661">
        <v>15</v>
      </c>
      <c r="AU120" s="661"/>
      <c r="AV120" s="661">
        <v>15</v>
      </c>
      <c r="AW120" s="661">
        <v>14</v>
      </c>
      <c r="AX120" s="661">
        <v>14</v>
      </c>
      <c r="AY120" s="666">
        <f t="shared" si="157"/>
        <v>2274</v>
      </c>
      <c r="AZ120" s="670">
        <v>1584</v>
      </c>
      <c r="BA120" s="666">
        <v>300</v>
      </c>
      <c r="BB120" s="666">
        <v>92</v>
      </c>
      <c r="BC120" s="666"/>
      <c r="BD120" s="666"/>
      <c r="BE120" s="666">
        <f t="shared" si="158"/>
        <v>39.200000000000003</v>
      </c>
      <c r="BF120" s="667">
        <f t="shared" si="159"/>
        <v>39</v>
      </c>
      <c r="BG120" s="666">
        <f t="shared" si="160"/>
        <v>1937</v>
      </c>
      <c r="BH120" s="666">
        <v>202</v>
      </c>
      <c r="BI120" s="666"/>
      <c r="BJ120" s="666">
        <v>155</v>
      </c>
      <c r="BK120" s="666"/>
      <c r="BL120" s="666">
        <f t="shared" si="161"/>
        <v>20.200000000000003</v>
      </c>
      <c r="BM120" s="667">
        <f t="shared" si="162"/>
        <v>20</v>
      </c>
      <c r="BN120" s="666">
        <f t="shared" si="163"/>
        <v>337</v>
      </c>
      <c r="BO120" s="666"/>
      <c r="BP120" s="666"/>
      <c r="BQ120" s="666">
        <v>12</v>
      </c>
      <c r="BR120" s="666"/>
      <c r="BS120" s="666"/>
      <c r="BT120" s="666"/>
      <c r="BU120" s="666"/>
      <c r="BV120" s="666"/>
      <c r="BW120" s="662"/>
    </row>
    <row r="121" spans="1:75" s="698" customFormat="1" ht="31.2">
      <c r="A121" s="694"/>
      <c r="B121" s="695" t="s">
        <v>566</v>
      </c>
      <c r="C121" s="696">
        <f t="shared" si="148"/>
        <v>30</v>
      </c>
      <c r="D121" s="696">
        <f t="shared" si="149"/>
        <v>24</v>
      </c>
      <c r="E121" s="696"/>
      <c r="F121" s="696">
        <v>24</v>
      </c>
      <c r="G121" s="696"/>
      <c r="H121" s="696">
        <v>21</v>
      </c>
      <c r="I121" s="696">
        <v>6</v>
      </c>
      <c r="J121" s="696">
        <v>5</v>
      </c>
      <c r="K121" s="989">
        <f t="shared" si="85"/>
        <v>7488</v>
      </c>
      <c r="L121" s="668">
        <f t="shared" si="150"/>
        <v>7488</v>
      </c>
      <c r="M121" s="668">
        <v>1940</v>
      </c>
      <c r="N121" s="668">
        <v>523</v>
      </c>
      <c r="O121" s="668">
        <v>60</v>
      </c>
      <c r="P121" s="668"/>
      <c r="Q121" s="668"/>
      <c r="R121" s="668">
        <f>((N121+O121)-(BA121+BB121))*10%</f>
        <v>12.700000000000001</v>
      </c>
      <c r="S121" s="667">
        <f>42+29</f>
        <v>71</v>
      </c>
      <c r="T121" s="667">
        <f t="shared" si="151"/>
        <v>84</v>
      </c>
      <c r="U121" s="666">
        <f t="shared" si="152"/>
        <v>2439</v>
      </c>
      <c r="V121" s="668">
        <v>5158</v>
      </c>
      <c r="W121" s="668">
        <v>333</v>
      </c>
      <c r="X121" s="668"/>
      <c r="Y121" s="667"/>
      <c r="Z121" s="668">
        <f>(V121-2979)*10%</f>
        <v>217.9</v>
      </c>
      <c r="AA121" s="667">
        <f>420+22</f>
        <v>442</v>
      </c>
      <c r="AB121" s="667">
        <f t="shared" si="153"/>
        <v>442</v>
      </c>
      <c r="AC121" s="666">
        <f t="shared" si="154"/>
        <v>5049</v>
      </c>
      <c r="AD121" s="668"/>
      <c r="AE121" s="668"/>
      <c r="AF121" s="668"/>
      <c r="AG121" s="668"/>
      <c r="AH121" s="668"/>
      <c r="AI121" s="668"/>
      <c r="AJ121" s="668"/>
      <c r="AK121" s="668"/>
      <c r="AL121" s="697"/>
      <c r="AM121" s="624"/>
      <c r="AN121" s="610"/>
      <c r="AO121" s="694"/>
      <c r="AP121" s="695" t="s">
        <v>566</v>
      </c>
      <c r="AQ121" s="696">
        <f t="shared" si="155"/>
        <v>30</v>
      </c>
      <c r="AR121" s="696">
        <f t="shared" si="156"/>
        <v>24</v>
      </c>
      <c r="AS121" s="696"/>
      <c r="AT121" s="696">
        <v>24</v>
      </c>
      <c r="AU121" s="696"/>
      <c r="AV121" s="696">
        <v>22</v>
      </c>
      <c r="AW121" s="696">
        <v>6</v>
      </c>
      <c r="AX121" s="696">
        <v>6</v>
      </c>
      <c r="AY121" s="668">
        <f t="shared" si="157"/>
        <v>9321</v>
      </c>
      <c r="AZ121" s="668">
        <v>1749</v>
      </c>
      <c r="BA121" s="668">
        <v>356</v>
      </c>
      <c r="BB121" s="668">
        <v>100</v>
      </c>
      <c r="BC121" s="668"/>
      <c r="BD121" s="668"/>
      <c r="BE121" s="666">
        <f t="shared" si="158"/>
        <v>45.6</v>
      </c>
      <c r="BF121" s="668">
        <f t="shared" si="159"/>
        <v>46</v>
      </c>
      <c r="BG121" s="668">
        <f t="shared" si="160"/>
        <v>2159</v>
      </c>
      <c r="BH121" s="668">
        <v>7080</v>
      </c>
      <c r="BI121" s="668"/>
      <c r="BJ121" s="668">
        <v>444</v>
      </c>
      <c r="BK121" s="668"/>
      <c r="BL121" s="666">
        <f>(BH121-3465)*10%</f>
        <v>361.5</v>
      </c>
      <c r="BM121" s="668">
        <f t="shared" si="162"/>
        <v>362</v>
      </c>
      <c r="BN121" s="668">
        <f t="shared" si="163"/>
        <v>7162</v>
      </c>
      <c r="BO121" s="668"/>
      <c r="BP121" s="668"/>
      <c r="BQ121" s="668">
        <v>150</v>
      </c>
      <c r="BR121" s="668">
        <v>38</v>
      </c>
      <c r="BS121" s="668"/>
      <c r="BT121" s="668"/>
      <c r="BU121" s="668"/>
      <c r="BV121" s="668"/>
      <c r="BW121" s="697"/>
    </row>
    <row r="122" spans="1:75">
      <c r="A122" s="659"/>
      <c r="B122" s="660" t="s">
        <v>567</v>
      </c>
      <c r="C122" s="661">
        <f>D122+I122</f>
        <v>35</v>
      </c>
      <c r="D122" s="661">
        <f t="shared" si="149"/>
        <v>21</v>
      </c>
      <c r="E122" s="661"/>
      <c r="F122" s="661">
        <v>21</v>
      </c>
      <c r="G122" s="661"/>
      <c r="H122" s="661">
        <v>14</v>
      </c>
      <c r="I122" s="661">
        <v>14</v>
      </c>
      <c r="J122" s="661">
        <v>12</v>
      </c>
      <c r="K122" s="989">
        <f t="shared" si="85"/>
        <v>3815</v>
      </c>
      <c r="L122" s="666">
        <f t="shared" si="150"/>
        <v>3815</v>
      </c>
      <c r="M122" s="666">
        <v>1944</v>
      </c>
      <c r="N122" s="666">
        <v>486</v>
      </c>
      <c r="O122" s="666">
        <v>24</v>
      </c>
      <c r="P122" s="666"/>
      <c r="Q122" s="666"/>
      <c r="R122" s="666">
        <f>((N122+O122)-(BA122+BB122))*10%</f>
        <v>0</v>
      </c>
      <c r="S122" s="667"/>
      <c r="T122" s="667">
        <f t="shared" si="151"/>
        <v>0</v>
      </c>
      <c r="U122" s="666">
        <f t="shared" si="152"/>
        <v>2454</v>
      </c>
      <c r="V122" s="666">
        <v>1000</v>
      </c>
      <c r="W122" s="666">
        <v>361</v>
      </c>
      <c r="X122" s="666"/>
      <c r="Y122" s="667"/>
      <c r="Z122" s="668">
        <f>V122*10%</f>
        <v>100</v>
      </c>
      <c r="AA122" s="667"/>
      <c r="AB122" s="667">
        <f t="shared" si="153"/>
        <v>0</v>
      </c>
      <c r="AC122" s="666">
        <f t="shared" si="154"/>
        <v>1361</v>
      </c>
      <c r="AD122" s="666"/>
      <c r="AE122" s="666"/>
      <c r="AF122" s="669"/>
      <c r="AG122" s="669"/>
      <c r="AH122" s="669"/>
      <c r="AI122" s="669"/>
      <c r="AJ122" s="669"/>
      <c r="AK122" s="669"/>
      <c r="AL122" s="664"/>
      <c r="AN122" s="610"/>
      <c r="AO122" s="659"/>
      <c r="AP122" s="660" t="s">
        <v>567</v>
      </c>
      <c r="AQ122" s="661">
        <f>AR122+AW122</f>
        <v>21</v>
      </c>
      <c r="AR122" s="661">
        <f t="shared" si="156"/>
        <v>21</v>
      </c>
      <c r="AS122" s="661"/>
      <c r="AT122" s="661">
        <v>21</v>
      </c>
      <c r="AU122" s="661"/>
      <c r="AV122" s="661">
        <v>11</v>
      </c>
      <c r="AW122" s="661"/>
      <c r="AX122" s="661"/>
      <c r="AY122" s="666">
        <f t="shared" si="157"/>
        <v>3170</v>
      </c>
      <c r="AZ122" s="670">
        <v>1071</v>
      </c>
      <c r="BA122" s="666">
        <v>450</v>
      </c>
      <c r="BB122" s="666">
        <v>60</v>
      </c>
      <c r="BC122" s="666"/>
      <c r="BD122" s="666"/>
      <c r="BE122" s="666">
        <f t="shared" si="158"/>
        <v>51</v>
      </c>
      <c r="BF122" s="667">
        <f>ROUND(BE122,0)</f>
        <v>51</v>
      </c>
      <c r="BG122" s="666">
        <f>(AZ122+BA122+BB122+BC122)-BF122</f>
        <v>1530</v>
      </c>
      <c r="BH122" s="666">
        <f>1325+35</f>
        <v>1360</v>
      </c>
      <c r="BI122" s="666"/>
      <c r="BJ122" s="666">
        <f>351+65</f>
        <v>416</v>
      </c>
      <c r="BK122" s="666"/>
      <c r="BL122" s="666">
        <f t="shared" si="161"/>
        <v>136</v>
      </c>
      <c r="BM122" s="667">
        <f>ROUND(BL122,0)</f>
        <v>136</v>
      </c>
      <c r="BN122" s="666">
        <f t="shared" si="163"/>
        <v>1640</v>
      </c>
      <c r="BO122" s="666"/>
      <c r="BP122" s="666"/>
      <c r="BQ122" s="666">
        <v>12</v>
      </c>
      <c r="BR122" s="666"/>
      <c r="BS122" s="666"/>
      <c r="BT122" s="666"/>
      <c r="BU122" s="666"/>
      <c r="BV122" s="666"/>
      <c r="BW122" s="662"/>
    </row>
    <row r="123" spans="1:75" s="698" customFormat="1">
      <c r="A123" s="694"/>
      <c r="B123" s="695" t="s">
        <v>568</v>
      </c>
      <c r="C123" s="696">
        <f t="shared" si="148"/>
        <v>43</v>
      </c>
      <c r="D123" s="696">
        <f t="shared" si="149"/>
        <v>38</v>
      </c>
      <c r="E123" s="696"/>
      <c r="F123" s="696">
        <v>38</v>
      </c>
      <c r="G123" s="696"/>
      <c r="H123" s="696">
        <v>34</v>
      </c>
      <c r="I123" s="696">
        <v>5</v>
      </c>
      <c r="J123" s="696">
        <v>5</v>
      </c>
      <c r="K123" s="989">
        <f t="shared" si="85"/>
        <v>6753</v>
      </c>
      <c r="L123" s="668">
        <f t="shared" si="150"/>
        <v>6753</v>
      </c>
      <c r="M123" s="668">
        <v>3025</v>
      </c>
      <c r="N123" s="668">
        <v>741</v>
      </c>
      <c r="O123" s="668">
        <v>182</v>
      </c>
      <c r="P123" s="668"/>
      <c r="Q123" s="668"/>
      <c r="R123" s="668"/>
      <c r="S123" s="667">
        <f>56+73</f>
        <v>129</v>
      </c>
      <c r="T123" s="667">
        <f t="shared" si="151"/>
        <v>129</v>
      </c>
      <c r="U123" s="666">
        <f t="shared" si="152"/>
        <v>3819</v>
      </c>
      <c r="V123" s="668">
        <v>3186</v>
      </c>
      <c r="W123" s="668">
        <v>128</v>
      </c>
      <c r="X123" s="668"/>
      <c r="Y123" s="667">
        <f>Z123-BM123</f>
        <v>19.600000000000023</v>
      </c>
      <c r="Z123" s="668">
        <f>V123*10%</f>
        <v>318.60000000000002</v>
      </c>
      <c r="AA123" s="667">
        <f>360</f>
        <v>360</v>
      </c>
      <c r="AB123" s="667">
        <f t="shared" si="153"/>
        <v>380</v>
      </c>
      <c r="AC123" s="666">
        <f t="shared" si="154"/>
        <v>2934</v>
      </c>
      <c r="AD123" s="668"/>
      <c r="AE123" s="668"/>
      <c r="AF123" s="668"/>
      <c r="AG123" s="668"/>
      <c r="AH123" s="668"/>
      <c r="AI123" s="668"/>
      <c r="AJ123" s="668"/>
      <c r="AK123" s="668"/>
      <c r="AL123" s="697"/>
      <c r="AM123" s="624"/>
      <c r="AN123" s="610"/>
      <c r="AO123" s="694"/>
      <c r="AP123" s="695" t="s">
        <v>568</v>
      </c>
      <c r="AQ123" s="696">
        <f t="shared" si="155"/>
        <v>54</v>
      </c>
      <c r="AR123" s="696">
        <f t="shared" si="156"/>
        <v>45</v>
      </c>
      <c r="AS123" s="696"/>
      <c r="AT123" s="696">
        <v>45</v>
      </c>
      <c r="AU123" s="696"/>
      <c r="AV123" s="696">
        <v>33</v>
      </c>
      <c r="AW123" s="696">
        <v>9</v>
      </c>
      <c r="AX123" s="696">
        <v>9</v>
      </c>
      <c r="AY123" s="668">
        <f t="shared" si="157"/>
        <v>7022</v>
      </c>
      <c r="AZ123" s="668">
        <v>2972</v>
      </c>
      <c r="BA123" s="668">
        <f>1013-125</f>
        <v>888</v>
      </c>
      <c r="BB123" s="668">
        <v>125</v>
      </c>
      <c r="BC123" s="668"/>
      <c r="BD123" s="668"/>
      <c r="BE123" s="666">
        <f t="shared" si="158"/>
        <v>101.30000000000001</v>
      </c>
      <c r="BF123" s="668">
        <f t="shared" si="159"/>
        <v>101</v>
      </c>
      <c r="BG123" s="668">
        <f t="shared" si="160"/>
        <v>3884</v>
      </c>
      <c r="BH123" s="668">
        <f>2290+700</f>
        <v>2990</v>
      </c>
      <c r="BI123" s="668"/>
      <c r="BJ123" s="668">
        <v>397</v>
      </c>
      <c r="BK123" s="668"/>
      <c r="BL123" s="666">
        <f t="shared" si="161"/>
        <v>299</v>
      </c>
      <c r="BM123" s="668">
        <f t="shared" si="162"/>
        <v>299</v>
      </c>
      <c r="BN123" s="668">
        <f t="shared" si="163"/>
        <v>3088</v>
      </c>
      <c r="BO123" s="668">
        <v>50</v>
      </c>
      <c r="BP123" s="668"/>
      <c r="BQ123" s="668">
        <v>200</v>
      </c>
      <c r="BR123" s="668"/>
      <c r="BS123" s="668"/>
      <c r="BT123" s="668"/>
      <c r="BU123" s="668"/>
      <c r="BV123" s="668"/>
      <c r="BW123" s="697"/>
    </row>
    <row r="124" spans="1:75" s="614" customFormat="1" ht="31.2">
      <c r="A124" s="650" t="s">
        <v>319</v>
      </c>
      <c r="B124" s="651" t="s">
        <v>569</v>
      </c>
      <c r="C124" s="653">
        <f>C125</f>
        <v>131</v>
      </c>
      <c r="D124" s="653">
        <f t="shared" ref="D124:AL124" si="164">D125</f>
        <v>126</v>
      </c>
      <c r="E124" s="653">
        <f t="shared" si="164"/>
        <v>0</v>
      </c>
      <c r="F124" s="653">
        <f t="shared" si="164"/>
        <v>126</v>
      </c>
      <c r="G124" s="653">
        <f t="shared" si="164"/>
        <v>0</v>
      </c>
      <c r="H124" s="653">
        <f t="shared" si="164"/>
        <v>118</v>
      </c>
      <c r="I124" s="653">
        <f t="shared" si="164"/>
        <v>5</v>
      </c>
      <c r="J124" s="653">
        <f t="shared" si="164"/>
        <v>5</v>
      </c>
      <c r="K124" s="989">
        <f t="shared" si="85"/>
        <v>9622</v>
      </c>
      <c r="L124" s="653">
        <f t="shared" si="164"/>
        <v>9622</v>
      </c>
      <c r="M124" s="653">
        <f t="shared" si="164"/>
        <v>8635</v>
      </c>
      <c r="N124" s="653">
        <f t="shared" si="164"/>
        <v>0</v>
      </c>
      <c r="O124" s="653">
        <f t="shared" si="164"/>
        <v>0</v>
      </c>
      <c r="P124" s="653">
        <f t="shared" si="164"/>
        <v>0</v>
      </c>
      <c r="Q124" s="653">
        <f t="shared" si="164"/>
        <v>0</v>
      </c>
      <c r="R124" s="653">
        <f t="shared" si="164"/>
        <v>0</v>
      </c>
      <c r="S124" s="655">
        <f t="shared" si="164"/>
        <v>0</v>
      </c>
      <c r="T124" s="655">
        <f t="shared" si="164"/>
        <v>0</v>
      </c>
      <c r="U124" s="653">
        <f t="shared" si="164"/>
        <v>8635</v>
      </c>
      <c r="V124" s="653">
        <f t="shared" si="164"/>
        <v>1000</v>
      </c>
      <c r="W124" s="653">
        <f t="shared" si="164"/>
        <v>0</v>
      </c>
      <c r="X124" s="653">
        <f t="shared" si="164"/>
        <v>0</v>
      </c>
      <c r="Y124" s="655">
        <f t="shared" si="164"/>
        <v>0</v>
      </c>
      <c r="Z124" s="653">
        <f t="shared" si="164"/>
        <v>100</v>
      </c>
      <c r="AA124" s="654">
        <f t="shared" si="164"/>
        <v>13</v>
      </c>
      <c r="AB124" s="654">
        <f t="shared" si="164"/>
        <v>13</v>
      </c>
      <c r="AC124" s="653">
        <f t="shared" si="164"/>
        <v>987</v>
      </c>
      <c r="AD124" s="653">
        <f t="shared" si="164"/>
        <v>0</v>
      </c>
      <c r="AE124" s="653">
        <f t="shared" si="164"/>
        <v>0</v>
      </c>
      <c r="AF124" s="656">
        <f t="shared" si="164"/>
        <v>0</v>
      </c>
      <c r="AG124" s="656">
        <f t="shared" si="164"/>
        <v>0</v>
      </c>
      <c r="AH124" s="656">
        <f t="shared" si="164"/>
        <v>0</v>
      </c>
      <c r="AI124" s="656">
        <f t="shared" si="164"/>
        <v>0</v>
      </c>
      <c r="AJ124" s="656">
        <f t="shared" si="164"/>
        <v>0</v>
      </c>
      <c r="AK124" s="656">
        <f t="shared" si="164"/>
        <v>0</v>
      </c>
      <c r="AL124" s="656">
        <f t="shared" si="164"/>
        <v>0</v>
      </c>
      <c r="AM124" s="612"/>
      <c r="AN124" s="610">
        <v>11778</v>
      </c>
      <c r="AO124" s="650" t="s">
        <v>319</v>
      </c>
      <c r="AP124" s="651" t="s">
        <v>569</v>
      </c>
      <c r="AQ124" s="653">
        <f>AQ125</f>
        <v>136</v>
      </c>
      <c r="AR124" s="653">
        <f t="shared" ref="AR124:BW124" si="165">AR125</f>
        <v>131</v>
      </c>
      <c r="AS124" s="653">
        <f t="shared" si="165"/>
        <v>0</v>
      </c>
      <c r="AT124" s="653">
        <f t="shared" si="165"/>
        <v>131</v>
      </c>
      <c r="AU124" s="653">
        <f t="shared" si="165"/>
        <v>0</v>
      </c>
      <c r="AV124" s="653">
        <f t="shared" si="165"/>
        <v>123</v>
      </c>
      <c r="AW124" s="653">
        <f t="shared" si="165"/>
        <v>5</v>
      </c>
      <c r="AX124" s="653">
        <f t="shared" si="165"/>
        <v>5</v>
      </c>
      <c r="AY124" s="653">
        <f t="shared" si="165"/>
        <v>9838</v>
      </c>
      <c r="AZ124" s="658">
        <f t="shared" si="165"/>
        <v>8875</v>
      </c>
      <c r="BA124" s="653">
        <f t="shared" si="165"/>
        <v>0</v>
      </c>
      <c r="BB124" s="653">
        <f t="shared" si="165"/>
        <v>0</v>
      </c>
      <c r="BC124" s="653">
        <f t="shared" si="165"/>
        <v>0</v>
      </c>
      <c r="BD124" s="653">
        <f t="shared" si="165"/>
        <v>0</v>
      </c>
      <c r="BE124" s="653">
        <f t="shared" si="165"/>
        <v>0</v>
      </c>
      <c r="BF124" s="655">
        <f t="shared" si="165"/>
        <v>0</v>
      </c>
      <c r="BG124" s="653">
        <f t="shared" si="165"/>
        <v>8875</v>
      </c>
      <c r="BH124" s="653">
        <f t="shared" si="165"/>
        <v>1070</v>
      </c>
      <c r="BI124" s="653">
        <f t="shared" si="165"/>
        <v>0</v>
      </c>
      <c r="BJ124" s="653">
        <f t="shared" si="165"/>
        <v>0</v>
      </c>
      <c r="BK124" s="653">
        <f t="shared" si="165"/>
        <v>0</v>
      </c>
      <c r="BL124" s="653">
        <f t="shared" si="165"/>
        <v>107</v>
      </c>
      <c r="BM124" s="655">
        <f t="shared" si="165"/>
        <v>107</v>
      </c>
      <c r="BN124" s="653">
        <f t="shared" si="165"/>
        <v>963</v>
      </c>
      <c r="BO124" s="653">
        <f t="shared" si="165"/>
        <v>0</v>
      </c>
      <c r="BP124" s="653">
        <f t="shared" si="165"/>
        <v>0</v>
      </c>
      <c r="BQ124" s="653">
        <f t="shared" si="165"/>
        <v>17280</v>
      </c>
      <c r="BR124" s="653">
        <f t="shared" si="165"/>
        <v>0</v>
      </c>
      <c r="BS124" s="653">
        <f t="shared" si="165"/>
        <v>0</v>
      </c>
      <c r="BT124" s="653">
        <f t="shared" si="165"/>
        <v>0</v>
      </c>
      <c r="BU124" s="653">
        <f t="shared" si="165"/>
        <v>0</v>
      </c>
      <c r="BV124" s="653">
        <f t="shared" si="165"/>
        <v>0</v>
      </c>
      <c r="BW124" s="653">
        <f t="shared" si="165"/>
        <v>0</v>
      </c>
    </row>
    <row r="125" spans="1:75">
      <c r="A125" s="659">
        <v>41</v>
      </c>
      <c r="B125" s="660" t="s">
        <v>570</v>
      </c>
      <c r="C125" s="662">
        <f>D125+I125</f>
        <v>131</v>
      </c>
      <c r="D125" s="662">
        <f>E125+F125</f>
        <v>126</v>
      </c>
      <c r="E125" s="662"/>
      <c r="F125" s="662">
        <v>126</v>
      </c>
      <c r="G125" s="662"/>
      <c r="H125" s="662">
        <v>118</v>
      </c>
      <c r="I125" s="662">
        <v>5</v>
      </c>
      <c r="J125" s="662">
        <v>5</v>
      </c>
      <c r="K125" s="989">
        <f t="shared" si="85"/>
        <v>9622</v>
      </c>
      <c r="L125" s="662">
        <f>U125+AC125+AD125+AE125</f>
        <v>9622</v>
      </c>
      <c r="M125" s="662">
        <v>8635</v>
      </c>
      <c r="N125" s="662"/>
      <c r="O125" s="662"/>
      <c r="P125" s="662"/>
      <c r="Q125" s="662"/>
      <c r="R125" s="666"/>
      <c r="S125" s="667"/>
      <c r="T125" s="667">
        <f>ROUND((Q125+R125+S125),0)</f>
        <v>0</v>
      </c>
      <c r="U125" s="666">
        <f>(M125+N125+O125+P125)-T125</f>
        <v>8635</v>
      </c>
      <c r="V125" s="662">
        <v>1000</v>
      </c>
      <c r="W125" s="662"/>
      <c r="X125" s="662"/>
      <c r="Y125" s="667"/>
      <c r="Z125" s="668">
        <f>V125*10%</f>
        <v>100</v>
      </c>
      <c r="AA125" s="667">
        <v>13</v>
      </c>
      <c r="AB125" s="667">
        <f>ROUND((Y125+AA125+X125),0)</f>
        <v>13</v>
      </c>
      <c r="AC125" s="666">
        <f>(V125+W125)-AB125</f>
        <v>987</v>
      </c>
      <c r="AD125" s="662"/>
      <c r="AE125" s="662"/>
      <c r="AF125" s="664"/>
      <c r="AG125" s="664"/>
      <c r="AH125" s="664"/>
      <c r="AI125" s="664"/>
      <c r="AJ125" s="664"/>
      <c r="AK125" s="664"/>
      <c r="AL125" s="664"/>
      <c r="AN125" s="610"/>
      <c r="AO125" s="659">
        <v>44</v>
      </c>
      <c r="AP125" s="660" t="s">
        <v>570</v>
      </c>
      <c r="AQ125" s="662">
        <f>AR125+AW125</f>
        <v>136</v>
      </c>
      <c r="AR125" s="662">
        <f>AS125+AT125</f>
        <v>131</v>
      </c>
      <c r="AS125" s="662"/>
      <c r="AT125" s="662">
        <v>131</v>
      </c>
      <c r="AU125" s="662"/>
      <c r="AV125" s="662">
        <v>123</v>
      </c>
      <c r="AW125" s="662">
        <v>5</v>
      </c>
      <c r="AX125" s="662">
        <v>5</v>
      </c>
      <c r="AY125" s="662">
        <f>BG125+BN125+BO125+BP125</f>
        <v>9838</v>
      </c>
      <c r="AZ125" s="665">
        <v>8875</v>
      </c>
      <c r="BA125" s="662"/>
      <c r="BB125" s="662"/>
      <c r="BC125" s="662"/>
      <c r="BD125" s="662"/>
      <c r="BE125" s="666">
        <f>(BA125+BB125)*10%</f>
        <v>0</v>
      </c>
      <c r="BF125" s="667">
        <f t="shared" si="159"/>
        <v>0</v>
      </c>
      <c r="BG125" s="666">
        <f>(AZ125+BA125+BB125+BC125)-BF125</f>
        <v>8875</v>
      </c>
      <c r="BH125" s="662">
        <f>1000+30+40</f>
        <v>1070</v>
      </c>
      <c r="BI125" s="662"/>
      <c r="BJ125" s="662"/>
      <c r="BK125" s="662"/>
      <c r="BL125" s="666">
        <f>BH125*10%</f>
        <v>107</v>
      </c>
      <c r="BM125" s="667">
        <f t="shared" si="162"/>
        <v>107</v>
      </c>
      <c r="BN125" s="666">
        <f>(BH125+BI125+BJ125)-BM125</f>
        <v>963</v>
      </c>
      <c r="BO125" s="662"/>
      <c r="BP125" s="662"/>
      <c r="BQ125" s="662">
        <f>19200-1920</f>
        <v>17280</v>
      </c>
      <c r="BR125" s="662"/>
      <c r="BS125" s="662"/>
      <c r="BT125" s="662"/>
      <c r="BU125" s="662"/>
      <c r="BV125" s="662"/>
      <c r="BW125" s="662"/>
    </row>
    <row r="126" spans="1:75" s="614" customFormat="1">
      <c r="A126" s="650" t="s">
        <v>321</v>
      </c>
      <c r="B126" s="651" t="s">
        <v>571</v>
      </c>
      <c r="C126" s="652">
        <f>D126+I126</f>
        <v>131</v>
      </c>
      <c r="D126" s="652">
        <f>E126+F126</f>
        <v>103</v>
      </c>
      <c r="E126" s="652">
        <f t="shared" ref="E126:AL126" si="166">E127</f>
        <v>8</v>
      </c>
      <c r="F126" s="652">
        <f t="shared" si="166"/>
        <v>95</v>
      </c>
      <c r="G126" s="652">
        <f t="shared" si="166"/>
        <v>7</v>
      </c>
      <c r="H126" s="652">
        <f t="shared" si="166"/>
        <v>84</v>
      </c>
      <c r="I126" s="652">
        <f t="shared" si="166"/>
        <v>28</v>
      </c>
      <c r="J126" s="652">
        <f t="shared" si="166"/>
        <v>27</v>
      </c>
      <c r="K126" s="989">
        <f t="shared" si="85"/>
        <v>34792</v>
      </c>
      <c r="L126" s="653">
        <f>L127</f>
        <v>34792</v>
      </c>
      <c r="M126" s="653">
        <f t="shared" si="166"/>
        <v>9783</v>
      </c>
      <c r="N126" s="653">
        <f t="shared" si="166"/>
        <v>2006</v>
      </c>
      <c r="O126" s="653">
        <f t="shared" si="166"/>
        <v>158</v>
      </c>
      <c r="P126" s="653">
        <f t="shared" si="166"/>
        <v>0</v>
      </c>
      <c r="Q126" s="653">
        <f t="shared" si="166"/>
        <v>0</v>
      </c>
      <c r="R126" s="653">
        <f t="shared" si="166"/>
        <v>6.7</v>
      </c>
      <c r="S126" s="654">
        <f t="shared" si="166"/>
        <v>220</v>
      </c>
      <c r="T126" s="654">
        <f t="shared" si="166"/>
        <v>227</v>
      </c>
      <c r="U126" s="653">
        <f t="shared" si="166"/>
        <v>11720</v>
      </c>
      <c r="V126" s="653">
        <f t="shared" si="166"/>
        <v>23149</v>
      </c>
      <c r="W126" s="653">
        <f t="shared" si="166"/>
        <v>810</v>
      </c>
      <c r="X126" s="653">
        <f t="shared" si="166"/>
        <v>0</v>
      </c>
      <c r="Y126" s="655">
        <f t="shared" si="166"/>
        <v>5</v>
      </c>
      <c r="Z126" s="653">
        <f t="shared" si="166"/>
        <v>1583.6000000000001</v>
      </c>
      <c r="AA126" s="654">
        <f t="shared" si="166"/>
        <v>882</v>
      </c>
      <c r="AB126" s="654">
        <f t="shared" si="166"/>
        <v>887</v>
      </c>
      <c r="AC126" s="653">
        <f t="shared" si="166"/>
        <v>23072</v>
      </c>
      <c r="AD126" s="653">
        <f t="shared" si="166"/>
        <v>0</v>
      </c>
      <c r="AE126" s="653">
        <f t="shared" si="166"/>
        <v>0</v>
      </c>
      <c r="AF126" s="656">
        <f t="shared" si="166"/>
        <v>0</v>
      </c>
      <c r="AG126" s="656">
        <f t="shared" si="166"/>
        <v>0</v>
      </c>
      <c r="AH126" s="656">
        <f t="shared" si="166"/>
        <v>0</v>
      </c>
      <c r="AI126" s="656">
        <f t="shared" si="166"/>
        <v>0</v>
      </c>
      <c r="AJ126" s="656">
        <f t="shared" si="166"/>
        <v>0</v>
      </c>
      <c r="AK126" s="656">
        <f t="shared" si="166"/>
        <v>0</v>
      </c>
      <c r="AL126" s="656">
        <f t="shared" si="166"/>
        <v>0</v>
      </c>
      <c r="AM126" s="612"/>
      <c r="AN126" s="610">
        <v>12406</v>
      </c>
      <c r="AO126" s="650" t="s">
        <v>321</v>
      </c>
      <c r="AP126" s="651" t="s">
        <v>571</v>
      </c>
      <c r="AQ126" s="652">
        <f>AR126+AW126</f>
        <v>135</v>
      </c>
      <c r="AR126" s="652">
        <f>AS126+AT126</f>
        <v>106</v>
      </c>
      <c r="AS126" s="652">
        <f t="shared" ref="AS126:BW126" si="167">AS127</f>
        <v>8</v>
      </c>
      <c r="AT126" s="652">
        <f t="shared" si="167"/>
        <v>98</v>
      </c>
      <c r="AU126" s="652">
        <f t="shared" si="167"/>
        <v>7</v>
      </c>
      <c r="AV126" s="652">
        <f t="shared" si="167"/>
        <v>91</v>
      </c>
      <c r="AW126" s="652">
        <f t="shared" si="167"/>
        <v>29</v>
      </c>
      <c r="AX126" s="652">
        <f t="shared" si="167"/>
        <v>25</v>
      </c>
      <c r="AY126" s="653">
        <f>AY127</f>
        <v>31586</v>
      </c>
      <c r="AZ126" s="658">
        <f t="shared" si="167"/>
        <v>9948</v>
      </c>
      <c r="BA126" s="653">
        <f t="shared" si="167"/>
        <v>2489</v>
      </c>
      <c r="BB126" s="653">
        <f t="shared" si="167"/>
        <v>0</v>
      </c>
      <c r="BC126" s="653">
        <f t="shared" si="167"/>
        <v>0</v>
      </c>
      <c r="BD126" s="653">
        <f t="shared" si="167"/>
        <v>0</v>
      </c>
      <c r="BE126" s="653">
        <f t="shared" si="167"/>
        <v>248.90000000000003</v>
      </c>
      <c r="BF126" s="655">
        <f t="shared" si="167"/>
        <v>248</v>
      </c>
      <c r="BG126" s="653">
        <f t="shared" si="167"/>
        <v>12189</v>
      </c>
      <c r="BH126" s="653">
        <f t="shared" si="167"/>
        <v>20010</v>
      </c>
      <c r="BI126" s="653">
        <f t="shared" si="167"/>
        <v>600</v>
      </c>
      <c r="BJ126" s="653">
        <f t="shared" si="167"/>
        <v>485</v>
      </c>
      <c r="BK126" s="653">
        <f t="shared" si="167"/>
        <v>0</v>
      </c>
      <c r="BL126" s="653">
        <f t="shared" si="167"/>
        <v>1712.7</v>
      </c>
      <c r="BM126" s="655">
        <f t="shared" si="167"/>
        <v>1713</v>
      </c>
      <c r="BN126" s="653">
        <f t="shared" si="167"/>
        <v>19382</v>
      </c>
      <c r="BO126" s="653">
        <f t="shared" si="167"/>
        <v>15</v>
      </c>
      <c r="BP126" s="653">
        <f t="shared" si="167"/>
        <v>0</v>
      </c>
      <c r="BQ126" s="653">
        <f t="shared" si="167"/>
        <v>110</v>
      </c>
      <c r="BR126" s="653">
        <f t="shared" si="167"/>
        <v>10</v>
      </c>
      <c r="BS126" s="653">
        <f t="shared" si="167"/>
        <v>0</v>
      </c>
      <c r="BT126" s="653">
        <f t="shared" si="167"/>
        <v>0</v>
      </c>
      <c r="BU126" s="653">
        <f t="shared" si="167"/>
        <v>3839</v>
      </c>
      <c r="BV126" s="653">
        <f t="shared" si="167"/>
        <v>0</v>
      </c>
      <c r="BW126" s="653">
        <f t="shared" si="167"/>
        <v>0</v>
      </c>
    </row>
    <row r="127" spans="1:75" ht="31.2">
      <c r="A127" s="659">
        <v>42</v>
      </c>
      <c r="B127" s="660" t="s">
        <v>572</v>
      </c>
      <c r="C127" s="661">
        <f t="shared" ref="C127:AL127" si="168">SUM(C128:C133)</f>
        <v>131</v>
      </c>
      <c r="D127" s="661">
        <f t="shared" si="168"/>
        <v>103</v>
      </c>
      <c r="E127" s="661">
        <f t="shared" si="168"/>
        <v>8</v>
      </c>
      <c r="F127" s="661">
        <f t="shared" si="168"/>
        <v>95</v>
      </c>
      <c r="G127" s="661">
        <f t="shared" si="168"/>
        <v>7</v>
      </c>
      <c r="H127" s="661">
        <f t="shared" si="168"/>
        <v>84</v>
      </c>
      <c r="I127" s="661">
        <f t="shared" si="168"/>
        <v>28</v>
      </c>
      <c r="J127" s="661">
        <f t="shared" si="168"/>
        <v>27</v>
      </c>
      <c r="K127" s="989">
        <f t="shared" si="85"/>
        <v>34792</v>
      </c>
      <c r="L127" s="662">
        <f t="shared" si="168"/>
        <v>34792</v>
      </c>
      <c r="M127" s="662">
        <f t="shared" si="168"/>
        <v>9783</v>
      </c>
      <c r="N127" s="662">
        <f t="shared" si="168"/>
        <v>2006</v>
      </c>
      <c r="O127" s="662">
        <f t="shared" si="168"/>
        <v>158</v>
      </c>
      <c r="P127" s="662">
        <f t="shared" si="168"/>
        <v>0</v>
      </c>
      <c r="Q127" s="662">
        <f t="shared" si="168"/>
        <v>0</v>
      </c>
      <c r="R127" s="662">
        <f t="shared" si="168"/>
        <v>6.7</v>
      </c>
      <c r="S127" s="663">
        <f t="shared" si="168"/>
        <v>220</v>
      </c>
      <c r="T127" s="663">
        <f t="shared" si="168"/>
        <v>227</v>
      </c>
      <c r="U127" s="662">
        <f t="shared" si="168"/>
        <v>11720</v>
      </c>
      <c r="V127" s="662">
        <f t="shared" si="168"/>
        <v>23149</v>
      </c>
      <c r="W127" s="662">
        <f t="shared" si="168"/>
        <v>810</v>
      </c>
      <c r="X127" s="662">
        <f t="shared" si="168"/>
        <v>0</v>
      </c>
      <c r="Y127" s="663">
        <f t="shared" si="168"/>
        <v>5</v>
      </c>
      <c r="Z127" s="662">
        <f t="shared" si="168"/>
        <v>1583.6000000000001</v>
      </c>
      <c r="AA127" s="663">
        <f t="shared" si="168"/>
        <v>882</v>
      </c>
      <c r="AB127" s="663">
        <f t="shared" si="168"/>
        <v>887</v>
      </c>
      <c r="AC127" s="662">
        <f t="shared" si="168"/>
        <v>23072</v>
      </c>
      <c r="AD127" s="662">
        <f t="shared" si="168"/>
        <v>0</v>
      </c>
      <c r="AE127" s="662">
        <f t="shared" si="168"/>
        <v>0</v>
      </c>
      <c r="AF127" s="664">
        <f t="shared" si="168"/>
        <v>0</v>
      </c>
      <c r="AG127" s="664">
        <f t="shared" si="168"/>
        <v>0</v>
      </c>
      <c r="AH127" s="664">
        <f t="shared" si="168"/>
        <v>0</v>
      </c>
      <c r="AI127" s="664">
        <f t="shared" si="168"/>
        <v>0</v>
      </c>
      <c r="AJ127" s="664">
        <f t="shared" si="168"/>
        <v>0</v>
      </c>
      <c r="AK127" s="664">
        <f t="shared" si="168"/>
        <v>0</v>
      </c>
      <c r="AL127" s="664">
        <f t="shared" si="168"/>
        <v>0</v>
      </c>
      <c r="AM127" s="772">
        <f>SUM(AM129:AM133)</f>
        <v>0</v>
      </c>
      <c r="AN127" s="610"/>
      <c r="AO127" s="659">
        <v>45</v>
      </c>
      <c r="AP127" s="660" t="s">
        <v>572</v>
      </c>
      <c r="AQ127" s="661">
        <f t="shared" ref="AQ127:BW127" si="169">SUM(AQ128:AQ133)</f>
        <v>135</v>
      </c>
      <c r="AR127" s="661">
        <f t="shared" si="169"/>
        <v>106</v>
      </c>
      <c r="AS127" s="661">
        <f t="shared" si="169"/>
        <v>8</v>
      </c>
      <c r="AT127" s="661">
        <f t="shared" si="169"/>
        <v>98</v>
      </c>
      <c r="AU127" s="661">
        <f t="shared" si="169"/>
        <v>7</v>
      </c>
      <c r="AV127" s="661">
        <f t="shared" si="169"/>
        <v>91</v>
      </c>
      <c r="AW127" s="661">
        <f t="shared" si="169"/>
        <v>29</v>
      </c>
      <c r="AX127" s="661">
        <f t="shared" si="169"/>
        <v>25</v>
      </c>
      <c r="AY127" s="662">
        <f t="shared" si="169"/>
        <v>31586</v>
      </c>
      <c r="AZ127" s="665">
        <f t="shared" si="169"/>
        <v>9948</v>
      </c>
      <c r="BA127" s="662">
        <f t="shared" si="169"/>
        <v>2489</v>
      </c>
      <c r="BB127" s="662">
        <f t="shared" si="169"/>
        <v>0</v>
      </c>
      <c r="BC127" s="662">
        <f t="shared" si="169"/>
        <v>0</v>
      </c>
      <c r="BD127" s="662">
        <f t="shared" si="169"/>
        <v>0</v>
      </c>
      <c r="BE127" s="662">
        <f t="shared" si="169"/>
        <v>248.90000000000003</v>
      </c>
      <c r="BF127" s="663">
        <f t="shared" si="169"/>
        <v>248</v>
      </c>
      <c r="BG127" s="662">
        <f t="shared" si="169"/>
        <v>12189</v>
      </c>
      <c r="BH127" s="662">
        <f t="shared" si="169"/>
        <v>20010</v>
      </c>
      <c r="BI127" s="662">
        <f t="shared" si="169"/>
        <v>600</v>
      </c>
      <c r="BJ127" s="662">
        <f t="shared" si="169"/>
        <v>485</v>
      </c>
      <c r="BK127" s="662">
        <f t="shared" si="169"/>
        <v>0</v>
      </c>
      <c r="BL127" s="662">
        <f t="shared" si="169"/>
        <v>1712.7</v>
      </c>
      <c r="BM127" s="663">
        <f t="shared" si="169"/>
        <v>1713</v>
      </c>
      <c r="BN127" s="662">
        <f t="shared" si="169"/>
        <v>19382</v>
      </c>
      <c r="BO127" s="662">
        <f t="shared" si="169"/>
        <v>15</v>
      </c>
      <c r="BP127" s="662">
        <f t="shared" si="169"/>
        <v>0</v>
      </c>
      <c r="BQ127" s="662">
        <f t="shared" si="169"/>
        <v>110</v>
      </c>
      <c r="BR127" s="662">
        <f t="shared" si="169"/>
        <v>10</v>
      </c>
      <c r="BS127" s="662">
        <f t="shared" si="169"/>
        <v>0</v>
      </c>
      <c r="BT127" s="662">
        <f t="shared" si="169"/>
        <v>0</v>
      </c>
      <c r="BU127" s="662">
        <f t="shared" si="169"/>
        <v>3839</v>
      </c>
      <c r="BV127" s="662">
        <f t="shared" si="169"/>
        <v>0</v>
      </c>
      <c r="BW127" s="662">
        <f t="shared" si="169"/>
        <v>0</v>
      </c>
    </row>
    <row r="128" spans="1:75" ht="31.2">
      <c r="A128" s="659"/>
      <c r="B128" s="660" t="s">
        <v>573</v>
      </c>
      <c r="C128" s="661">
        <f t="shared" ref="C128:C134" si="170">D128+I128</f>
        <v>0</v>
      </c>
      <c r="D128" s="661">
        <f t="shared" ref="D128:D134" si="171">E128+F128</f>
        <v>0</v>
      </c>
      <c r="E128" s="661"/>
      <c r="F128" s="661"/>
      <c r="G128" s="661"/>
      <c r="H128" s="661"/>
      <c r="I128" s="661"/>
      <c r="J128" s="661"/>
      <c r="K128" s="989">
        <f t="shared" si="85"/>
        <v>12746</v>
      </c>
      <c r="L128" s="666">
        <f t="shared" ref="L128:L133" si="172">U128+AC128+AD128+AE128</f>
        <v>12746</v>
      </c>
      <c r="M128" s="662"/>
      <c r="N128" s="662"/>
      <c r="O128" s="662"/>
      <c r="P128" s="662"/>
      <c r="Q128" s="662"/>
      <c r="R128" s="666">
        <f>((N128+O128)-(BA128+BB128))*10%</f>
        <v>0</v>
      </c>
      <c r="S128" s="667"/>
      <c r="T128" s="667">
        <f t="shared" ref="T128:T133" si="173">ROUND((Q128+R128+S128),0)</f>
        <v>0</v>
      </c>
      <c r="U128" s="666">
        <f t="shared" ref="U128:U133" si="174">(M128+N128+O128+P128)-T128</f>
        <v>0</v>
      </c>
      <c r="V128" s="666">
        <v>13378</v>
      </c>
      <c r="W128" s="662"/>
      <c r="X128" s="662"/>
      <c r="Y128" s="667"/>
      <c r="Z128" s="668">
        <f t="shared" ref="Z128:Z133" si="175">V128*10%</f>
        <v>1337.8000000000002</v>
      </c>
      <c r="AA128" s="667">
        <v>632</v>
      </c>
      <c r="AB128" s="667">
        <f t="shared" ref="AB128:AB133" si="176">ROUND((Y128+AA128+X128),0)</f>
        <v>632</v>
      </c>
      <c r="AC128" s="666">
        <f t="shared" ref="AC128:AC133" si="177">(V128+W128)-AB128</f>
        <v>12746</v>
      </c>
      <c r="AD128" s="662"/>
      <c r="AE128" s="662"/>
      <c r="AF128" s="664"/>
      <c r="AG128" s="664"/>
      <c r="AH128" s="664"/>
      <c r="AI128" s="664"/>
      <c r="AJ128" s="664"/>
      <c r="AK128" s="664"/>
      <c r="AL128" s="664"/>
      <c r="AM128" s="781"/>
      <c r="AN128" s="610"/>
      <c r="AO128" s="659"/>
      <c r="AP128" s="660" t="s">
        <v>573</v>
      </c>
      <c r="AQ128" s="661">
        <f t="shared" ref="AQ128:AQ134" si="178">AR128+AW128</f>
        <v>0</v>
      </c>
      <c r="AR128" s="661">
        <f t="shared" ref="AR128:AR134" si="179">AS128+AT128</f>
        <v>0</v>
      </c>
      <c r="AS128" s="661"/>
      <c r="AT128" s="661"/>
      <c r="AU128" s="661"/>
      <c r="AV128" s="661"/>
      <c r="AW128" s="661"/>
      <c r="AX128" s="661"/>
      <c r="AY128" s="666">
        <f t="shared" ref="AY128:AY133" si="180">BG128+BN128+BO128+BP128</f>
        <v>12611</v>
      </c>
      <c r="AZ128" s="665"/>
      <c r="BA128" s="662"/>
      <c r="BB128" s="662"/>
      <c r="BC128" s="662"/>
      <c r="BD128" s="662"/>
      <c r="BE128" s="666">
        <f t="shared" ref="BE128:BE133" si="181">(BA128+BB128)*10%</f>
        <v>0</v>
      </c>
      <c r="BF128" s="667">
        <f t="shared" ref="BF128:BF133" si="182">ROUND(BE128,0)</f>
        <v>0</v>
      </c>
      <c r="BG128" s="666">
        <f t="shared" ref="BG128:BG133" si="183">(AZ128+BA128+BB128+BC128)-BF128</f>
        <v>0</v>
      </c>
      <c r="BH128" s="666">
        <f>15242-934-15-297</f>
        <v>13996</v>
      </c>
      <c r="BI128" s="662"/>
      <c r="BJ128" s="662"/>
      <c r="BK128" s="662"/>
      <c r="BL128" s="666">
        <f t="shared" ref="BL128:BL133" si="184">BH128*10%</f>
        <v>1399.6000000000001</v>
      </c>
      <c r="BM128" s="667">
        <f t="shared" ref="BM128:BM133" si="185">ROUND(BL128,0)</f>
        <v>1400</v>
      </c>
      <c r="BN128" s="666">
        <f t="shared" ref="BN128:BN133" si="186">(BH128+BI128+BJ128)-BM128</f>
        <v>12596</v>
      </c>
      <c r="BO128" s="662">
        <v>15</v>
      </c>
      <c r="BP128" s="662"/>
      <c r="BQ128" s="662"/>
      <c r="BR128" s="662"/>
      <c r="BS128" s="662"/>
      <c r="BT128" s="662"/>
      <c r="BU128" s="662">
        <v>1298</v>
      </c>
      <c r="BV128" s="662"/>
      <c r="BW128" s="662"/>
    </row>
    <row r="129" spans="1:75">
      <c r="A129" s="659"/>
      <c r="B129" s="660" t="s">
        <v>574</v>
      </c>
      <c r="C129" s="661">
        <f t="shared" si="170"/>
        <v>15</v>
      </c>
      <c r="D129" s="661">
        <f t="shared" si="171"/>
        <v>13</v>
      </c>
      <c r="E129" s="661"/>
      <c r="F129" s="661">
        <v>13</v>
      </c>
      <c r="G129" s="661"/>
      <c r="H129" s="661">
        <v>10</v>
      </c>
      <c r="I129" s="661">
        <v>2</v>
      </c>
      <c r="J129" s="661">
        <v>1</v>
      </c>
      <c r="K129" s="989">
        <f t="shared" si="85"/>
        <v>0</v>
      </c>
      <c r="L129" s="666">
        <f t="shared" si="172"/>
        <v>0</v>
      </c>
      <c r="M129" s="666"/>
      <c r="N129" s="666"/>
      <c r="O129" s="666"/>
      <c r="P129" s="666"/>
      <c r="Q129" s="666"/>
      <c r="R129" s="666"/>
      <c r="S129" s="667"/>
      <c r="T129" s="667">
        <f t="shared" si="173"/>
        <v>0</v>
      </c>
      <c r="U129" s="666">
        <f t="shared" si="174"/>
        <v>0</v>
      </c>
      <c r="V129" s="666"/>
      <c r="W129" s="666"/>
      <c r="X129" s="666"/>
      <c r="Y129" s="667">
        <f>Z129-BM129</f>
        <v>0</v>
      </c>
      <c r="Z129" s="668">
        <f t="shared" si="175"/>
        <v>0</v>
      </c>
      <c r="AA129" s="667"/>
      <c r="AB129" s="667">
        <f t="shared" si="176"/>
        <v>0</v>
      </c>
      <c r="AC129" s="666">
        <f t="shared" si="177"/>
        <v>0</v>
      </c>
      <c r="AD129" s="666"/>
      <c r="AE129" s="666"/>
      <c r="AF129" s="669"/>
      <c r="AG129" s="669"/>
      <c r="AH129" s="669"/>
      <c r="AI129" s="669"/>
      <c r="AJ129" s="669"/>
      <c r="AK129" s="669"/>
      <c r="AL129" s="664"/>
      <c r="AN129" s="610"/>
      <c r="AO129" s="659"/>
      <c r="AP129" s="660" t="s">
        <v>574</v>
      </c>
      <c r="AQ129" s="661">
        <f t="shared" si="178"/>
        <v>18</v>
      </c>
      <c r="AR129" s="661">
        <f t="shared" si="179"/>
        <v>15</v>
      </c>
      <c r="AS129" s="661"/>
      <c r="AT129" s="661">
        <v>15</v>
      </c>
      <c r="AU129" s="661"/>
      <c r="AV129" s="661">
        <v>15</v>
      </c>
      <c r="AW129" s="661">
        <v>3</v>
      </c>
      <c r="AX129" s="661">
        <v>2</v>
      </c>
      <c r="AY129" s="666">
        <f t="shared" si="180"/>
        <v>1301</v>
      </c>
      <c r="AZ129" s="670">
        <v>948</v>
      </c>
      <c r="BA129" s="666">
        <v>392</v>
      </c>
      <c r="BB129" s="666"/>
      <c r="BC129" s="666"/>
      <c r="BD129" s="666"/>
      <c r="BE129" s="666">
        <f t="shared" si="181"/>
        <v>39.200000000000003</v>
      </c>
      <c r="BF129" s="667">
        <f t="shared" si="182"/>
        <v>39</v>
      </c>
      <c r="BG129" s="666">
        <f t="shared" si="183"/>
        <v>1301</v>
      </c>
      <c r="BH129" s="666"/>
      <c r="BI129" s="666"/>
      <c r="BJ129" s="666"/>
      <c r="BK129" s="666"/>
      <c r="BL129" s="666">
        <f t="shared" si="184"/>
        <v>0</v>
      </c>
      <c r="BM129" s="667">
        <f t="shared" si="185"/>
        <v>0</v>
      </c>
      <c r="BN129" s="666">
        <f t="shared" si="186"/>
        <v>0</v>
      </c>
      <c r="BO129" s="666"/>
      <c r="BP129" s="666"/>
      <c r="BQ129" s="666">
        <v>110</v>
      </c>
      <c r="BR129" s="666">
        <v>10</v>
      </c>
      <c r="BS129" s="666"/>
      <c r="BT129" s="666"/>
      <c r="BU129" s="666">
        <v>2541</v>
      </c>
      <c r="BV129" s="666"/>
      <c r="BW129" s="662"/>
    </row>
    <row r="130" spans="1:75" ht="31.2">
      <c r="A130" s="659"/>
      <c r="B130" s="660" t="s">
        <v>575</v>
      </c>
      <c r="C130" s="661">
        <f t="shared" si="170"/>
        <v>28</v>
      </c>
      <c r="D130" s="661">
        <f t="shared" si="171"/>
        <v>17</v>
      </c>
      <c r="E130" s="661"/>
      <c r="F130" s="661">
        <v>17</v>
      </c>
      <c r="G130" s="661"/>
      <c r="H130" s="661">
        <v>15</v>
      </c>
      <c r="I130" s="661">
        <v>11</v>
      </c>
      <c r="J130" s="661">
        <v>11</v>
      </c>
      <c r="K130" s="989">
        <f t="shared" si="85"/>
        <v>6579</v>
      </c>
      <c r="L130" s="666">
        <f t="shared" si="172"/>
        <v>6579</v>
      </c>
      <c r="M130" s="666">
        <v>2189</v>
      </c>
      <c r="N130" s="666">
        <v>431</v>
      </c>
      <c r="O130" s="666">
        <v>13</v>
      </c>
      <c r="P130" s="666"/>
      <c r="Q130" s="666"/>
      <c r="R130" s="666">
        <f>((N130+O130)-(BA130+BB130))*10%</f>
        <v>0</v>
      </c>
      <c r="S130" s="667">
        <v>44</v>
      </c>
      <c r="T130" s="667">
        <f t="shared" si="173"/>
        <v>44</v>
      </c>
      <c r="U130" s="666">
        <f t="shared" si="174"/>
        <v>2589</v>
      </c>
      <c r="V130" s="666">
        <v>3587</v>
      </c>
      <c r="W130" s="666">
        <v>451</v>
      </c>
      <c r="X130" s="666"/>
      <c r="Y130" s="667"/>
      <c r="Z130" s="668">
        <f>(V130-2693)*10%</f>
        <v>89.4</v>
      </c>
      <c r="AA130" s="667">
        <v>48</v>
      </c>
      <c r="AB130" s="667">
        <f t="shared" si="176"/>
        <v>48</v>
      </c>
      <c r="AC130" s="666">
        <f t="shared" si="177"/>
        <v>3990</v>
      </c>
      <c r="AD130" s="666"/>
      <c r="AE130" s="666"/>
      <c r="AF130" s="669"/>
      <c r="AG130" s="669"/>
      <c r="AH130" s="669"/>
      <c r="AI130" s="669"/>
      <c r="AJ130" s="669"/>
      <c r="AK130" s="669"/>
      <c r="AL130" s="664"/>
      <c r="AN130" s="610"/>
      <c r="AO130" s="659"/>
      <c r="AP130" s="660" t="s">
        <v>575</v>
      </c>
      <c r="AQ130" s="661">
        <f t="shared" si="178"/>
        <v>28</v>
      </c>
      <c r="AR130" s="661">
        <f t="shared" si="179"/>
        <v>17</v>
      </c>
      <c r="AS130" s="661"/>
      <c r="AT130" s="661">
        <v>17</v>
      </c>
      <c r="AU130" s="661"/>
      <c r="AV130" s="661">
        <v>14</v>
      </c>
      <c r="AW130" s="661">
        <v>11</v>
      </c>
      <c r="AX130" s="661">
        <v>10</v>
      </c>
      <c r="AY130" s="666">
        <f t="shared" si="180"/>
        <v>4710</v>
      </c>
      <c r="AZ130" s="670">
        <f>2223-444</f>
        <v>1779</v>
      </c>
      <c r="BA130" s="666">
        <v>444</v>
      </c>
      <c r="BB130" s="666"/>
      <c r="BC130" s="666"/>
      <c r="BD130" s="666"/>
      <c r="BE130" s="666">
        <f t="shared" si="181"/>
        <v>44.400000000000006</v>
      </c>
      <c r="BF130" s="667">
        <f t="shared" si="182"/>
        <v>44</v>
      </c>
      <c r="BG130" s="666">
        <f t="shared" si="183"/>
        <v>2179</v>
      </c>
      <c r="BH130" s="666">
        <f>328+1500</f>
        <v>1828</v>
      </c>
      <c r="BI130" s="666">
        <v>600</v>
      </c>
      <c r="BJ130" s="666">
        <v>253</v>
      </c>
      <c r="BK130" s="666"/>
      <c r="BL130" s="666">
        <f>(BH130-328)*10%</f>
        <v>150</v>
      </c>
      <c r="BM130" s="667">
        <f t="shared" si="185"/>
        <v>150</v>
      </c>
      <c r="BN130" s="666">
        <f t="shared" si="186"/>
        <v>2531</v>
      </c>
      <c r="BO130" s="666"/>
      <c r="BP130" s="666"/>
      <c r="BQ130" s="666"/>
      <c r="BR130" s="666"/>
      <c r="BS130" s="666"/>
      <c r="BT130" s="666"/>
      <c r="BU130" s="666"/>
      <c r="BV130" s="666"/>
      <c r="BW130" s="662"/>
    </row>
    <row r="131" spans="1:75">
      <c r="A131" s="659"/>
      <c r="B131" s="660" t="s">
        <v>576</v>
      </c>
      <c r="C131" s="661">
        <f t="shared" si="170"/>
        <v>71</v>
      </c>
      <c r="D131" s="661">
        <f t="shared" si="171"/>
        <v>58</v>
      </c>
      <c r="E131" s="661"/>
      <c r="F131" s="661">
        <v>58</v>
      </c>
      <c r="G131" s="661"/>
      <c r="H131" s="661">
        <v>53</v>
      </c>
      <c r="I131" s="661">
        <v>13</v>
      </c>
      <c r="J131" s="661">
        <v>13</v>
      </c>
      <c r="K131" s="989">
        <f t="shared" si="85"/>
        <v>12605</v>
      </c>
      <c r="L131" s="666">
        <f t="shared" si="172"/>
        <v>12605</v>
      </c>
      <c r="M131" s="666">
        <v>6261</v>
      </c>
      <c r="N131" s="666">
        <v>1195</v>
      </c>
      <c r="O131" s="666">
        <v>110</v>
      </c>
      <c r="P131" s="666"/>
      <c r="Q131" s="666"/>
      <c r="R131" s="666">
        <f>((N131+O131)-(BA131+BB131))*10%</f>
        <v>6.7</v>
      </c>
      <c r="S131" s="667">
        <v>135</v>
      </c>
      <c r="T131" s="667">
        <f t="shared" si="173"/>
        <v>142</v>
      </c>
      <c r="U131" s="666">
        <f t="shared" si="174"/>
        <v>7424</v>
      </c>
      <c r="V131" s="666">
        <v>4913</v>
      </c>
      <c r="W131" s="666">
        <v>359</v>
      </c>
      <c r="X131" s="666"/>
      <c r="Y131" s="667"/>
      <c r="Z131" s="668">
        <f>(V131-4620)*10%</f>
        <v>29.3</v>
      </c>
      <c r="AA131" s="667">
        <v>91</v>
      </c>
      <c r="AB131" s="667">
        <f t="shared" si="176"/>
        <v>91</v>
      </c>
      <c r="AC131" s="666">
        <f t="shared" si="177"/>
        <v>5181</v>
      </c>
      <c r="AD131" s="666"/>
      <c r="AE131" s="666"/>
      <c r="AF131" s="669"/>
      <c r="AG131" s="669"/>
      <c r="AH131" s="669"/>
      <c r="AI131" s="669"/>
      <c r="AJ131" s="669"/>
      <c r="AK131" s="669"/>
      <c r="AL131" s="664"/>
      <c r="AN131" s="610"/>
      <c r="AO131" s="659"/>
      <c r="AP131" s="660" t="s">
        <v>576</v>
      </c>
      <c r="AQ131" s="661">
        <f t="shared" si="178"/>
        <v>72</v>
      </c>
      <c r="AR131" s="661">
        <f t="shared" si="179"/>
        <v>59</v>
      </c>
      <c r="AS131" s="661"/>
      <c r="AT131" s="661">
        <v>59</v>
      </c>
      <c r="AU131" s="661"/>
      <c r="AV131" s="661">
        <v>55</v>
      </c>
      <c r="AW131" s="661">
        <v>13</v>
      </c>
      <c r="AX131" s="661">
        <v>11</v>
      </c>
      <c r="AY131" s="666">
        <f t="shared" si="180"/>
        <v>10312</v>
      </c>
      <c r="AZ131" s="670">
        <f>7289-1238</f>
        <v>6051</v>
      </c>
      <c r="BA131" s="666">
        <v>1238</v>
      </c>
      <c r="BB131" s="666"/>
      <c r="BC131" s="666"/>
      <c r="BD131" s="666"/>
      <c r="BE131" s="666">
        <f t="shared" si="181"/>
        <v>123.80000000000001</v>
      </c>
      <c r="BF131" s="667">
        <f t="shared" si="182"/>
        <v>124</v>
      </c>
      <c r="BG131" s="666">
        <f t="shared" si="183"/>
        <v>7165</v>
      </c>
      <c r="BH131" s="666">
        <f>1800+1155</f>
        <v>2955</v>
      </c>
      <c r="BI131" s="666"/>
      <c r="BJ131" s="666">
        <f>232</f>
        <v>232</v>
      </c>
      <c r="BK131" s="666"/>
      <c r="BL131" s="666">
        <f>(BH131-2555)*10%</f>
        <v>40</v>
      </c>
      <c r="BM131" s="667">
        <f t="shared" si="185"/>
        <v>40</v>
      </c>
      <c r="BN131" s="666">
        <f t="shared" si="186"/>
        <v>3147</v>
      </c>
      <c r="BO131" s="666"/>
      <c r="BP131" s="666"/>
      <c r="BQ131" s="666"/>
      <c r="BR131" s="666"/>
      <c r="BS131" s="666"/>
      <c r="BT131" s="666"/>
      <c r="BU131" s="666"/>
      <c r="BV131" s="666"/>
      <c r="BW131" s="662"/>
    </row>
    <row r="132" spans="1:75">
      <c r="A132" s="659"/>
      <c r="B132" s="660" t="s">
        <v>577</v>
      </c>
      <c r="C132" s="661">
        <f t="shared" si="170"/>
        <v>10</v>
      </c>
      <c r="D132" s="661">
        <f t="shared" si="171"/>
        <v>8</v>
      </c>
      <c r="E132" s="661">
        <v>8</v>
      </c>
      <c r="F132" s="661"/>
      <c r="G132" s="661">
        <v>7</v>
      </c>
      <c r="H132" s="661"/>
      <c r="I132" s="661">
        <v>2</v>
      </c>
      <c r="J132" s="661">
        <v>2</v>
      </c>
      <c r="K132" s="989">
        <f t="shared" si="85"/>
        <v>1649</v>
      </c>
      <c r="L132" s="666">
        <f t="shared" si="172"/>
        <v>1649</v>
      </c>
      <c r="M132" s="666">
        <v>846</v>
      </c>
      <c r="N132" s="666">
        <v>205</v>
      </c>
      <c r="O132" s="666">
        <v>27</v>
      </c>
      <c r="P132" s="666"/>
      <c r="Q132" s="666"/>
      <c r="R132" s="666">
        <f>((N132+O132)-(BA132+BB132))*10%</f>
        <v>0</v>
      </c>
      <c r="S132" s="667">
        <v>23</v>
      </c>
      <c r="T132" s="667">
        <f t="shared" si="173"/>
        <v>23</v>
      </c>
      <c r="U132" s="666">
        <f t="shared" si="174"/>
        <v>1055</v>
      </c>
      <c r="V132" s="666">
        <v>650</v>
      </c>
      <c r="W132" s="666"/>
      <c r="X132" s="666"/>
      <c r="Y132" s="667">
        <f>Z132-BM132</f>
        <v>5</v>
      </c>
      <c r="Z132" s="668">
        <f t="shared" si="175"/>
        <v>65</v>
      </c>
      <c r="AA132" s="667">
        <v>51</v>
      </c>
      <c r="AB132" s="667">
        <f t="shared" si="176"/>
        <v>56</v>
      </c>
      <c r="AC132" s="666">
        <f t="shared" si="177"/>
        <v>594</v>
      </c>
      <c r="AD132" s="666"/>
      <c r="AE132" s="666"/>
      <c r="AF132" s="669"/>
      <c r="AG132" s="669"/>
      <c r="AH132" s="669"/>
      <c r="AI132" s="669"/>
      <c r="AJ132" s="669"/>
      <c r="AK132" s="669"/>
      <c r="AL132" s="664"/>
      <c r="AN132" s="610"/>
      <c r="AO132" s="659"/>
      <c r="AP132" s="660" t="s">
        <v>577</v>
      </c>
      <c r="AQ132" s="661">
        <f t="shared" si="178"/>
        <v>10</v>
      </c>
      <c r="AR132" s="661">
        <f t="shared" si="179"/>
        <v>8</v>
      </c>
      <c r="AS132" s="661">
        <v>8</v>
      </c>
      <c r="AT132" s="661"/>
      <c r="AU132" s="661">
        <v>7</v>
      </c>
      <c r="AV132" s="661"/>
      <c r="AW132" s="661">
        <v>2</v>
      </c>
      <c r="AX132" s="661">
        <v>2</v>
      </c>
      <c r="AY132" s="666">
        <f t="shared" si="180"/>
        <v>1481</v>
      </c>
      <c r="AZ132" s="670">
        <f>877-232+87</f>
        <v>732</v>
      </c>
      <c r="BA132" s="666">
        <v>232</v>
      </c>
      <c r="BB132" s="666"/>
      <c r="BC132" s="666"/>
      <c r="BD132" s="666"/>
      <c r="BE132" s="666">
        <f t="shared" si="181"/>
        <v>23.200000000000003</v>
      </c>
      <c r="BF132" s="667">
        <f t="shared" si="182"/>
        <v>23</v>
      </c>
      <c r="BG132" s="666">
        <f t="shared" si="183"/>
        <v>941</v>
      </c>
      <c r="BH132" s="666">
        <v>600</v>
      </c>
      <c r="BI132" s="666"/>
      <c r="BJ132" s="666"/>
      <c r="BK132" s="666"/>
      <c r="BL132" s="666">
        <f t="shared" si="184"/>
        <v>60</v>
      </c>
      <c r="BM132" s="667">
        <f t="shared" si="185"/>
        <v>60</v>
      </c>
      <c r="BN132" s="666">
        <f t="shared" si="186"/>
        <v>540</v>
      </c>
      <c r="BO132" s="666"/>
      <c r="BP132" s="666"/>
      <c r="BQ132" s="666"/>
      <c r="BR132" s="666"/>
      <c r="BS132" s="666"/>
      <c r="BT132" s="666"/>
      <c r="BU132" s="666"/>
      <c r="BV132" s="666"/>
      <c r="BW132" s="662"/>
    </row>
    <row r="133" spans="1:75">
      <c r="A133" s="659"/>
      <c r="B133" s="660" t="s">
        <v>578</v>
      </c>
      <c r="C133" s="661">
        <f t="shared" si="170"/>
        <v>7</v>
      </c>
      <c r="D133" s="661">
        <f t="shared" si="171"/>
        <v>7</v>
      </c>
      <c r="E133" s="661"/>
      <c r="F133" s="661">
        <v>7</v>
      </c>
      <c r="G133" s="661"/>
      <c r="H133" s="661">
        <v>6</v>
      </c>
      <c r="I133" s="661"/>
      <c r="J133" s="661"/>
      <c r="K133" s="989">
        <f t="shared" si="85"/>
        <v>1213</v>
      </c>
      <c r="L133" s="666">
        <f t="shared" si="172"/>
        <v>1213</v>
      </c>
      <c r="M133" s="666">
        <v>487</v>
      </c>
      <c r="N133" s="666">
        <v>175</v>
      </c>
      <c r="O133" s="666">
        <v>8</v>
      </c>
      <c r="P133" s="666"/>
      <c r="Q133" s="666"/>
      <c r="R133" s="666">
        <f>((N133+O133)-(BA133+BB133))*10%</f>
        <v>0</v>
      </c>
      <c r="S133" s="667">
        <v>18</v>
      </c>
      <c r="T133" s="667">
        <f t="shared" si="173"/>
        <v>18</v>
      </c>
      <c r="U133" s="666">
        <f t="shared" si="174"/>
        <v>652</v>
      </c>
      <c r="V133" s="666">
        <v>621</v>
      </c>
      <c r="W133" s="666"/>
      <c r="X133" s="666"/>
      <c r="Y133" s="667"/>
      <c r="Z133" s="668">
        <f t="shared" si="175"/>
        <v>62.1</v>
      </c>
      <c r="AA133" s="667">
        <v>60</v>
      </c>
      <c r="AB133" s="667">
        <f t="shared" si="176"/>
        <v>60</v>
      </c>
      <c r="AC133" s="666">
        <f t="shared" si="177"/>
        <v>561</v>
      </c>
      <c r="AD133" s="666"/>
      <c r="AE133" s="666"/>
      <c r="AF133" s="669"/>
      <c r="AG133" s="669"/>
      <c r="AH133" s="669"/>
      <c r="AI133" s="669"/>
      <c r="AJ133" s="669"/>
      <c r="AK133" s="669"/>
      <c r="AL133" s="664"/>
      <c r="AN133" s="610"/>
      <c r="AO133" s="659"/>
      <c r="AP133" s="660" t="s">
        <v>578</v>
      </c>
      <c r="AQ133" s="661">
        <f t="shared" si="178"/>
        <v>7</v>
      </c>
      <c r="AR133" s="661">
        <f t="shared" si="179"/>
        <v>7</v>
      </c>
      <c r="AS133" s="661"/>
      <c r="AT133" s="661">
        <v>7</v>
      </c>
      <c r="AU133" s="661"/>
      <c r="AV133" s="661">
        <v>7</v>
      </c>
      <c r="AW133" s="661"/>
      <c r="AX133" s="661"/>
      <c r="AY133" s="666">
        <f t="shared" si="180"/>
        <v>1171</v>
      </c>
      <c r="AZ133" s="670">
        <f>621-183</f>
        <v>438</v>
      </c>
      <c r="BA133" s="666">
        <v>183</v>
      </c>
      <c r="BB133" s="666"/>
      <c r="BC133" s="666"/>
      <c r="BD133" s="666"/>
      <c r="BE133" s="666">
        <f t="shared" si="181"/>
        <v>18.3</v>
      </c>
      <c r="BF133" s="667">
        <f t="shared" si="182"/>
        <v>18</v>
      </c>
      <c r="BG133" s="666">
        <f t="shared" si="183"/>
        <v>603</v>
      </c>
      <c r="BH133" s="666">
        <v>631</v>
      </c>
      <c r="BI133" s="666"/>
      <c r="BJ133" s="666"/>
      <c r="BK133" s="666"/>
      <c r="BL133" s="666">
        <f t="shared" si="184"/>
        <v>63.1</v>
      </c>
      <c r="BM133" s="667">
        <f t="shared" si="185"/>
        <v>63</v>
      </c>
      <c r="BN133" s="666">
        <f t="shared" si="186"/>
        <v>568</v>
      </c>
      <c r="BO133" s="666"/>
      <c r="BP133" s="666"/>
      <c r="BQ133" s="666"/>
      <c r="BR133" s="666"/>
      <c r="BS133" s="666"/>
      <c r="BT133" s="666"/>
      <c r="BU133" s="666"/>
      <c r="BV133" s="666"/>
      <c r="BW133" s="662"/>
    </row>
    <row r="134" spans="1:75" s="614" customFormat="1">
      <c r="A134" s="650" t="s">
        <v>579</v>
      </c>
      <c r="B134" s="651" t="s">
        <v>580</v>
      </c>
      <c r="C134" s="652">
        <f t="shared" si="170"/>
        <v>47</v>
      </c>
      <c r="D134" s="652">
        <f t="shared" si="171"/>
        <v>44</v>
      </c>
      <c r="E134" s="652">
        <f t="shared" ref="E134:J134" si="187">SUM(E137:E141)</f>
        <v>7</v>
      </c>
      <c r="F134" s="652">
        <f t="shared" si="187"/>
        <v>37</v>
      </c>
      <c r="G134" s="652">
        <f t="shared" si="187"/>
        <v>7</v>
      </c>
      <c r="H134" s="652">
        <f t="shared" si="187"/>
        <v>36</v>
      </c>
      <c r="I134" s="652">
        <f t="shared" si="187"/>
        <v>3</v>
      </c>
      <c r="J134" s="652">
        <f t="shared" si="187"/>
        <v>3</v>
      </c>
      <c r="K134" s="989">
        <f t="shared" si="85"/>
        <v>29359</v>
      </c>
      <c r="L134" s="653">
        <f>L135</f>
        <v>29380</v>
      </c>
      <c r="M134" s="653">
        <f t="shared" ref="M134:AM134" si="188">M135</f>
        <v>3325</v>
      </c>
      <c r="N134" s="653">
        <f t="shared" si="188"/>
        <v>522</v>
      </c>
      <c r="O134" s="653">
        <f t="shared" si="188"/>
        <v>250</v>
      </c>
      <c r="P134" s="653">
        <f t="shared" si="188"/>
        <v>0</v>
      </c>
      <c r="Q134" s="653">
        <f t="shared" si="188"/>
        <v>0</v>
      </c>
      <c r="R134" s="653">
        <f t="shared" si="188"/>
        <v>0</v>
      </c>
      <c r="S134" s="654">
        <f t="shared" si="188"/>
        <v>88</v>
      </c>
      <c r="T134" s="654">
        <f t="shared" si="188"/>
        <v>88</v>
      </c>
      <c r="U134" s="653">
        <f t="shared" si="188"/>
        <v>4009</v>
      </c>
      <c r="V134" s="653">
        <f t="shared" si="188"/>
        <v>25374</v>
      </c>
      <c r="W134" s="653">
        <f t="shared" si="188"/>
        <v>419</v>
      </c>
      <c r="X134" s="653">
        <f t="shared" si="188"/>
        <v>0</v>
      </c>
      <c r="Y134" s="655">
        <f t="shared" si="188"/>
        <v>203.39999999999998</v>
      </c>
      <c r="Z134" s="653">
        <f t="shared" si="188"/>
        <v>379.4</v>
      </c>
      <c r="AA134" s="654">
        <f t="shared" si="188"/>
        <v>240</v>
      </c>
      <c r="AB134" s="654">
        <f t="shared" si="188"/>
        <v>443</v>
      </c>
      <c r="AC134" s="653">
        <f t="shared" si="188"/>
        <v>25350</v>
      </c>
      <c r="AD134" s="653">
        <f t="shared" si="188"/>
        <v>21</v>
      </c>
      <c r="AE134" s="653">
        <f t="shared" si="188"/>
        <v>0</v>
      </c>
      <c r="AF134" s="656">
        <f t="shared" si="188"/>
        <v>0</v>
      </c>
      <c r="AG134" s="656">
        <f t="shared" si="188"/>
        <v>0</v>
      </c>
      <c r="AH134" s="656">
        <f t="shared" si="188"/>
        <v>0</v>
      </c>
      <c r="AI134" s="656">
        <f t="shared" si="188"/>
        <v>0</v>
      </c>
      <c r="AJ134" s="656">
        <f t="shared" si="188"/>
        <v>0</v>
      </c>
      <c r="AK134" s="656">
        <f t="shared" si="188"/>
        <v>0</v>
      </c>
      <c r="AL134" s="656">
        <f t="shared" si="188"/>
        <v>0</v>
      </c>
      <c r="AM134" s="657">
        <f t="shared" si="188"/>
        <v>0</v>
      </c>
      <c r="AN134" s="610">
        <v>4110</v>
      </c>
      <c r="AO134" s="650" t="s">
        <v>579</v>
      </c>
      <c r="AP134" s="651" t="s">
        <v>580</v>
      </c>
      <c r="AQ134" s="652">
        <f t="shared" si="178"/>
        <v>48</v>
      </c>
      <c r="AR134" s="652">
        <f t="shared" si="179"/>
        <v>45</v>
      </c>
      <c r="AS134" s="652">
        <f t="shared" ref="AS134:AX134" si="189">SUM(AS137:AS141)</f>
        <v>7</v>
      </c>
      <c r="AT134" s="652">
        <f t="shared" si="189"/>
        <v>38</v>
      </c>
      <c r="AU134" s="652">
        <f t="shared" si="189"/>
        <v>7</v>
      </c>
      <c r="AV134" s="652">
        <f t="shared" si="189"/>
        <v>35</v>
      </c>
      <c r="AW134" s="652">
        <f t="shared" si="189"/>
        <v>3</v>
      </c>
      <c r="AX134" s="652">
        <f t="shared" si="189"/>
        <v>3</v>
      </c>
      <c r="AY134" s="653">
        <f>AY135</f>
        <v>32933</v>
      </c>
      <c r="AZ134" s="658">
        <f t="shared" ref="AZ134:BW134" si="190">AZ135</f>
        <v>3040</v>
      </c>
      <c r="BA134" s="653">
        <f t="shared" si="190"/>
        <v>667</v>
      </c>
      <c r="BB134" s="653">
        <f t="shared" si="190"/>
        <v>318</v>
      </c>
      <c r="BC134" s="653">
        <f t="shared" si="190"/>
        <v>0</v>
      </c>
      <c r="BD134" s="653">
        <f t="shared" si="190"/>
        <v>0</v>
      </c>
      <c r="BE134" s="653">
        <f t="shared" si="190"/>
        <v>98.5</v>
      </c>
      <c r="BF134" s="655">
        <f t="shared" si="190"/>
        <v>98</v>
      </c>
      <c r="BG134" s="653">
        <f t="shared" si="190"/>
        <v>3927</v>
      </c>
      <c r="BH134" s="653">
        <f t="shared" si="190"/>
        <v>28365</v>
      </c>
      <c r="BI134" s="653">
        <f t="shared" si="190"/>
        <v>0</v>
      </c>
      <c r="BJ134" s="653">
        <f t="shared" si="190"/>
        <v>747</v>
      </c>
      <c r="BK134" s="653">
        <f t="shared" si="190"/>
        <v>0</v>
      </c>
      <c r="BL134" s="653">
        <f t="shared" si="190"/>
        <v>175.3</v>
      </c>
      <c r="BM134" s="655">
        <f t="shared" si="190"/>
        <v>176</v>
      </c>
      <c r="BN134" s="653">
        <f t="shared" si="190"/>
        <v>28936</v>
      </c>
      <c r="BO134" s="653">
        <f t="shared" si="190"/>
        <v>70</v>
      </c>
      <c r="BP134" s="653">
        <f t="shared" si="190"/>
        <v>0</v>
      </c>
      <c r="BQ134" s="653">
        <f t="shared" si="190"/>
        <v>1916</v>
      </c>
      <c r="BR134" s="653">
        <f t="shared" si="190"/>
        <v>0</v>
      </c>
      <c r="BS134" s="653">
        <f t="shared" si="190"/>
        <v>150</v>
      </c>
      <c r="BT134" s="653">
        <f t="shared" si="190"/>
        <v>0</v>
      </c>
      <c r="BU134" s="653">
        <f t="shared" si="190"/>
        <v>400</v>
      </c>
      <c r="BV134" s="653">
        <f t="shared" si="190"/>
        <v>0</v>
      </c>
      <c r="BW134" s="653">
        <f t="shared" si="190"/>
        <v>0</v>
      </c>
    </row>
    <row r="135" spans="1:75" ht="31.2">
      <c r="A135" s="659">
        <v>43</v>
      </c>
      <c r="B135" s="660" t="s">
        <v>581</v>
      </c>
      <c r="C135" s="661">
        <f>SUM(C136:C141)</f>
        <v>47</v>
      </c>
      <c r="D135" s="661">
        <f t="shared" ref="D135:J135" si="191">SUM(D136:D141)</f>
        <v>44</v>
      </c>
      <c r="E135" s="661">
        <f t="shared" si="191"/>
        <v>7</v>
      </c>
      <c r="F135" s="661">
        <f t="shared" si="191"/>
        <v>37</v>
      </c>
      <c r="G135" s="661">
        <f t="shared" si="191"/>
        <v>7</v>
      </c>
      <c r="H135" s="661">
        <f t="shared" si="191"/>
        <v>36</v>
      </c>
      <c r="I135" s="661">
        <f t="shared" si="191"/>
        <v>3</v>
      </c>
      <c r="J135" s="661">
        <f t="shared" si="191"/>
        <v>3</v>
      </c>
      <c r="K135" s="989">
        <f t="shared" si="85"/>
        <v>29359</v>
      </c>
      <c r="L135" s="662">
        <f>SUM(L136:L141)</f>
        <v>29380</v>
      </c>
      <c r="M135" s="662">
        <f t="shared" ref="M135:AL135" si="192">SUM(M136:M141)</f>
        <v>3325</v>
      </c>
      <c r="N135" s="662">
        <f t="shared" si="192"/>
        <v>522</v>
      </c>
      <c r="O135" s="662">
        <f t="shared" si="192"/>
        <v>250</v>
      </c>
      <c r="P135" s="662">
        <f t="shared" si="192"/>
        <v>0</v>
      </c>
      <c r="Q135" s="662">
        <f t="shared" si="192"/>
        <v>0</v>
      </c>
      <c r="R135" s="662">
        <f t="shared" si="192"/>
        <v>0</v>
      </c>
      <c r="S135" s="663">
        <f t="shared" si="192"/>
        <v>88</v>
      </c>
      <c r="T135" s="663">
        <f t="shared" si="192"/>
        <v>88</v>
      </c>
      <c r="U135" s="662">
        <f t="shared" si="192"/>
        <v>4009</v>
      </c>
      <c r="V135" s="662">
        <f t="shared" si="192"/>
        <v>25374</v>
      </c>
      <c r="W135" s="662">
        <f t="shared" si="192"/>
        <v>419</v>
      </c>
      <c r="X135" s="662">
        <f t="shared" si="192"/>
        <v>0</v>
      </c>
      <c r="Y135" s="663">
        <f t="shared" si="192"/>
        <v>203.39999999999998</v>
      </c>
      <c r="Z135" s="662">
        <f t="shared" si="192"/>
        <v>379.4</v>
      </c>
      <c r="AA135" s="663">
        <f t="shared" si="192"/>
        <v>240</v>
      </c>
      <c r="AB135" s="663">
        <f t="shared" si="192"/>
        <v>443</v>
      </c>
      <c r="AC135" s="662">
        <f t="shared" si="192"/>
        <v>25350</v>
      </c>
      <c r="AD135" s="662">
        <f t="shared" si="192"/>
        <v>21</v>
      </c>
      <c r="AE135" s="662">
        <f t="shared" si="192"/>
        <v>0</v>
      </c>
      <c r="AF135" s="664">
        <f t="shared" si="192"/>
        <v>0</v>
      </c>
      <c r="AG135" s="664">
        <f>SUM(AG136:AG141)</f>
        <v>0</v>
      </c>
      <c r="AH135" s="664">
        <f>SUM(AH136:AH141)</f>
        <v>0</v>
      </c>
      <c r="AI135" s="664">
        <f t="shared" si="192"/>
        <v>0</v>
      </c>
      <c r="AJ135" s="664">
        <f t="shared" si="192"/>
        <v>0</v>
      </c>
      <c r="AK135" s="664">
        <f t="shared" si="192"/>
        <v>0</v>
      </c>
      <c r="AL135" s="664">
        <f t="shared" si="192"/>
        <v>0</v>
      </c>
      <c r="AN135" s="621"/>
      <c r="AO135" s="659">
        <v>46</v>
      </c>
      <c r="AP135" s="660" t="s">
        <v>581</v>
      </c>
      <c r="AQ135" s="661">
        <f>SUM(AQ136:AQ141)</f>
        <v>48</v>
      </c>
      <c r="AR135" s="661">
        <f t="shared" ref="AR135:AX135" si="193">SUM(AR136:AR141)</f>
        <v>45</v>
      </c>
      <c r="AS135" s="661">
        <f t="shared" si="193"/>
        <v>7</v>
      </c>
      <c r="AT135" s="661">
        <f t="shared" si="193"/>
        <v>38</v>
      </c>
      <c r="AU135" s="661">
        <f t="shared" si="193"/>
        <v>7</v>
      </c>
      <c r="AV135" s="661">
        <f t="shared" si="193"/>
        <v>35</v>
      </c>
      <c r="AW135" s="661">
        <f t="shared" si="193"/>
        <v>3</v>
      </c>
      <c r="AX135" s="661">
        <f t="shared" si="193"/>
        <v>3</v>
      </c>
      <c r="AY135" s="662">
        <f>SUM(AY136:AY141)</f>
        <v>32933</v>
      </c>
      <c r="AZ135" s="665">
        <f t="shared" ref="AZ135:BW135" si="194">SUM(AZ136:AZ141)</f>
        <v>3040</v>
      </c>
      <c r="BA135" s="662">
        <f t="shared" si="194"/>
        <v>667</v>
      </c>
      <c r="BB135" s="662">
        <f t="shared" si="194"/>
        <v>318</v>
      </c>
      <c r="BC135" s="662">
        <f t="shared" si="194"/>
        <v>0</v>
      </c>
      <c r="BD135" s="662">
        <f t="shared" si="194"/>
        <v>0</v>
      </c>
      <c r="BE135" s="662">
        <f t="shared" si="194"/>
        <v>98.5</v>
      </c>
      <c r="BF135" s="663">
        <f t="shared" si="194"/>
        <v>98</v>
      </c>
      <c r="BG135" s="662">
        <f t="shared" si="194"/>
        <v>3927</v>
      </c>
      <c r="BH135" s="662">
        <f t="shared" si="194"/>
        <v>28365</v>
      </c>
      <c r="BI135" s="662">
        <f t="shared" si="194"/>
        <v>0</v>
      </c>
      <c r="BJ135" s="662">
        <f t="shared" si="194"/>
        <v>747</v>
      </c>
      <c r="BK135" s="662">
        <f t="shared" si="194"/>
        <v>0</v>
      </c>
      <c r="BL135" s="662">
        <f t="shared" si="194"/>
        <v>175.3</v>
      </c>
      <c r="BM135" s="663">
        <f t="shared" si="194"/>
        <v>176</v>
      </c>
      <c r="BN135" s="662">
        <f t="shared" si="194"/>
        <v>28936</v>
      </c>
      <c r="BO135" s="662">
        <f t="shared" si="194"/>
        <v>70</v>
      </c>
      <c r="BP135" s="662">
        <f t="shared" si="194"/>
        <v>0</v>
      </c>
      <c r="BQ135" s="662">
        <f t="shared" si="194"/>
        <v>1916</v>
      </c>
      <c r="BR135" s="662">
        <f>SUM(BR136:BR141)</f>
        <v>0</v>
      </c>
      <c r="BS135" s="662">
        <f>SUM(BS136:BS141)</f>
        <v>150</v>
      </c>
      <c r="BT135" s="662">
        <f t="shared" si="194"/>
        <v>0</v>
      </c>
      <c r="BU135" s="662">
        <f t="shared" si="194"/>
        <v>400</v>
      </c>
      <c r="BV135" s="662">
        <f t="shared" si="194"/>
        <v>0</v>
      </c>
      <c r="BW135" s="662">
        <f t="shared" si="194"/>
        <v>0</v>
      </c>
    </row>
    <row r="136" spans="1:75" s="710" customFormat="1">
      <c r="A136" s="700"/>
      <c r="B136" s="701" t="s">
        <v>582</v>
      </c>
      <c r="C136" s="702"/>
      <c r="D136" s="702"/>
      <c r="E136" s="702"/>
      <c r="F136" s="702"/>
      <c r="G136" s="702"/>
      <c r="H136" s="702"/>
      <c r="I136" s="702"/>
      <c r="J136" s="702"/>
      <c r="K136" s="989">
        <f t="shared" si="85"/>
        <v>21415</v>
      </c>
      <c r="L136" s="703">
        <f t="shared" ref="L136:L142" si="195">U136+AC136+AD136+AE136</f>
        <v>21415</v>
      </c>
      <c r="M136" s="703"/>
      <c r="N136" s="703"/>
      <c r="O136" s="703"/>
      <c r="P136" s="703"/>
      <c r="Q136" s="703"/>
      <c r="R136" s="666">
        <f>((N136+O136)-(BA136+BB136))*10%</f>
        <v>0</v>
      </c>
      <c r="S136" s="704"/>
      <c r="T136" s="667">
        <f t="shared" ref="T136:T142" si="196">ROUND((Q136+R136+S136),0)</f>
        <v>0</v>
      </c>
      <c r="U136" s="666">
        <f t="shared" ref="U136:U142" si="197">(M136+N136+O136+P136)-T136</f>
        <v>0</v>
      </c>
      <c r="V136" s="703">
        <f>31195-9615</f>
        <v>21580</v>
      </c>
      <c r="W136" s="703"/>
      <c r="X136" s="703"/>
      <c r="Y136" s="667">
        <f t="shared" ref="Y136:Y142" si="198">Z136-BM136</f>
        <v>0</v>
      </c>
      <c r="Z136" s="668">
        <f>(V136-21580)*10%</f>
        <v>0</v>
      </c>
      <c r="AA136" s="704">
        <v>165</v>
      </c>
      <c r="AB136" s="667">
        <f t="shared" ref="AB136:AB142" si="199">ROUND((Y136+AA136+X136),0)</f>
        <v>165</v>
      </c>
      <c r="AC136" s="666">
        <f t="shared" ref="AC136:AC142" si="200">(V136+W136)-AB136</f>
        <v>21415</v>
      </c>
      <c r="AD136" s="703"/>
      <c r="AE136" s="703"/>
      <c r="AF136" s="705"/>
      <c r="AG136" s="705"/>
      <c r="AH136" s="705"/>
      <c r="AI136" s="705"/>
      <c r="AJ136" s="705"/>
      <c r="AK136" s="705"/>
      <c r="AL136" s="705"/>
      <c r="AM136" s="706"/>
      <c r="AN136" s="726"/>
      <c r="AO136" s="700"/>
      <c r="AP136" s="701" t="s">
        <v>582</v>
      </c>
      <c r="AQ136" s="702"/>
      <c r="AR136" s="702"/>
      <c r="AS136" s="702"/>
      <c r="AT136" s="702"/>
      <c r="AU136" s="702"/>
      <c r="AV136" s="702"/>
      <c r="AW136" s="702"/>
      <c r="AX136" s="702"/>
      <c r="AY136" s="703">
        <f t="shared" ref="AY136:AY142" si="201">BG136+BN136+BO136+BP136</f>
        <v>22612</v>
      </c>
      <c r="AZ136" s="708"/>
      <c r="BA136" s="703"/>
      <c r="BB136" s="703"/>
      <c r="BC136" s="703"/>
      <c r="BD136" s="703"/>
      <c r="BE136" s="666">
        <f t="shared" ref="BE136:BE141" si="202">(BA136+BB136)*10%</f>
        <v>0</v>
      </c>
      <c r="BF136" s="704">
        <f t="shared" ref="BF136:BF141" si="203">ROUND(BE136,0)</f>
        <v>0</v>
      </c>
      <c r="BG136" s="709">
        <f t="shared" ref="BG136:BG141" si="204">(AZ136+BA136+BB136+BC136)-BF136</f>
        <v>0</v>
      </c>
      <c r="BH136" s="703">
        <v>22612</v>
      </c>
      <c r="BI136" s="703"/>
      <c r="BJ136" s="703"/>
      <c r="BK136" s="703"/>
      <c r="BL136" s="666">
        <f>(BH136-22612)*10%</f>
        <v>0</v>
      </c>
      <c r="BM136" s="704">
        <f t="shared" ref="BM136:BM142" si="205">ROUND(BL136,0)</f>
        <v>0</v>
      </c>
      <c r="BN136" s="709">
        <f t="shared" ref="BN136:BN141" si="206">(BH136+BI136+BJ136)-BM136</f>
        <v>22612</v>
      </c>
      <c r="BO136" s="703"/>
      <c r="BP136" s="703"/>
      <c r="BQ136" s="703"/>
      <c r="BR136" s="703"/>
      <c r="BS136" s="703"/>
      <c r="BT136" s="703"/>
      <c r="BU136" s="703">
        <v>400</v>
      </c>
      <c r="BV136" s="703"/>
      <c r="BW136" s="703"/>
    </row>
    <row r="137" spans="1:75" s="785" customFormat="1">
      <c r="A137" s="700"/>
      <c r="B137" s="738" t="s">
        <v>583</v>
      </c>
      <c r="C137" s="702">
        <f>D137+I137</f>
        <v>0</v>
      </c>
      <c r="D137" s="702">
        <f>E137+F137</f>
        <v>0</v>
      </c>
      <c r="E137" s="702"/>
      <c r="F137" s="702"/>
      <c r="G137" s="702"/>
      <c r="H137" s="702"/>
      <c r="I137" s="702"/>
      <c r="J137" s="702"/>
      <c r="K137" s="989">
        <f t="shared" ref="K137:K200" si="207">L137-AD137</f>
        <v>0</v>
      </c>
      <c r="L137" s="703">
        <f t="shared" si="195"/>
        <v>0</v>
      </c>
      <c r="M137" s="703"/>
      <c r="N137" s="703"/>
      <c r="O137" s="703"/>
      <c r="P137" s="703"/>
      <c r="Q137" s="703"/>
      <c r="R137" s="666">
        <f>((N137+O137)-(BA137+BB137))*10%</f>
        <v>0</v>
      </c>
      <c r="S137" s="704"/>
      <c r="T137" s="667">
        <f t="shared" si="196"/>
        <v>0</v>
      </c>
      <c r="U137" s="666">
        <f t="shared" si="197"/>
        <v>0</v>
      </c>
      <c r="V137" s="703"/>
      <c r="W137" s="703"/>
      <c r="X137" s="703"/>
      <c r="Y137" s="667">
        <f t="shared" si="198"/>
        <v>0</v>
      </c>
      <c r="Z137" s="668">
        <f t="shared" ref="Z137:Z142" si="208">V137*10%</f>
        <v>0</v>
      </c>
      <c r="AA137" s="704"/>
      <c r="AB137" s="667">
        <f t="shared" si="199"/>
        <v>0</v>
      </c>
      <c r="AC137" s="666">
        <f t="shared" si="200"/>
        <v>0</v>
      </c>
      <c r="AD137" s="735"/>
      <c r="AE137" s="735"/>
      <c r="AF137" s="736"/>
      <c r="AG137" s="736"/>
      <c r="AH137" s="736"/>
      <c r="AI137" s="736"/>
      <c r="AJ137" s="736"/>
      <c r="AK137" s="736"/>
      <c r="AL137" s="782"/>
      <c r="AM137" s="783"/>
      <c r="AN137" s="707"/>
      <c r="AO137" s="700"/>
      <c r="AP137" s="738" t="s">
        <v>583</v>
      </c>
      <c r="AQ137" s="702">
        <f>AR137+AW137</f>
        <v>0</v>
      </c>
      <c r="AR137" s="702">
        <f>AS137+AT137</f>
        <v>0</v>
      </c>
      <c r="AS137" s="702"/>
      <c r="AT137" s="702"/>
      <c r="AU137" s="702"/>
      <c r="AV137" s="702"/>
      <c r="AW137" s="702"/>
      <c r="AX137" s="702"/>
      <c r="AY137" s="703">
        <f t="shared" si="201"/>
        <v>0</v>
      </c>
      <c r="AZ137" s="708"/>
      <c r="BA137" s="703"/>
      <c r="BB137" s="703"/>
      <c r="BC137" s="703"/>
      <c r="BD137" s="703"/>
      <c r="BE137" s="666">
        <f t="shared" si="202"/>
        <v>0</v>
      </c>
      <c r="BF137" s="704">
        <f t="shared" si="203"/>
        <v>0</v>
      </c>
      <c r="BG137" s="709">
        <f t="shared" si="204"/>
        <v>0</v>
      </c>
      <c r="BH137" s="703">
        <f>1000-1000</f>
        <v>0</v>
      </c>
      <c r="BI137" s="728"/>
      <c r="BJ137" s="703"/>
      <c r="BK137" s="703"/>
      <c r="BL137" s="666">
        <f>BH137*10%</f>
        <v>0</v>
      </c>
      <c r="BM137" s="704">
        <f t="shared" si="205"/>
        <v>0</v>
      </c>
      <c r="BN137" s="709">
        <f t="shared" si="206"/>
        <v>0</v>
      </c>
      <c r="BO137" s="735"/>
      <c r="BP137" s="735"/>
      <c r="BQ137" s="735"/>
      <c r="BR137" s="735"/>
      <c r="BS137" s="735"/>
      <c r="BT137" s="735"/>
      <c r="BU137" s="735"/>
      <c r="BV137" s="735"/>
      <c r="BW137" s="784"/>
    </row>
    <row r="138" spans="1:75" s="710" customFormat="1" ht="31.2">
      <c r="A138" s="700"/>
      <c r="B138" s="701" t="s">
        <v>584</v>
      </c>
      <c r="C138" s="702">
        <f>D138+I138</f>
        <v>14</v>
      </c>
      <c r="D138" s="702">
        <f>E138+F138</f>
        <v>13</v>
      </c>
      <c r="E138" s="702">
        <v>7</v>
      </c>
      <c r="F138" s="702">
        <v>6</v>
      </c>
      <c r="G138" s="702">
        <v>7</v>
      </c>
      <c r="H138" s="702">
        <v>6</v>
      </c>
      <c r="I138" s="702">
        <v>1</v>
      </c>
      <c r="J138" s="702">
        <v>1</v>
      </c>
      <c r="K138" s="989">
        <f t="shared" si="207"/>
        <v>4487</v>
      </c>
      <c r="L138" s="703">
        <f t="shared" si="195"/>
        <v>4508</v>
      </c>
      <c r="M138" s="703">
        <v>1215</v>
      </c>
      <c r="N138" s="703">
        <v>291</v>
      </c>
      <c r="O138" s="703">
        <v>86</v>
      </c>
      <c r="P138" s="703"/>
      <c r="Q138" s="703"/>
      <c r="R138" s="666"/>
      <c r="S138" s="704">
        <v>41</v>
      </c>
      <c r="T138" s="667">
        <f t="shared" si="196"/>
        <v>41</v>
      </c>
      <c r="U138" s="666">
        <f t="shared" si="197"/>
        <v>1551</v>
      </c>
      <c r="V138" s="703">
        <v>2762</v>
      </c>
      <c r="W138" s="703">
        <v>389</v>
      </c>
      <c r="X138" s="703"/>
      <c r="Y138" s="667">
        <f t="shared" si="198"/>
        <v>183.2</v>
      </c>
      <c r="Z138" s="668">
        <f>V138*10%</f>
        <v>276.2</v>
      </c>
      <c r="AA138" s="704">
        <v>32</v>
      </c>
      <c r="AB138" s="667">
        <f t="shared" si="199"/>
        <v>215</v>
      </c>
      <c r="AC138" s="666">
        <f t="shared" si="200"/>
        <v>2936</v>
      </c>
      <c r="AD138" s="703">
        <v>21</v>
      </c>
      <c r="AE138" s="703"/>
      <c r="AF138" s="705"/>
      <c r="AG138" s="705"/>
      <c r="AH138" s="705"/>
      <c r="AI138" s="705"/>
      <c r="AJ138" s="705"/>
      <c r="AK138" s="705"/>
      <c r="AL138" s="725"/>
      <c r="AM138" s="706"/>
      <c r="AN138" s="707"/>
      <c r="AO138" s="700"/>
      <c r="AP138" s="701" t="s">
        <v>584</v>
      </c>
      <c r="AQ138" s="702">
        <f>AR138+AW138</f>
        <v>14</v>
      </c>
      <c r="AR138" s="702">
        <f>AS138+AT138</f>
        <v>13</v>
      </c>
      <c r="AS138" s="702">
        <v>7</v>
      </c>
      <c r="AT138" s="702">
        <v>6</v>
      </c>
      <c r="AU138" s="702">
        <v>7</v>
      </c>
      <c r="AV138" s="702">
        <v>6</v>
      </c>
      <c r="AW138" s="702">
        <v>1</v>
      </c>
      <c r="AX138" s="702">
        <v>1</v>
      </c>
      <c r="AY138" s="703">
        <f t="shared" si="201"/>
        <v>6436</v>
      </c>
      <c r="AZ138" s="708">
        <v>1148</v>
      </c>
      <c r="BA138" s="703">
        <v>406</v>
      </c>
      <c r="BB138" s="703"/>
      <c r="BC138" s="703"/>
      <c r="BD138" s="703"/>
      <c r="BE138" s="666">
        <f t="shared" si="202"/>
        <v>40.6</v>
      </c>
      <c r="BF138" s="704">
        <f t="shared" si="203"/>
        <v>41</v>
      </c>
      <c r="BG138" s="709">
        <f t="shared" si="204"/>
        <v>1513</v>
      </c>
      <c r="BH138" s="703">
        <v>4927</v>
      </c>
      <c r="BI138" s="703"/>
      <c r="BJ138" s="703">
        <v>64</v>
      </c>
      <c r="BK138" s="703"/>
      <c r="BL138" s="666">
        <f>(BH138-4000)*10%</f>
        <v>92.7</v>
      </c>
      <c r="BM138" s="704">
        <f t="shared" si="205"/>
        <v>93</v>
      </c>
      <c r="BN138" s="709">
        <f t="shared" si="206"/>
        <v>4898</v>
      </c>
      <c r="BO138" s="703">
        <v>25</v>
      </c>
      <c r="BP138" s="703"/>
      <c r="BQ138" s="703"/>
      <c r="BR138" s="703"/>
      <c r="BS138" s="703">
        <v>150</v>
      </c>
      <c r="BT138" s="703"/>
      <c r="BU138" s="703"/>
      <c r="BV138" s="703"/>
      <c r="BW138" s="728"/>
    </row>
    <row r="139" spans="1:75" s="710" customFormat="1" ht="31.2">
      <c r="A139" s="700"/>
      <c r="B139" s="701" t="s">
        <v>585</v>
      </c>
      <c r="C139" s="702">
        <f>D139+I139</f>
        <v>7</v>
      </c>
      <c r="D139" s="702">
        <f>E139+F139</f>
        <v>7</v>
      </c>
      <c r="E139" s="702"/>
      <c r="F139" s="702">
        <v>7</v>
      </c>
      <c r="G139" s="702"/>
      <c r="H139" s="702">
        <v>7</v>
      </c>
      <c r="I139" s="702"/>
      <c r="J139" s="702"/>
      <c r="K139" s="989">
        <f t="shared" si="207"/>
        <v>500</v>
      </c>
      <c r="L139" s="703">
        <f t="shared" si="195"/>
        <v>500</v>
      </c>
      <c r="M139" s="703">
        <v>387</v>
      </c>
      <c r="N139" s="703"/>
      <c r="O139" s="703">
        <v>134</v>
      </c>
      <c r="P139" s="703"/>
      <c r="Q139" s="703"/>
      <c r="R139" s="666"/>
      <c r="S139" s="704">
        <v>21</v>
      </c>
      <c r="T139" s="667">
        <f t="shared" si="196"/>
        <v>21</v>
      </c>
      <c r="U139" s="666">
        <f t="shared" si="197"/>
        <v>500</v>
      </c>
      <c r="V139" s="703"/>
      <c r="W139" s="703"/>
      <c r="X139" s="703"/>
      <c r="Y139" s="667">
        <f t="shared" si="198"/>
        <v>0</v>
      </c>
      <c r="Z139" s="668">
        <f t="shared" si="208"/>
        <v>0</v>
      </c>
      <c r="AA139" s="704"/>
      <c r="AB139" s="667">
        <f t="shared" si="199"/>
        <v>0</v>
      </c>
      <c r="AC139" s="666">
        <f>(V139+W139)-AB139</f>
        <v>0</v>
      </c>
      <c r="AD139" s="703"/>
      <c r="AE139" s="703"/>
      <c r="AF139" s="705"/>
      <c r="AG139" s="705"/>
      <c r="AH139" s="705"/>
      <c r="AI139" s="705"/>
      <c r="AJ139" s="705"/>
      <c r="AK139" s="705"/>
      <c r="AL139" s="725"/>
      <c r="AM139" s="706"/>
      <c r="AN139" s="707"/>
      <c r="AO139" s="700"/>
      <c r="AP139" s="701" t="s">
        <v>585</v>
      </c>
      <c r="AQ139" s="702">
        <f>AR139+AW139</f>
        <v>8</v>
      </c>
      <c r="AR139" s="702">
        <f>AS139+AT139</f>
        <v>8</v>
      </c>
      <c r="AS139" s="702"/>
      <c r="AT139" s="702">
        <v>8</v>
      </c>
      <c r="AU139" s="702"/>
      <c r="AV139" s="702">
        <v>7</v>
      </c>
      <c r="AW139" s="702"/>
      <c r="AX139" s="702"/>
      <c r="AY139" s="703">
        <f t="shared" si="201"/>
        <v>1043</v>
      </c>
      <c r="AZ139" s="708">
        <v>395</v>
      </c>
      <c r="BA139" s="703"/>
      <c r="BB139" s="703">
        <v>164</v>
      </c>
      <c r="BC139" s="703"/>
      <c r="BD139" s="703"/>
      <c r="BE139" s="666">
        <f t="shared" si="202"/>
        <v>16.400000000000002</v>
      </c>
      <c r="BF139" s="704">
        <f t="shared" si="203"/>
        <v>16</v>
      </c>
      <c r="BG139" s="709">
        <f t="shared" si="204"/>
        <v>543</v>
      </c>
      <c r="BH139" s="703"/>
      <c r="BI139" s="703"/>
      <c r="BJ139" s="703">
        <v>500</v>
      </c>
      <c r="BK139" s="703"/>
      <c r="BL139" s="666">
        <f>BH139*10%</f>
        <v>0</v>
      </c>
      <c r="BM139" s="704">
        <f t="shared" si="205"/>
        <v>0</v>
      </c>
      <c r="BN139" s="709">
        <f t="shared" si="206"/>
        <v>500</v>
      </c>
      <c r="BO139" s="703"/>
      <c r="BP139" s="703"/>
      <c r="BQ139" s="703">
        <f>932-95</f>
        <v>837</v>
      </c>
      <c r="BR139" s="703"/>
      <c r="BS139" s="703"/>
      <c r="BT139" s="703"/>
      <c r="BU139" s="703"/>
      <c r="BV139" s="703"/>
      <c r="BW139" s="728"/>
    </row>
    <row r="140" spans="1:75" s="710" customFormat="1" ht="31.2">
      <c r="A140" s="700"/>
      <c r="B140" s="701" t="s">
        <v>586</v>
      </c>
      <c r="C140" s="702">
        <f>D140+I140</f>
        <v>16</v>
      </c>
      <c r="D140" s="702">
        <f>E140+F140</f>
        <v>14</v>
      </c>
      <c r="E140" s="702"/>
      <c r="F140" s="702">
        <v>14</v>
      </c>
      <c r="G140" s="702"/>
      <c r="H140" s="702">
        <v>13</v>
      </c>
      <c r="I140" s="702">
        <v>2</v>
      </c>
      <c r="J140" s="702">
        <v>2</v>
      </c>
      <c r="K140" s="989">
        <f t="shared" si="207"/>
        <v>960</v>
      </c>
      <c r="L140" s="703">
        <f t="shared" si="195"/>
        <v>960</v>
      </c>
      <c r="M140" s="703">
        <v>960</v>
      </c>
      <c r="N140" s="703"/>
      <c r="O140" s="703"/>
      <c r="P140" s="703"/>
      <c r="Q140" s="703"/>
      <c r="R140" s="666"/>
      <c r="S140" s="704"/>
      <c r="T140" s="667">
        <f t="shared" si="196"/>
        <v>0</v>
      </c>
      <c r="U140" s="666">
        <f t="shared" si="197"/>
        <v>960</v>
      </c>
      <c r="V140" s="703"/>
      <c r="W140" s="703"/>
      <c r="X140" s="703"/>
      <c r="Y140" s="667">
        <f t="shared" si="198"/>
        <v>0</v>
      </c>
      <c r="Z140" s="668">
        <f t="shared" si="208"/>
        <v>0</v>
      </c>
      <c r="AA140" s="704"/>
      <c r="AB140" s="667">
        <f t="shared" si="199"/>
        <v>0</v>
      </c>
      <c r="AC140" s="666">
        <f>(V140+W140)-AB140</f>
        <v>0</v>
      </c>
      <c r="AD140" s="703"/>
      <c r="AE140" s="703"/>
      <c r="AF140" s="705"/>
      <c r="AG140" s="705"/>
      <c r="AH140" s="705"/>
      <c r="AI140" s="705"/>
      <c r="AJ140" s="705"/>
      <c r="AK140" s="705"/>
      <c r="AL140" s="725"/>
      <c r="AM140" s="706"/>
      <c r="AN140" s="707"/>
      <c r="AO140" s="700"/>
      <c r="AP140" s="738" t="s">
        <v>586</v>
      </c>
      <c r="AQ140" s="702">
        <f>AR140+AW140</f>
        <v>16</v>
      </c>
      <c r="AR140" s="702">
        <f>AS140+AT140</f>
        <v>14</v>
      </c>
      <c r="AS140" s="702"/>
      <c r="AT140" s="702">
        <v>14</v>
      </c>
      <c r="AU140" s="702"/>
      <c r="AV140" s="702">
        <v>12</v>
      </c>
      <c r="AW140" s="702">
        <v>2</v>
      </c>
      <c r="AX140" s="702">
        <v>2</v>
      </c>
      <c r="AY140" s="703">
        <f t="shared" si="201"/>
        <v>1082</v>
      </c>
      <c r="AZ140" s="708">
        <v>833</v>
      </c>
      <c r="BA140" s="703"/>
      <c r="BB140" s="703">
        <v>154</v>
      </c>
      <c r="BC140" s="703"/>
      <c r="BD140" s="703"/>
      <c r="BE140" s="666">
        <f t="shared" si="202"/>
        <v>15.4</v>
      </c>
      <c r="BF140" s="704">
        <f t="shared" si="203"/>
        <v>15</v>
      </c>
      <c r="BG140" s="709">
        <f t="shared" si="204"/>
        <v>972</v>
      </c>
      <c r="BH140" s="703"/>
      <c r="BI140" s="703"/>
      <c r="BJ140" s="703">
        <v>110</v>
      </c>
      <c r="BK140" s="703"/>
      <c r="BL140" s="666">
        <f>BH140*10%</f>
        <v>0</v>
      </c>
      <c r="BM140" s="704">
        <f t="shared" si="205"/>
        <v>0</v>
      </c>
      <c r="BN140" s="709">
        <f t="shared" si="206"/>
        <v>110</v>
      </c>
      <c r="BO140" s="703"/>
      <c r="BP140" s="703"/>
      <c r="BQ140" s="703">
        <f>1200-121</f>
        <v>1079</v>
      </c>
      <c r="BR140" s="703"/>
      <c r="BS140" s="703"/>
      <c r="BT140" s="703"/>
      <c r="BU140" s="703"/>
      <c r="BV140" s="703"/>
      <c r="BW140" s="728"/>
    </row>
    <row r="141" spans="1:75" s="710" customFormat="1" ht="31.2">
      <c r="A141" s="700"/>
      <c r="B141" s="701" t="s">
        <v>587</v>
      </c>
      <c r="C141" s="702">
        <f>D141+I141</f>
        <v>10</v>
      </c>
      <c r="D141" s="702">
        <f>E141+F141</f>
        <v>10</v>
      </c>
      <c r="E141" s="702"/>
      <c r="F141" s="702">
        <v>10</v>
      </c>
      <c r="G141" s="702"/>
      <c r="H141" s="702">
        <v>10</v>
      </c>
      <c r="I141" s="702"/>
      <c r="J141" s="702"/>
      <c r="K141" s="989">
        <f t="shared" si="207"/>
        <v>1997</v>
      </c>
      <c r="L141" s="703">
        <f t="shared" si="195"/>
        <v>1997</v>
      </c>
      <c r="M141" s="703">
        <v>763</v>
      </c>
      <c r="N141" s="703">
        <v>231</v>
      </c>
      <c r="O141" s="703">
        <v>30</v>
      </c>
      <c r="P141" s="703"/>
      <c r="Q141" s="703"/>
      <c r="R141" s="666">
        <f>((N141+O141)-(BA141+BB141))*10%</f>
        <v>0</v>
      </c>
      <c r="S141" s="704">
        <v>26</v>
      </c>
      <c r="T141" s="667">
        <f t="shared" si="196"/>
        <v>26</v>
      </c>
      <c r="U141" s="666">
        <f t="shared" si="197"/>
        <v>998</v>
      </c>
      <c r="V141" s="703">
        <v>1032</v>
      </c>
      <c r="W141" s="703">
        <v>30</v>
      </c>
      <c r="X141" s="703"/>
      <c r="Y141" s="667">
        <f t="shared" si="198"/>
        <v>20.200000000000003</v>
      </c>
      <c r="Z141" s="668">
        <f t="shared" si="208"/>
        <v>103.2</v>
      </c>
      <c r="AA141" s="704">
        <v>43</v>
      </c>
      <c r="AB141" s="667">
        <f t="shared" si="199"/>
        <v>63</v>
      </c>
      <c r="AC141" s="666">
        <f>(V141+W141)-AB141</f>
        <v>999</v>
      </c>
      <c r="AD141" s="703"/>
      <c r="AE141" s="703"/>
      <c r="AF141" s="705"/>
      <c r="AG141" s="705"/>
      <c r="AH141" s="705"/>
      <c r="AI141" s="705"/>
      <c r="AJ141" s="705"/>
      <c r="AK141" s="705"/>
      <c r="AL141" s="725"/>
      <c r="AM141" s="706"/>
      <c r="AN141" s="707"/>
      <c r="AO141" s="700"/>
      <c r="AP141" s="701" t="s">
        <v>587</v>
      </c>
      <c r="AQ141" s="702">
        <f>AR141+AW141</f>
        <v>10</v>
      </c>
      <c r="AR141" s="702">
        <f>AS141+AT141</f>
        <v>10</v>
      </c>
      <c r="AS141" s="702"/>
      <c r="AT141" s="702">
        <v>10</v>
      </c>
      <c r="AU141" s="702"/>
      <c r="AV141" s="702">
        <v>10</v>
      </c>
      <c r="AW141" s="702"/>
      <c r="AX141" s="702"/>
      <c r="AY141" s="703">
        <f t="shared" si="201"/>
        <v>1760</v>
      </c>
      <c r="AZ141" s="708">
        <v>664</v>
      </c>
      <c r="BA141" s="703">
        <v>261</v>
      </c>
      <c r="BB141" s="703"/>
      <c r="BC141" s="703"/>
      <c r="BD141" s="703"/>
      <c r="BE141" s="666">
        <f t="shared" si="202"/>
        <v>26.1</v>
      </c>
      <c r="BF141" s="704">
        <f t="shared" si="203"/>
        <v>26</v>
      </c>
      <c r="BG141" s="709">
        <f t="shared" si="204"/>
        <v>899</v>
      </c>
      <c r="BH141" s="703">
        <v>826</v>
      </c>
      <c r="BI141" s="703"/>
      <c r="BJ141" s="703">
        <v>73</v>
      </c>
      <c r="BK141" s="703"/>
      <c r="BL141" s="666">
        <f>BH141*10%</f>
        <v>82.600000000000009</v>
      </c>
      <c r="BM141" s="704">
        <f t="shared" si="205"/>
        <v>83</v>
      </c>
      <c r="BN141" s="709">
        <f t="shared" si="206"/>
        <v>816</v>
      </c>
      <c r="BO141" s="703">
        <v>45</v>
      </c>
      <c r="BP141" s="703"/>
      <c r="BQ141" s="703"/>
      <c r="BR141" s="703"/>
      <c r="BS141" s="703"/>
      <c r="BT141" s="703"/>
      <c r="BU141" s="703"/>
      <c r="BV141" s="703"/>
      <c r="BW141" s="728"/>
    </row>
    <row r="142" spans="1:75" s="693" customFormat="1" ht="31.2">
      <c r="A142" s="682"/>
      <c r="B142" s="683" t="s">
        <v>588</v>
      </c>
      <c r="C142" s="684"/>
      <c r="D142" s="684"/>
      <c r="E142" s="684"/>
      <c r="F142" s="684"/>
      <c r="G142" s="684"/>
      <c r="H142" s="684"/>
      <c r="I142" s="684"/>
      <c r="J142" s="684"/>
      <c r="K142" s="989">
        <f t="shared" si="207"/>
        <v>0</v>
      </c>
      <c r="L142" s="692">
        <f t="shared" si="195"/>
        <v>0</v>
      </c>
      <c r="M142" s="692"/>
      <c r="N142" s="692"/>
      <c r="O142" s="692"/>
      <c r="P142" s="692"/>
      <c r="Q142" s="692"/>
      <c r="R142" s="666">
        <f>((N142+O142)-(BA142+BB142))*10%</f>
        <v>0</v>
      </c>
      <c r="S142" s="712"/>
      <c r="T142" s="667">
        <f t="shared" si="196"/>
        <v>0</v>
      </c>
      <c r="U142" s="666">
        <f t="shared" si="197"/>
        <v>0</v>
      </c>
      <c r="V142" s="692"/>
      <c r="W142" s="692"/>
      <c r="X142" s="692"/>
      <c r="Y142" s="667">
        <f t="shared" si="198"/>
        <v>0</v>
      </c>
      <c r="Z142" s="668">
        <f t="shared" si="208"/>
        <v>0</v>
      </c>
      <c r="AA142" s="667"/>
      <c r="AB142" s="667">
        <f t="shared" si="199"/>
        <v>0</v>
      </c>
      <c r="AC142" s="666">
        <f t="shared" si="200"/>
        <v>0</v>
      </c>
      <c r="AD142" s="692"/>
      <c r="AE142" s="692"/>
      <c r="AF142" s="688"/>
      <c r="AG142" s="688"/>
      <c r="AH142" s="688"/>
      <c r="AI142" s="688"/>
      <c r="AJ142" s="688"/>
      <c r="AK142" s="688"/>
      <c r="AL142" s="786"/>
      <c r="AM142" s="689"/>
      <c r="AN142" s="690"/>
      <c r="AO142" s="682"/>
      <c r="AP142" s="683" t="s">
        <v>588</v>
      </c>
      <c r="AQ142" s="684"/>
      <c r="AR142" s="684"/>
      <c r="AS142" s="684"/>
      <c r="AT142" s="684"/>
      <c r="AU142" s="684"/>
      <c r="AV142" s="684"/>
      <c r="AW142" s="684"/>
      <c r="AX142" s="684"/>
      <c r="AY142" s="692">
        <f t="shared" si="201"/>
        <v>0</v>
      </c>
      <c r="AZ142" s="713"/>
      <c r="BA142" s="692"/>
      <c r="BB142" s="692"/>
      <c r="BC142" s="692"/>
      <c r="BD142" s="692"/>
      <c r="BE142" s="692"/>
      <c r="BF142" s="712"/>
      <c r="BG142" s="692">
        <f>AZ142+BA142+BB142+BC142-BD142-BE142</f>
        <v>0</v>
      </c>
      <c r="BH142" s="692">
        <f>1000-1000</f>
        <v>0</v>
      </c>
      <c r="BI142" s="692"/>
      <c r="BJ142" s="692"/>
      <c r="BK142" s="692"/>
      <c r="BL142" s="692"/>
      <c r="BM142" s="667">
        <f t="shared" si="205"/>
        <v>0</v>
      </c>
      <c r="BN142" s="692">
        <f>BH142+BI142+BJ142-BK142-BL142</f>
        <v>0</v>
      </c>
      <c r="BO142" s="692"/>
      <c r="BP142" s="692"/>
      <c r="BQ142" s="692"/>
      <c r="BR142" s="692"/>
      <c r="BS142" s="692"/>
      <c r="BT142" s="692"/>
      <c r="BU142" s="692"/>
      <c r="BV142" s="692"/>
      <c r="BW142" s="787"/>
    </row>
    <row r="143" spans="1:75" s="693" customFormat="1">
      <c r="A143" s="788" t="s">
        <v>589</v>
      </c>
      <c r="B143" s="651" t="s">
        <v>590</v>
      </c>
      <c r="C143" s="767">
        <f t="shared" ref="C143:J143" si="209">SUM(C144,C180,C193,C196)</f>
        <v>1353</v>
      </c>
      <c r="D143" s="767">
        <f t="shared" si="209"/>
        <v>1228</v>
      </c>
      <c r="E143" s="767">
        <f t="shared" si="209"/>
        <v>1026</v>
      </c>
      <c r="F143" s="767">
        <f t="shared" si="209"/>
        <v>202</v>
      </c>
      <c r="G143" s="767">
        <f t="shared" si="209"/>
        <v>990</v>
      </c>
      <c r="H143" s="767">
        <f t="shared" si="209"/>
        <v>181</v>
      </c>
      <c r="I143" s="767">
        <f t="shared" si="209"/>
        <v>125</v>
      </c>
      <c r="J143" s="767">
        <f t="shared" si="209"/>
        <v>122</v>
      </c>
      <c r="K143" s="989">
        <f t="shared" si="207"/>
        <v>305729</v>
      </c>
      <c r="L143" s="767">
        <f>SUM(L144,L180,L193,L196)</f>
        <v>321367</v>
      </c>
      <c r="M143" s="767">
        <f t="shared" ref="M143:AL143" si="210">SUM(M144,M180,M193,M196)</f>
        <v>137892</v>
      </c>
      <c r="N143" s="767">
        <f t="shared" si="210"/>
        <v>27780</v>
      </c>
      <c r="O143" s="767">
        <f t="shared" si="210"/>
        <v>4939</v>
      </c>
      <c r="P143" s="767">
        <f t="shared" si="210"/>
        <v>1834</v>
      </c>
      <c r="Q143" s="767">
        <f t="shared" si="210"/>
        <v>0</v>
      </c>
      <c r="R143" s="767">
        <f t="shared" si="210"/>
        <v>75.300000000000011</v>
      </c>
      <c r="S143" s="768">
        <f t="shared" si="210"/>
        <v>4011</v>
      </c>
      <c r="T143" s="768">
        <f t="shared" si="210"/>
        <v>4088</v>
      </c>
      <c r="U143" s="767">
        <f t="shared" si="210"/>
        <v>168357</v>
      </c>
      <c r="V143" s="767">
        <f t="shared" si="210"/>
        <v>128281</v>
      </c>
      <c r="W143" s="767">
        <f t="shared" si="210"/>
        <v>16986</v>
      </c>
      <c r="X143" s="767">
        <f t="shared" si="210"/>
        <v>0</v>
      </c>
      <c r="Y143" s="768">
        <f t="shared" si="210"/>
        <v>1667.4000000000005</v>
      </c>
      <c r="Z143" s="767">
        <f t="shared" si="210"/>
        <v>9502.4</v>
      </c>
      <c r="AA143" s="768">
        <f t="shared" si="210"/>
        <v>7526</v>
      </c>
      <c r="AB143" s="768">
        <f t="shared" si="210"/>
        <v>9195</v>
      </c>
      <c r="AC143" s="767">
        <f t="shared" si="210"/>
        <v>136072</v>
      </c>
      <c r="AD143" s="767">
        <f t="shared" si="210"/>
        <v>15638</v>
      </c>
      <c r="AE143" s="767">
        <f t="shared" si="210"/>
        <v>1300</v>
      </c>
      <c r="AF143" s="769">
        <f t="shared" si="210"/>
        <v>0</v>
      </c>
      <c r="AG143" s="769">
        <f t="shared" si="210"/>
        <v>1572</v>
      </c>
      <c r="AH143" s="769">
        <f t="shared" si="210"/>
        <v>2434</v>
      </c>
      <c r="AI143" s="769">
        <f t="shared" si="210"/>
        <v>2570</v>
      </c>
      <c r="AJ143" s="769">
        <f>SUM(AJ144,AJ180,AJ193,AJ196)</f>
        <v>0</v>
      </c>
      <c r="AK143" s="769">
        <f t="shared" si="210"/>
        <v>0</v>
      </c>
      <c r="AL143" s="769">
        <f t="shared" si="210"/>
        <v>0</v>
      </c>
      <c r="AM143" s="689"/>
      <c r="AN143" s="610">
        <v>162143.4</v>
      </c>
      <c r="AO143" s="788" t="s">
        <v>589</v>
      </c>
      <c r="AP143" s="651" t="s">
        <v>590</v>
      </c>
      <c r="AQ143" s="767">
        <f t="shared" ref="AQ143:AX143" si="211">SUM(AQ144,AQ180,AQ193,AQ196)</f>
        <v>1505</v>
      </c>
      <c r="AR143" s="767">
        <f t="shared" si="211"/>
        <v>1358</v>
      </c>
      <c r="AS143" s="767">
        <f t="shared" si="211"/>
        <v>1200</v>
      </c>
      <c r="AT143" s="767">
        <f t="shared" si="211"/>
        <v>158</v>
      </c>
      <c r="AU143" s="767">
        <f t="shared" si="211"/>
        <v>1113</v>
      </c>
      <c r="AV143" s="767">
        <f t="shared" si="211"/>
        <v>135</v>
      </c>
      <c r="AW143" s="767">
        <f t="shared" si="211"/>
        <v>147</v>
      </c>
      <c r="AX143" s="767">
        <f t="shared" si="211"/>
        <v>108</v>
      </c>
      <c r="AY143" s="767">
        <f>SUM(AY144,AY180,AY193,AY196)</f>
        <v>316263</v>
      </c>
      <c r="AZ143" s="771">
        <f t="shared" ref="AZ143:BW143" si="212">SUM(AZ144,AZ180,AZ193,AZ196)</f>
        <v>139500</v>
      </c>
      <c r="BA143" s="767">
        <f t="shared" si="212"/>
        <v>29151</v>
      </c>
      <c r="BB143" s="767">
        <f t="shared" si="212"/>
        <v>6303</v>
      </c>
      <c r="BC143" s="767">
        <f t="shared" si="212"/>
        <v>2067</v>
      </c>
      <c r="BD143" s="767">
        <f t="shared" si="212"/>
        <v>0</v>
      </c>
      <c r="BE143" s="767">
        <f t="shared" si="212"/>
        <v>3545.1</v>
      </c>
      <c r="BF143" s="768">
        <f t="shared" si="212"/>
        <v>3549</v>
      </c>
      <c r="BG143" s="767">
        <f t="shared" si="212"/>
        <v>173472</v>
      </c>
      <c r="BH143" s="767">
        <f t="shared" si="212"/>
        <v>108182</v>
      </c>
      <c r="BI143" s="767">
        <f t="shared" si="212"/>
        <v>6808</v>
      </c>
      <c r="BJ143" s="767">
        <f t="shared" si="212"/>
        <v>15409</v>
      </c>
      <c r="BK143" s="767">
        <f t="shared" si="212"/>
        <v>0</v>
      </c>
      <c r="BL143" s="767">
        <f t="shared" si="212"/>
        <v>8666.1</v>
      </c>
      <c r="BM143" s="768">
        <f t="shared" si="212"/>
        <v>8667</v>
      </c>
      <c r="BN143" s="767">
        <f t="shared" si="212"/>
        <v>121732</v>
      </c>
      <c r="BO143" s="767">
        <f t="shared" si="212"/>
        <v>17944</v>
      </c>
      <c r="BP143" s="767">
        <f t="shared" si="212"/>
        <v>3115</v>
      </c>
      <c r="BQ143" s="767">
        <f t="shared" si="212"/>
        <v>808</v>
      </c>
      <c r="BR143" s="767">
        <f t="shared" si="212"/>
        <v>1343</v>
      </c>
      <c r="BS143" s="767">
        <f t="shared" si="212"/>
        <v>6943</v>
      </c>
      <c r="BT143" s="767">
        <f t="shared" si="212"/>
        <v>10085</v>
      </c>
      <c r="BU143" s="767">
        <f>SUM(BU144,BU180,BU193,BU196)</f>
        <v>1106</v>
      </c>
      <c r="BV143" s="767">
        <f t="shared" si="212"/>
        <v>0</v>
      </c>
      <c r="BW143" s="767">
        <f t="shared" si="212"/>
        <v>0</v>
      </c>
    </row>
    <row r="144" spans="1:75" s="614" customFormat="1">
      <c r="A144" s="650" t="s">
        <v>591</v>
      </c>
      <c r="B144" s="651" t="s">
        <v>592</v>
      </c>
      <c r="C144" s="653">
        <f>SUM(C145,C148,C149,C150,C157,C158,C159,C160,C163,C164,C167,C170,C171,C172,C173,C174,C175,C177,C178,C179)</f>
        <v>937</v>
      </c>
      <c r="D144" s="653">
        <f t="shared" ref="D144:AM144" si="213">SUM(D145,D148,D149,D150,D157,D158,D159,D160,D163,D164,D167,D170,D171,D172,D173,D174,D175,D177,D178,D179)</f>
        <v>847</v>
      </c>
      <c r="E144" s="653">
        <f t="shared" si="213"/>
        <v>737</v>
      </c>
      <c r="F144" s="653">
        <f t="shared" si="213"/>
        <v>110</v>
      </c>
      <c r="G144" s="653">
        <f t="shared" si="213"/>
        <v>696</v>
      </c>
      <c r="H144" s="653">
        <f t="shared" si="213"/>
        <v>99</v>
      </c>
      <c r="I144" s="653">
        <f t="shared" si="213"/>
        <v>90</v>
      </c>
      <c r="J144" s="653">
        <f t="shared" si="213"/>
        <v>89</v>
      </c>
      <c r="K144" s="989">
        <f t="shared" si="207"/>
        <v>191559</v>
      </c>
      <c r="L144" s="653">
        <f t="shared" si="213"/>
        <v>201108</v>
      </c>
      <c r="M144" s="653">
        <f t="shared" si="213"/>
        <v>90569</v>
      </c>
      <c r="N144" s="653">
        <f t="shared" si="213"/>
        <v>19437</v>
      </c>
      <c r="O144" s="653">
        <f t="shared" si="213"/>
        <v>2924</v>
      </c>
      <c r="P144" s="653">
        <f t="shared" si="213"/>
        <v>704</v>
      </c>
      <c r="Q144" s="653">
        <f t="shared" si="213"/>
        <v>0</v>
      </c>
      <c r="R144" s="653">
        <f t="shared" si="213"/>
        <v>61.100000000000009</v>
      </c>
      <c r="S144" s="654">
        <f t="shared" si="213"/>
        <v>2545</v>
      </c>
      <c r="T144" s="654">
        <f t="shared" si="213"/>
        <v>2607</v>
      </c>
      <c r="U144" s="653">
        <f t="shared" si="213"/>
        <v>111027</v>
      </c>
      <c r="V144" s="653">
        <f t="shared" si="213"/>
        <v>72416</v>
      </c>
      <c r="W144" s="653">
        <f t="shared" si="213"/>
        <v>11748</v>
      </c>
      <c r="X144" s="653">
        <f t="shared" si="213"/>
        <v>0</v>
      </c>
      <c r="Y144" s="655">
        <f t="shared" si="213"/>
        <v>1166.7000000000003</v>
      </c>
      <c r="Z144" s="653">
        <f t="shared" si="213"/>
        <v>4822.2999999999993</v>
      </c>
      <c r="AA144" s="654">
        <f t="shared" si="213"/>
        <v>3766</v>
      </c>
      <c r="AB144" s="654">
        <f t="shared" si="213"/>
        <v>4932</v>
      </c>
      <c r="AC144" s="653">
        <f t="shared" si="213"/>
        <v>79232</v>
      </c>
      <c r="AD144" s="653">
        <f t="shared" si="213"/>
        <v>9549</v>
      </c>
      <c r="AE144" s="653">
        <f t="shared" si="213"/>
        <v>1300</v>
      </c>
      <c r="AF144" s="656">
        <f t="shared" si="213"/>
        <v>0</v>
      </c>
      <c r="AG144" s="656">
        <f t="shared" si="213"/>
        <v>1572</v>
      </c>
      <c r="AH144" s="656">
        <f t="shared" si="213"/>
        <v>2434</v>
      </c>
      <c r="AI144" s="656">
        <f t="shared" si="213"/>
        <v>2570</v>
      </c>
      <c r="AJ144" s="656">
        <f t="shared" si="213"/>
        <v>0</v>
      </c>
      <c r="AK144" s="656">
        <f t="shared" si="213"/>
        <v>0</v>
      </c>
      <c r="AL144" s="656">
        <f t="shared" si="213"/>
        <v>0</v>
      </c>
      <c r="AM144" s="653" t="e">
        <f t="shared" si="213"/>
        <v>#REF!</v>
      </c>
      <c r="AN144" s="610">
        <v>199580</v>
      </c>
      <c r="AO144" s="650" t="s">
        <v>591</v>
      </c>
      <c r="AP144" s="651" t="s">
        <v>592</v>
      </c>
      <c r="AQ144" s="653">
        <f>SUM(AQ145,AQ148,AQ149,AQ150,AQ157,AQ158,AQ159,AQ160,AQ163,AQ164,AQ167,AQ170,AQ171,AQ172,AQ173,AQ174,AQ175,AQ177,AQ178,AQ179)</f>
        <v>1010</v>
      </c>
      <c r="AR144" s="653">
        <f t="shared" ref="AR144:BW144" si="214">SUM(AR145,AR148,AR149,AR150,AR157,AR158,AR159,AR160,AR163,AR164,AR167,AR170,AR171,AR172,AR173,AR174,AR175,AR177,AR178,AR179)</f>
        <v>915</v>
      </c>
      <c r="AS144" s="653">
        <f t="shared" si="214"/>
        <v>862</v>
      </c>
      <c r="AT144" s="653">
        <f t="shared" si="214"/>
        <v>53</v>
      </c>
      <c r="AU144" s="653">
        <f t="shared" si="214"/>
        <v>804</v>
      </c>
      <c r="AV144" s="653">
        <f t="shared" si="214"/>
        <v>47</v>
      </c>
      <c r="AW144" s="653">
        <f t="shared" si="214"/>
        <v>95</v>
      </c>
      <c r="AX144" s="653">
        <f t="shared" si="214"/>
        <v>87</v>
      </c>
      <c r="AY144" s="653">
        <f t="shared" si="214"/>
        <v>192046</v>
      </c>
      <c r="AZ144" s="658">
        <f t="shared" si="214"/>
        <v>89699</v>
      </c>
      <c r="BA144" s="653">
        <f t="shared" si="214"/>
        <v>19496</v>
      </c>
      <c r="BB144" s="653">
        <f t="shared" si="214"/>
        <v>4177</v>
      </c>
      <c r="BC144" s="653">
        <f t="shared" si="214"/>
        <v>710</v>
      </c>
      <c r="BD144" s="653">
        <f t="shared" si="214"/>
        <v>0</v>
      </c>
      <c r="BE144" s="653">
        <f t="shared" si="214"/>
        <v>2367.2999999999997</v>
      </c>
      <c r="BF144" s="655">
        <f t="shared" si="214"/>
        <v>2370</v>
      </c>
      <c r="BG144" s="653">
        <f t="shared" si="214"/>
        <v>111712</v>
      </c>
      <c r="BH144" s="653">
        <f t="shared" si="214"/>
        <v>55784</v>
      </c>
      <c r="BI144" s="653">
        <f t="shared" si="214"/>
        <v>4908</v>
      </c>
      <c r="BJ144" s="653">
        <f t="shared" si="214"/>
        <v>10524</v>
      </c>
      <c r="BK144" s="653">
        <f t="shared" si="214"/>
        <v>0</v>
      </c>
      <c r="BL144" s="653">
        <f t="shared" si="214"/>
        <v>4310.6999999999989</v>
      </c>
      <c r="BM144" s="655">
        <f t="shared" si="214"/>
        <v>4310</v>
      </c>
      <c r="BN144" s="653">
        <f t="shared" si="214"/>
        <v>66906</v>
      </c>
      <c r="BO144" s="653">
        <f t="shared" si="214"/>
        <v>10313</v>
      </c>
      <c r="BP144" s="653">
        <f t="shared" si="214"/>
        <v>3115</v>
      </c>
      <c r="BQ144" s="653">
        <f t="shared" si="214"/>
        <v>808</v>
      </c>
      <c r="BR144" s="653">
        <f t="shared" si="214"/>
        <v>1343</v>
      </c>
      <c r="BS144" s="653">
        <f t="shared" si="214"/>
        <v>6943</v>
      </c>
      <c r="BT144" s="653">
        <f t="shared" si="214"/>
        <v>10085</v>
      </c>
      <c r="BU144" s="653">
        <f t="shared" si="214"/>
        <v>501</v>
      </c>
      <c r="BV144" s="653">
        <f t="shared" si="214"/>
        <v>0</v>
      </c>
      <c r="BW144" s="653">
        <f t="shared" si="214"/>
        <v>0</v>
      </c>
    </row>
    <row r="145" spans="1:75">
      <c r="A145" s="659">
        <v>44</v>
      </c>
      <c r="B145" s="751" t="s">
        <v>593</v>
      </c>
      <c r="C145" s="661">
        <f t="shared" ref="C145:AM145" si="215">SUM(C146:C147)</f>
        <v>87</v>
      </c>
      <c r="D145" s="661">
        <f t="shared" si="215"/>
        <v>76</v>
      </c>
      <c r="E145" s="661">
        <f t="shared" si="215"/>
        <v>66</v>
      </c>
      <c r="F145" s="661">
        <f t="shared" si="215"/>
        <v>10</v>
      </c>
      <c r="G145" s="661">
        <f t="shared" si="215"/>
        <v>63</v>
      </c>
      <c r="H145" s="661">
        <f t="shared" si="215"/>
        <v>7</v>
      </c>
      <c r="I145" s="661">
        <f t="shared" si="215"/>
        <v>11</v>
      </c>
      <c r="J145" s="661">
        <f t="shared" si="215"/>
        <v>11</v>
      </c>
      <c r="K145" s="989">
        <f t="shared" si="207"/>
        <v>18611</v>
      </c>
      <c r="L145" s="666">
        <f t="shared" si="215"/>
        <v>18661</v>
      </c>
      <c r="M145" s="666">
        <f t="shared" si="215"/>
        <v>8336</v>
      </c>
      <c r="N145" s="666">
        <f t="shared" si="215"/>
        <v>1497</v>
      </c>
      <c r="O145" s="666">
        <f t="shared" si="215"/>
        <v>414</v>
      </c>
      <c r="P145" s="666">
        <f t="shared" si="215"/>
        <v>330</v>
      </c>
      <c r="Q145" s="666">
        <f t="shared" si="215"/>
        <v>0</v>
      </c>
      <c r="R145" s="666">
        <f t="shared" si="215"/>
        <v>0</v>
      </c>
      <c r="S145" s="667">
        <f t="shared" si="215"/>
        <v>212</v>
      </c>
      <c r="T145" s="667">
        <f t="shared" si="215"/>
        <v>212</v>
      </c>
      <c r="U145" s="666">
        <f t="shared" si="215"/>
        <v>10365</v>
      </c>
      <c r="V145" s="666">
        <f t="shared" si="215"/>
        <v>7733</v>
      </c>
      <c r="W145" s="666">
        <f t="shared" si="215"/>
        <v>1465</v>
      </c>
      <c r="X145" s="666">
        <f t="shared" si="215"/>
        <v>0</v>
      </c>
      <c r="Y145" s="667">
        <f t="shared" si="215"/>
        <v>81.300000000000068</v>
      </c>
      <c r="Z145" s="666">
        <f t="shared" si="215"/>
        <v>773.30000000000007</v>
      </c>
      <c r="AA145" s="667">
        <f t="shared" si="215"/>
        <v>871</v>
      </c>
      <c r="AB145" s="667">
        <f t="shared" si="215"/>
        <v>952</v>
      </c>
      <c r="AC145" s="666">
        <f t="shared" si="215"/>
        <v>8246</v>
      </c>
      <c r="AD145" s="666">
        <f t="shared" si="215"/>
        <v>50</v>
      </c>
      <c r="AE145" s="666">
        <f t="shared" si="215"/>
        <v>0</v>
      </c>
      <c r="AF145" s="669">
        <f t="shared" si="215"/>
        <v>0</v>
      </c>
      <c r="AG145" s="669">
        <f t="shared" si="215"/>
        <v>0</v>
      </c>
      <c r="AH145" s="669">
        <f t="shared" si="215"/>
        <v>0</v>
      </c>
      <c r="AI145" s="669">
        <f t="shared" si="215"/>
        <v>0</v>
      </c>
      <c r="AJ145" s="669">
        <f t="shared" si="215"/>
        <v>0</v>
      </c>
      <c r="AK145" s="669">
        <f t="shared" si="215"/>
        <v>0</v>
      </c>
      <c r="AL145" s="669">
        <f t="shared" si="215"/>
        <v>0</v>
      </c>
      <c r="AM145" s="789">
        <f t="shared" si="215"/>
        <v>0</v>
      </c>
      <c r="AN145" s="610"/>
      <c r="AO145" s="659">
        <v>47</v>
      </c>
      <c r="AP145" s="751" t="s">
        <v>593</v>
      </c>
      <c r="AQ145" s="661">
        <f t="shared" ref="AQ145:BW145" si="216">SUM(AQ146:AQ147)</f>
        <v>89</v>
      </c>
      <c r="AR145" s="661">
        <f t="shared" si="216"/>
        <v>77</v>
      </c>
      <c r="AS145" s="661">
        <f t="shared" si="216"/>
        <v>67</v>
      </c>
      <c r="AT145" s="661">
        <f t="shared" si="216"/>
        <v>10</v>
      </c>
      <c r="AU145" s="661">
        <f t="shared" si="216"/>
        <v>59</v>
      </c>
      <c r="AV145" s="661">
        <f t="shared" si="216"/>
        <v>9</v>
      </c>
      <c r="AW145" s="661">
        <f t="shared" si="216"/>
        <v>12</v>
      </c>
      <c r="AX145" s="661">
        <f t="shared" si="216"/>
        <v>12</v>
      </c>
      <c r="AY145" s="666">
        <f t="shared" si="216"/>
        <v>19418</v>
      </c>
      <c r="AZ145" s="670">
        <f t="shared" si="216"/>
        <v>7682</v>
      </c>
      <c r="BA145" s="666">
        <f t="shared" si="216"/>
        <v>1522</v>
      </c>
      <c r="BB145" s="666">
        <f t="shared" si="216"/>
        <v>414</v>
      </c>
      <c r="BC145" s="666">
        <f t="shared" si="216"/>
        <v>320</v>
      </c>
      <c r="BD145" s="666">
        <f t="shared" si="216"/>
        <v>0</v>
      </c>
      <c r="BE145" s="666">
        <f t="shared" si="216"/>
        <v>193.6</v>
      </c>
      <c r="BF145" s="667">
        <f t="shared" si="216"/>
        <v>194</v>
      </c>
      <c r="BG145" s="666">
        <f t="shared" si="216"/>
        <v>9744</v>
      </c>
      <c r="BH145" s="666">
        <f t="shared" si="216"/>
        <v>7003</v>
      </c>
      <c r="BI145" s="666">
        <f t="shared" si="216"/>
        <v>1969</v>
      </c>
      <c r="BJ145" s="666">
        <f t="shared" si="216"/>
        <v>1312</v>
      </c>
      <c r="BK145" s="666">
        <f t="shared" si="216"/>
        <v>0</v>
      </c>
      <c r="BL145" s="666">
        <f t="shared" si="216"/>
        <v>700.30000000000007</v>
      </c>
      <c r="BM145" s="667">
        <f t="shared" si="216"/>
        <v>700</v>
      </c>
      <c r="BN145" s="666">
        <f t="shared" si="216"/>
        <v>9584</v>
      </c>
      <c r="BO145" s="666">
        <f t="shared" si="216"/>
        <v>90</v>
      </c>
      <c r="BP145" s="666">
        <f t="shared" si="216"/>
        <v>0</v>
      </c>
      <c r="BQ145" s="666">
        <f t="shared" si="216"/>
        <v>0</v>
      </c>
      <c r="BR145" s="666">
        <f t="shared" si="216"/>
        <v>0</v>
      </c>
      <c r="BS145" s="666">
        <f t="shared" si="216"/>
        <v>0</v>
      </c>
      <c r="BT145" s="666">
        <f t="shared" si="216"/>
        <v>0</v>
      </c>
      <c r="BU145" s="666">
        <f t="shared" si="216"/>
        <v>0</v>
      </c>
      <c r="BV145" s="666">
        <f t="shared" si="216"/>
        <v>0</v>
      </c>
      <c r="BW145" s="666">
        <f t="shared" si="216"/>
        <v>0</v>
      </c>
    </row>
    <row r="146" spans="1:75">
      <c r="A146" s="659"/>
      <c r="B146" s="660" t="s">
        <v>594</v>
      </c>
      <c r="C146" s="661">
        <f>D146+I146</f>
        <v>77</v>
      </c>
      <c r="D146" s="661">
        <f>E146+F146</f>
        <v>66</v>
      </c>
      <c r="E146" s="661">
        <v>66</v>
      </c>
      <c r="F146" s="661"/>
      <c r="G146" s="661">
        <v>63</v>
      </c>
      <c r="H146" s="661"/>
      <c r="I146" s="661">
        <v>11</v>
      </c>
      <c r="J146" s="661">
        <v>11</v>
      </c>
      <c r="K146" s="989">
        <f t="shared" si="207"/>
        <v>17284</v>
      </c>
      <c r="L146" s="666">
        <f>U146+AC146+AD146+AE146</f>
        <v>17334</v>
      </c>
      <c r="M146" s="666">
        <v>7642</v>
      </c>
      <c r="N146" s="666">
        <v>1282</v>
      </c>
      <c r="O146" s="666">
        <f>188+180</f>
        <v>368</v>
      </c>
      <c r="P146" s="666">
        <v>330</v>
      </c>
      <c r="Q146" s="666"/>
      <c r="R146" s="666"/>
      <c r="S146" s="667">
        <v>186</v>
      </c>
      <c r="T146" s="667">
        <f>ROUND((Q146+R146+S146),0)</f>
        <v>186</v>
      </c>
      <c r="U146" s="666">
        <f>(M146+N146+O146+P146)-T146</f>
        <v>9436</v>
      </c>
      <c r="V146" s="666">
        <v>7613</v>
      </c>
      <c r="W146" s="666">
        <v>1165</v>
      </c>
      <c r="X146" s="666"/>
      <c r="Y146" s="667">
        <f>Z146-BM146</f>
        <v>81.300000000000068</v>
      </c>
      <c r="Z146" s="668">
        <f>V146*10%</f>
        <v>761.30000000000007</v>
      </c>
      <c r="AA146" s="667">
        <v>849</v>
      </c>
      <c r="AB146" s="667">
        <f>ROUND((Y146+AA146+X146),0)</f>
        <v>930</v>
      </c>
      <c r="AC146" s="666">
        <f>(V146+W146)-AB146</f>
        <v>7848</v>
      </c>
      <c r="AD146" s="666">
        <v>50</v>
      </c>
      <c r="AE146" s="666"/>
      <c r="AF146" s="669"/>
      <c r="AG146" s="669"/>
      <c r="AH146" s="669"/>
      <c r="AI146" s="669"/>
      <c r="AJ146" s="669"/>
      <c r="AK146" s="669"/>
      <c r="AL146" s="664"/>
      <c r="AN146" s="610"/>
      <c r="AO146" s="659"/>
      <c r="AP146" s="660" t="s">
        <v>594</v>
      </c>
      <c r="AQ146" s="661">
        <f>AR146+AW146</f>
        <v>79</v>
      </c>
      <c r="AR146" s="661">
        <f>AS146+AT146</f>
        <v>67</v>
      </c>
      <c r="AS146" s="661">
        <f>64+3</f>
        <v>67</v>
      </c>
      <c r="AT146" s="661"/>
      <c r="AU146" s="661">
        <v>59</v>
      </c>
      <c r="AV146" s="661"/>
      <c r="AW146" s="661">
        <v>12</v>
      </c>
      <c r="AX146" s="661">
        <v>12</v>
      </c>
      <c r="AY146" s="666">
        <f>BG146+BN146+BO146+BP146</f>
        <v>17996</v>
      </c>
      <c r="AZ146" s="670">
        <f>458+115+103+3495+183+934+828+446+105+112+246</f>
        <v>7025</v>
      </c>
      <c r="BA146" s="666">
        <f>1232+75</f>
        <v>1307</v>
      </c>
      <c r="BB146" s="666">
        <f>188+180</f>
        <v>368</v>
      </c>
      <c r="BC146" s="666">
        <v>320</v>
      </c>
      <c r="BD146" s="666"/>
      <c r="BE146" s="666">
        <f>(BA146+BB146)*10%</f>
        <v>167.5</v>
      </c>
      <c r="BF146" s="667">
        <f>ROUND(BE146,0)</f>
        <v>168</v>
      </c>
      <c r="BG146" s="666">
        <f>(AZ146+BA146+BB146+BC146)-BF146</f>
        <v>8852</v>
      </c>
      <c r="BH146" s="666">
        <v>6799</v>
      </c>
      <c r="BI146" s="666">
        <v>1969</v>
      </c>
      <c r="BJ146" s="666">
        <v>966</v>
      </c>
      <c r="BK146" s="666"/>
      <c r="BL146" s="666">
        <f>BH146*10%</f>
        <v>679.90000000000009</v>
      </c>
      <c r="BM146" s="667">
        <f>ROUND(BL146,0)</f>
        <v>680</v>
      </c>
      <c r="BN146" s="666">
        <f>(BH146+BI146+BJ146)-BM146</f>
        <v>9054</v>
      </c>
      <c r="BO146" s="666">
        <v>90</v>
      </c>
      <c r="BP146" s="666"/>
      <c r="BQ146" s="666"/>
      <c r="BR146" s="666"/>
      <c r="BS146" s="666"/>
      <c r="BT146" s="666"/>
      <c r="BU146" s="666"/>
      <c r="BV146" s="666"/>
      <c r="BW146" s="662"/>
    </row>
    <row r="147" spans="1:75">
      <c r="A147" s="659"/>
      <c r="B147" s="660" t="s">
        <v>595</v>
      </c>
      <c r="C147" s="661">
        <f>D147+I147</f>
        <v>10</v>
      </c>
      <c r="D147" s="661">
        <f>E147+F147</f>
        <v>10</v>
      </c>
      <c r="E147" s="661"/>
      <c r="F147" s="661">
        <v>10</v>
      </c>
      <c r="G147" s="661"/>
      <c r="H147" s="661">
        <v>7</v>
      </c>
      <c r="I147" s="661"/>
      <c r="J147" s="661"/>
      <c r="K147" s="989">
        <f t="shared" si="207"/>
        <v>1327</v>
      </c>
      <c r="L147" s="666">
        <f>U147+AC147+AD147+AE147</f>
        <v>1327</v>
      </c>
      <c r="M147" s="666">
        <v>694</v>
      </c>
      <c r="N147" s="666">
        <v>215</v>
      </c>
      <c r="O147" s="666">
        <v>46</v>
      </c>
      <c r="P147" s="666"/>
      <c r="Q147" s="666"/>
      <c r="R147" s="666"/>
      <c r="S147" s="667">
        <v>26</v>
      </c>
      <c r="T147" s="667">
        <f>ROUND((Q147+R147+S147),0)</f>
        <v>26</v>
      </c>
      <c r="U147" s="666">
        <f>(M147+N147+O147+P147)-T147</f>
        <v>929</v>
      </c>
      <c r="V147" s="666">
        <v>120</v>
      </c>
      <c r="W147" s="666">
        <v>300</v>
      </c>
      <c r="X147" s="666"/>
      <c r="Y147" s="667"/>
      <c r="Z147" s="668">
        <f>V147*10%</f>
        <v>12</v>
      </c>
      <c r="AA147" s="667">
        <v>22</v>
      </c>
      <c r="AB147" s="667">
        <f>ROUND((Y147+AA147+X147),0)</f>
        <v>22</v>
      </c>
      <c r="AC147" s="666">
        <f>(V147+W147)-AB147</f>
        <v>398</v>
      </c>
      <c r="AD147" s="666"/>
      <c r="AE147" s="666"/>
      <c r="AF147" s="669"/>
      <c r="AG147" s="669"/>
      <c r="AH147" s="669"/>
      <c r="AI147" s="669"/>
      <c r="AJ147" s="669"/>
      <c r="AK147" s="669"/>
      <c r="AL147" s="664"/>
      <c r="AN147" s="610"/>
      <c r="AO147" s="659"/>
      <c r="AP147" s="660" t="s">
        <v>595</v>
      </c>
      <c r="AQ147" s="661">
        <f>AR147+AW147</f>
        <v>10</v>
      </c>
      <c r="AR147" s="661">
        <f>AS147+AT147</f>
        <v>10</v>
      </c>
      <c r="AS147" s="661"/>
      <c r="AT147" s="661">
        <v>10</v>
      </c>
      <c r="AU147" s="661"/>
      <c r="AV147" s="661">
        <v>9</v>
      </c>
      <c r="AW147" s="661"/>
      <c r="AX147" s="661"/>
      <c r="AY147" s="666">
        <f>BG147+BN147+BO147+BP147</f>
        <v>1422</v>
      </c>
      <c r="AZ147" s="670">
        <f>493+37+2+125</f>
        <v>657</v>
      </c>
      <c r="BA147" s="666">
        <v>215</v>
      </c>
      <c r="BB147" s="666">
        <v>46</v>
      </c>
      <c r="BC147" s="666"/>
      <c r="BD147" s="666"/>
      <c r="BE147" s="666">
        <f>(BA147+BB147)*10%</f>
        <v>26.1</v>
      </c>
      <c r="BF147" s="667">
        <f>ROUND(BE147,0)</f>
        <v>26</v>
      </c>
      <c r="BG147" s="666">
        <f>(AZ147+BA147+BB147+BC147)-BF147</f>
        <v>892</v>
      </c>
      <c r="BH147" s="666">
        <v>204</v>
      </c>
      <c r="BI147" s="666"/>
      <c r="BJ147" s="666">
        <v>346</v>
      </c>
      <c r="BK147" s="666"/>
      <c r="BL147" s="666">
        <f>BH147*10%</f>
        <v>20.400000000000002</v>
      </c>
      <c r="BM147" s="667">
        <f>ROUND(BL147,0)</f>
        <v>20</v>
      </c>
      <c r="BN147" s="666">
        <f>(BH147+BI147+BJ147)-BM147</f>
        <v>530</v>
      </c>
      <c r="BO147" s="666"/>
      <c r="BP147" s="666"/>
      <c r="BQ147" s="666"/>
      <c r="BR147" s="666"/>
      <c r="BS147" s="666"/>
      <c r="BT147" s="666"/>
      <c r="BU147" s="666"/>
      <c r="BV147" s="666"/>
      <c r="BW147" s="662"/>
    </row>
    <row r="148" spans="1:75">
      <c r="A148" s="659">
        <v>45</v>
      </c>
      <c r="B148" s="660" t="s">
        <v>596</v>
      </c>
      <c r="C148" s="661">
        <f>D148+I148</f>
        <v>35</v>
      </c>
      <c r="D148" s="661">
        <f>E148+F148</f>
        <v>29</v>
      </c>
      <c r="E148" s="661">
        <v>29</v>
      </c>
      <c r="F148" s="661"/>
      <c r="G148" s="661">
        <v>27</v>
      </c>
      <c r="H148" s="661"/>
      <c r="I148" s="661">
        <v>6</v>
      </c>
      <c r="J148" s="661">
        <v>6</v>
      </c>
      <c r="K148" s="989">
        <f t="shared" si="207"/>
        <v>11286</v>
      </c>
      <c r="L148" s="666">
        <f>U148+AC148+AD148+AE148</f>
        <v>11376</v>
      </c>
      <c r="M148" s="666">
        <v>3750</v>
      </c>
      <c r="N148" s="666">
        <v>639</v>
      </c>
      <c r="O148" s="666">
        <f>144</f>
        <v>144</v>
      </c>
      <c r="P148" s="666">
        <v>157</v>
      </c>
      <c r="Q148" s="666"/>
      <c r="R148" s="666"/>
      <c r="S148" s="667">
        <v>90</v>
      </c>
      <c r="T148" s="667">
        <f>ROUND((Q148+R148+S148),0)</f>
        <v>90</v>
      </c>
      <c r="U148" s="666">
        <f>(M148+N148+O148+P148)-T148</f>
        <v>4600</v>
      </c>
      <c r="V148" s="666">
        <f>6522-200</f>
        <v>6322</v>
      </c>
      <c r="W148" s="666">
        <v>845</v>
      </c>
      <c r="X148" s="666"/>
      <c r="Y148" s="667">
        <f>Z148-BM148</f>
        <v>19.200000000000045</v>
      </c>
      <c r="Z148" s="668">
        <f>(V148-450)*10%</f>
        <v>587.20000000000005</v>
      </c>
      <c r="AA148" s="667">
        <v>462</v>
      </c>
      <c r="AB148" s="667">
        <f>ROUND((Y148+AA148+X148),0)</f>
        <v>481</v>
      </c>
      <c r="AC148" s="666">
        <f>(V148+W148)-AB148</f>
        <v>6686</v>
      </c>
      <c r="AD148" s="666">
        <v>90</v>
      </c>
      <c r="AE148" s="666"/>
      <c r="AF148" s="669"/>
      <c r="AG148" s="669"/>
      <c r="AH148" s="669"/>
      <c r="AI148" s="669"/>
      <c r="AJ148" s="669"/>
      <c r="AK148" s="669"/>
      <c r="AL148" s="664"/>
      <c r="AN148" s="610"/>
      <c r="AO148" s="659">
        <v>48</v>
      </c>
      <c r="AP148" s="660" t="s">
        <v>596</v>
      </c>
      <c r="AQ148" s="661">
        <f>AR148+AW148</f>
        <v>36</v>
      </c>
      <c r="AR148" s="661">
        <f>AS148+AT148</f>
        <v>30</v>
      </c>
      <c r="AS148" s="661">
        <v>30</v>
      </c>
      <c r="AT148" s="661"/>
      <c r="AU148" s="661">
        <v>27</v>
      </c>
      <c r="AV148" s="661"/>
      <c r="AW148" s="661">
        <v>6</v>
      </c>
      <c r="AX148" s="661">
        <v>6</v>
      </c>
      <c r="AY148" s="666">
        <f>BG148+BN148+BO148+BP148</f>
        <v>11830</v>
      </c>
      <c r="AZ148" s="670">
        <f>1895+110+451+509+282+71+66</f>
        <v>3384</v>
      </c>
      <c r="BA148" s="666">
        <v>666</v>
      </c>
      <c r="BB148" s="666">
        <f>144</f>
        <v>144</v>
      </c>
      <c r="BC148" s="666">
        <v>162</v>
      </c>
      <c r="BD148" s="666"/>
      <c r="BE148" s="666">
        <f>(BA148+BB148)*10%</f>
        <v>81</v>
      </c>
      <c r="BF148" s="667">
        <f>ROUND(BE148,0)</f>
        <v>81</v>
      </c>
      <c r="BG148" s="666">
        <f>(AZ148+BA148+BB148+BC148)-BF148</f>
        <v>4275</v>
      </c>
      <c r="BH148" s="666">
        <v>6107</v>
      </c>
      <c r="BI148" s="666"/>
      <c r="BJ148" s="666">
        <f>480+598+696+152</f>
        <v>1926</v>
      </c>
      <c r="BK148" s="666"/>
      <c r="BL148" s="666">
        <f>(BH148-423)*10%</f>
        <v>568.4</v>
      </c>
      <c r="BM148" s="667">
        <f>ROUND(BL148,0)</f>
        <v>568</v>
      </c>
      <c r="BN148" s="666">
        <f>(BH148+BI148+BJ148)-BM148</f>
        <v>7465</v>
      </c>
      <c r="BO148" s="666">
        <v>90</v>
      </c>
      <c r="BP148" s="666"/>
      <c r="BQ148" s="666"/>
      <c r="BR148" s="666"/>
      <c r="BS148" s="666"/>
      <c r="BT148" s="666"/>
      <c r="BU148" s="666"/>
      <c r="BV148" s="666"/>
      <c r="BW148" s="662"/>
    </row>
    <row r="149" spans="1:75">
      <c r="A149" s="659">
        <v>46</v>
      </c>
      <c r="B149" s="660" t="s">
        <v>597</v>
      </c>
      <c r="C149" s="661">
        <f>D149+I149</f>
        <v>42</v>
      </c>
      <c r="D149" s="661">
        <f>E149+F149</f>
        <v>39</v>
      </c>
      <c r="E149" s="661">
        <v>39</v>
      </c>
      <c r="F149" s="661"/>
      <c r="G149" s="661">
        <v>39</v>
      </c>
      <c r="H149" s="661"/>
      <c r="I149" s="661">
        <v>3</v>
      </c>
      <c r="J149" s="661">
        <v>3</v>
      </c>
      <c r="K149" s="989">
        <f t="shared" si="207"/>
        <v>8234</v>
      </c>
      <c r="L149" s="666">
        <f>U149+AC149+AD149+AE149</f>
        <v>8480</v>
      </c>
      <c r="M149" s="666">
        <v>4969</v>
      </c>
      <c r="N149" s="666">
        <v>973</v>
      </c>
      <c r="O149" s="666">
        <v>80</v>
      </c>
      <c r="P149" s="666"/>
      <c r="Q149" s="666"/>
      <c r="R149" s="666">
        <f>((N149+O149)-(BA149+BB149))*10%</f>
        <v>5.3000000000000007</v>
      </c>
      <c r="S149" s="667">
        <v>140</v>
      </c>
      <c r="T149" s="667">
        <f>ROUND((Q149+R149+S149),0)</f>
        <v>145</v>
      </c>
      <c r="U149" s="666">
        <f>(M149+N149+O149+P149)-T149</f>
        <v>5877</v>
      </c>
      <c r="V149" s="666">
        <v>2230</v>
      </c>
      <c r="W149" s="666">
        <v>260</v>
      </c>
      <c r="X149" s="666"/>
      <c r="Y149" s="667">
        <f>Z149-BM149</f>
        <v>23.900000000000006</v>
      </c>
      <c r="Z149" s="668">
        <f>(V149-228-123-500)*10%</f>
        <v>137.9</v>
      </c>
      <c r="AA149" s="667">
        <v>109</v>
      </c>
      <c r="AB149" s="667">
        <f>ROUND((Y149+AA149+X149),0)</f>
        <v>133</v>
      </c>
      <c r="AC149" s="666">
        <f>(V149+W149)-AB149</f>
        <v>2357</v>
      </c>
      <c r="AD149" s="666">
        <v>246</v>
      </c>
      <c r="AE149" s="666"/>
      <c r="AF149" s="669"/>
      <c r="AG149" s="669"/>
      <c r="AH149" s="669"/>
      <c r="AI149" s="669"/>
      <c r="AJ149" s="669"/>
      <c r="AK149" s="669"/>
      <c r="AL149" s="664"/>
      <c r="AN149" s="610"/>
      <c r="AO149" s="659">
        <v>49</v>
      </c>
      <c r="AP149" s="660" t="s">
        <v>597</v>
      </c>
      <c r="AQ149" s="661">
        <f>AR149+AW149</f>
        <v>43</v>
      </c>
      <c r="AR149" s="661">
        <f>AS149+AT149</f>
        <v>40</v>
      </c>
      <c r="AS149" s="661">
        <v>40</v>
      </c>
      <c r="AT149" s="661"/>
      <c r="AU149" s="661">
        <v>38</v>
      </c>
      <c r="AV149" s="661"/>
      <c r="AW149" s="661">
        <v>3</v>
      </c>
      <c r="AX149" s="661">
        <v>3</v>
      </c>
      <c r="AY149" s="666">
        <f>BG149+BN149+BO149+BP149</f>
        <v>7134</v>
      </c>
      <c r="AZ149" s="670">
        <f>4238+187</f>
        <v>4425</v>
      </c>
      <c r="BA149" s="666">
        <f>1000-443</f>
        <v>557</v>
      </c>
      <c r="BB149" s="666">
        <v>443</v>
      </c>
      <c r="BC149" s="666"/>
      <c r="BD149" s="666"/>
      <c r="BE149" s="666">
        <f>(BA149+BB149)*10%</f>
        <v>100</v>
      </c>
      <c r="BF149" s="667">
        <f>ROUND(BE149,0)</f>
        <v>100</v>
      </c>
      <c r="BG149" s="666">
        <f>(AZ149+BA149+BB149+BC149)-BF149</f>
        <v>5325</v>
      </c>
      <c r="BH149" s="666">
        <v>1596</v>
      </c>
      <c r="BI149" s="666"/>
      <c r="BJ149" s="666">
        <v>154</v>
      </c>
      <c r="BK149" s="666"/>
      <c r="BL149" s="666">
        <f>(BH149-228-228)*10%</f>
        <v>114</v>
      </c>
      <c r="BM149" s="667">
        <f>ROUND(BL149,0)</f>
        <v>114</v>
      </c>
      <c r="BN149" s="666">
        <f>(BH149+BI149+BJ149)-BM149</f>
        <v>1636</v>
      </c>
      <c r="BO149" s="666">
        <v>173</v>
      </c>
      <c r="BP149" s="666"/>
      <c r="BQ149" s="666"/>
      <c r="BR149" s="666"/>
      <c r="BS149" s="666"/>
      <c r="BT149" s="666"/>
      <c r="BU149" s="666"/>
      <c r="BV149" s="666"/>
      <c r="BW149" s="662"/>
    </row>
    <row r="150" spans="1:75">
      <c r="A150" s="659">
        <v>47</v>
      </c>
      <c r="B150" s="751" t="s">
        <v>598</v>
      </c>
      <c r="C150" s="661">
        <f>SUM(C151:C156)</f>
        <v>85</v>
      </c>
      <c r="D150" s="661">
        <f t="shared" ref="D150:J150" si="217">SUM(D151:D156)</f>
        <v>77</v>
      </c>
      <c r="E150" s="661">
        <f t="shared" si="217"/>
        <v>10</v>
      </c>
      <c r="F150" s="661">
        <f t="shared" si="217"/>
        <v>67</v>
      </c>
      <c r="G150" s="661">
        <f t="shared" si="217"/>
        <v>10</v>
      </c>
      <c r="H150" s="661">
        <f t="shared" si="217"/>
        <v>61</v>
      </c>
      <c r="I150" s="661">
        <f t="shared" si="217"/>
        <v>8</v>
      </c>
      <c r="J150" s="661">
        <f t="shared" si="217"/>
        <v>7</v>
      </c>
      <c r="K150" s="989">
        <f t="shared" si="207"/>
        <v>24555</v>
      </c>
      <c r="L150" s="666">
        <f>SUM(L151:L156)</f>
        <v>30144</v>
      </c>
      <c r="M150" s="666">
        <f>SUM(M151:M156)</f>
        <v>7541</v>
      </c>
      <c r="N150" s="666">
        <f>SUM(N151:N156)</f>
        <v>1894</v>
      </c>
      <c r="O150" s="666">
        <f t="shared" ref="O150:AK150" si="218">SUM(O151:O156)</f>
        <v>249</v>
      </c>
      <c r="P150" s="666">
        <f t="shared" si="218"/>
        <v>0</v>
      </c>
      <c r="Q150" s="666">
        <f t="shared" si="218"/>
        <v>0</v>
      </c>
      <c r="R150" s="666">
        <f t="shared" si="218"/>
        <v>25.900000000000002</v>
      </c>
      <c r="S150" s="667">
        <f t="shared" si="218"/>
        <v>221</v>
      </c>
      <c r="T150" s="667">
        <f t="shared" si="218"/>
        <v>247</v>
      </c>
      <c r="U150" s="666">
        <f t="shared" si="218"/>
        <v>9437</v>
      </c>
      <c r="V150" s="666">
        <f t="shared" si="218"/>
        <v>14479</v>
      </c>
      <c r="W150" s="666">
        <f t="shared" si="218"/>
        <v>1122</v>
      </c>
      <c r="X150" s="666">
        <f t="shared" si="218"/>
        <v>0</v>
      </c>
      <c r="Y150" s="667">
        <f t="shared" si="218"/>
        <v>114.1</v>
      </c>
      <c r="Z150" s="666">
        <f t="shared" si="218"/>
        <v>395.79999999999995</v>
      </c>
      <c r="AA150" s="667">
        <f t="shared" si="218"/>
        <v>369</v>
      </c>
      <c r="AB150" s="667">
        <f t="shared" si="218"/>
        <v>483</v>
      </c>
      <c r="AC150" s="666">
        <f t="shared" si="218"/>
        <v>15118</v>
      </c>
      <c r="AD150" s="666">
        <f t="shared" si="218"/>
        <v>5589</v>
      </c>
      <c r="AE150" s="666">
        <f t="shared" si="218"/>
        <v>0</v>
      </c>
      <c r="AF150" s="669"/>
      <c r="AG150" s="669">
        <f>SUM(AG151:AG156)</f>
        <v>0</v>
      </c>
      <c r="AH150" s="669">
        <f>SUM(AH151:AH156)</f>
        <v>0</v>
      </c>
      <c r="AI150" s="669">
        <f t="shared" si="218"/>
        <v>0</v>
      </c>
      <c r="AJ150" s="669">
        <f t="shared" si="218"/>
        <v>0</v>
      </c>
      <c r="AK150" s="669">
        <f t="shared" si="218"/>
        <v>0</v>
      </c>
      <c r="AL150" s="669"/>
      <c r="AN150" s="610"/>
      <c r="AO150" s="659">
        <v>50</v>
      </c>
      <c r="AP150" s="751" t="s">
        <v>598</v>
      </c>
      <c r="AQ150" s="661">
        <f>SUM(AQ151:AQ156)</f>
        <v>82</v>
      </c>
      <c r="AR150" s="661">
        <f t="shared" ref="AR150:AX150" si="219">SUM(AR151:AR156)</f>
        <v>74</v>
      </c>
      <c r="AS150" s="661">
        <f t="shared" si="219"/>
        <v>65</v>
      </c>
      <c r="AT150" s="661">
        <f t="shared" si="219"/>
        <v>9</v>
      </c>
      <c r="AU150" s="661">
        <f t="shared" si="219"/>
        <v>61</v>
      </c>
      <c r="AV150" s="661">
        <f t="shared" si="219"/>
        <v>7</v>
      </c>
      <c r="AW150" s="661">
        <f t="shared" si="219"/>
        <v>8</v>
      </c>
      <c r="AX150" s="661">
        <f t="shared" si="219"/>
        <v>4</v>
      </c>
      <c r="AY150" s="666">
        <f>SUM(AY151:AY156)</f>
        <v>27012</v>
      </c>
      <c r="AZ150" s="670">
        <f>SUM(AZ151:AZ156)</f>
        <v>6810</v>
      </c>
      <c r="BA150" s="666">
        <f>SUM(BA151:BA156)</f>
        <v>1726</v>
      </c>
      <c r="BB150" s="666">
        <f t="shared" ref="BB150:BV150" si="220">SUM(BB151:BB156)</f>
        <v>326</v>
      </c>
      <c r="BC150" s="666">
        <f t="shared" si="220"/>
        <v>0</v>
      </c>
      <c r="BD150" s="666">
        <f t="shared" si="220"/>
        <v>0</v>
      </c>
      <c r="BE150" s="666">
        <f t="shared" si="220"/>
        <v>205.20000000000002</v>
      </c>
      <c r="BF150" s="667">
        <f t="shared" si="220"/>
        <v>206</v>
      </c>
      <c r="BG150" s="666">
        <f t="shared" si="220"/>
        <v>8656</v>
      </c>
      <c r="BH150" s="666">
        <f t="shared" si="220"/>
        <v>13342</v>
      </c>
      <c r="BI150" s="666">
        <f t="shared" si="220"/>
        <v>0</v>
      </c>
      <c r="BJ150" s="666">
        <f t="shared" si="220"/>
        <v>150</v>
      </c>
      <c r="BK150" s="666">
        <f t="shared" si="220"/>
        <v>0</v>
      </c>
      <c r="BL150" s="666">
        <f t="shared" si="220"/>
        <v>341</v>
      </c>
      <c r="BM150" s="667">
        <f t="shared" si="220"/>
        <v>341</v>
      </c>
      <c r="BN150" s="666">
        <f t="shared" si="220"/>
        <v>13151</v>
      </c>
      <c r="BO150" s="666">
        <f t="shared" si="220"/>
        <v>5205</v>
      </c>
      <c r="BP150" s="666">
        <f t="shared" si="220"/>
        <v>0</v>
      </c>
      <c r="BQ150" s="666">
        <f t="shared" si="220"/>
        <v>808</v>
      </c>
      <c r="BR150" s="666">
        <f>SUM(BR151:BR156)</f>
        <v>0</v>
      </c>
      <c r="BS150" s="666">
        <f>SUM(BS151:BS156)</f>
        <v>0</v>
      </c>
      <c r="BT150" s="666">
        <f t="shared" si="220"/>
        <v>0</v>
      </c>
      <c r="BU150" s="666">
        <f t="shared" si="220"/>
        <v>0</v>
      </c>
      <c r="BV150" s="666">
        <f t="shared" si="220"/>
        <v>0</v>
      </c>
      <c r="BW150" s="666"/>
    </row>
    <row r="151" spans="1:75">
      <c r="A151" s="659"/>
      <c r="B151" s="660" t="s">
        <v>599</v>
      </c>
      <c r="C151" s="661">
        <f t="shared" ref="C151:C159" si="221">D151+I151</f>
        <v>38</v>
      </c>
      <c r="D151" s="661">
        <f t="shared" ref="D151:D159" si="222">E151+F151</f>
        <v>35</v>
      </c>
      <c r="E151" s="661"/>
      <c r="F151" s="661">
        <v>35</v>
      </c>
      <c r="G151" s="661"/>
      <c r="H151" s="661">
        <v>33</v>
      </c>
      <c r="I151" s="661">
        <v>3</v>
      </c>
      <c r="J151" s="661">
        <v>3</v>
      </c>
      <c r="K151" s="989">
        <f t="shared" si="207"/>
        <v>5636</v>
      </c>
      <c r="L151" s="666">
        <f t="shared" ref="L151:L159" si="223">U151+AC151+AD151+AE151</f>
        <v>10636</v>
      </c>
      <c r="M151" s="666">
        <v>3942</v>
      </c>
      <c r="N151" s="666">
        <v>840</v>
      </c>
      <c r="O151" s="666">
        <v>105</v>
      </c>
      <c r="P151" s="666"/>
      <c r="Q151" s="666"/>
      <c r="R151" s="666">
        <f>((N151+O151)-(BA151+BB151))*10%</f>
        <v>2.7</v>
      </c>
      <c r="S151" s="667">
        <v>101</v>
      </c>
      <c r="T151" s="667">
        <f t="shared" ref="T151:T159" si="224">ROUND((Q151+R151+S151),0)</f>
        <v>104</v>
      </c>
      <c r="U151" s="666">
        <f t="shared" ref="U151:U159" si="225">(M151+N151+O151+P151)-T151</f>
        <v>4783</v>
      </c>
      <c r="V151" s="666">
        <v>938</v>
      </c>
      <c r="W151" s="666">
        <v>79</v>
      </c>
      <c r="X151" s="666"/>
      <c r="Y151" s="667"/>
      <c r="Z151" s="668">
        <f>(V151-22-50-9-10)*10%</f>
        <v>84.7</v>
      </c>
      <c r="AA151" s="667">
        <v>164</v>
      </c>
      <c r="AB151" s="667">
        <f t="shared" ref="AB151:AB159" si="226">ROUND((Y151+AA151+X151),0)</f>
        <v>164</v>
      </c>
      <c r="AC151" s="666">
        <f t="shared" ref="AC151:AC159" si="227">(V151+W151)-AB151</f>
        <v>853</v>
      </c>
      <c r="AD151" s="666">
        <v>5000</v>
      </c>
      <c r="AE151" s="666"/>
      <c r="AF151" s="669"/>
      <c r="AG151" s="669"/>
      <c r="AH151" s="669"/>
      <c r="AI151" s="669"/>
      <c r="AJ151" s="669"/>
      <c r="AK151" s="669"/>
      <c r="AL151" s="664"/>
      <c r="AN151" s="610"/>
      <c r="AO151" s="659"/>
      <c r="AP151" s="660" t="s">
        <v>599</v>
      </c>
      <c r="AQ151" s="661">
        <f t="shared" ref="AQ151:AQ159" si="228">AR151+AW151</f>
        <v>37</v>
      </c>
      <c r="AR151" s="661">
        <f t="shared" ref="AR151:AR159" si="229">AS151+AT151</f>
        <v>34</v>
      </c>
      <c r="AS151" s="661">
        <v>34</v>
      </c>
      <c r="AT151" s="661"/>
      <c r="AU151" s="661">
        <v>34</v>
      </c>
      <c r="AV151" s="661"/>
      <c r="AW151" s="661">
        <v>3</v>
      </c>
      <c r="AX151" s="661">
        <v>3</v>
      </c>
      <c r="AY151" s="666">
        <f t="shared" ref="AY151:AY159" si="230">BG151+BN151+BO151+BP151</f>
        <v>10679</v>
      </c>
      <c r="AZ151" s="670">
        <f>3318+170</f>
        <v>3488</v>
      </c>
      <c r="BA151" s="666">
        <f>918-172</f>
        <v>746</v>
      </c>
      <c r="BB151" s="666">
        <v>172</v>
      </c>
      <c r="BC151" s="666"/>
      <c r="BD151" s="666"/>
      <c r="BE151" s="666">
        <f>(BA151+BB151)*10%</f>
        <v>91.800000000000011</v>
      </c>
      <c r="BF151" s="667">
        <f t="shared" ref="BF151:BF159" si="231">ROUND(BE151,0)</f>
        <v>92</v>
      </c>
      <c r="BG151" s="666">
        <f t="shared" ref="BG151:BG159" si="232">(AZ151+BA151+BB151+BC151)-BF151</f>
        <v>4314</v>
      </c>
      <c r="BH151" s="666">
        <v>1472</v>
      </c>
      <c r="BI151" s="666"/>
      <c r="BJ151" s="666">
        <v>70</v>
      </c>
      <c r="BK151" s="666"/>
      <c r="BL151" s="666">
        <v>144</v>
      </c>
      <c r="BM151" s="667">
        <f>ROUND(BL151,0)</f>
        <v>144</v>
      </c>
      <c r="BN151" s="666">
        <f t="shared" ref="BN151:BN159" si="233">(BH151+BI151+BJ151)-BM151</f>
        <v>1398</v>
      </c>
      <c r="BO151" s="666">
        <f>5000-33</f>
        <v>4967</v>
      </c>
      <c r="BP151" s="666"/>
      <c r="BQ151" s="666"/>
      <c r="BR151" s="666"/>
      <c r="BS151" s="666"/>
      <c r="BT151" s="666"/>
      <c r="BU151" s="666"/>
      <c r="BV151" s="666"/>
      <c r="BW151" s="662"/>
    </row>
    <row r="152" spans="1:75" s="681" customFormat="1">
      <c r="A152" s="671"/>
      <c r="B152" s="672" t="s">
        <v>600</v>
      </c>
      <c r="C152" s="673">
        <f t="shared" si="221"/>
        <v>10</v>
      </c>
      <c r="D152" s="673">
        <f t="shared" si="222"/>
        <v>9</v>
      </c>
      <c r="E152" s="673"/>
      <c r="F152" s="673">
        <v>9</v>
      </c>
      <c r="G152" s="673"/>
      <c r="H152" s="673">
        <v>8</v>
      </c>
      <c r="I152" s="673">
        <v>1</v>
      </c>
      <c r="J152" s="673">
        <v>1</v>
      </c>
      <c r="K152" s="989">
        <f t="shared" si="207"/>
        <v>10975</v>
      </c>
      <c r="L152" s="674">
        <f t="shared" si="223"/>
        <v>10995</v>
      </c>
      <c r="M152" s="674">
        <v>786</v>
      </c>
      <c r="N152" s="674">
        <v>251</v>
      </c>
      <c r="O152" s="674">
        <v>10</v>
      </c>
      <c r="P152" s="674"/>
      <c r="Q152" s="674"/>
      <c r="R152" s="674"/>
      <c r="S152" s="675">
        <v>33</v>
      </c>
      <c r="T152" s="667">
        <f t="shared" si="224"/>
        <v>33</v>
      </c>
      <c r="U152" s="666">
        <f t="shared" si="225"/>
        <v>1014</v>
      </c>
      <c r="V152" s="674">
        <v>9930</v>
      </c>
      <c r="W152" s="674">
        <v>31</v>
      </c>
      <c r="X152" s="674"/>
      <c r="Y152" s="675">
        <f t="shared" ref="Y152:Y157" si="234">Z152-BM152</f>
        <v>0</v>
      </c>
      <c r="Z152" s="676">
        <f>(V152-9930)*10%</f>
        <v>0</v>
      </c>
      <c r="AA152" s="675"/>
      <c r="AB152" s="667">
        <f t="shared" si="226"/>
        <v>0</v>
      </c>
      <c r="AC152" s="666">
        <f t="shared" si="227"/>
        <v>9961</v>
      </c>
      <c r="AD152" s="674">
        <v>20</v>
      </c>
      <c r="AE152" s="674"/>
      <c r="AF152" s="677"/>
      <c r="AG152" s="677"/>
      <c r="AH152" s="677"/>
      <c r="AI152" s="677"/>
      <c r="AJ152" s="677"/>
      <c r="AK152" s="677"/>
      <c r="AL152" s="790"/>
      <c r="AM152" s="791"/>
      <c r="AN152" s="679"/>
      <c r="AO152" s="671"/>
      <c r="AP152" s="672" t="s">
        <v>600</v>
      </c>
      <c r="AQ152" s="673">
        <f t="shared" si="228"/>
        <v>11</v>
      </c>
      <c r="AR152" s="673">
        <f t="shared" si="229"/>
        <v>11</v>
      </c>
      <c r="AS152" s="673">
        <v>11</v>
      </c>
      <c r="AT152" s="673"/>
      <c r="AU152" s="673">
        <v>10</v>
      </c>
      <c r="AV152" s="673"/>
      <c r="AW152" s="673"/>
      <c r="AX152" s="673">
        <v>0</v>
      </c>
      <c r="AY152" s="674">
        <f t="shared" si="230"/>
        <v>10804</v>
      </c>
      <c r="AZ152" s="680">
        <f>937+0</f>
        <v>937</v>
      </c>
      <c r="BA152" s="674">
        <f>319-58</f>
        <v>261</v>
      </c>
      <c r="BB152" s="674">
        <v>58</v>
      </c>
      <c r="BC152" s="674"/>
      <c r="BD152" s="674"/>
      <c r="BE152" s="674">
        <f>(BA152+BB152)*10%</f>
        <v>31.900000000000002</v>
      </c>
      <c r="BF152" s="675">
        <f t="shared" si="231"/>
        <v>32</v>
      </c>
      <c r="BG152" s="674">
        <f t="shared" si="232"/>
        <v>1224</v>
      </c>
      <c r="BH152" s="674">
        <v>9500</v>
      </c>
      <c r="BI152" s="674"/>
      <c r="BJ152" s="674">
        <v>80</v>
      </c>
      <c r="BK152" s="674"/>
      <c r="BL152" s="674"/>
      <c r="BM152" s="675">
        <f>ROUND(BL152,0)</f>
        <v>0</v>
      </c>
      <c r="BN152" s="674">
        <f t="shared" si="233"/>
        <v>9580</v>
      </c>
      <c r="BO152" s="674"/>
      <c r="BP152" s="674"/>
      <c r="BQ152" s="674"/>
      <c r="BR152" s="674"/>
      <c r="BS152" s="674"/>
      <c r="BT152" s="674"/>
      <c r="BU152" s="674"/>
      <c r="BV152" s="674"/>
      <c r="BW152" s="678"/>
    </row>
    <row r="153" spans="1:75" s="681" customFormat="1">
      <c r="A153" s="671"/>
      <c r="B153" s="672" t="s">
        <v>601</v>
      </c>
      <c r="C153" s="673">
        <f t="shared" si="221"/>
        <v>11</v>
      </c>
      <c r="D153" s="673">
        <f t="shared" si="222"/>
        <v>10</v>
      </c>
      <c r="E153" s="673"/>
      <c r="F153" s="673">
        <v>10</v>
      </c>
      <c r="G153" s="673"/>
      <c r="H153" s="673">
        <v>9</v>
      </c>
      <c r="I153" s="673">
        <v>1</v>
      </c>
      <c r="J153" s="673">
        <v>1</v>
      </c>
      <c r="K153" s="989">
        <f t="shared" si="207"/>
        <v>3989</v>
      </c>
      <c r="L153" s="674">
        <f t="shared" si="223"/>
        <v>4558</v>
      </c>
      <c r="M153" s="674">
        <v>942</v>
      </c>
      <c r="N153" s="674">
        <v>255</v>
      </c>
      <c r="O153" s="674">
        <v>35</v>
      </c>
      <c r="P153" s="674"/>
      <c r="Q153" s="674"/>
      <c r="R153" s="674"/>
      <c r="S153" s="675">
        <v>35</v>
      </c>
      <c r="T153" s="667">
        <f t="shared" si="224"/>
        <v>35</v>
      </c>
      <c r="U153" s="666">
        <f t="shared" si="225"/>
        <v>1197</v>
      </c>
      <c r="V153" s="674">
        <v>2870</v>
      </c>
      <c r="W153" s="674">
        <v>187</v>
      </c>
      <c r="X153" s="674"/>
      <c r="Y153" s="675">
        <f t="shared" si="234"/>
        <v>60</v>
      </c>
      <c r="Z153" s="676">
        <f>(V153-500)*10%</f>
        <v>237</v>
      </c>
      <c r="AA153" s="675">
        <v>205</v>
      </c>
      <c r="AB153" s="667">
        <f t="shared" si="226"/>
        <v>265</v>
      </c>
      <c r="AC153" s="666">
        <f t="shared" si="227"/>
        <v>2792</v>
      </c>
      <c r="AD153" s="674">
        <v>569</v>
      </c>
      <c r="AE153" s="674"/>
      <c r="AF153" s="677"/>
      <c r="AG153" s="677"/>
      <c r="AH153" s="677"/>
      <c r="AI153" s="677"/>
      <c r="AJ153" s="677"/>
      <c r="AK153" s="677"/>
      <c r="AL153" s="790"/>
      <c r="AM153" s="791"/>
      <c r="AN153" s="679"/>
      <c r="AO153" s="671"/>
      <c r="AP153" s="672" t="s">
        <v>601</v>
      </c>
      <c r="AQ153" s="673">
        <f t="shared" si="228"/>
        <v>12</v>
      </c>
      <c r="AR153" s="673">
        <f t="shared" si="229"/>
        <v>11</v>
      </c>
      <c r="AS153" s="673">
        <v>11</v>
      </c>
      <c r="AT153" s="673"/>
      <c r="AU153" s="673">
        <v>9</v>
      </c>
      <c r="AV153" s="673"/>
      <c r="AW153" s="673">
        <v>1</v>
      </c>
      <c r="AX153" s="673">
        <v>1</v>
      </c>
      <c r="AY153" s="674">
        <f t="shared" si="230"/>
        <v>3521</v>
      </c>
      <c r="AZ153" s="680">
        <f>970+53</f>
        <v>1023</v>
      </c>
      <c r="BA153" s="674">
        <f>319-41</f>
        <v>278</v>
      </c>
      <c r="BB153" s="674">
        <v>41</v>
      </c>
      <c r="BC153" s="674"/>
      <c r="BD153" s="674"/>
      <c r="BE153" s="674">
        <f>(BA153+BB153)*10%</f>
        <v>31.900000000000002</v>
      </c>
      <c r="BF153" s="675">
        <f t="shared" si="231"/>
        <v>32</v>
      </c>
      <c r="BG153" s="674">
        <f t="shared" si="232"/>
        <v>1310</v>
      </c>
      <c r="BH153" s="674">
        <v>2170</v>
      </c>
      <c r="BI153" s="674"/>
      <c r="BJ153" s="674"/>
      <c r="BK153" s="674"/>
      <c r="BL153" s="674">
        <v>177</v>
      </c>
      <c r="BM153" s="675">
        <f>ROUND(BL153,0)</f>
        <v>177</v>
      </c>
      <c r="BN153" s="674">
        <f t="shared" si="233"/>
        <v>1993</v>
      </c>
      <c r="BO153" s="674">
        <v>218</v>
      </c>
      <c r="BP153" s="674"/>
      <c r="BQ153" s="674"/>
      <c r="BR153" s="674"/>
      <c r="BS153" s="674"/>
      <c r="BT153" s="674"/>
      <c r="BU153" s="674"/>
      <c r="BV153" s="674"/>
      <c r="BW153" s="678"/>
    </row>
    <row r="154" spans="1:75" s="681" customFormat="1">
      <c r="A154" s="671"/>
      <c r="B154" s="672" t="s">
        <v>602</v>
      </c>
      <c r="C154" s="673">
        <f>D154+I154</f>
        <v>11</v>
      </c>
      <c r="D154" s="673">
        <f>E154+F154</f>
        <v>8</v>
      </c>
      <c r="E154" s="673">
        <v>2</v>
      </c>
      <c r="F154" s="673">
        <v>6</v>
      </c>
      <c r="G154" s="673">
        <v>2</v>
      </c>
      <c r="H154" s="673">
        <v>5</v>
      </c>
      <c r="I154" s="673">
        <v>3</v>
      </c>
      <c r="J154" s="673">
        <v>2</v>
      </c>
      <c r="K154" s="989">
        <f t="shared" si="207"/>
        <v>1715</v>
      </c>
      <c r="L154" s="674">
        <f t="shared" si="223"/>
        <v>1715</v>
      </c>
      <c r="M154" s="674">
        <v>637</v>
      </c>
      <c r="N154" s="674">
        <v>212</v>
      </c>
      <c r="O154" s="674">
        <v>20</v>
      </c>
      <c r="P154" s="674"/>
      <c r="Q154" s="674"/>
      <c r="R154" s="674">
        <f>((N154+O154)-(BA154+BB154))*10%</f>
        <v>23.200000000000003</v>
      </c>
      <c r="S154" s="675"/>
      <c r="T154" s="667">
        <f t="shared" si="224"/>
        <v>23</v>
      </c>
      <c r="U154" s="666">
        <f t="shared" si="225"/>
        <v>846</v>
      </c>
      <c r="V154" s="674">
        <v>377</v>
      </c>
      <c r="W154" s="674">
        <v>530</v>
      </c>
      <c r="X154" s="674"/>
      <c r="Y154" s="675">
        <f t="shared" si="234"/>
        <v>37.700000000000003</v>
      </c>
      <c r="Z154" s="676">
        <f>V154*10%</f>
        <v>37.700000000000003</v>
      </c>
      <c r="AA154" s="675"/>
      <c r="AB154" s="667">
        <f t="shared" si="226"/>
        <v>38</v>
      </c>
      <c r="AC154" s="666">
        <f t="shared" si="227"/>
        <v>869</v>
      </c>
      <c r="AD154" s="674"/>
      <c r="AE154" s="674"/>
      <c r="AF154" s="677"/>
      <c r="AG154" s="677"/>
      <c r="AH154" s="677"/>
      <c r="AI154" s="677"/>
      <c r="AJ154" s="677"/>
      <c r="AK154" s="677"/>
      <c r="AL154" s="790"/>
      <c r="AM154" s="791"/>
      <c r="AN154" s="679"/>
      <c r="AO154" s="671"/>
      <c r="AP154" s="672"/>
      <c r="AQ154" s="673"/>
      <c r="AR154" s="673"/>
      <c r="AS154" s="673"/>
      <c r="AT154" s="673"/>
      <c r="AU154" s="673"/>
      <c r="AV154" s="673"/>
      <c r="AW154" s="673"/>
      <c r="AX154" s="673"/>
      <c r="AY154" s="674"/>
      <c r="AZ154" s="680"/>
      <c r="BA154" s="674"/>
      <c r="BB154" s="674"/>
      <c r="BC154" s="674"/>
      <c r="BD154" s="674"/>
      <c r="BE154" s="674"/>
      <c r="BF154" s="675"/>
      <c r="BG154" s="674"/>
      <c r="BH154" s="674"/>
      <c r="BI154" s="674"/>
      <c r="BJ154" s="674"/>
      <c r="BK154" s="674"/>
      <c r="BL154" s="674"/>
      <c r="BM154" s="675"/>
      <c r="BN154" s="674"/>
      <c r="BO154" s="674"/>
      <c r="BP154" s="674"/>
      <c r="BQ154" s="674"/>
      <c r="BR154" s="674"/>
      <c r="BS154" s="674"/>
      <c r="BT154" s="674"/>
      <c r="BU154" s="674"/>
      <c r="BV154" s="674"/>
      <c r="BW154" s="678"/>
    </row>
    <row r="155" spans="1:75" s="681" customFormat="1">
      <c r="A155" s="671"/>
      <c r="B155" s="672" t="s">
        <v>603</v>
      </c>
      <c r="C155" s="673">
        <f t="shared" si="221"/>
        <v>7</v>
      </c>
      <c r="D155" s="673">
        <f t="shared" si="222"/>
        <v>7</v>
      </c>
      <c r="E155" s="673"/>
      <c r="F155" s="673">
        <v>7</v>
      </c>
      <c r="G155" s="673"/>
      <c r="H155" s="673">
        <v>6</v>
      </c>
      <c r="I155" s="673"/>
      <c r="J155" s="673"/>
      <c r="K155" s="989">
        <f t="shared" si="207"/>
        <v>1258</v>
      </c>
      <c r="L155" s="674">
        <f t="shared" si="223"/>
        <v>1258</v>
      </c>
      <c r="M155" s="674">
        <v>432</v>
      </c>
      <c r="N155" s="674">
        <v>133</v>
      </c>
      <c r="O155" s="674">
        <v>50</v>
      </c>
      <c r="P155" s="674"/>
      <c r="Q155" s="674"/>
      <c r="R155" s="674"/>
      <c r="S155" s="675"/>
      <c r="T155" s="667">
        <f t="shared" si="224"/>
        <v>0</v>
      </c>
      <c r="U155" s="666">
        <f t="shared" si="225"/>
        <v>615</v>
      </c>
      <c r="V155" s="674">
        <v>364</v>
      </c>
      <c r="W155" s="674">
        <v>295</v>
      </c>
      <c r="X155" s="674"/>
      <c r="Y155" s="675">
        <f t="shared" si="234"/>
        <v>16.399999999999999</v>
      </c>
      <c r="Z155" s="676">
        <f>V155*10%</f>
        <v>36.4</v>
      </c>
      <c r="AA155" s="675"/>
      <c r="AB155" s="667">
        <f t="shared" si="226"/>
        <v>16</v>
      </c>
      <c r="AC155" s="666">
        <f t="shared" si="227"/>
        <v>643</v>
      </c>
      <c r="AD155" s="674"/>
      <c r="AE155" s="674"/>
      <c r="AF155" s="677"/>
      <c r="AG155" s="677"/>
      <c r="AH155" s="677"/>
      <c r="AI155" s="677"/>
      <c r="AJ155" s="677"/>
      <c r="AK155" s="677"/>
      <c r="AL155" s="790"/>
      <c r="AM155" s="791"/>
      <c r="AN155" s="679"/>
      <c r="AO155" s="671"/>
      <c r="AP155" s="672" t="s">
        <v>603</v>
      </c>
      <c r="AQ155" s="673">
        <f t="shared" si="228"/>
        <v>12</v>
      </c>
      <c r="AR155" s="673">
        <f t="shared" si="229"/>
        <v>9</v>
      </c>
      <c r="AS155" s="673"/>
      <c r="AT155" s="673">
        <v>9</v>
      </c>
      <c r="AU155" s="673"/>
      <c r="AV155" s="673">
        <v>7</v>
      </c>
      <c r="AW155" s="673">
        <v>3</v>
      </c>
      <c r="AX155" s="673"/>
      <c r="AY155" s="674">
        <f t="shared" si="230"/>
        <v>998</v>
      </c>
      <c r="AZ155" s="680">
        <f>524+83</f>
        <v>607</v>
      </c>
      <c r="BA155" s="674">
        <f>235-35</f>
        <v>200</v>
      </c>
      <c r="BB155" s="674">
        <v>35</v>
      </c>
      <c r="BC155" s="674"/>
      <c r="BD155" s="674"/>
      <c r="BE155" s="674">
        <f>(BA155+BB155)*10%</f>
        <v>23.5</v>
      </c>
      <c r="BF155" s="675">
        <f t="shared" si="231"/>
        <v>24</v>
      </c>
      <c r="BG155" s="674">
        <f t="shared" si="232"/>
        <v>818</v>
      </c>
      <c r="BH155" s="674">
        <v>200</v>
      </c>
      <c r="BI155" s="674"/>
      <c r="BJ155" s="674"/>
      <c r="BK155" s="674"/>
      <c r="BL155" s="674">
        <v>20</v>
      </c>
      <c r="BM155" s="675">
        <f>ROUND(BL155,0)</f>
        <v>20</v>
      </c>
      <c r="BN155" s="674">
        <f t="shared" si="233"/>
        <v>180</v>
      </c>
      <c r="BO155" s="674"/>
      <c r="BP155" s="674"/>
      <c r="BQ155" s="674"/>
      <c r="BR155" s="674"/>
      <c r="BS155" s="674"/>
      <c r="BT155" s="674"/>
      <c r="BU155" s="674"/>
      <c r="BV155" s="674"/>
      <c r="BW155" s="678"/>
    </row>
    <row r="156" spans="1:75">
      <c r="A156" s="659"/>
      <c r="B156" s="660" t="s">
        <v>604</v>
      </c>
      <c r="C156" s="661">
        <f t="shared" si="221"/>
        <v>8</v>
      </c>
      <c r="D156" s="661">
        <f t="shared" si="222"/>
        <v>8</v>
      </c>
      <c r="E156" s="661">
        <v>8</v>
      </c>
      <c r="F156" s="661"/>
      <c r="G156" s="661">
        <v>8</v>
      </c>
      <c r="H156" s="661"/>
      <c r="I156" s="661"/>
      <c r="J156" s="661"/>
      <c r="K156" s="989">
        <f t="shared" si="207"/>
        <v>982</v>
      </c>
      <c r="L156" s="666">
        <f t="shared" si="223"/>
        <v>982</v>
      </c>
      <c r="M156" s="666">
        <v>802</v>
      </c>
      <c r="N156" s="666">
        <v>203</v>
      </c>
      <c r="O156" s="666">
        <v>29</v>
      </c>
      <c r="P156" s="666"/>
      <c r="Q156" s="666"/>
      <c r="R156" s="666"/>
      <c r="S156" s="667">
        <v>52</v>
      </c>
      <c r="T156" s="667">
        <f t="shared" si="224"/>
        <v>52</v>
      </c>
      <c r="U156" s="666">
        <f t="shared" si="225"/>
        <v>982</v>
      </c>
      <c r="V156" s="666"/>
      <c r="W156" s="666"/>
      <c r="X156" s="666"/>
      <c r="Y156" s="667">
        <f t="shared" si="234"/>
        <v>0</v>
      </c>
      <c r="Z156" s="668">
        <f>V156*10%</f>
        <v>0</v>
      </c>
      <c r="AA156" s="667"/>
      <c r="AB156" s="667">
        <f t="shared" si="226"/>
        <v>0</v>
      </c>
      <c r="AC156" s="666">
        <f t="shared" si="227"/>
        <v>0</v>
      </c>
      <c r="AD156" s="666"/>
      <c r="AE156" s="666"/>
      <c r="AF156" s="669"/>
      <c r="AG156" s="669"/>
      <c r="AH156" s="669"/>
      <c r="AI156" s="669"/>
      <c r="AJ156" s="669"/>
      <c r="AK156" s="669"/>
      <c r="AL156" s="664"/>
      <c r="AN156" s="610"/>
      <c r="AO156" s="659"/>
      <c r="AP156" s="660" t="s">
        <v>604</v>
      </c>
      <c r="AQ156" s="661">
        <f t="shared" si="228"/>
        <v>10</v>
      </c>
      <c r="AR156" s="661">
        <f t="shared" si="229"/>
        <v>9</v>
      </c>
      <c r="AS156" s="661">
        <v>9</v>
      </c>
      <c r="AT156" s="661"/>
      <c r="AU156" s="661">
        <v>8</v>
      </c>
      <c r="AV156" s="661"/>
      <c r="AW156" s="661">
        <v>1</v>
      </c>
      <c r="AX156" s="661"/>
      <c r="AY156" s="666">
        <f t="shared" si="230"/>
        <v>1010</v>
      </c>
      <c r="AZ156" s="670">
        <v>755</v>
      </c>
      <c r="BA156" s="666">
        <f>261-20</f>
        <v>241</v>
      </c>
      <c r="BB156" s="666">
        <v>20</v>
      </c>
      <c r="BC156" s="666"/>
      <c r="BD156" s="666"/>
      <c r="BE156" s="666">
        <f>(BA156+BB156)*10%</f>
        <v>26.1</v>
      </c>
      <c r="BF156" s="667">
        <f t="shared" si="231"/>
        <v>26</v>
      </c>
      <c r="BG156" s="666">
        <f t="shared" si="232"/>
        <v>990</v>
      </c>
      <c r="BH156" s="666"/>
      <c r="BI156" s="666"/>
      <c r="BJ156" s="666"/>
      <c r="BK156" s="666"/>
      <c r="BL156" s="666"/>
      <c r="BM156" s="667"/>
      <c r="BN156" s="666">
        <f t="shared" si="233"/>
        <v>0</v>
      </c>
      <c r="BO156" s="666">
        <v>20</v>
      </c>
      <c r="BP156" s="666"/>
      <c r="BQ156" s="666">
        <v>808</v>
      </c>
      <c r="BR156" s="666"/>
      <c r="BS156" s="666"/>
      <c r="BT156" s="666"/>
      <c r="BU156" s="666"/>
      <c r="BV156" s="666"/>
      <c r="BW156" s="662"/>
    </row>
    <row r="157" spans="1:75" s="617" customFormat="1">
      <c r="A157" s="659">
        <v>48</v>
      </c>
      <c r="B157" s="751" t="s">
        <v>605</v>
      </c>
      <c r="C157" s="661">
        <f t="shared" si="221"/>
        <v>34</v>
      </c>
      <c r="D157" s="661">
        <f t="shared" si="222"/>
        <v>30</v>
      </c>
      <c r="E157" s="661">
        <v>30</v>
      </c>
      <c r="F157" s="661"/>
      <c r="G157" s="661">
        <v>28</v>
      </c>
      <c r="H157" s="661"/>
      <c r="I157" s="661">
        <v>4</v>
      </c>
      <c r="J157" s="661">
        <v>4</v>
      </c>
      <c r="K157" s="989">
        <f t="shared" si="207"/>
        <v>6177</v>
      </c>
      <c r="L157" s="662">
        <f t="shared" si="223"/>
        <v>6456</v>
      </c>
      <c r="M157" s="666">
        <v>3312</v>
      </c>
      <c r="N157" s="666">
        <v>768</v>
      </c>
      <c r="O157" s="666">
        <v>42</v>
      </c>
      <c r="P157" s="666"/>
      <c r="Q157" s="666"/>
      <c r="R157" s="666">
        <f>((N157+O157)-(BA157+BB157))*10%</f>
        <v>0</v>
      </c>
      <c r="S157" s="667">
        <v>91</v>
      </c>
      <c r="T157" s="667">
        <f t="shared" si="224"/>
        <v>91</v>
      </c>
      <c r="U157" s="666">
        <f t="shared" si="225"/>
        <v>4031</v>
      </c>
      <c r="V157" s="666">
        <v>2129</v>
      </c>
      <c r="W157" s="666">
        <v>272</v>
      </c>
      <c r="X157" s="666"/>
      <c r="Y157" s="667">
        <f t="shared" si="234"/>
        <v>37.800000000000011</v>
      </c>
      <c r="Z157" s="668">
        <f>(V157-91)*10%</f>
        <v>203.8</v>
      </c>
      <c r="AA157" s="667">
        <v>217</v>
      </c>
      <c r="AB157" s="667">
        <f t="shared" si="226"/>
        <v>255</v>
      </c>
      <c r="AC157" s="666">
        <f t="shared" si="227"/>
        <v>2146</v>
      </c>
      <c r="AD157" s="666">
        <v>279</v>
      </c>
      <c r="AE157" s="666"/>
      <c r="AF157" s="669"/>
      <c r="AG157" s="669"/>
      <c r="AH157" s="669"/>
      <c r="AI157" s="669"/>
      <c r="AJ157" s="669"/>
      <c r="AK157" s="669"/>
      <c r="AL157" s="664"/>
      <c r="AN157" s="610"/>
      <c r="AO157" s="659">
        <v>51</v>
      </c>
      <c r="AP157" s="751" t="s">
        <v>605</v>
      </c>
      <c r="AQ157" s="661">
        <f t="shared" si="228"/>
        <v>34</v>
      </c>
      <c r="AR157" s="661">
        <f t="shared" si="229"/>
        <v>30</v>
      </c>
      <c r="AS157" s="661">
        <v>30</v>
      </c>
      <c r="AT157" s="661"/>
      <c r="AU157" s="661">
        <v>30</v>
      </c>
      <c r="AV157" s="661"/>
      <c r="AW157" s="661">
        <v>4</v>
      </c>
      <c r="AX157" s="661">
        <v>4</v>
      </c>
      <c r="AY157" s="662">
        <f t="shared" si="230"/>
        <v>6065</v>
      </c>
      <c r="AZ157" s="670">
        <f>2910+195</f>
        <v>3105</v>
      </c>
      <c r="BA157" s="666">
        <f>810-134</f>
        <v>676</v>
      </c>
      <c r="BB157" s="666">
        <v>134</v>
      </c>
      <c r="BC157" s="666"/>
      <c r="BD157" s="666"/>
      <c r="BE157" s="666">
        <f>(BA157+BB157)*10%</f>
        <v>81</v>
      </c>
      <c r="BF157" s="667">
        <f t="shared" si="231"/>
        <v>81</v>
      </c>
      <c r="BG157" s="666">
        <f t="shared" si="232"/>
        <v>3834</v>
      </c>
      <c r="BH157" s="666">
        <f>1477+150+30</f>
        <v>1657</v>
      </c>
      <c r="BI157" s="666"/>
      <c r="BJ157" s="666">
        <v>240</v>
      </c>
      <c r="BK157" s="666"/>
      <c r="BL157" s="666">
        <f>BH157*10%</f>
        <v>165.70000000000002</v>
      </c>
      <c r="BM157" s="667">
        <f>ROUND(BL157,0)</f>
        <v>166</v>
      </c>
      <c r="BN157" s="666">
        <f t="shared" si="233"/>
        <v>1731</v>
      </c>
      <c r="BO157" s="666">
        <v>500</v>
      </c>
      <c r="BP157" s="666"/>
      <c r="BQ157" s="666"/>
      <c r="BR157" s="666">
        <v>15</v>
      </c>
      <c r="BS157" s="666">
        <v>2</v>
      </c>
      <c r="BT157" s="666">
        <v>152</v>
      </c>
      <c r="BU157" s="666"/>
      <c r="BV157" s="666"/>
      <c r="BW157" s="662"/>
    </row>
    <row r="158" spans="1:75">
      <c r="A158" s="659">
        <v>49</v>
      </c>
      <c r="B158" s="660" t="s">
        <v>606</v>
      </c>
      <c r="C158" s="661">
        <f t="shared" si="221"/>
        <v>55</v>
      </c>
      <c r="D158" s="661">
        <f t="shared" si="222"/>
        <v>50</v>
      </c>
      <c r="E158" s="661">
        <v>50</v>
      </c>
      <c r="F158" s="661"/>
      <c r="G158" s="661">
        <v>46</v>
      </c>
      <c r="H158" s="661"/>
      <c r="I158" s="661">
        <v>5</v>
      </c>
      <c r="J158" s="661">
        <v>5</v>
      </c>
      <c r="K158" s="989">
        <f t="shared" si="207"/>
        <v>7909</v>
      </c>
      <c r="L158" s="666">
        <f t="shared" si="223"/>
        <v>8709</v>
      </c>
      <c r="M158" s="666">
        <f>5384+20</f>
        <v>5404</v>
      </c>
      <c r="N158" s="666">
        <v>950</v>
      </c>
      <c r="O158" s="666">
        <v>300</v>
      </c>
      <c r="P158" s="666">
        <v>125</v>
      </c>
      <c r="Q158" s="666"/>
      <c r="R158" s="666"/>
      <c r="S158" s="667">
        <v>161</v>
      </c>
      <c r="T158" s="667">
        <f t="shared" si="224"/>
        <v>161</v>
      </c>
      <c r="U158" s="666">
        <f>(M158+N158+O158+P158)-T158</f>
        <v>6618</v>
      </c>
      <c r="V158" s="666">
        <f>1300-300</f>
        <v>1000</v>
      </c>
      <c r="W158" s="666">
        <f>800-200</f>
        <v>600</v>
      </c>
      <c r="X158" s="666"/>
      <c r="Y158" s="667"/>
      <c r="Z158" s="668">
        <f>V158*10%</f>
        <v>100</v>
      </c>
      <c r="AA158" s="667">
        <v>309</v>
      </c>
      <c r="AB158" s="667">
        <f t="shared" si="226"/>
        <v>309</v>
      </c>
      <c r="AC158" s="666">
        <f t="shared" si="227"/>
        <v>1291</v>
      </c>
      <c r="AD158" s="666">
        <v>800</v>
      </c>
      <c r="AE158" s="666"/>
      <c r="AF158" s="669"/>
      <c r="AG158" s="669"/>
      <c r="AH158" s="669"/>
      <c r="AI158" s="669"/>
      <c r="AJ158" s="669"/>
      <c r="AK158" s="669"/>
      <c r="AL158" s="664"/>
      <c r="AN158" s="610"/>
      <c r="AO158" s="659">
        <v>52</v>
      </c>
      <c r="AP158" s="660" t="s">
        <v>606</v>
      </c>
      <c r="AQ158" s="661">
        <f t="shared" si="228"/>
        <v>57</v>
      </c>
      <c r="AR158" s="661">
        <f t="shared" si="229"/>
        <v>52</v>
      </c>
      <c r="AS158" s="661">
        <v>52</v>
      </c>
      <c r="AT158" s="661"/>
      <c r="AU158" s="661">
        <v>46</v>
      </c>
      <c r="AV158" s="661"/>
      <c r="AW158" s="661">
        <v>5</v>
      </c>
      <c r="AX158" s="661">
        <v>5</v>
      </c>
      <c r="AY158" s="666">
        <f t="shared" si="230"/>
        <v>10033</v>
      </c>
      <c r="AZ158" s="670">
        <v>5705</v>
      </c>
      <c r="BA158" s="666">
        <v>1000</v>
      </c>
      <c r="BB158" s="666">
        <v>300</v>
      </c>
      <c r="BC158" s="666">
        <v>130</v>
      </c>
      <c r="BD158" s="666"/>
      <c r="BE158" s="666">
        <f>(BA158+BB158)*10%</f>
        <v>130</v>
      </c>
      <c r="BF158" s="667">
        <f t="shared" si="231"/>
        <v>130</v>
      </c>
      <c r="BG158" s="666">
        <f t="shared" si="232"/>
        <v>7005</v>
      </c>
      <c r="BH158" s="666">
        <v>1300</v>
      </c>
      <c r="BI158" s="666">
        <f>500-150</f>
        <v>350</v>
      </c>
      <c r="BJ158" s="666">
        <v>700</v>
      </c>
      <c r="BK158" s="666"/>
      <c r="BL158" s="666">
        <f>(BH158-80)*10%</f>
        <v>122</v>
      </c>
      <c r="BM158" s="667">
        <f>ROUND(BL158,0)</f>
        <v>122</v>
      </c>
      <c r="BN158" s="666">
        <f t="shared" si="233"/>
        <v>2228</v>
      </c>
      <c r="BO158" s="666">
        <v>800</v>
      </c>
      <c r="BP158" s="666"/>
      <c r="BQ158" s="666"/>
      <c r="BR158" s="666"/>
      <c r="BS158" s="666"/>
      <c r="BT158" s="666"/>
      <c r="BU158" s="666"/>
      <c r="BV158" s="666"/>
      <c r="BW158" s="662"/>
    </row>
    <row r="159" spans="1:75" s="681" customFormat="1">
      <c r="A159" s="671">
        <v>50</v>
      </c>
      <c r="B159" s="672" t="s">
        <v>607</v>
      </c>
      <c r="C159" s="673">
        <f t="shared" si="221"/>
        <v>37</v>
      </c>
      <c r="D159" s="673">
        <f t="shared" si="222"/>
        <v>34</v>
      </c>
      <c r="E159" s="673">
        <v>34</v>
      </c>
      <c r="F159" s="673"/>
      <c r="G159" s="673">
        <v>32</v>
      </c>
      <c r="H159" s="673"/>
      <c r="I159" s="673">
        <v>3</v>
      </c>
      <c r="J159" s="673">
        <v>3</v>
      </c>
      <c r="K159" s="989">
        <f t="shared" si="207"/>
        <v>5461</v>
      </c>
      <c r="L159" s="674">
        <f t="shared" si="223"/>
        <v>5521</v>
      </c>
      <c r="M159" s="674">
        <v>3527</v>
      </c>
      <c r="N159" s="674">
        <v>807</v>
      </c>
      <c r="O159" s="674">
        <v>111</v>
      </c>
      <c r="P159" s="674">
        <v>92</v>
      </c>
      <c r="Q159" s="674"/>
      <c r="R159" s="674"/>
      <c r="S159" s="674">
        <v>102</v>
      </c>
      <c r="T159" s="667">
        <f t="shared" si="224"/>
        <v>102</v>
      </c>
      <c r="U159" s="666">
        <f t="shared" si="225"/>
        <v>4435</v>
      </c>
      <c r="V159" s="674">
        <v>930</v>
      </c>
      <c r="W159" s="674">
        <v>105</v>
      </c>
      <c r="X159" s="674"/>
      <c r="Y159" s="674"/>
      <c r="Z159" s="674">
        <f>(V159-50)*10%</f>
        <v>88</v>
      </c>
      <c r="AA159" s="674">
        <v>9</v>
      </c>
      <c r="AB159" s="667">
        <f t="shared" si="226"/>
        <v>9</v>
      </c>
      <c r="AC159" s="666">
        <f t="shared" si="227"/>
        <v>1026</v>
      </c>
      <c r="AD159" s="674">
        <v>60</v>
      </c>
      <c r="AE159" s="674"/>
      <c r="AF159" s="674"/>
      <c r="AG159" s="674"/>
      <c r="AH159" s="674"/>
      <c r="AI159" s="674"/>
      <c r="AJ159" s="674"/>
      <c r="AK159" s="674"/>
      <c r="AL159" s="678"/>
      <c r="AM159" s="791"/>
      <c r="AN159" s="792"/>
      <c r="AO159" s="671">
        <v>53</v>
      </c>
      <c r="AP159" s="672" t="s">
        <v>607</v>
      </c>
      <c r="AQ159" s="673">
        <f t="shared" si="228"/>
        <v>39</v>
      </c>
      <c r="AR159" s="673">
        <f t="shared" si="229"/>
        <v>36</v>
      </c>
      <c r="AS159" s="673">
        <v>36</v>
      </c>
      <c r="AT159" s="673"/>
      <c r="AU159" s="673">
        <v>36</v>
      </c>
      <c r="AV159" s="673"/>
      <c r="AW159" s="673">
        <v>3</v>
      </c>
      <c r="AX159" s="673">
        <v>3</v>
      </c>
      <c r="AY159" s="674">
        <f t="shared" si="230"/>
        <v>5809</v>
      </c>
      <c r="AZ159" s="674">
        <f>3276+207+174</f>
        <v>3657</v>
      </c>
      <c r="BA159" s="674">
        <f>972-151+58</f>
        <v>879</v>
      </c>
      <c r="BB159" s="674">
        <v>151</v>
      </c>
      <c r="BC159" s="674">
        <v>98</v>
      </c>
      <c r="BD159" s="674"/>
      <c r="BE159" s="674">
        <f>(BA159+BB159)*10%</f>
        <v>103</v>
      </c>
      <c r="BF159" s="674">
        <f t="shared" si="231"/>
        <v>103</v>
      </c>
      <c r="BG159" s="674">
        <f t="shared" si="232"/>
        <v>4682</v>
      </c>
      <c r="BH159" s="674">
        <f>1200-50</f>
        <v>1150</v>
      </c>
      <c r="BI159" s="674"/>
      <c r="BJ159" s="674"/>
      <c r="BK159" s="674"/>
      <c r="BL159" s="674">
        <f>(BH159-20)*10%</f>
        <v>113</v>
      </c>
      <c r="BM159" s="674">
        <f>ROUND(BL159,0)</f>
        <v>113</v>
      </c>
      <c r="BN159" s="674">
        <f t="shared" si="233"/>
        <v>1037</v>
      </c>
      <c r="BO159" s="674">
        <v>90</v>
      </c>
      <c r="BP159" s="674"/>
      <c r="BQ159" s="674"/>
      <c r="BR159" s="674">
        <v>49</v>
      </c>
      <c r="BS159" s="674">
        <v>170</v>
      </c>
      <c r="BT159" s="674"/>
      <c r="BU159" s="674"/>
      <c r="BV159" s="674"/>
      <c r="BW159" s="678"/>
    </row>
    <row r="160" spans="1:75" s="617" customFormat="1">
      <c r="A160" s="659">
        <v>51</v>
      </c>
      <c r="B160" s="751" t="s">
        <v>608</v>
      </c>
      <c r="C160" s="661">
        <f>C161+C162</f>
        <v>62</v>
      </c>
      <c r="D160" s="661">
        <f>D161+D162</f>
        <v>55</v>
      </c>
      <c r="E160" s="661">
        <f t="shared" ref="E160:J160" si="235">E161+E162</f>
        <v>41</v>
      </c>
      <c r="F160" s="661">
        <f t="shared" si="235"/>
        <v>14</v>
      </c>
      <c r="G160" s="661">
        <f t="shared" si="235"/>
        <v>41</v>
      </c>
      <c r="H160" s="661">
        <f t="shared" si="235"/>
        <v>14</v>
      </c>
      <c r="I160" s="661">
        <f t="shared" si="235"/>
        <v>7</v>
      </c>
      <c r="J160" s="661">
        <f t="shared" si="235"/>
        <v>7</v>
      </c>
      <c r="K160" s="989">
        <f t="shared" si="207"/>
        <v>10561</v>
      </c>
      <c r="L160" s="666">
        <f>SUM(L161:L162)</f>
        <v>10641</v>
      </c>
      <c r="M160" s="666">
        <f t="shared" ref="M160:AK160" si="236">SUM(M161:M162)</f>
        <v>5011</v>
      </c>
      <c r="N160" s="666">
        <f t="shared" si="236"/>
        <v>1331</v>
      </c>
      <c r="O160" s="666">
        <f t="shared" si="236"/>
        <v>154</v>
      </c>
      <c r="P160" s="666">
        <f t="shared" si="236"/>
        <v>0</v>
      </c>
      <c r="Q160" s="666">
        <f t="shared" si="236"/>
        <v>0</v>
      </c>
      <c r="R160" s="666">
        <f t="shared" si="236"/>
        <v>2.7</v>
      </c>
      <c r="S160" s="667">
        <f t="shared" si="236"/>
        <v>151</v>
      </c>
      <c r="T160" s="667">
        <f t="shared" si="236"/>
        <v>154</v>
      </c>
      <c r="U160" s="666">
        <f t="shared" si="236"/>
        <v>6342</v>
      </c>
      <c r="V160" s="666">
        <f t="shared" si="236"/>
        <v>2870</v>
      </c>
      <c r="W160" s="666">
        <f t="shared" si="236"/>
        <v>1496</v>
      </c>
      <c r="X160" s="666">
        <f t="shared" si="236"/>
        <v>0</v>
      </c>
      <c r="Y160" s="667">
        <f t="shared" si="236"/>
        <v>104.6</v>
      </c>
      <c r="Z160" s="666">
        <f t="shared" si="236"/>
        <v>287</v>
      </c>
      <c r="AA160" s="667">
        <f t="shared" si="236"/>
        <v>42</v>
      </c>
      <c r="AB160" s="667">
        <f t="shared" si="236"/>
        <v>147</v>
      </c>
      <c r="AC160" s="666">
        <f t="shared" si="236"/>
        <v>4219</v>
      </c>
      <c r="AD160" s="666">
        <f t="shared" si="236"/>
        <v>80</v>
      </c>
      <c r="AE160" s="666">
        <f t="shared" si="236"/>
        <v>0</v>
      </c>
      <c r="AF160" s="669">
        <f t="shared" si="236"/>
        <v>0</v>
      </c>
      <c r="AG160" s="669">
        <f>SUM(AG161:AG162)</f>
        <v>1434</v>
      </c>
      <c r="AH160" s="669">
        <f>SUM(AH161:AH162)</f>
        <v>2306</v>
      </c>
      <c r="AI160" s="669">
        <f t="shared" si="236"/>
        <v>2400</v>
      </c>
      <c r="AJ160" s="669">
        <f t="shared" si="236"/>
        <v>0</v>
      </c>
      <c r="AK160" s="669">
        <f t="shared" si="236"/>
        <v>0</v>
      </c>
      <c r="AL160" s="669"/>
      <c r="AN160" s="610"/>
      <c r="AO160" s="659">
        <v>54</v>
      </c>
      <c r="AP160" s="751" t="s">
        <v>608</v>
      </c>
      <c r="AQ160" s="661">
        <f>AQ161+AQ162</f>
        <v>62</v>
      </c>
      <c r="AR160" s="661">
        <f>AR161+AR162</f>
        <v>55</v>
      </c>
      <c r="AS160" s="661">
        <f t="shared" ref="AS160:AX160" si="237">AS161+AS162</f>
        <v>41</v>
      </c>
      <c r="AT160" s="661">
        <f t="shared" si="237"/>
        <v>14</v>
      </c>
      <c r="AU160" s="661">
        <f t="shared" si="237"/>
        <v>40</v>
      </c>
      <c r="AV160" s="661">
        <f t="shared" si="237"/>
        <v>14</v>
      </c>
      <c r="AW160" s="661">
        <f t="shared" si="237"/>
        <v>7</v>
      </c>
      <c r="AX160" s="661">
        <f t="shared" si="237"/>
        <v>6</v>
      </c>
      <c r="AY160" s="666">
        <f>SUM(AY161:AY162)</f>
        <v>12176</v>
      </c>
      <c r="AZ160" s="670">
        <f t="shared" ref="AZ160:BV160" si="238">SUM(AZ161:AZ162)</f>
        <v>4511</v>
      </c>
      <c r="BA160" s="666">
        <f t="shared" si="238"/>
        <v>1326</v>
      </c>
      <c r="BB160" s="666">
        <f t="shared" si="238"/>
        <v>159</v>
      </c>
      <c r="BC160" s="666">
        <f t="shared" si="238"/>
        <v>0</v>
      </c>
      <c r="BD160" s="666">
        <f t="shared" si="238"/>
        <v>0</v>
      </c>
      <c r="BE160" s="666">
        <f t="shared" si="238"/>
        <v>148.5</v>
      </c>
      <c r="BF160" s="667">
        <f t="shared" si="238"/>
        <v>148</v>
      </c>
      <c r="BG160" s="666">
        <f t="shared" si="238"/>
        <v>5848</v>
      </c>
      <c r="BH160" s="666">
        <f t="shared" si="238"/>
        <v>5832</v>
      </c>
      <c r="BI160" s="666">
        <f t="shared" si="238"/>
        <v>300</v>
      </c>
      <c r="BJ160" s="666">
        <f t="shared" si="238"/>
        <v>604</v>
      </c>
      <c r="BK160" s="666">
        <f t="shared" si="238"/>
        <v>0</v>
      </c>
      <c r="BL160" s="666">
        <f t="shared" si="238"/>
        <v>473.5</v>
      </c>
      <c r="BM160" s="667">
        <f t="shared" si="238"/>
        <v>474</v>
      </c>
      <c r="BN160" s="666">
        <f t="shared" si="238"/>
        <v>6262</v>
      </c>
      <c r="BO160" s="666">
        <f t="shared" si="238"/>
        <v>66</v>
      </c>
      <c r="BP160" s="666">
        <f t="shared" si="238"/>
        <v>0</v>
      </c>
      <c r="BQ160" s="666">
        <f t="shared" si="238"/>
        <v>0</v>
      </c>
      <c r="BR160" s="666">
        <f>SUM(BR161:BR162)</f>
        <v>313</v>
      </c>
      <c r="BS160" s="666">
        <f>SUM(BS161:BS162)</f>
        <v>6490</v>
      </c>
      <c r="BT160" s="666">
        <f t="shared" si="238"/>
        <v>2400</v>
      </c>
      <c r="BU160" s="666">
        <f t="shared" si="238"/>
        <v>0</v>
      </c>
      <c r="BV160" s="666">
        <f t="shared" si="238"/>
        <v>0</v>
      </c>
      <c r="BW160" s="666"/>
    </row>
    <row r="161" spans="1:75" s="617" customFormat="1">
      <c r="A161" s="659"/>
      <c r="B161" s="660" t="s">
        <v>609</v>
      </c>
      <c r="C161" s="661">
        <f t="shared" ref="C161:C166" si="239">D161+I161</f>
        <v>27</v>
      </c>
      <c r="D161" s="661">
        <f>E161+F161</f>
        <v>23</v>
      </c>
      <c r="E161" s="661">
        <v>23</v>
      </c>
      <c r="F161" s="661"/>
      <c r="G161" s="661">
        <v>23</v>
      </c>
      <c r="H161" s="661"/>
      <c r="I161" s="661">
        <v>4</v>
      </c>
      <c r="J161" s="661">
        <v>4</v>
      </c>
      <c r="K161" s="989">
        <f t="shared" si="207"/>
        <v>5540</v>
      </c>
      <c r="L161" s="666">
        <f>U161+AC161+AD161+AE161</f>
        <v>5620</v>
      </c>
      <c r="M161" s="666">
        <v>2213</v>
      </c>
      <c r="N161" s="666">
        <v>545</v>
      </c>
      <c r="O161" s="666">
        <v>76</v>
      </c>
      <c r="P161" s="666"/>
      <c r="Q161" s="666"/>
      <c r="R161" s="666">
        <f>((N161+O161)-(BA161+BB161))*10%</f>
        <v>2.7</v>
      </c>
      <c r="S161" s="667">
        <v>62</v>
      </c>
      <c r="T161" s="667">
        <f>ROUND((Q161+R161+S161),0)</f>
        <v>65</v>
      </c>
      <c r="U161" s="666">
        <f>(M161+N161+O161+P161)-T161</f>
        <v>2769</v>
      </c>
      <c r="V161" s="666">
        <v>1434</v>
      </c>
      <c r="W161" s="666">
        <v>1340</v>
      </c>
      <c r="X161" s="666"/>
      <c r="Y161" s="667"/>
      <c r="Z161" s="668">
        <f>V161*10%</f>
        <v>143.4</v>
      </c>
      <c r="AA161" s="667">
        <v>3</v>
      </c>
      <c r="AB161" s="667">
        <f>ROUND((Y161+AA161+X161),0)</f>
        <v>3</v>
      </c>
      <c r="AC161" s="666">
        <f>(V161+W161)-AB161</f>
        <v>2771</v>
      </c>
      <c r="AD161" s="666">
        <v>80</v>
      </c>
      <c r="AE161" s="666"/>
      <c r="AF161" s="669"/>
      <c r="AG161" s="669">
        <v>1434</v>
      </c>
      <c r="AH161" s="669">
        <v>2306</v>
      </c>
      <c r="AI161" s="669"/>
      <c r="AJ161" s="669"/>
      <c r="AK161" s="669"/>
      <c r="AL161" s="664"/>
      <c r="AN161" s="610"/>
      <c r="AO161" s="659"/>
      <c r="AP161" s="660" t="s">
        <v>609</v>
      </c>
      <c r="AQ161" s="661">
        <f t="shared" ref="AQ161:AQ166" si="240">AR161+AW161</f>
        <v>26</v>
      </c>
      <c r="AR161" s="661">
        <f>AS161+AT161</f>
        <v>22</v>
      </c>
      <c r="AS161" s="661">
        <v>22</v>
      </c>
      <c r="AT161" s="661"/>
      <c r="AU161" s="661">
        <v>22</v>
      </c>
      <c r="AV161" s="661"/>
      <c r="AW161" s="661">
        <v>4</v>
      </c>
      <c r="AX161" s="661">
        <v>4</v>
      </c>
      <c r="AY161" s="666">
        <f>BG161+BN161+BO161+BP161</f>
        <v>6790</v>
      </c>
      <c r="AZ161" s="670">
        <v>1927</v>
      </c>
      <c r="BA161" s="666">
        <f>594-78</f>
        <v>516</v>
      </c>
      <c r="BB161" s="666">
        <v>78</v>
      </c>
      <c r="BC161" s="666"/>
      <c r="BD161" s="666"/>
      <c r="BE161" s="666">
        <f t="shared" ref="BE161:BE179" si="241">(BA161+BB161)*10%</f>
        <v>59.400000000000006</v>
      </c>
      <c r="BF161" s="667">
        <f>ROUND(BE161,0)</f>
        <v>59</v>
      </c>
      <c r="BG161" s="666">
        <f>(AZ161+BA161+BB161+BC161)-BF161</f>
        <v>2462</v>
      </c>
      <c r="BH161" s="666">
        <f>4070+280</f>
        <v>4350</v>
      </c>
      <c r="BI161" s="666"/>
      <c r="BJ161" s="666">
        <v>347</v>
      </c>
      <c r="BK161" s="666"/>
      <c r="BL161" s="666">
        <f>BH161*10%</f>
        <v>435</v>
      </c>
      <c r="BM161" s="667">
        <f>ROUND(BL161,0)</f>
        <v>435</v>
      </c>
      <c r="BN161" s="666">
        <f>(BH161+BI161+BJ161)-BM161</f>
        <v>4262</v>
      </c>
      <c r="BO161" s="666">
        <v>66</v>
      </c>
      <c r="BP161" s="666"/>
      <c r="BQ161" s="666"/>
      <c r="BR161" s="666">
        <v>313</v>
      </c>
      <c r="BS161" s="666">
        <v>6490</v>
      </c>
      <c r="BT161" s="666"/>
      <c r="BU161" s="666"/>
      <c r="BV161" s="666"/>
      <c r="BW161" s="662"/>
    </row>
    <row r="162" spans="1:75" s="617" customFormat="1">
      <c r="A162" s="659"/>
      <c r="B162" s="660" t="s">
        <v>610</v>
      </c>
      <c r="C162" s="661">
        <f t="shared" si="239"/>
        <v>35</v>
      </c>
      <c r="D162" s="661">
        <f>E162+F162</f>
        <v>32</v>
      </c>
      <c r="E162" s="661">
        <v>18</v>
      </c>
      <c r="F162" s="661">
        <v>14</v>
      </c>
      <c r="G162" s="661">
        <v>18</v>
      </c>
      <c r="H162" s="661">
        <v>14</v>
      </c>
      <c r="I162" s="661">
        <v>3</v>
      </c>
      <c r="J162" s="661">
        <v>3</v>
      </c>
      <c r="K162" s="989">
        <f t="shared" si="207"/>
        <v>5021</v>
      </c>
      <c r="L162" s="666">
        <f>U162+AC162+AD162+AE162</f>
        <v>5021</v>
      </c>
      <c r="M162" s="666">
        <v>2798</v>
      </c>
      <c r="N162" s="666">
        <v>786</v>
      </c>
      <c r="O162" s="666">
        <v>78</v>
      </c>
      <c r="P162" s="666"/>
      <c r="Q162" s="666"/>
      <c r="R162" s="666"/>
      <c r="S162" s="667">
        <v>89</v>
      </c>
      <c r="T162" s="667">
        <f>ROUND((Q162+R162+S162),0)</f>
        <v>89</v>
      </c>
      <c r="U162" s="666">
        <f>(M162+N162+O162+P162)-T162</f>
        <v>3573</v>
      </c>
      <c r="V162" s="666">
        <v>1436</v>
      </c>
      <c r="W162" s="666">
        <v>156</v>
      </c>
      <c r="X162" s="666"/>
      <c r="Y162" s="667">
        <f>Z162-BM162</f>
        <v>104.6</v>
      </c>
      <c r="Z162" s="668">
        <f>V162*10%</f>
        <v>143.6</v>
      </c>
      <c r="AA162" s="667">
        <v>39</v>
      </c>
      <c r="AB162" s="667">
        <f>ROUND((Y162+AA162+X162),0)</f>
        <v>144</v>
      </c>
      <c r="AC162" s="666">
        <f>(V162+W162)-AB162</f>
        <v>1448</v>
      </c>
      <c r="AD162" s="666"/>
      <c r="AE162" s="666"/>
      <c r="AF162" s="669"/>
      <c r="AG162" s="669"/>
      <c r="AH162" s="669"/>
      <c r="AI162" s="669">
        <v>2400</v>
      </c>
      <c r="AJ162" s="669"/>
      <c r="AK162" s="669"/>
      <c r="AL162" s="664"/>
      <c r="AN162" s="610"/>
      <c r="AO162" s="659"/>
      <c r="AP162" s="660" t="s">
        <v>610</v>
      </c>
      <c r="AQ162" s="661">
        <f t="shared" si="240"/>
        <v>36</v>
      </c>
      <c r="AR162" s="661">
        <f>AS162+AT162</f>
        <v>33</v>
      </c>
      <c r="AS162" s="661">
        <v>19</v>
      </c>
      <c r="AT162" s="661">
        <v>14</v>
      </c>
      <c r="AU162" s="661">
        <v>18</v>
      </c>
      <c r="AV162" s="661">
        <v>14</v>
      </c>
      <c r="AW162" s="661">
        <v>3</v>
      </c>
      <c r="AX162" s="661">
        <v>2</v>
      </c>
      <c r="AY162" s="666">
        <f>BG162+BN162+BO162+BP162</f>
        <v>5386</v>
      </c>
      <c r="AZ162" s="670">
        <f>1819+660+95+10</f>
        <v>2584</v>
      </c>
      <c r="BA162" s="666">
        <f>891-81</f>
        <v>810</v>
      </c>
      <c r="BB162" s="666">
        <v>81</v>
      </c>
      <c r="BC162" s="666"/>
      <c r="BD162" s="666"/>
      <c r="BE162" s="666">
        <f t="shared" si="241"/>
        <v>89.100000000000009</v>
      </c>
      <c r="BF162" s="667">
        <f>ROUND(BE162,0)</f>
        <v>89</v>
      </c>
      <c r="BG162" s="666">
        <f>(AZ162+BA162+BB162+BC162)-BF162</f>
        <v>3386</v>
      </c>
      <c r="BH162" s="666">
        <v>1482</v>
      </c>
      <c r="BI162" s="666">
        <v>300</v>
      </c>
      <c r="BJ162" s="666">
        <f>557-300</f>
        <v>257</v>
      </c>
      <c r="BK162" s="666"/>
      <c r="BL162" s="666">
        <f>(BH162-1097)*10%</f>
        <v>38.5</v>
      </c>
      <c r="BM162" s="667">
        <f>ROUND(BL162,0)</f>
        <v>39</v>
      </c>
      <c r="BN162" s="666">
        <f>(BH162+BI162+BJ162)-BM162</f>
        <v>2000</v>
      </c>
      <c r="BO162" s="666"/>
      <c r="BP162" s="666"/>
      <c r="BQ162" s="666"/>
      <c r="BR162" s="666"/>
      <c r="BS162" s="666"/>
      <c r="BT162" s="666">
        <v>2400</v>
      </c>
      <c r="BU162" s="666"/>
      <c r="BV162" s="666"/>
      <c r="BW162" s="662"/>
    </row>
    <row r="163" spans="1:75">
      <c r="A163" s="659">
        <v>52</v>
      </c>
      <c r="B163" s="660" t="s">
        <v>611</v>
      </c>
      <c r="C163" s="661">
        <f t="shared" si="239"/>
        <v>48</v>
      </c>
      <c r="D163" s="661">
        <f>E163+F163</f>
        <v>43</v>
      </c>
      <c r="E163" s="661">
        <v>43</v>
      </c>
      <c r="F163" s="661"/>
      <c r="G163" s="661">
        <v>42</v>
      </c>
      <c r="H163" s="661"/>
      <c r="I163" s="661">
        <v>5</v>
      </c>
      <c r="J163" s="661">
        <v>5</v>
      </c>
      <c r="K163" s="989">
        <f t="shared" si="207"/>
        <v>7414</v>
      </c>
      <c r="L163" s="666">
        <f>U163+AC163+AD163+AE163</f>
        <v>7464</v>
      </c>
      <c r="M163" s="666">
        <v>4510</v>
      </c>
      <c r="N163" s="666">
        <v>924</v>
      </c>
      <c r="O163" s="666">
        <v>151</v>
      </c>
      <c r="P163" s="666"/>
      <c r="Q163" s="666"/>
      <c r="R163" s="666"/>
      <c r="S163" s="667">
        <v>118</v>
      </c>
      <c r="T163" s="667">
        <f>ROUND((Q163+R163+S163),0)</f>
        <v>118</v>
      </c>
      <c r="U163" s="666">
        <f>(M163+N163+O163+P163)-T163</f>
        <v>5467</v>
      </c>
      <c r="V163" s="666">
        <v>1090</v>
      </c>
      <c r="W163" s="666">
        <v>975</v>
      </c>
      <c r="X163" s="666"/>
      <c r="Y163" s="667">
        <f>Z163-BM163</f>
        <v>74</v>
      </c>
      <c r="Z163" s="668">
        <f>(V163-50)*10%</f>
        <v>104</v>
      </c>
      <c r="AA163" s="667">
        <v>44</v>
      </c>
      <c r="AB163" s="667">
        <f>ROUND((Y163+AA163+X163),0)</f>
        <v>118</v>
      </c>
      <c r="AC163" s="666">
        <f>(V163+W163)-AB163</f>
        <v>1947</v>
      </c>
      <c r="AD163" s="666">
        <v>50</v>
      </c>
      <c r="AE163" s="666"/>
      <c r="AF163" s="669"/>
      <c r="AG163" s="669"/>
      <c r="AH163" s="669"/>
      <c r="AI163" s="669"/>
      <c r="AJ163" s="669"/>
      <c r="AK163" s="669"/>
      <c r="AL163" s="664"/>
      <c r="AN163" s="610"/>
      <c r="AO163" s="659">
        <v>55</v>
      </c>
      <c r="AP163" s="660" t="s">
        <v>611</v>
      </c>
      <c r="AQ163" s="661">
        <f t="shared" si="240"/>
        <v>49</v>
      </c>
      <c r="AR163" s="661">
        <f>AS163+AT163</f>
        <v>44</v>
      </c>
      <c r="AS163" s="661">
        <v>44</v>
      </c>
      <c r="AT163" s="661"/>
      <c r="AU163" s="661">
        <v>43</v>
      </c>
      <c r="AV163" s="661"/>
      <c r="AW163" s="661">
        <v>5</v>
      </c>
      <c r="AX163" s="661">
        <v>5</v>
      </c>
      <c r="AY163" s="666">
        <f>BG163+BN163+BO163+BP163</f>
        <v>6169</v>
      </c>
      <c r="AZ163" s="670">
        <f>3890+231</f>
        <v>4121</v>
      </c>
      <c r="BA163" s="666">
        <f>1100-184</f>
        <v>916</v>
      </c>
      <c r="BB163" s="666">
        <v>184</v>
      </c>
      <c r="BC163" s="666"/>
      <c r="BD163" s="666"/>
      <c r="BE163" s="666">
        <f t="shared" si="241"/>
        <v>110</v>
      </c>
      <c r="BF163" s="667">
        <f>ROUND(BE163,0)</f>
        <v>110</v>
      </c>
      <c r="BG163" s="666">
        <f>(AZ163+BA163+BB163+BC163)-BF163</f>
        <v>5111</v>
      </c>
      <c r="BH163" s="666">
        <v>297</v>
      </c>
      <c r="BI163" s="666"/>
      <c r="BJ163" s="666">
        <v>241</v>
      </c>
      <c r="BK163" s="666"/>
      <c r="BL163" s="666">
        <f>BH163*10%</f>
        <v>29.700000000000003</v>
      </c>
      <c r="BM163" s="667">
        <f>ROUND(BL163,0)</f>
        <v>30</v>
      </c>
      <c r="BN163" s="666">
        <f>(BH163+BI163+BJ163)-BM163</f>
        <v>508</v>
      </c>
      <c r="BO163" s="666">
        <v>50</v>
      </c>
      <c r="BP163" s="666">
        <v>500</v>
      </c>
      <c r="BQ163" s="666"/>
      <c r="BR163" s="666"/>
      <c r="BS163" s="666">
        <v>75</v>
      </c>
      <c r="BT163" s="666">
        <v>323</v>
      </c>
      <c r="BU163" s="666"/>
      <c r="BV163" s="666"/>
      <c r="BW163" s="662"/>
    </row>
    <row r="164" spans="1:75">
      <c r="A164" s="659">
        <v>53</v>
      </c>
      <c r="B164" s="660" t="s">
        <v>612</v>
      </c>
      <c r="C164" s="661">
        <f t="shared" si="239"/>
        <v>41</v>
      </c>
      <c r="D164" s="661">
        <f>D165+D166</f>
        <v>38</v>
      </c>
      <c r="E164" s="661">
        <f t="shared" ref="E164:AM164" si="242">E165+E166</f>
        <v>38</v>
      </c>
      <c r="F164" s="661">
        <f t="shared" si="242"/>
        <v>0</v>
      </c>
      <c r="G164" s="661">
        <f t="shared" si="242"/>
        <v>30</v>
      </c>
      <c r="H164" s="661">
        <f t="shared" si="242"/>
        <v>0</v>
      </c>
      <c r="I164" s="661">
        <f t="shared" si="242"/>
        <v>3</v>
      </c>
      <c r="J164" s="661">
        <f t="shared" si="242"/>
        <v>3</v>
      </c>
      <c r="K164" s="989">
        <f t="shared" si="207"/>
        <v>6487</v>
      </c>
      <c r="L164" s="662">
        <f t="shared" si="242"/>
        <v>6788</v>
      </c>
      <c r="M164" s="662">
        <f t="shared" si="242"/>
        <v>3619</v>
      </c>
      <c r="N164" s="662">
        <f t="shared" si="242"/>
        <v>803</v>
      </c>
      <c r="O164" s="662">
        <f t="shared" si="242"/>
        <v>223</v>
      </c>
      <c r="P164" s="662">
        <f t="shared" si="242"/>
        <v>0</v>
      </c>
      <c r="Q164" s="662">
        <f t="shared" si="242"/>
        <v>0</v>
      </c>
      <c r="R164" s="662">
        <f t="shared" si="242"/>
        <v>0</v>
      </c>
      <c r="S164" s="663">
        <f t="shared" si="242"/>
        <v>107</v>
      </c>
      <c r="T164" s="663">
        <f t="shared" si="242"/>
        <v>107</v>
      </c>
      <c r="U164" s="662">
        <f t="shared" si="242"/>
        <v>4538</v>
      </c>
      <c r="V164" s="662">
        <f t="shared" si="242"/>
        <v>1976</v>
      </c>
      <c r="W164" s="662">
        <f t="shared" si="242"/>
        <v>269</v>
      </c>
      <c r="X164" s="662">
        <f t="shared" si="242"/>
        <v>0</v>
      </c>
      <c r="Y164" s="663">
        <f t="shared" si="242"/>
        <v>0</v>
      </c>
      <c r="Z164" s="662">
        <f t="shared" si="242"/>
        <v>197.60000000000002</v>
      </c>
      <c r="AA164" s="663">
        <f t="shared" si="242"/>
        <v>296</v>
      </c>
      <c r="AB164" s="663">
        <f t="shared" si="242"/>
        <v>296</v>
      </c>
      <c r="AC164" s="662">
        <f t="shared" si="242"/>
        <v>1949</v>
      </c>
      <c r="AD164" s="662">
        <f t="shared" si="242"/>
        <v>301</v>
      </c>
      <c r="AE164" s="662">
        <f t="shared" si="242"/>
        <v>0</v>
      </c>
      <c r="AF164" s="664">
        <f t="shared" si="242"/>
        <v>0</v>
      </c>
      <c r="AG164" s="664">
        <f t="shared" si="242"/>
        <v>93</v>
      </c>
      <c r="AH164" s="664">
        <f t="shared" si="242"/>
        <v>0</v>
      </c>
      <c r="AI164" s="664">
        <f t="shared" si="242"/>
        <v>50</v>
      </c>
      <c r="AJ164" s="664">
        <f t="shared" si="242"/>
        <v>0</v>
      </c>
      <c r="AK164" s="664">
        <f t="shared" si="242"/>
        <v>0</v>
      </c>
      <c r="AL164" s="664">
        <f t="shared" si="242"/>
        <v>0</v>
      </c>
      <c r="AM164" s="662">
        <f t="shared" si="242"/>
        <v>0</v>
      </c>
      <c r="AN164" s="610"/>
      <c r="AO164" s="659">
        <v>56</v>
      </c>
      <c r="AP164" s="660" t="s">
        <v>612</v>
      </c>
      <c r="AQ164" s="661">
        <f t="shared" si="240"/>
        <v>90</v>
      </c>
      <c r="AR164" s="661">
        <f>AR165+AR166</f>
        <v>85</v>
      </c>
      <c r="AS164" s="661">
        <f t="shared" ref="AS164:BW164" si="243">AS165+AS166</f>
        <v>85</v>
      </c>
      <c r="AT164" s="661">
        <f t="shared" si="243"/>
        <v>0</v>
      </c>
      <c r="AU164" s="661">
        <f t="shared" si="243"/>
        <v>79</v>
      </c>
      <c r="AV164" s="661">
        <f t="shared" si="243"/>
        <v>0</v>
      </c>
      <c r="AW164" s="661">
        <f t="shared" si="243"/>
        <v>5</v>
      </c>
      <c r="AX164" s="661">
        <f t="shared" si="243"/>
        <v>4</v>
      </c>
      <c r="AY164" s="662">
        <f t="shared" si="243"/>
        <v>15042</v>
      </c>
      <c r="AZ164" s="665">
        <f t="shared" si="243"/>
        <v>8080</v>
      </c>
      <c r="BA164" s="662">
        <f t="shared" si="243"/>
        <v>1801</v>
      </c>
      <c r="BB164" s="662">
        <f t="shared" si="243"/>
        <v>400</v>
      </c>
      <c r="BC164" s="662">
        <f t="shared" si="243"/>
        <v>0</v>
      </c>
      <c r="BD164" s="662">
        <f t="shared" si="243"/>
        <v>0</v>
      </c>
      <c r="BE164" s="662">
        <f t="shared" si="243"/>
        <v>220.10000000000002</v>
      </c>
      <c r="BF164" s="663">
        <f t="shared" si="243"/>
        <v>221</v>
      </c>
      <c r="BG164" s="662">
        <f t="shared" si="243"/>
        <v>10060</v>
      </c>
      <c r="BH164" s="662">
        <f t="shared" si="243"/>
        <v>4611</v>
      </c>
      <c r="BI164" s="662">
        <f t="shared" si="243"/>
        <v>0</v>
      </c>
      <c r="BJ164" s="662">
        <f t="shared" si="243"/>
        <v>453</v>
      </c>
      <c r="BK164" s="662">
        <f t="shared" si="243"/>
        <v>0</v>
      </c>
      <c r="BL164" s="662">
        <f t="shared" si="243"/>
        <v>441.1</v>
      </c>
      <c r="BM164" s="663">
        <f t="shared" si="243"/>
        <v>441</v>
      </c>
      <c r="BN164" s="662">
        <f t="shared" si="243"/>
        <v>4623</v>
      </c>
      <c r="BO164" s="662">
        <f t="shared" si="243"/>
        <v>359</v>
      </c>
      <c r="BP164" s="662">
        <f t="shared" si="243"/>
        <v>0</v>
      </c>
      <c r="BQ164" s="662">
        <f t="shared" si="243"/>
        <v>0</v>
      </c>
      <c r="BR164" s="662">
        <f t="shared" si="243"/>
        <v>88</v>
      </c>
      <c r="BS164" s="662">
        <f t="shared" si="243"/>
        <v>0</v>
      </c>
      <c r="BT164" s="662">
        <f t="shared" si="243"/>
        <v>5328</v>
      </c>
      <c r="BU164" s="662">
        <f t="shared" si="243"/>
        <v>0</v>
      </c>
      <c r="BV164" s="662">
        <f t="shared" si="243"/>
        <v>0</v>
      </c>
      <c r="BW164" s="662">
        <f t="shared" si="243"/>
        <v>0</v>
      </c>
    </row>
    <row r="165" spans="1:75">
      <c r="A165" s="659"/>
      <c r="B165" s="660" t="s">
        <v>613</v>
      </c>
      <c r="C165" s="661">
        <f t="shared" si="239"/>
        <v>41</v>
      </c>
      <c r="D165" s="661">
        <f>E165+F165</f>
        <v>38</v>
      </c>
      <c r="E165" s="661">
        <v>38</v>
      </c>
      <c r="F165" s="661"/>
      <c r="G165" s="661">
        <v>30</v>
      </c>
      <c r="H165" s="661"/>
      <c r="I165" s="661">
        <v>3</v>
      </c>
      <c r="J165" s="661">
        <v>3</v>
      </c>
      <c r="K165" s="989">
        <f t="shared" si="207"/>
        <v>6487</v>
      </c>
      <c r="L165" s="662">
        <f>U165+AC165+AD165+AE165</f>
        <v>6788</v>
      </c>
      <c r="M165" s="662">
        <v>3619</v>
      </c>
      <c r="N165" s="662">
        <v>803</v>
      </c>
      <c r="O165" s="662">
        <v>223</v>
      </c>
      <c r="P165" s="662"/>
      <c r="Q165" s="662"/>
      <c r="R165" s="666">
        <f>((N165+O165)-(BA165+BB165))*10%</f>
        <v>0</v>
      </c>
      <c r="S165" s="667">
        <v>107</v>
      </c>
      <c r="T165" s="667">
        <f>ROUND((Q165+R165+S165),0)</f>
        <v>107</v>
      </c>
      <c r="U165" s="666">
        <f>(M165+N165+O165+P165)-T165</f>
        <v>4538</v>
      </c>
      <c r="V165" s="662">
        <v>1976</v>
      </c>
      <c r="W165" s="662">
        <v>269</v>
      </c>
      <c r="X165" s="662"/>
      <c r="Y165" s="667"/>
      <c r="Z165" s="668">
        <f>V165*10%</f>
        <v>197.60000000000002</v>
      </c>
      <c r="AA165" s="667">
        <v>296</v>
      </c>
      <c r="AB165" s="667">
        <f>ROUND((Y165+AA165+X165),0)</f>
        <v>296</v>
      </c>
      <c r="AC165" s="666">
        <f>(V165+W165)-AB165</f>
        <v>1949</v>
      </c>
      <c r="AD165" s="662">
        <v>301</v>
      </c>
      <c r="AE165" s="662"/>
      <c r="AF165" s="664"/>
      <c r="AG165" s="664">
        <v>93</v>
      </c>
      <c r="AH165" s="664"/>
      <c r="AI165" s="664">
        <v>50</v>
      </c>
      <c r="AJ165" s="664"/>
      <c r="AK165" s="664"/>
      <c r="AL165" s="664"/>
      <c r="AN165" s="610"/>
      <c r="AO165" s="659"/>
      <c r="AP165" s="660" t="s">
        <v>613</v>
      </c>
      <c r="AQ165" s="661">
        <f t="shared" si="240"/>
        <v>41</v>
      </c>
      <c r="AR165" s="661">
        <f>AS165+AT165</f>
        <v>38</v>
      </c>
      <c r="AS165" s="661">
        <v>38</v>
      </c>
      <c r="AT165" s="661"/>
      <c r="AU165" s="661">
        <v>33</v>
      </c>
      <c r="AV165" s="661"/>
      <c r="AW165" s="661">
        <v>3</v>
      </c>
      <c r="AX165" s="661">
        <v>3</v>
      </c>
      <c r="AY165" s="662">
        <f>BG165+BN165+BO165+BP165</f>
        <v>7304</v>
      </c>
      <c r="AZ165" s="665">
        <v>3628</v>
      </c>
      <c r="BA165" s="662">
        <v>1026</v>
      </c>
      <c r="BB165" s="662"/>
      <c r="BC165" s="662"/>
      <c r="BD165" s="662"/>
      <c r="BE165" s="666">
        <f>(BA165+BB165)*10%</f>
        <v>102.60000000000001</v>
      </c>
      <c r="BF165" s="667">
        <f>ROUND(BE165,0)</f>
        <v>103</v>
      </c>
      <c r="BG165" s="666">
        <f>(AZ165+BA165+BB165+BC165)-BF165</f>
        <v>4551</v>
      </c>
      <c r="BH165" s="662">
        <v>2509</v>
      </c>
      <c r="BI165" s="662"/>
      <c r="BJ165" s="662">
        <v>245</v>
      </c>
      <c r="BK165" s="662"/>
      <c r="BL165" s="666">
        <f>BH165*10%</f>
        <v>250.9</v>
      </c>
      <c r="BM165" s="667">
        <f>ROUND(BL165,0)</f>
        <v>251</v>
      </c>
      <c r="BN165" s="666">
        <f>(BH165+BI165+BJ165)-BM165</f>
        <v>2503</v>
      </c>
      <c r="BO165" s="662">
        <v>250</v>
      </c>
      <c r="BP165" s="662"/>
      <c r="BQ165" s="662"/>
      <c r="BR165" s="662">
        <v>88</v>
      </c>
      <c r="BS165" s="662"/>
      <c r="BT165" s="662">
        <v>80</v>
      </c>
      <c r="BU165" s="662"/>
      <c r="BV165" s="662"/>
      <c r="BW165" s="662"/>
    </row>
    <row r="166" spans="1:75">
      <c r="A166" s="659"/>
      <c r="B166" s="660" t="s">
        <v>614</v>
      </c>
      <c r="C166" s="661">
        <f t="shared" si="239"/>
        <v>0</v>
      </c>
      <c r="D166" s="661">
        <f>E166+F166</f>
        <v>0</v>
      </c>
      <c r="E166" s="661"/>
      <c r="F166" s="661"/>
      <c r="G166" s="661"/>
      <c r="H166" s="661"/>
      <c r="I166" s="661"/>
      <c r="J166" s="661"/>
      <c r="K166" s="989">
        <f t="shared" si="207"/>
        <v>0</v>
      </c>
      <c r="L166" s="666">
        <f>U166+AC166+AD166+AE166</f>
        <v>0</v>
      </c>
      <c r="M166" s="666"/>
      <c r="N166" s="666"/>
      <c r="O166" s="666"/>
      <c r="P166" s="666"/>
      <c r="Q166" s="666"/>
      <c r="R166" s="666"/>
      <c r="S166" s="667"/>
      <c r="T166" s="667">
        <f>ROUND((Q166+R166+S166),0)</f>
        <v>0</v>
      </c>
      <c r="U166" s="666">
        <f>(M166+N166+O166+P166)-T166</f>
        <v>0</v>
      </c>
      <c r="V166" s="666"/>
      <c r="W166" s="666"/>
      <c r="X166" s="666"/>
      <c r="Y166" s="667"/>
      <c r="Z166" s="668">
        <f>V166*10%</f>
        <v>0</v>
      </c>
      <c r="AA166" s="667"/>
      <c r="AB166" s="667">
        <f>ROUND((Y166+AA166+X166),0)</f>
        <v>0</v>
      </c>
      <c r="AC166" s="666">
        <f>(V166+W166)-AB166</f>
        <v>0</v>
      </c>
      <c r="AD166" s="666"/>
      <c r="AE166" s="666"/>
      <c r="AF166" s="669"/>
      <c r="AG166" s="669"/>
      <c r="AH166" s="669"/>
      <c r="AI166" s="669"/>
      <c r="AJ166" s="669"/>
      <c r="AK166" s="669"/>
      <c r="AL166" s="664"/>
      <c r="AN166" s="610"/>
      <c r="AO166" s="659"/>
      <c r="AP166" s="660" t="s">
        <v>614</v>
      </c>
      <c r="AQ166" s="661">
        <f t="shared" si="240"/>
        <v>49</v>
      </c>
      <c r="AR166" s="661">
        <f>AS166+AT166</f>
        <v>47</v>
      </c>
      <c r="AS166" s="661">
        <v>47</v>
      </c>
      <c r="AT166" s="661"/>
      <c r="AU166" s="661">
        <v>46</v>
      </c>
      <c r="AV166" s="661"/>
      <c r="AW166" s="661">
        <v>2</v>
      </c>
      <c r="AX166" s="661">
        <v>1</v>
      </c>
      <c r="AY166" s="666">
        <f>BG166+BN166+BO166+BP166</f>
        <v>7738</v>
      </c>
      <c r="AZ166" s="670">
        <f>4386+66</f>
        <v>4452</v>
      </c>
      <c r="BA166" s="666">
        <f>1175-400</f>
        <v>775</v>
      </c>
      <c r="BB166" s="666">
        <v>400</v>
      </c>
      <c r="BC166" s="666"/>
      <c r="BD166" s="666"/>
      <c r="BE166" s="666">
        <f>(BA166+BB166)*10%</f>
        <v>117.5</v>
      </c>
      <c r="BF166" s="667">
        <f>ROUND(BE166,0)</f>
        <v>118</v>
      </c>
      <c r="BG166" s="666">
        <f>(AZ166+BA166+BB166+BC166)-BF166</f>
        <v>5509</v>
      </c>
      <c r="BH166" s="666">
        <v>2102</v>
      </c>
      <c r="BI166" s="666"/>
      <c r="BJ166" s="666">
        <v>208</v>
      </c>
      <c r="BK166" s="666"/>
      <c r="BL166" s="666">
        <f>(BH166-200)*10%</f>
        <v>190.20000000000002</v>
      </c>
      <c r="BM166" s="667">
        <f>ROUND(BL166,0)</f>
        <v>190</v>
      </c>
      <c r="BN166" s="666">
        <f>(BH166+BI166+BJ166)-BM166</f>
        <v>2120</v>
      </c>
      <c r="BO166" s="666">
        <v>109</v>
      </c>
      <c r="BP166" s="666"/>
      <c r="BQ166" s="666"/>
      <c r="BR166" s="666"/>
      <c r="BS166" s="666"/>
      <c r="BT166" s="666">
        <v>5248</v>
      </c>
      <c r="BU166" s="666"/>
      <c r="BV166" s="666"/>
      <c r="BW166" s="662"/>
    </row>
    <row r="167" spans="1:75">
      <c r="A167" s="659">
        <v>54</v>
      </c>
      <c r="B167" s="751" t="s">
        <v>615</v>
      </c>
      <c r="C167" s="661">
        <f>C168+C169</f>
        <v>52</v>
      </c>
      <c r="D167" s="661">
        <f t="shared" ref="D167:J167" si="244">D168+D169</f>
        <v>48</v>
      </c>
      <c r="E167" s="661">
        <f t="shared" si="244"/>
        <v>29</v>
      </c>
      <c r="F167" s="661">
        <f t="shared" si="244"/>
        <v>19</v>
      </c>
      <c r="G167" s="661">
        <f t="shared" si="244"/>
        <v>27</v>
      </c>
      <c r="H167" s="661">
        <f t="shared" si="244"/>
        <v>17</v>
      </c>
      <c r="I167" s="661">
        <f t="shared" si="244"/>
        <v>4</v>
      </c>
      <c r="J167" s="661">
        <f t="shared" si="244"/>
        <v>4</v>
      </c>
      <c r="K167" s="989">
        <f t="shared" si="207"/>
        <v>11317</v>
      </c>
      <c r="L167" s="666">
        <f>SUM(L168:L169)</f>
        <v>11454</v>
      </c>
      <c r="M167" s="666">
        <f t="shared" ref="M167:AL167" si="245">SUM(M168:M169)</f>
        <v>4685</v>
      </c>
      <c r="N167" s="666">
        <f t="shared" si="245"/>
        <v>1195</v>
      </c>
      <c r="O167" s="666">
        <f t="shared" si="245"/>
        <v>84</v>
      </c>
      <c r="P167" s="666">
        <f t="shared" si="245"/>
        <v>0</v>
      </c>
      <c r="Q167" s="666">
        <f t="shared" si="245"/>
        <v>0</v>
      </c>
      <c r="R167" s="666">
        <f t="shared" si="245"/>
        <v>1</v>
      </c>
      <c r="S167" s="667">
        <f t="shared" si="245"/>
        <v>145</v>
      </c>
      <c r="T167" s="667">
        <f t="shared" si="245"/>
        <v>146</v>
      </c>
      <c r="U167" s="666">
        <f t="shared" si="245"/>
        <v>5818</v>
      </c>
      <c r="V167" s="666">
        <f t="shared" si="245"/>
        <v>5515</v>
      </c>
      <c r="W167" s="666">
        <f t="shared" si="245"/>
        <v>255</v>
      </c>
      <c r="X167" s="666">
        <f t="shared" si="245"/>
        <v>0</v>
      </c>
      <c r="Y167" s="667">
        <f>SUM(Y168:Y169)</f>
        <v>180.10000000000002</v>
      </c>
      <c r="Z167" s="666">
        <f>SUM(Z168:Z169)</f>
        <v>446.1</v>
      </c>
      <c r="AA167" s="667">
        <f t="shared" si="245"/>
        <v>91</v>
      </c>
      <c r="AB167" s="667">
        <f t="shared" si="245"/>
        <v>271</v>
      </c>
      <c r="AC167" s="666">
        <f t="shared" si="245"/>
        <v>5499</v>
      </c>
      <c r="AD167" s="666">
        <f t="shared" si="245"/>
        <v>137</v>
      </c>
      <c r="AE167" s="666">
        <f t="shared" si="245"/>
        <v>0</v>
      </c>
      <c r="AF167" s="669">
        <f t="shared" si="245"/>
        <v>0</v>
      </c>
      <c r="AG167" s="669">
        <f t="shared" si="245"/>
        <v>0</v>
      </c>
      <c r="AH167" s="669">
        <f t="shared" si="245"/>
        <v>0</v>
      </c>
      <c r="AI167" s="669">
        <f t="shared" si="245"/>
        <v>0</v>
      </c>
      <c r="AJ167" s="669">
        <f t="shared" si="245"/>
        <v>0</v>
      </c>
      <c r="AK167" s="669">
        <f t="shared" si="245"/>
        <v>0</v>
      </c>
      <c r="AL167" s="669">
        <f t="shared" si="245"/>
        <v>0</v>
      </c>
      <c r="AN167" s="610"/>
      <c r="AO167" s="659">
        <v>57</v>
      </c>
      <c r="AP167" s="751" t="s">
        <v>615</v>
      </c>
      <c r="AQ167" s="661">
        <f>AQ168+AQ169</f>
        <v>53</v>
      </c>
      <c r="AR167" s="661">
        <f t="shared" ref="AR167:AX167" si="246">AR168+AR169</f>
        <v>49</v>
      </c>
      <c r="AS167" s="661">
        <f t="shared" si="246"/>
        <v>29</v>
      </c>
      <c r="AT167" s="661">
        <f t="shared" si="246"/>
        <v>20</v>
      </c>
      <c r="AU167" s="661">
        <f t="shared" si="246"/>
        <v>31</v>
      </c>
      <c r="AV167" s="661">
        <f t="shared" si="246"/>
        <v>17</v>
      </c>
      <c r="AW167" s="661">
        <f t="shared" si="246"/>
        <v>4</v>
      </c>
      <c r="AX167" s="661">
        <f t="shared" si="246"/>
        <v>4</v>
      </c>
      <c r="AY167" s="666">
        <f>SUM(AY168:AY169)</f>
        <v>9359</v>
      </c>
      <c r="AZ167" s="670">
        <f t="shared" ref="AZ167:BW167" si="247">SUM(AZ168:AZ169)</f>
        <v>4268</v>
      </c>
      <c r="BA167" s="666">
        <f t="shared" si="247"/>
        <v>997</v>
      </c>
      <c r="BB167" s="666">
        <f t="shared" si="247"/>
        <v>278</v>
      </c>
      <c r="BC167" s="666">
        <f t="shared" si="247"/>
        <v>0</v>
      </c>
      <c r="BD167" s="666">
        <f t="shared" si="247"/>
        <v>0</v>
      </c>
      <c r="BE167" s="666">
        <f t="shared" si="247"/>
        <v>127.5</v>
      </c>
      <c r="BF167" s="667">
        <f t="shared" si="247"/>
        <v>128</v>
      </c>
      <c r="BG167" s="666">
        <f t="shared" si="247"/>
        <v>5415</v>
      </c>
      <c r="BH167" s="666">
        <f t="shared" si="247"/>
        <v>3085</v>
      </c>
      <c r="BI167" s="666">
        <f t="shared" si="247"/>
        <v>740</v>
      </c>
      <c r="BJ167" s="666">
        <f t="shared" si="247"/>
        <v>238</v>
      </c>
      <c r="BK167" s="666">
        <f t="shared" si="247"/>
        <v>0</v>
      </c>
      <c r="BL167" s="666">
        <f>SUM(BL168:BL169)</f>
        <v>266.7</v>
      </c>
      <c r="BM167" s="667">
        <f t="shared" si="247"/>
        <v>266</v>
      </c>
      <c r="BN167" s="666">
        <f t="shared" si="247"/>
        <v>3797</v>
      </c>
      <c r="BO167" s="666">
        <f t="shared" si="247"/>
        <v>147</v>
      </c>
      <c r="BP167" s="666">
        <f t="shared" si="247"/>
        <v>0</v>
      </c>
      <c r="BQ167" s="666">
        <f t="shared" si="247"/>
        <v>0</v>
      </c>
      <c r="BR167" s="666">
        <f t="shared" si="247"/>
        <v>343</v>
      </c>
      <c r="BS167" s="666">
        <f t="shared" si="247"/>
        <v>0</v>
      </c>
      <c r="BT167" s="666">
        <f t="shared" si="247"/>
        <v>32</v>
      </c>
      <c r="BU167" s="666">
        <f t="shared" si="247"/>
        <v>501</v>
      </c>
      <c r="BV167" s="666">
        <f t="shared" si="247"/>
        <v>0</v>
      </c>
      <c r="BW167" s="666">
        <f t="shared" si="247"/>
        <v>0</v>
      </c>
    </row>
    <row r="168" spans="1:75" s="681" customFormat="1">
      <c r="A168" s="671"/>
      <c r="B168" s="793" t="s">
        <v>616</v>
      </c>
      <c r="C168" s="673">
        <f t="shared" ref="C168:C174" si="248">D168+I168</f>
        <v>32</v>
      </c>
      <c r="D168" s="673">
        <f t="shared" ref="D168:D174" si="249">E168+F168</f>
        <v>29</v>
      </c>
      <c r="E168" s="673">
        <v>29</v>
      </c>
      <c r="F168" s="673"/>
      <c r="G168" s="673">
        <v>27</v>
      </c>
      <c r="H168" s="673"/>
      <c r="I168" s="673">
        <v>3</v>
      </c>
      <c r="J168" s="673">
        <v>3</v>
      </c>
      <c r="K168" s="989">
        <f t="shared" si="207"/>
        <v>8273</v>
      </c>
      <c r="L168" s="674">
        <f t="shared" ref="L168:L179" si="250">U168+AC168+AD168+AE168</f>
        <v>8390</v>
      </c>
      <c r="M168" s="674">
        <v>3172</v>
      </c>
      <c r="N168" s="674">
        <v>699</v>
      </c>
      <c r="O168" s="674">
        <v>84</v>
      </c>
      <c r="P168" s="674"/>
      <c r="Q168" s="674"/>
      <c r="R168" s="674"/>
      <c r="S168" s="675">
        <v>93</v>
      </c>
      <c r="T168" s="667">
        <f t="shared" ref="T168:T179" si="251">ROUND((Q168+R168+S168),0)</f>
        <v>93</v>
      </c>
      <c r="U168" s="666">
        <f t="shared" ref="U168:U179" si="252">(M168+N168+O168+P168)-T168</f>
        <v>3862</v>
      </c>
      <c r="V168" s="674">
        <v>4455</v>
      </c>
      <c r="W168" s="674">
        <v>180</v>
      </c>
      <c r="X168" s="674"/>
      <c r="Y168" s="675">
        <f>Z168-BM168</f>
        <v>159.30000000000001</v>
      </c>
      <c r="Z168" s="676">
        <f>(V168-92-15-15-300)*10%</f>
        <v>403.3</v>
      </c>
      <c r="AA168" s="675">
        <v>65</v>
      </c>
      <c r="AB168" s="667">
        <f t="shared" ref="AB168:AB179" si="253">ROUND((Y168+AA168+X168),0)</f>
        <v>224</v>
      </c>
      <c r="AC168" s="666">
        <f t="shared" ref="AC168:AC179" si="254">(V168+W168)-AB168</f>
        <v>4411</v>
      </c>
      <c r="AD168" s="674">
        <v>117</v>
      </c>
      <c r="AE168" s="674"/>
      <c r="AF168" s="677"/>
      <c r="AG168" s="677"/>
      <c r="AH168" s="677"/>
      <c r="AI168" s="677"/>
      <c r="AJ168" s="677"/>
      <c r="AK168" s="677"/>
      <c r="AL168" s="790"/>
      <c r="AM168" s="791"/>
      <c r="AN168" s="679"/>
      <c r="AO168" s="671"/>
      <c r="AP168" s="793" t="s">
        <v>616</v>
      </c>
      <c r="AQ168" s="673">
        <f t="shared" ref="AQ168:AQ174" si="255">AR168+AW168</f>
        <v>32</v>
      </c>
      <c r="AR168" s="673">
        <f t="shared" ref="AR168:AR174" si="256">AS168+AT168</f>
        <v>29</v>
      </c>
      <c r="AS168" s="673">
        <f>32-3</f>
        <v>29</v>
      </c>
      <c r="AT168" s="673"/>
      <c r="AU168" s="673">
        <v>31</v>
      </c>
      <c r="AV168" s="673"/>
      <c r="AW168" s="673">
        <v>3</v>
      </c>
      <c r="AX168" s="673">
        <v>3</v>
      </c>
      <c r="AY168" s="674">
        <f t="shared" ref="AY168:AY179" si="257">BG168+BN168+BO168+BP168</f>
        <v>6897</v>
      </c>
      <c r="AZ168" s="680">
        <f>2892+211-246</f>
        <v>2857</v>
      </c>
      <c r="BA168" s="674">
        <f>864-204-75</f>
        <v>585</v>
      </c>
      <c r="BB168" s="674">
        <v>204</v>
      </c>
      <c r="BC168" s="674"/>
      <c r="BD168" s="674"/>
      <c r="BE168" s="674">
        <f t="shared" si="241"/>
        <v>78.900000000000006</v>
      </c>
      <c r="BF168" s="675">
        <f t="shared" ref="BF168:BF175" si="258">ROUND(BE168,0)</f>
        <v>79</v>
      </c>
      <c r="BG168" s="674">
        <f>(AZ168+BA168+BB168+BC168)-BF168</f>
        <v>3567</v>
      </c>
      <c r="BH168" s="674">
        <v>2543</v>
      </c>
      <c r="BI168" s="674">
        <v>740</v>
      </c>
      <c r="BJ168" s="674">
        <f>914-740</f>
        <v>174</v>
      </c>
      <c r="BK168" s="674"/>
      <c r="BL168" s="674">
        <f>(BH168-99)*10%</f>
        <v>244.4</v>
      </c>
      <c r="BM168" s="675">
        <f>ROUND(BL168,0)</f>
        <v>244</v>
      </c>
      <c r="BN168" s="674">
        <f t="shared" ref="BN168:BN175" si="259">(BH168+BI168+BJ168)-BM168</f>
        <v>3213</v>
      </c>
      <c r="BO168" s="674">
        <v>117</v>
      </c>
      <c r="BP168" s="674"/>
      <c r="BQ168" s="674"/>
      <c r="BR168" s="674">
        <v>343</v>
      </c>
      <c r="BS168" s="674"/>
      <c r="BT168" s="674">
        <v>32</v>
      </c>
      <c r="BU168" s="674"/>
      <c r="BV168" s="674"/>
      <c r="BW168" s="678"/>
    </row>
    <row r="169" spans="1:75" s="681" customFormat="1">
      <c r="A169" s="671"/>
      <c r="B169" s="794" t="s">
        <v>617</v>
      </c>
      <c r="C169" s="673">
        <f t="shared" si="248"/>
        <v>20</v>
      </c>
      <c r="D169" s="673">
        <f t="shared" si="249"/>
        <v>19</v>
      </c>
      <c r="E169" s="673"/>
      <c r="F169" s="673">
        <v>19</v>
      </c>
      <c r="G169" s="673"/>
      <c r="H169" s="673">
        <v>17</v>
      </c>
      <c r="I169" s="673">
        <v>1</v>
      </c>
      <c r="J169" s="673">
        <v>1</v>
      </c>
      <c r="K169" s="989">
        <f t="shared" si="207"/>
        <v>3044</v>
      </c>
      <c r="L169" s="674">
        <f t="shared" si="250"/>
        <v>3064</v>
      </c>
      <c r="M169" s="674">
        <v>1513</v>
      </c>
      <c r="N169" s="674">
        <v>496</v>
      </c>
      <c r="O169" s="674"/>
      <c r="P169" s="674"/>
      <c r="Q169" s="674"/>
      <c r="R169" s="674">
        <f>((N169+O169)-(BA169+BB169))*10%</f>
        <v>1</v>
      </c>
      <c r="S169" s="675">
        <v>52</v>
      </c>
      <c r="T169" s="667">
        <f t="shared" si="251"/>
        <v>53</v>
      </c>
      <c r="U169" s="666">
        <f t="shared" si="252"/>
        <v>1956</v>
      </c>
      <c r="V169" s="674">
        <v>1060</v>
      </c>
      <c r="W169" s="674">
        <v>75</v>
      </c>
      <c r="X169" s="674"/>
      <c r="Y169" s="675">
        <f>Z169-BM169</f>
        <v>20.800000000000004</v>
      </c>
      <c r="Z169" s="676">
        <f>(V169-32-600)*10%</f>
        <v>42.800000000000004</v>
      </c>
      <c r="AA169" s="675">
        <v>26</v>
      </c>
      <c r="AB169" s="667">
        <f t="shared" si="253"/>
        <v>47</v>
      </c>
      <c r="AC169" s="666">
        <f t="shared" si="254"/>
        <v>1088</v>
      </c>
      <c r="AD169" s="674">
        <v>20</v>
      </c>
      <c r="AE169" s="674"/>
      <c r="AF169" s="677"/>
      <c r="AG169" s="677"/>
      <c r="AH169" s="677"/>
      <c r="AI169" s="677"/>
      <c r="AJ169" s="677"/>
      <c r="AK169" s="677"/>
      <c r="AL169" s="790"/>
      <c r="AM169" s="791"/>
      <c r="AN169" s="679"/>
      <c r="AO169" s="671"/>
      <c r="AP169" s="794" t="s">
        <v>617</v>
      </c>
      <c r="AQ169" s="673">
        <f t="shared" si="255"/>
        <v>21</v>
      </c>
      <c r="AR169" s="673">
        <f t="shared" si="256"/>
        <v>20</v>
      </c>
      <c r="AS169" s="673"/>
      <c r="AT169" s="673">
        <v>20</v>
      </c>
      <c r="AU169" s="673"/>
      <c r="AV169" s="673">
        <v>17</v>
      </c>
      <c r="AW169" s="673">
        <v>1</v>
      </c>
      <c r="AX169" s="673">
        <v>1</v>
      </c>
      <c r="AY169" s="674">
        <f t="shared" si="257"/>
        <v>2462</v>
      </c>
      <c r="AZ169" s="680">
        <f>1371+40</f>
        <v>1411</v>
      </c>
      <c r="BA169" s="674">
        <f>486-74</f>
        <v>412</v>
      </c>
      <c r="BB169" s="674">
        <v>74</v>
      </c>
      <c r="BC169" s="674"/>
      <c r="BD169" s="674"/>
      <c r="BE169" s="674">
        <f t="shared" si="241"/>
        <v>48.6</v>
      </c>
      <c r="BF169" s="675">
        <f t="shared" si="258"/>
        <v>49</v>
      </c>
      <c r="BG169" s="674">
        <f>(AZ169+BA169+BB169+BC169)-BF169</f>
        <v>1848</v>
      </c>
      <c r="BH169" s="674">
        <v>542</v>
      </c>
      <c r="BI169" s="674"/>
      <c r="BJ169" s="674">
        <v>64</v>
      </c>
      <c r="BK169" s="674"/>
      <c r="BL169" s="674">
        <f>(BH169-319)*10%</f>
        <v>22.3</v>
      </c>
      <c r="BM169" s="675">
        <f>ROUND(BL169,0)</f>
        <v>22</v>
      </c>
      <c r="BN169" s="674">
        <f t="shared" si="259"/>
        <v>584</v>
      </c>
      <c r="BO169" s="674">
        <v>30</v>
      </c>
      <c r="BP169" s="674"/>
      <c r="BQ169" s="674"/>
      <c r="BR169" s="674"/>
      <c r="BS169" s="674"/>
      <c r="BT169" s="674"/>
      <c r="BU169" s="674">
        <v>501</v>
      </c>
      <c r="BV169" s="674"/>
      <c r="BW169" s="678"/>
    </row>
    <row r="170" spans="1:75" s="681" customFormat="1">
      <c r="A170" s="671">
        <v>55</v>
      </c>
      <c r="B170" s="672" t="s">
        <v>618</v>
      </c>
      <c r="C170" s="673">
        <f t="shared" si="248"/>
        <v>23</v>
      </c>
      <c r="D170" s="673">
        <f t="shared" si="249"/>
        <v>21</v>
      </c>
      <c r="E170" s="673">
        <v>21</v>
      </c>
      <c r="F170" s="673"/>
      <c r="G170" s="673">
        <v>19</v>
      </c>
      <c r="H170" s="673"/>
      <c r="I170" s="673">
        <v>2</v>
      </c>
      <c r="J170" s="673">
        <v>2</v>
      </c>
      <c r="K170" s="989">
        <f t="shared" si="207"/>
        <v>8002</v>
      </c>
      <c r="L170" s="678">
        <f t="shared" si="250"/>
        <v>8552</v>
      </c>
      <c r="M170" s="678">
        <v>2217</v>
      </c>
      <c r="N170" s="678">
        <v>487</v>
      </c>
      <c r="O170" s="678">
        <v>80</v>
      </c>
      <c r="P170" s="678"/>
      <c r="Q170" s="678"/>
      <c r="R170" s="674">
        <f>((N170+O170)-(BA170+BB170))*10%</f>
        <v>0</v>
      </c>
      <c r="S170" s="675">
        <v>57</v>
      </c>
      <c r="T170" s="667">
        <f t="shared" si="251"/>
        <v>57</v>
      </c>
      <c r="U170" s="666">
        <f t="shared" si="252"/>
        <v>2727</v>
      </c>
      <c r="V170" s="678">
        <f>5072+497</f>
        <v>5569</v>
      </c>
      <c r="W170" s="678">
        <v>95</v>
      </c>
      <c r="X170" s="678"/>
      <c r="Y170" s="675"/>
      <c r="Z170" s="676">
        <f>(V170-2050)*10%</f>
        <v>351.90000000000003</v>
      </c>
      <c r="AA170" s="675">
        <v>389</v>
      </c>
      <c r="AB170" s="667">
        <f t="shared" si="253"/>
        <v>389</v>
      </c>
      <c r="AC170" s="666">
        <f t="shared" si="254"/>
        <v>5275</v>
      </c>
      <c r="AD170" s="678">
        <v>550</v>
      </c>
      <c r="AE170" s="678"/>
      <c r="AF170" s="790"/>
      <c r="AG170" s="790"/>
      <c r="AH170" s="790"/>
      <c r="AI170" s="790"/>
      <c r="AJ170" s="790"/>
      <c r="AK170" s="790"/>
      <c r="AL170" s="790"/>
      <c r="AM170" s="791"/>
      <c r="AN170" s="679"/>
      <c r="AO170" s="671">
        <v>58</v>
      </c>
      <c r="AP170" s="672" t="s">
        <v>618</v>
      </c>
      <c r="AQ170" s="673">
        <f t="shared" si="255"/>
        <v>23</v>
      </c>
      <c r="AR170" s="673">
        <f t="shared" si="256"/>
        <v>21</v>
      </c>
      <c r="AS170" s="673">
        <v>21</v>
      </c>
      <c r="AT170" s="673"/>
      <c r="AU170" s="673">
        <v>18</v>
      </c>
      <c r="AV170" s="673"/>
      <c r="AW170" s="673">
        <v>2</v>
      </c>
      <c r="AX170" s="673">
        <v>2</v>
      </c>
      <c r="AY170" s="678">
        <f t="shared" si="257"/>
        <v>6251</v>
      </c>
      <c r="AZ170" s="795">
        <v>1990</v>
      </c>
      <c r="BA170" s="678">
        <v>567</v>
      </c>
      <c r="BB170" s="678"/>
      <c r="BC170" s="678"/>
      <c r="BD170" s="678"/>
      <c r="BE170" s="674">
        <f t="shared" si="241"/>
        <v>56.7</v>
      </c>
      <c r="BF170" s="675">
        <f t="shared" si="258"/>
        <v>57</v>
      </c>
      <c r="BG170" s="674">
        <f t="shared" ref="BG170:BG179" si="260">(AZ170+BA170+BB170+BC170)-BF170</f>
        <v>2500</v>
      </c>
      <c r="BH170" s="678">
        <v>3568</v>
      </c>
      <c r="BI170" s="678"/>
      <c r="BJ170" s="678">
        <v>70</v>
      </c>
      <c r="BK170" s="678"/>
      <c r="BL170" s="674">
        <f>BH170*10%</f>
        <v>356.8</v>
      </c>
      <c r="BM170" s="675">
        <f>ROUND(BL170,0)</f>
        <v>357</v>
      </c>
      <c r="BN170" s="674">
        <f t="shared" si="259"/>
        <v>3281</v>
      </c>
      <c r="BO170" s="678">
        <v>470</v>
      </c>
      <c r="BP170" s="678"/>
      <c r="BQ170" s="678"/>
      <c r="BR170" s="678"/>
      <c r="BS170" s="678"/>
      <c r="BT170" s="678"/>
      <c r="BU170" s="678"/>
      <c r="BV170" s="678"/>
      <c r="BW170" s="678"/>
    </row>
    <row r="171" spans="1:75" s="797" customFormat="1">
      <c r="A171" s="659">
        <v>56</v>
      </c>
      <c r="B171" s="660" t="s">
        <v>619</v>
      </c>
      <c r="C171" s="661">
        <f t="shared" si="248"/>
        <v>32</v>
      </c>
      <c r="D171" s="661">
        <f t="shared" si="249"/>
        <v>29</v>
      </c>
      <c r="E171" s="661">
        <v>29</v>
      </c>
      <c r="F171" s="661"/>
      <c r="G171" s="661">
        <v>29</v>
      </c>
      <c r="H171" s="661"/>
      <c r="I171" s="661">
        <v>3</v>
      </c>
      <c r="J171" s="661">
        <v>3</v>
      </c>
      <c r="K171" s="989">
        <f t="shared" si="207"/>
        <v>7299</v>
      </c>
      <c r="L171" s="796">
        <f t="shared" si="250"/>
        <v>7365</v>
      </c>
      <c r="M171" s="666">
        <v>2944</v>
      </c>
      <c r="N171" s="666">
        <v>592</v>
      </c>
      <c r="O171" s="666">
        <v>191</v>
      </c>
      <c r="P171" s="666"/>
      <c r="Q171" s="666"/>
      <c r="R171" s="666"/>
      <c r="S171" s="667">
        <v>89</v>
      </c>
      <c r="T171" s="667">
        <f t="shared" si="251"/>
        <v>89</v>
      </c>
      <c r="U171" s="666">
        <f t="shared" si="252"/>
        <v>3638</v>
      </c>
      <c r="V171" s="666">
        <v>2422</v>
      </c>
      <c r="W171" s="666">
        <v>162</v>
      </c>
      <c r="X171" s="666"/>
      <c r="Y171" s="667">
        <f t="shared" ref="Y171:Y179" si="261">Z171-BM171</f>
        <v>31.200000000000017</v>
      </c>
      <c r="Z171" s="668">
        <f t="shared" ref="Z171:Z179" si="262">V171*10%</f>
        <v>242.20000000000002</v>
      </c>
      <c r="AA171" s="667">
        <v>192</v>
      </c>
      <c r="AB171" s="667">
        <f t="shared" si="253"/>
        <v>223</v>
      </c>
      <c r="AC171" s="666">
        <f t="shared" si="254"/>
        <v>2361</v>
      </c>
      <c r="AD171" s="666">
        <v>66</v>
      </c>
      <c r="AE171" s="666">
        <v>1300</v>
      </c>
      <c r="AF171" s="669"/>
      <c r="AG171" s="669"/>
      <c r="AH171" s="669">
        <f>126+2</f>
        <v>128</v>
      </c>
      <c r="AI171" s="669"/>
      <c r="AJ171" s="669"/>
      <c r="AK171" s="669"/>
      <c r="AL171" s="664"/>
      <c r="AM171" s="772" t="e">
        <f>#REF!</f>
        <v>#REF!</v>
      </c>
      <c r="AN171" s="610"/>
      <c r="AO171" s="659">
        <v>59</v>
      </c>
      <c r="AP171" s="660" t="s">
        <v>619</v>
      </c>
      <c r="AQ171" s="661">
        <f t="shared" si="255"/>
        <v>37</v>
      </c>
      <c r="AR171" s="661">
        <f t="shared" si="256"/>
        <v>33</v>
      </c>
      <c r="AS171" s="661">
        <v>33</v>
      </c>
      <c r="AT171" s="661"/>
      <c r="AU171" s="661">
        <v>31</v>
      </c>
      <c r="AV171" s="661"/>
      <c r="AW171" s="661">
        <v>4</v>
      </c>
      <c r="AX171" s="661">
        <v>4</v>
      </c>
      <c r="AY171" s="796">
        <f t="shared" si="257"/>
        <v>6009</v>
      </c>
      <c r="AZ171" s="670">
        <f>1799+73+478+421+145+34+36</f>
        <v>2986</v>
      </c>
      <c r="BA171" s="666">
        <v>700</v>
      </c>
      <c r="BB171" s="666">
        <v>191</v>
      </c>
      <c r="BC171" s="666"/>
      <c r="BD171" s="666"/>
      <c r="BE171" s="666">
        <f t="shared" si="241"/>
        <v>89.100000000000009</v>
      </c>
      <c r="BF171" s="667">
        <f t="shared" si="258"/>
        <v>89</v>
      </c>
      <c r="BG171" s="666">
        <f>(AZ171+BA171+BB171+BC171)-BF171</f>
        <v>3788</v>
      </c>
      <c r="BH171" s="666">
        <f>2052+25+40+20</f>
        <v>2137</v>
      </c>
      <c r="BI171" s="666"/>
      <c r="BJ171" s="666">
        <v>248</v>
      </c>
      <c r="BK171" s="666"/>
      <c r="BL171" s="666">
        <f>(BH171-25)*10%</f>
        <v>211.20000000000002</v>
      </c>
      <c r="BM171" s="667">
        <f>ROUND(BL171,0)</f>
        <v>211</v>
      </c>
      <c r="BN171" s="666">
        <f t="shared" si="259"/>
        <v>2174</v>
      </c>
      <c r="BO171" s="666">
        <v>47</v>
      </c>
      <c r="BP171" s="666"/>
      <c r="BQ171" s="666"/>
      <c r="BR171" s="666"/>
      <c r="BS171" s="666">
        <v>101</v>
      </c>
      <c r="BT171" s="666"/>
      <c r="BU171" s="666"/>
      <c r="BV171" s="666"/>
      <c r="BW171" s="662"/>
    </row>
    <row r="172" spans="1:75" s="800" customFormat="1">
      <c r="A172" s="671">
        <v>57</v>
      </c>
      <c r="B172" s="798" t="s">
        <v>443</v>
      </c>
      <c r="C172" s="673">
        <f t="shared" si="248"/>
        <v>57</v>
      </c>
      <c r="D172" s="673">
        <f t="shared" si="249"/>
        <v>54</v>
      </c>
      <c r="E172" s="673">
        <v>54</v>
      </c>
      <c r="F172" s="673"/>
      <c r="G172" s="673">
        <v>54</v>
      </c>
      <c r="H172" s="673"/>
      <c r="I172" s="673">
        <v>3</v>
      </c>
      <c r="J172" s="673">
        <v>3</v>
      </c>
      <c r="K172" s="989">
        <f t="shared" si="207"/>
        <v>8171</v>
      </c>
      <c r="L172" s="799">
        <f t="shared" si="250"/>
        <v>8271</v>
      </c>
      <c r="M172" s="674">
        <v>6261</v>
      </c>
      <c r="N172" s="674">
        <v>1215</v>
      </c>
      <c r="O172" s="674">
        <v>135</v>
      </c>
      <c r="P172" s="674"/>
      <c r="Q172" s="674"/>
      <c r="R172" s="674"/>
      <c r="S172" s="675">
        <v>192</v>
      </c>
      <c r="T172" s="667">
        <f t="shared" si="251"/>
        <v>192</v>
      </c>
      <c r="U172" s="666">
        <f t="shared" si="252"/>
        <v>7419</v>
      </c>
      <c r="V172" s="674">
        <v>557</v>
      </c>
      <c r="W172" s="674">
        <v>260</v>
      </c>
      <c r="X172" s="674"/>
      <c r="Y172" s="675">
        <f t="shared" si="261"/>
        <v>6.1000000000000014</v>
      </c>
      <c r="Z172" s="676">
        <f>(V172-67-9)*10%</f>
        <v>48.1</v>
      </c>
      <c r="AA172" s="675">
        <v>59</v>
      </c>
      <c r="AB172" s="667">
        <f t="shared" si="253"/>
        <v>65</v>
      </c>
      <c r="AC172" s="666">
        <f t="shared" si="254"/>
        <v>752</v>
      </c>
      <c r="AD172" s="674">
        <v>100</v>
      </c>
      <c r="AE172" s="674"/>
      <c r="AF172" s="677"/>
      <c r="AG172" s="677"/>
      <c r="AH172" s="677"/>
      <c r="AI172" s="677"/>
      <c r="AJ172" s="677"/>
      <c r="AK172" s="677"/>
      <c r="AL172" s="677"/>
      <c r="AM172" s="678"/>
      <c r="AN172" s="679"/>
      <c r="AO172" s="671">
        <v>60</v>
      </c>
      <c r="AP172" s="798" t="s">
        <v>443</v>
      </c>
      <c r="AQ172" s="673">
        <f t="shared" si="255"/>
        <v>62</v>
      </c>
      <c r="AR172" s="673">
        <f t="shared" si="256"/>
        <v>58</v>
      </c>
      <c r="AS172" s="673">
        <v>58</v>
      </c>
      <c r="AT172" s="673"/>
      <c r="AU172" s="673">
        <v>51</v>
      </c>
      <c r="AV172" s="673"/>
      <c r="AW172" s="673">
        <v>4</v>
      </c>
      <c r="AX172" s="673">
        <v>3</v>
      </c>
      <c r="AY172" s="674">
        <f t="shared" si="257"/>
        <v>10548</v>
      </c>
      <c r="AZ172" s="680">
        <f>5525+195</f>
        <v>5720</v>
      </c>
      <c r="BA172" s="674">
        <f>1450-450</f>
        <v>1000</v>
      </c>
      <c r="BB172" s="674">
        <v>450</v>
      </c>
      <c r="BC172" s="674"/>
      <c r="BD172" s="674"/>
      <c r="BE172" s="674">
        <f t="shared" si="241"/>
        <v>145</v>
      </c>
      <c r="BF172" s="675">
        <f t="shared" si="258"/>
        <v>145</v>
      </c>
      <c r="BG172" s="674">
        <f>(AZ172+BA172+BB172+BC172)-BF172</f>
        <v>7025</v>
      </c>
      <c r="BH172" s="674">
        <f>449+2678-2678</f>
        <v>449</v>
      </c>
      <c r="BI172" s="674">
        <f>2341-1641</f>
        <v>700</v>
      </c>
      <c r="BJ172" s="674">
        <v>140</v>
      </c>
      <c r="BK172" s="674"/>
      <c r="BL172" s="674">
        <f>(BH172-26)*10%</f>
        <v>42.300000000000004</v>
      </c>
      <c r="BM172" s="675">
        <f>ROUND(BL172,0)</f>
        <v>42</v>
      </c>
      <c r="BN172" s="674">
        <f t="shared" si="259"/>
        <v>1247</v>
      </c>
      <c r="BO172" s="674">
        <v>100</v>
      </c>
      <c r="BP172" s="674">
        <f>3594-1418</f>
        <v>2176</v>
      </c>
      <c r="BQ172" s="674"/>
      <c r="BR172" s="674"/>
      <c r="BS172" s="674"/>
      <c r="BT172" s="674">
        <v>400</v>
      </c>
      <c r="BU172" s="674"/>
      <c r="BV172" s="674"/>
      <c r="BW172" s="678"/>
    </row>
    <row r="173" spans="1:75">
      <c r="A173" s="659">
        <v>58</v>
      </c>
      <c r="B173" s="660" t="s">
        <v>620</v>
      </c>
      <c r="C173" s="661">
        <f t="shared" si="248"/>
        <v>31</v>
      </c>
      <c r="D173" s="661">
        <f t="shared" si="249"/>
        <v>28</v>
      </c>
      <c r="E173" s="661">
        <v>28</v>
      </c>
      <c r="F173" s="661"/>
      <c r="G173" s="661">
        <v>25</v>
      </c>
      <c r="H173" s="661"/>
      <c r="I173" s="661">
        <v>3</v>
      </c>
      <c r="J173" s="661">
        <v>3</v>
      </c>
      <c r="K173" s="989">
        <f t="shared" si="207"/>
        <v>4632</v>
      </c>
      <c r="L173" s="796">
        <f t="shared" si="250"/>
        <v>4652</v>
      </c>
      <c r="M173" s="662">
        <v>3185</v>
      </c>
      <c r="N173" s="662">
        <v>918</v>
      </c>
      <c r="O173" s="662"/>
      <c r="P173" s="662"/>
      <c r="Q173" s="662"/>
      <c r="R173" s="666">
        <f>((N173+O173)-(BA173+BB173))*10%</f>
        <v>13.5</v>
      </c>
      <c r="S173" s="667">
        <v>91</v>
      </c>
      <c r="T173" s="667">
        <f t="shared" si="251"/>
        <v>105</v>
      </c>
      <c r="U173" s="666">
        <f t="shared" si="252"/>
        <v>3998</v>
      </c>
      <c r="V173" s="662">
        <v>190</v>
      </c>
      <c r="W173" s="662">
        <v>450</v>
      </c>
      <c r="X173" s="662"/>
      <c r="Y173" s="667">
        <f t="shared" si="261"/>
        <v>6</v>
      </c>
      <c r="Z173" s="668">
        <f t="shared" si="262"/>
        <v>19</v>
      </c>
      <c r="AA173" s="667"/>
      <c r="AB173" s="667">
        <f t="shared" si="253"/>
        <v>6</v>
      </c>
      <c r="AC173" s="666">
        <f t="shared" si="254"/>
        <v>634</v>
      </c>
      <c r="AD173" s="662">
        <v>20</v>
      </c>
      <c r="AE173" s="662"/>
      <c r="AF173" s="664"/>
      <c r="AG173" s="664"/>
      <c r="AH173" s="664"/>
      <c r="AI173" s="664"/>
      <c r="AJ173" s="801"/>
      <c r="AK173" s="801"/>
      <c r="AL173" s="664"/>
      <c r="AN173" s="610"/>
      <c r="AO173" s="659">
        <v>61</v>
      </c>
      <c r="AP173" s="660" t="s">
        <v>620</v>
      </c>
      <c r="AQ173" s="661">
        <f t="shared" si="255"/>
        <v>32</v>
      </c>
      <c r="AR173" s="661">
        <f t="shared" si="256"/>
        <v>29</v>
      </c>
      <c r="AS173" s="661">
        <v>29</v>
      </c>
      <c r="AT173" s="661"/>
      <c r="AU173" s="661">
        <v>26</v>
      </c>
      <c r="AV173" s="661"/>
      <c r="AW173" s="661">
        <v>3</v>
      </c>
      <c r="AX173" s="661">
        <v>3</v>
      </c>
      <c r="AY173" s="662">
        <f t="shared" si="257"/>
        <v>3991</v>
      </c>
      <c r="AZ173" s="665">
        <v>3005</v>
      </c>
      <c r="BA173" s="662">
        <v>680</v>
      </c>
      <c r="BB173" s="662">
        <f>103</f>
        <v>103</v>
      </c>
      <c r="BC173" s="662"/>
      <c r="BD173" s="662"/>
      <c r="BE173" s="666">
        <f t="shared" si="241"/>
        <v>78.300000000000011</v>
      </c>
      <c r="BF173" s="667">
        <f t="shared" si="258"/>
        <v>78</v>
      </c>
      <c r="BG173" s="666">
        <f t="shared" si="260"/>
        <v>3710</v>
      </c>
      <c r="BH173" s="662">
        <v>130</v>
      </c>
      <c r="BI173" s="662"/>
      <c r="BJ173" s="662">
        <v>124</v>
      </c>
      <c r="BK173" s="662"/>
      <c r="BL173" s="666">
        <f>BH173*10%</f>
        <v>13</v>
      </c>
      <c r="BM173" s="667">
        <f t="shared" ref="BM173:BM179" si="263">ROUND(BL173,0)</f>
        <v>13</v>
      </c>
      <c r="BN173" s="666">
        <f t="shared" si="259"/>
        <v>241</v>
      </c>
      <c r="BO173" s="662">
        <v>40</v>
      </c>
      <c r="BP173" s="662"/>
      <c r="BQ173" s="662"/>
      <c r="BR173" s="662">
        <v>44</v>
      </c>
      <c r="BS173" s="662">
        <v>100</v>
      </c>
      <c r="BT173" s="662"/>
      <c r="BU173" s="802"/>
      <c r="BV173" s="802"/>
      <c r="BW173" s="662"/>
    </row>
    <row r="174" spans="1:75" s="710" customFormat="1">
      <c r="A174" s="700">
        <v>59</v>
      </c>
      <c r="B174" s="701" t="s">
        <v>621</v>
      </c>
      <c r="C174" s="702">
        <f t="shared" si="248"/>
        <v>54</v>
      </c>
      <c r="D174" s="702">
        <f t="shared" si="249"/>
        <v>51</v>
      </c>
      <c r="E174" s="702">
        <v>51</v>
      </c>
      <c r="F174" s="702"/>
      <c r="G174" s="702">
        <v>50</v>
      </c>
      <c r="H174" s="702"/>
      <c r="I174" s="702">
        <v>3</v>
      </c>
      <c r="J174" s="702">
        <v>3</v>
      </c>
      <c r="K174" s="989">
        <f t="shared" si="207"/>
        <v>7345</v>
      </c>
      <c r="L174" s="709">
        <f t="shared" si="250"/>
        <v>7345</v>
      </c>
      <c r="M174" s="709">
        <v>6114</v>
      </c>
      <c r="N174" s="709">
        <v>1000</v>
      </c>
      <c r="O174" s="709">
        <v>275</v>
      </c>
      <c r="P174" s="709"/>
      <c r="Q174" s="709"/>
      <c r="R174" s="666"/>
      <c r="S174" s="704">
        <v>181</v>
      </c>
      <c r="T174" s="667">
        <f t="shared" si="251"/>
        <v>181</v>
      </c>
      <c r="U174" s="666">
        <f t="shared" si="252"/>
        <v>7208</v>
      </c>
      <c r="V174" s="709">
        <v>139</v>
      </c>
      <c r="W174" s="709">
        <f>598-598</f>
        <v>0</v>
      </c>
      <c r="X174" s="709"/>
      <c r="Y174" s="667">
        <f t="shared" si="261"/>
        <v>1.9000000000000004</v>
      </c>
      <c r="Z174" s="668">
        <f t="shared" si="262"/>
        <v>13.9</v>
      </c>
      <c r="AA174" s="704"/>
      <c r="AB174" s="667">
        <f t="shared" si="253"/>
        <v>2</v>
      </c>
      <c r="AC174" s="666">
        <f t="shared" si="254"/>
        <v>137</v>
      </c>
      <c r="AD174" s="709"/>
      <c r="AE174" s="709"/>
      <c r="AF174" s="733"/>
      <c r="AG174" s="733"/>
      <c r="AH174" s="733"/>
      <c r="AI174" s="733"/>
      <c r="AJ174" s="733"/>
      <c r="AK174" s="733"/>
      <c r="AL174" s="733"/>
      <c r="AM174" s="706"/>
      <c r="AN174" s="707"/>
      <c r="AO174" s="700">
        <v>62</v>
      </c>
      <c r="AP174" s="701" t="s">
        <v>621</v>
      </c>
      <c r="AQ174" s="702">
        <f t="shared" si="255"/>
        <v>57</v>
      </c>
      <c r="AR174" s="702">
        <f t="shared" si="256"/>
        <v>54</v>
      </c>
      <c r="AS174" s="702">
        <v>54</v>
      </c>
      <c r="AT174" s="702"/>
      <c r="AU174" s="702">
        <v>51</v>
      </c>
      <c r="AV174" s="702"/>
      <c r="AW174" s="702">
        <v>3</v>
      </c>
      <c r="AX174" s="702">
        <v>3</v>
      </c>
      <c r="AY174" s="709">
        <f t="shared" si="257"/>
        <v>7574</v>
      </c>
      <c r="AZ174" s="734">
        <v>5754</v>
      </c>
      <c r="BA174" s="709">
        <v>1000</v>
      </c>
      <c r="BB174" s="709">
        <v>350</v>
      </c>
      <c r="BC174" s="709"/>
      <c r="BD174" s="709"/>
      <c r="BE174" s="666">
        <f t="shared" si="241"/>
        <v>135</v>
      </c>
      <c r="BF174" s="704">
        <f t="shared" si="258"/>
        <v>135</v>
      </c>
      <c r="BG174" s="709">
        <f t="shared" si="260"/>
        <v>6969</v>
      </c>
      <c r="BH174" s="709">
        <f>47+30+40</f>
        <v>117</v>
      </c>
      <c r="BI174" s="709">
        <f>197+303</f>
        <v>500</v>
      </c>
      <c r="BJ174" s="709"/>
      <c r="BK174" s="709"/>
      <c r="BL174" s="666">
        <f>BH174*10%</f>
        <v>11.700000000000001</v>
      </c>
      <c r="BM174" s="704">
        <f t="shared" si="263"/>
        <v>12</v>
      </c>
      <c r="BN174" s="709">
        <f t="shared" si="259"/>
        <v>605</v>
      </c>
      <c r="BO174" s="709"/>
      <c r="BP174" s="709"/>
      <c r="BQ174" s="709"/>
      <c r="BR174" s="709"/>
      <c r="BS174" s="709"/>
      <c r="BT174" s="709"/>
      <c r="BU174" s="709"/>
      <c r="BV174" s="709"/>
      <c r="BW174" s="709"/>
    </row>
    <row r="175" spans="1:75" s="710" customFormat="1">
      <c r="A175" s="700">
        <v>60</v>
      </c>
      <c r="B175" s="701" t="s">
        <v>622</v>
      </c>
      <c r="C175" s="702">
        <f>D175+I175</f>
        <v>36</v>
      </c>
      <c r="D175" s="702">
        <f>E175+F175</f>
        <v>32</v>
      </c>
      <c r="E175" s="702">
        <v>32</v>
      </c>
      <c r="F175" s="702"/>
      <c r="G175" s="702">
        <v>32</v>
      </c>
      <c r="H175" s="702"/>
      <c r="I175" s="702">
        <v>4</v>
      </c>
      <c r="J175" s="702">
        <v>4</v>
      </c>
      <c r="K175" s="989">
        <f t="shared" si="207"/>
        <v>14444</v>
      </c>
      <c r="L175" s="703">
        <f t="shared" si="250"/>
        <v>14758</v>
      </c>
      <c r="M175" s="703">
        <v>3271</v>
      </c>
      <c r="N175" s="703">
        <v>864</v>
      </c>
      <c r="O175" s="703"/>
      <c r="P175" s="703"/>
      <c r="Q175" s="703"/>
      <c r="R175" s="666">
        <f>((N175+O175)-(BA175+BB175))*10%</f>
        <v>2.7</v>
      </c>
      <c r="S175" s="704">
        <v>97</v>
      </c>
      <c r="T175" s="667">
        <f t="shared" si="251"/>
        <v>100</v>
      </c>
      <c r="U175" s="666">
        <f t="shared" si="252"/>
        <v>4035</v>
      </c>
      <c r="V175" s="745">
        <f>(200+76+182+328+2345+80+9000+357)-(2345)</f>
        <v>10223</v>
      </c>
      <c r="W175" s="703">
        <f>360</f>
        <v>360</v>
      </c>
      <c r="X175" s="703"/>
      <c r="Y175" s="667">
        <f t="shared" si="261"/>
        <v>62.300000000000011</v>
      </c>
      <c r="Z175" s="668">
        <f>(V175-9000)*10%</f>
        <v>122.30000000000001</v>
      </c>
      <c r="AA175" s="704">
        <v>112</v>
      </c>
      <c r="AB175" s="667">
        <f t="shared" si="253"/>
        <v>174</v>
      </c>
      <c r="AC175" s="666">
        <f t="shared" si="254"/>
        <v>10409</v>
      </c>
      <c r="AD175" s="703">
        <v>314</v>
      </c>
      <c r="AE175" s="703"/>
      <c r="AF175" s="705"/>
      <c r="AG175" s="705"/>
      <c r="AH175" s="705"/>
      <c r="AI175" s="705"/>
      <c r="AJ175" s="705"/>
      <c r="AK175" s="705"/>
      <c r="AL175" s="705"/>
      <c r="AM175" s="706"/>
      <c r="AN175" s="707"/>
      <c r="AO175" s="700">
        <v>63</v>
      </c>
      <c r="AP175" s="701" t="s">
        <v>622</v>
      </c>
      <c r="AQ175" s="702">
        <f>AR175+AW175</f>
        <v>36</v>
      </c>
      <c r="AR175" s="702">
        <f>AS175+AT175</f>
        <v>32</v>
      </c>
      <c r="AS175" s="702">
        <v>32</v>
      </c>
      <c r="AT175" s="702"/>
      <c r="AU175" s="702">
        <v>30</v>
      </c>
      <c r="AV175" s="702"/>
      <c r="AW175" s="702">
        <v>4</v>
      </c>
      <c r="AX175" s="702">
        <v>3</v>
      </c>
      <c r="AY175" s="703">
        <f t="shared" si="257"/>
        <v>9909</v>
      </c>
      <c r="AZ175" s="708">
        <f>2880+51+184</f>
        <v>3115</v>
      </c>
      <c r="BA175" s="703">
        <v>837</v>
      </c>
      <c r="BB175" s="703"/>
      <c r="BC175" s="703"/>
      <c r="BD175" s="703"/>
      <c r="BE175" s="666">
        <f>(BA175+BB175)*10%</f>
        <v>83.7</v>
      </c>
      <c r="BF175" s="704">
        <f t="shared" si="258"/>
        <v>84</v>
      </c>
      <c r="BG175" s="709">
        <f t="shared" si="260"/>
        <v>3868</v>
      </c>
      <c r="BH175" s="703">
        <f>(218+343+8000)+20+20-8000</f>
        <v>601</v>
      </c>
      <c r="BI175" s="703"/>
      <c r="BJ175" s="703">
        <v>3500</v>
      </c>
      <c r="BK175" s="703"/>
      <c r="BL175" s="666">
        <f>(BH175)*10%</f>
        <v>60.1</v>
      </c>
      <c r="BM175" s="704">
        <f t="shared" si="263"/>
        <v>60</v>
      </c>
      <c r="BN175" s="709">
        <f t="shared" si="259"/>
        <v>4041</v>
      </c>
      <c r="BO175" s="703">
        <v>2000</v>
      </c>
      <c r="BP175" s="703"/>
      <c r="BQ175" s="703"/>
      <c r="BR175" s="703">
        <v>400</v>
      </c>
      <c r="BS175" s="703"/>
      <c r="BT175" s="703">
        <v>850</v>
      </c>
      <c r="BU175" s="703"/>
      <c r="BV175" s="703"/>
      <c r="BW175" s="703"/>
    </row>
    <row r="176" spans="1:75" s="693" customFormat="1" ht="31.2">
      <c r="A176" s="682"/>
      <c r="B176" s="803" t="s">
        <v>623</v>
      </c>
      <c r="C176" s="684"/>
      <c r="D176" s="684"/>
      <c r="E176" s="804"/>
      <c r="F176" s="804"/>
      <c r="G176" s="804"/>
      <c r="H176" s="804"/>
      <c r="I176" s="804"/>
      <c r="J176" s="804"/>
      <c r="K176" s="989">
        <f t="shared" si="207"/>
        <v>9000</v>
      </c>
      <c r="L176" s="685">
        <f t="shared" si="250"/>
        <v>9000</v>
      </c>
      <c r="M176" s="692"/>
      <c r="N176" s="692"/>
      <c r="O176" s="805"/>
      <c r="P176" s="805"/>
      <c r="Q176" s="805"/>
      <c r="R176" s="805"/>
      <c r="S176" s="806"/>
      <c r="T176" s="667">
        <f t="shared" si="251"/>
        <v>0</v>
      </c>
      <c r="U176" s="666">
        <f t="shared" si="252"/>
        <v>0</v>
      </c>
      <c r="V176" s="807">
        <v>9000</v>
      </c>
      <c r="W176" s="805"/>
      <c r="X176" s="805"/>
      <c r="Y176" s="667">
        <f t="shared" si="261"/>
        <v>0</v>
      </c>
      <c r="Z176" s="668"/>
      <c r="AA176" s="808"/>
      <c r="AB176" s="667">
        <f t="shared" si="253"/>
        <v>0</v>
      </c>
      <c r="AC176" s="666">
        <f t="shared" si="254"/>
        <v>9000</v>
      </c>
      <c r="AD176" s="805"/>
      <c r="AE176" s="805"/>
      <c r="AF176" s="809"/>
      <c r="AG176" s="809"/>
      <c r="AH176" s="809"/>
      <c r="AI176" s="809"/>
      <c r="AJ176" s="809"/>
      <c r="AK176" s="809"/>
      <c r="AL176" s="809"/>
      <c r="AM176" s="689"/>
      <c r="AN176" s="690"/>
      <c r="AO176" s="682"/>
      <c r="AP176" s="803" t="s">
        <v>623</v>
      </c>
      <c r="AQ176" s="684"/>
      <c r="AR176" s="684"/>
      <c r="AS176" s="804"/>
      <c r="AT176" s="804"/>
      <c r="AU176" s="804"/>
      <c r="AV176" s="804"/>
      <c r="AW176" s="804"/>
      <c r="AX176" s="804"/>
      <c r="AY176" s="685">
        <f t="shared" si="257"/>
        <v>0</v>
      </c>
      <c r="AZ176" s="713"/>
      <c r="BA176" s="692"/>
      <c r="BB176" s="805"/>
      <c r="BC176" s="805"/>
      <c r="BD176" s="805"/>
      <c r="BE176" s="805"/>
      <c r="BF176" s="806"/>
      <c r="BG176" s="692"/>
      <c r="BH176" s="807"/>
      <c r="BI176" s="805"/>
      <c r="BJ176" s="805"/>
      <c r="BK176" s="805"/>
      <c r="BL176" s="807"/>
      <c r="BM176" s="808"/>
      <c r="BN176" s="685">
        <f>(BH176+BI176+BJ176)-BL176</f>
        <v>0</v>
      </c>
      <c r="BO176" s="805"/>
      <c r="BP176" s="805"/>
      <c r="BQ176" s="805"/>
      <c r="BR176" s="805"/>
      <c r="BS176" s="805"/>
      <c r="BT176" s="805"/>
      <c r="BU176" s="805"/>
      <c r="BV176" s="805"/>
      <c r="BW176" s="805"/>
    </row>
    <row r="177" spans="1:75">
      <c r="A177" s="659">
        <v>61</v>
      </c>
      <c r="B177" s="718" t="s">
        <v>624</v>
      </c>
      <c r="C177" s="661">
        <f>D177+I177</f>
        <v>50</v>
      </c>
      <c r="D177" s="661">
        <f>E177+F177</f>
        <v>46</v>
      </c>
      <c r="E177" s="661">
        <v>46</v>
      </c>
      <c r="F177" s="661"/>
      <c r="G177" s="661">
        <v>41</v>
      </c>
      <c r="H177" s="661"/>
      <c r="I177" s="661">
        <v>4</v>
      </c>
      <c r="J177" s="661">
        <v>4</v>
      </c>
      <c r="K177" s="989">
        <f t="shared" si="207"/>
        <v>9839</v>
      </c>
      <c r="L177" s="666">
        <f t="shared" si="250"/>
        <v>10206</v>
      </c>
      <c r="M177" s="666">
        <v>4681</v>
      </c>
      <c r="N177" s="666">
        <v>1041</v>
      </c>
      <c r="O177" s="666">
        <v>109</v>
      </c>
      <c r="P177" s="666"/>
      <c r="Q177" s="666"/>
      <c r="R177" s="666">
        <f>((N177+O177)-(BA177+BB177))*10%</f>
        <v>10</v>
      </c>
      <c r="S177" s="667">
        <v>123</v>
      </c>
      <c r="T177" s="667">
        <f t="shared" si="251"/>
        <v>133</v>
      </c>
      <c r="U177" s="666">
        <f t="shared" si="252"/>
        <v>5698</v>
      </c>
      <c r="V177" s="666">
        <f>1892-16-32</f>
        <v>1844</v>
      </c>
      <c r="W177" s="666">
        <v>2508</v>
      </c>
      <c r="X177" s="666"/>
      <c r="Y177" s="667">
        <f t="shared" si="261"/>
        <v>16.400000000000006</v>
      </c>
      <c r="Z177" s="668">
        <f t="shared" si="262"/>
        <v>184.4</v>
      </c>
      <c r="AA177" s="667">
        <v>195</v>
      </c>
      <c r="AB177" s="667">
        <f t="shared" si="253"/>
        <v>211</v>
      </c>
      <c r="AC177" s="666">
        <f t="shared" si="254"/>
        <v>4141</v>
      </c>
      <c r="AD177" s="666">
        <v>367</v>
      </c>
      <c r="AE177" s="666"/>
      <c r="AF177" s="669"/>
      <c r="AG177" s="669"/>
      <c r="AH177" s="669"/>
      <c r="AI177" s="669"/>
      <c r="AJ177" s="669"/>
      <c r="AK177" s="669"/>
      <c r="AL177" s="664"/>
      <c r="AN177" s="610"/>
      <c r="AO177" s="659">
        <v>64</v>
      </c>
      <c r="AP177" s="718" t="s">
        <v>624</v>
      </c>
      <c r="AQ177" s="661">
        <f>AR177+AW177</f>
        <v>52</v>
      </c>
      <c r="AR177" s="661">
        <f>AS177+AT177</f>
        <v>48</v>
      </c>
      <c r="AS177" s="661">
        <v>48</v>
      </c>
      <c r="AT177" s="661"/>
      <c r="AU177" s="661">
        <v>42</v>
      </c>
      <c r="AV177" s="661"/>
      <c r="AW177" s="661">
        <v>4</v>
      </c>
      <c r="AX177" s="661">
        <v>4</v>
      </c>
      <c r="AY177" s="666">
        <f t="shared" si="257"/>
        <v>7884</v>
      </c>
      <c r="AZ177" s="670">
        <v>4342</v>
      </c>
      <c r="BA177" s="666">
        <f>1050-150</f>
        <v>900</v>
      </c>
      <c r="BB177" s="666">
        <v>150</v>
      </c>
      <c r="BC177" s="666"/>
      <c r="BD177" s="666"/>
      <c r="BE177" s="666">
        <f t="shared" si="241"/>
        <v>105</v>
      </c>
      <c r="BF177" s="667">
        <f>ROUND(BE177,0)</f>
        <v>105</v>
      </c>
      <c r="BG177" s="666">
        <f>(AZ177+BA177+BB177+BC177)-BF177</f>
        <v>5287</v>
      </c>
      <c r="BH177" s="666">
        <f>1593-1308+1308+60+30</f>
        <v>1683</v>
      </c>
      <c r="BI177" s="666">
        <v>349</v>
      </c>
      <c r="BJ177" s="666">
        <v>208</v>
      </c>
      <c r="BK177" s="666"/>
      <c r="BL177" s="666">
        <f>BH177*10%</f>
        <v>168.3</v>
      </c>
      <c r="BM177" s="667">
        <f>ROUND(BL177,0)</f>
        <v>168</v>
      </c>
      <c r="BN177" s="666">
        <f>(BH177+BI177+BJ177)-BM177</f>
        <v>2072</v>
      </c>
      <c r="BO177" s="666">
        <v>86</v>
      </c>
      <c r="BP177" s="666">
        <v>439</v>
      </c>
      <c r="BQ177" s="666"/>
      <c r="BR177" s="666">
        <v>36</v>
      </c>
      <c r="BS177" s="666"/>
      <c r="BT177" s="666">
        <v>250</v>
      </c>
      <c r="BU177" s="666"/>
      <c r="BV177" s="666"/>
      <c r="BW177" s="662"/>
    </row>
    <row r="178" spans="1:75">
      <c r="A178" s="659">
        <v>62</v>
      </c>
      <c r="B178" s="718" t="s">
        <v>625</v>
      </c>
      <c r="C178" s="661">
        <f>D178+I178</f>
        <v>50</v>
      </c>
      <c r="D178" s="661">
        <f>E178+F178</f>
        <v>44</v>
      </c>
      <c r="E178" s="661">
        <v>44</v>
      </c>
      <c r="F178" s="661"/>
      <c r="G178" s="661">
        <v>39</v>
      </c>
      <c r="H178" s="661"/>
      <c r="I178" s="661">
        <v>6</v>
      </c>
      <c r="J178" s="661">
        <v>6</v>
      </c>
      <c r="K178" s="989">
        <f t="shared" si="207"/>
        <v>7185</v>
      </c>
      <c r="L178" s="666">
        <f t="shared" si="250"/>
        <v>7635</v>
      </c>
      <c r="M178" s="662">
        <v>4601</v>
      </c>
      <c r="N178" s="662">
        <v>1044</v>
      </c>
      <c r="O178" s="662">
        <v>56</v>
      </c>
      <c r="P178" s="662"/>
      <c r="Q178" s="662"/>
      <c r="R178" s="666"/>
      <c r="S178" s="667">
        <v>115</v>
      </c>
      <c r="T178" s="667">
        <f t="shared" si="251"/>
        <v>115</v>
      </c>
      <c r="U178" s="666">
        <f t="shared" si="252"/>
        <v>5586</v>
      </c>
      <c r="V178" s="666">
        <v>1660</v>
      </c>
      <c r="W178" s="662">
        <v>10</v>
      </c>
      <c r="X178" s="662"/>
      <c r="Y178" s="667">
        <f t="shared" si="261"/>
        <v>71</v>
      </c>
      <c r="Z178" s="668">
        <f t="shared" si="262"/>
        <v>166</v>
      </c>
      <c r="AA178" s="667"/>
      <c r="AB178" s="667">
        <f t="shared" si="253"/>
        <v>71</v>
      </c>
      <c r="AC178" s="666">
        <f t="shared" si="254"/>
        <v>1599</v>
      </c>
      <c r="AD178" s="662">
        <f>200+250</f>
        <v>450</v>
      </c>
      <c r="AE178" s="662"/>
      <c r="AF178" s="664"/>
      <c r="AG178" s="664"/>
      <c r="AH178" s="664"/>
      <c r="AI178" s="664"/>
      <c r="AJ178" s="664"/>
      <c r="AK178" s="664"/>
      <c r="AL178" s="664"/>
      <c r="AN178" s="610"/>
      <c r="AO178" s="659">
        <v>65</v>
      </c>
      <c r="AP178" s="718" t="s">
        <v>625</v>
      </c>
      <c r="AQ178" s="661">
        <f>AR178+AW178</f>
        <v>51</v>
      </c>
      <c r="AR178" s="661">
        <f>AS178+AT178</f>
        <v>45</v>
      </c>
      <c r="AS178" s="661">
        <v>45</v>
      </c>
      <c r="AT178" s="661"/>
      <c r="AU178" s="661">
        <v>42</v>
      </c>
      <c r="AV178" s="661"/>
      <c r="AW178" s="661">
        <v>6</v>
      </c>
      <c r="AX178" s="661">
        <v>6</v>
      </c>
      <c r="AY178" s="666">
        <f t="shared" si="257"/>
        <v>6354</v>
      </c>
      <c r="AZ178" s="665">
        <v>4475</v>
      </c>
      <c r="BA178" s="662">
        <v>1125</v>
      </c>
      <c r="BB178" s="662"/>
      <c r="BC178" s="662"/>
      <c r="BD178" s="662"/>
      <c r="BE178" s="666">
        <f t="shared" si="241"/>
        <v>112.5</v>
      </c>
      <c r="BF178" s="667">
        <f>ROUND(BE178,0)</f>
        <v>113</v>
      </c>
      <c r="BG178" s="666">
        <f>(AZ178+BA178+BB178+BC178)-BF178</f>
        <v>5487</v>
      </c>
      <c r="BH178" s="666">
        <f>934+20</f>
        <v>954</v>
      </c>
      <c r="BI178" s="662"/>
      <c r="BJ178" s="662">
        <v>8</v>
      </c>
      <c r="BK178" s="662"/>
      <c r="BL178" s="666">
        <f>BH178*10%</f>
        <v>95.4</v>
      </c>
      <c r="BM178" s="667">
        <f>ROUND(BL178,0)</f>
        <v>95</v>
      </c>
      <c r="BN178" s="666">
        <f>(BH178+BI178+BJ178)-BM178</f>
        <v>867</v>
      </c>
      <c r="BO178" s="662"/>
      <c r="BP178" s="662"/>
      <c r="BQ178" s="662"/>
      <c r="BR178" s="662">
        <v>45</v>
      </c>
      <c r="BS178" s="662"/>
      <c r="BT178" s="662">
        <v>100</v>
      </c>
      <c r="BU178" s="662"/>
      <c r="BV178" s="662"/>
      <c r="BW178" s="662"/>
    </row>
    <row r="179" spans="1:75" s="710" customFormat="1">
      <c r="A179" s="700">
        <v>63</v>
      </c>
      <c r="B179" s="701" t="s">
        <v>626</v>
      </c>
      <c r="C179" s="702">
        <f>D179+I179</f>
        <v>26</v>
      </c>
      <c r="D179" s="702">
        <f>E179+F179</f>
        <v>23</v>
      </c>
      <c r="E179" s="702">
        <v>23</v>
      </c>
      <c r="F179" s="702"/>
      <c r="G179" s="702">
        <v>22</v>
      </c>
      <c r="H179" s="702"/>
      <c r="I179" s="702">
        <v>3</v>
      </c>
      <c r="J179" s="702">
        <v>3</v>
      </c>
      <c r="K179" s="989">
        <f t="shared" si="207"/>
        <v>6630</v>
      </c>
      <c r="L179" s="703">
        <f t="shared" si="250"/>
        <v>6630</v>
      </c>
      <c r="M179" s="703">
        <v>2631</v>
      </c>
      <c r="N179" s="703">
        <v>495</v>
      </c>
      <c r="O179" s="703">
        <v>126</v>
      </c>
      <c r="P179" s="703"/>
      <c r="Q179" s="703"/>
      <c r="R179" s="666">
        <f>((N179+O179)-(BA179+BB179))*10%</f>
        <v>0</v>
      </c>
      <c r="S179" s="704">
        <v>62</v>
      </c>
      <c r="T179" s="667">
        <f t="shared" si="251"/>
        <v>62</v>
      </c>
      <c r="U179" s="666">
        <f t="shared" si="252"/>
        <v>3190</v>
      </c>
      <c r="V179" s="703">
        <f>25118-21580</f>
        <v>3538</v>
      </c>
      <c r="W179" s="703">
        <v>239</v>
      </c>
      <c r="X179" s="703"/>
      <c r="Y179" s="667">
        <f t="shared" si="261"/>
        <v>336.8</v>
      </c>
      <c r="Z179" s="668">
        <f t="shared" si="262"/>
        <v>353.8</v>
      </c>
      <c r="AA179" s="704"/>
      <c r="AB179" s="667">
        <f t="shared" si="253"/>
        <v>337</v>
      </c>
      <c r="AC179" s="666">
        <f t="shared" si="254"/>
        <v>3440</v>
      </c>
      <c r="AD179" s="703"/>
      <c r="AE179" s="703"/>
      <c r="AF179" s="705"/>
      <c r="AG179" s="705">
        <v>45</v>
      </c>
      <c r="AH179" s="705">
        <v>0</v>
      </c>
      <c r="AI179" s="705">
        <v>120</v>
      </c>
      <c r="AJ179" s="705"/>
      <c r="AK179" s="705"/>
      <c r="AL179" s="725"/>
      <c r="AM179" s="706"/>
      <c r="AN179" s="707"/>
      <c r="AO179" s="700">
        <v>66</v>
      </c>
      <c r="AP179" s="701" t="s">
        <v>626</v>
      </c>
      <c r="AQ179" s="702">
        <f>AR179+AW179</f>
        <v>26</v>
      </c>
      <c r="AR179" s="702">
        <f>AS179+AT179</f>
        <v>23</v>
      </c>
      <c r="AS179" s="702">
        <v>23</v>
      </c>
      <c r="AT179" s="702"/>
      <c r="AU179" s="702">
        <v>23</v>
      </c>
      <c r="AV179" s="702"/>
      <c r="AW179" s="702">
        <v>3</v>
      </c>
      <c r="AX179" s="702">
        <v>3</v>
      </c>
      <c r="AY179" s="703">
        <f t="shared" si="257"/>
        <v>3479</v>
      </c>
      <c r="AZ179" s="708">
        <v>2564</v>
      </c>
      <c r="BA179" s="703">
        <v>621</v>
      </c>
      <c r="BB179" s="703"/>
      <c r="BC179" s="703"/>
      <c r="BD179" s="703"/>
      <c r="BE179" s="666">
        <f t="shared" si="241"/>
        <v>62.1</v>
      </c>
      <c r="BF179" s="704">
        <f>ROUND(BE179,0)</f>
        <v>62</v>
      </c>
      <c r="BG179" s="709">
        <f t="shared" si="260"/>
        <v>3123</v>
      </c>
      <c r="BH179" s="703">
        <f>22777-22612</f>
        <v>165</v>
      </c>
      <c r="BI179" s="703"/>
      <c r="BJ179" s="703">
        <v>208</v>
      </c>
      <c r="BK179" s="703"/>
      <c r="BL179" s="666">
        <f>BH179*10%</f>
        <v>16.5</v>
      </c>
      <c r="BM179" s="704">
        <f t="shared" si="263"/>
        <v>17</v>
      </c>
      <c r="BN179" s="709">
        <f>(BH179+BI179+BJ179)-BM179</f>
        <v>356</v>
      </c>
      <c r="BO179" s="703"/>
      <c r="BP179" s="703"/>
      <c r="BQ179" s="703"/>
      <c r="BR179" s="703">
        <v>10</v>
      </c>
      <c r="BS179" s="703">
        <v>5</v>
      </c>
      <c r="BT179" s="703">
        <v>250</v>
      </c>
      <c r="BU179" s="703"/>
      <c r="BV179" s="703"/>
      <c r="BW179" s="728"/>
    </row>
    <row r="180" spans="1:75" s="614" customFormat="1">
      <c r="A180" s="650" t="s">
        <v>627</v>
      </c>
      <c r="B180" s="651" t="s">
        <v>628</v>
      </c>
      <c r="C180" s="652">
        <f>D180+I180</f>
        <v>105</v>
      </c>
      <c r="D180" s="652">
        <f>E180+F180</f>
        <v>91</v>
      </c>
      <c r="E180" s="652">
        <f t="shared" ref="E180:AK180" si="264">SUM(E181,E185,E187,E190,E192)</f>
        <v>81</v>
      </c>
      <c r="F180" s="652">
        <f t="shared" si="264"/>
        <v>10</v>
      </c>
      <c r="G180" s="652">
        <f t="shared" si="264"/>
        <v>84</v>
      </c>
      <c r="H180" s="652">
        <f t="shared" si="264"/>
        <v>10</v>
      </c>
      <c r="I180" s="652">
        <f t="shared" si="264"/>
        <v>14</v>
      </c>
      <c r="J180" s="652">
        <f t="shared" si="264"/>
        <v>12</v>
      </c>
      <c r="K180" s="989">
        <f t="shared" si="207"/>
        <v>26723</v>
      </c>
      <c r="L180" s="653">
        <f t="shared" si="264"/>
        <v>29408</v>
      </c>
      <c r="M180" s="653">
        <f t="shared" si="264"/>
        <v>11146</v>
      </c>
      <c r="N180" s="653">
        <f t="shared" si="264"/>
        <v>1838</v>
      </c>
      <c r="O180" s="653">
        <f t="shared" si="264"/>
        <v>732</v>
      </c>
      <c r="P180" s="653">
        <f t="shared" si="264"/>
        <v>0</v>
      </c>
      <c r="Q180" s="653">
        <f t="shared" si="264"/>
        <v>0</v>
      </c>
      <c r="R180" s="653">
        <f t="shared" si="264"/>
        <v>1.1000000000000001</v>
      </c>
      <c r="S180" s="655">
        <f t="shared" si="264"/>
        <v>324</v>
      </c>
      <c r="T180" s="655">
        <f t="shared" si="264"/>
        <v>325</v>
      </c>
      <c r="U180" s="653">
        <f t="shared" si="264"/>
        <v>13391</v>
      </c>
      <c r="V180" s="653">
        <f t="shared" si="264"/>
        <v>12987</v>
      </c>
      <c r="W180" s="653">
        <f t="shared" si="264"/>
        <v>1320</v>
      </c>
      <c r="X180" s="653">
        <f t="shared" si="264"/>
        <v>0</v>
      </c>
      <c r="Y180" s="655">
        <f t="shared" si="264"/>
        <v>202.40000000000009</v>
      </c>
      <c r="Z180" s="653">
        <f t="shared" si="264"/>
        <v>954.7</v>
      </c>
      <c r="AA180" s="655">
        <f t="shared" si="264"/>
        <v>772</v>
      </c>
      <c r="AB180" s="655">
        <f t="shared" si="264"/>
        <v>975</v>
      </c>
      <c r="AC180" s="653">
        <f t="shared" si="264"/>
        <v>13332</v>
      </c>
      <c r="AD180" s="653">
        <f t="shared" si="264"/>
        <v>2685</v>
      </c>
      <c r="AE180" s="653">
        <f t="shared" si="264"/>
        <v>0</v>
      </c>
      <c r="AF180" s="656">
        <f t="shared" si="264"/>
        <v>0</v>
      </c>
      <c r="AG180" s="656">
        <f t="shared" si="264"/>
        <v>0</v>
      </c>
      <c r="AH180" s="656">
        <f>SUM(AH181,AH185,AH187,AH190,AH192)</f>
        <v>0</v>
      </c>
      <c r="AI180" s="656">
        <f t="shared" si="264"/>
        <v>0</v>
      </c>
      <c r="AJ180" s="656">
        <f t="shared" si="264"/>
        <v>0</v>
      </c>
      <c r="AK180" s="656">
        <f t="shared" si="264"/>
        <v>0</v>
      </c>
      <c r="AL180" s="656"/>
      <c r="AM180" s="612"/>
      <c r="AN180" s="610"/>
      <c r="AO180" s="650" t="s">
        <v>627</v>
      </c>
      <c r="AP180" s="651" t="s">
        <v>628</v>
      </c>
      <c r="AQ180" s="652">
        <f>AR180+AW180</f>
        <v>113</v>
      </c>
      <c r="AR180" s="652">
        <f>AS180+AT180</f>
        <v>99</v>
      </c>
      <c r="AS180" s="652">
        <f t="shared" ref="AS180:BV180" si="265">SUM(AS181,AS185,AS187,AS190,AS192)</f>
        <v>88</v>
      </c>
      <c r="AT180" s="652">
        <f t="shared" si="265"/>
        <v>11</v>
      </c>
      <c r="AU180" s="652">
        <f t="shared" si="265"/>
        <v>84</v>
      </c>
      <c r="AV180" s="652">
        <f t="shared" si="265"/>
        <v>10</v>
      </c>
      <c r="AW180" s="652">
        <f t="shared" si="265"/>
        <v>14</v>
      </c>
      <c r="AX180" s="652">
        <f t="shared" si="265"/>
        <v>14</v>
      </c>
      <c r="AY180" s="653">
        <f t="shared" si="265"/>
        <v>27555</v>
      </c>
      <c r="AZ180" s="658">
        <f t="shared" si="265"/>
        <v>11035</v>
      </c>
      <c r="BA180" s="653">
        <f t="shared" si="265"/>
        <v>2021</v>
      </c>
      <c r="BB180" s="653">
        <f t="shared" si="265"/>
        <v>732</v>
      </c>
      <c r="BC180" s="653">
        <f t="shared" si="265"/>
        <v>0</v>
      </c>
      <c r="BD180" s="653">
        <f t="shared" si="265"/>
        <v>0</v>
      </c>
      <c r="BE180" s="653">
        <f t="shared" si="265"/>
        <v>275</v>
      </c>
      <c r="BF180" s="655">
        <f t="shared" si="265"/>
        <v>275</v>
      </c>
      <c r="BG180" s="653">
        <f t="shared" si="265"/>
        <v>13513</v>
      </c>
      <c r="BH180" s="653">
        <f t="shared" si="265"/>
        <v>11437</v>
      </c>
      <c r="BI180" s="653">
        <f t="shared" si="265"/>
        <v>0</v>
      </c>
      <c r="BJ180" s="653">
        <f t="shared" si="265"/>
        <v>888</v>
      </c>
      <c r="BK180" s="653">
        <f t="shared" si="265"/>
        <v>0</v>
      </c>
      <c r="BL180" s="653">
        <f t="shared" si="265"/>
        <v>807</v>
      </c>
      <c r="BM180" s="655">
        <f t="shared" si="265"/>
        <v>807</v>
      </c>
      <c r="BN180" s="653">
        <f t="shared" si="265"/>
        <v>11518</v>
      </c>
      <c r="BO180" s="653">
        <f t="shared" si="265"/>
        <v>2524</v>
      </c>
      <c r="BP180" s="653">
        <f t="shared" si="265"/>
        <v>0</v>
      </c>
      <c r="BQ180" s="653">
        <f t="shared" si="265"/>
        <v>0</v>
      </c>
      <c r="BR180" s="653">
        <f t="shared" si="265"/>
        <v>0</v>
      </c>
      <c r="BS180" s="653">
        <f>SUM(BS181,BS185,BS187,BS190,BS192)</f>
        <v>0</v>
      </c>
      <c r="BT180" s="653">
        <f t="shared" si="265"/>
        <v>0</v>
      </c>
      <c r="BU180" s="653">
        <f t="shared" si="265"/>
        <v>0</v>
      </c>
      <c r="BV180" s="653">
        <f t="shared" si="265"/>
        <v>0</v>
      </c>
      <c r="BW180" s="653"/>
    </row>
    <row r="181" spans="1:75">
      <c r="A181" s="659">
        <v>64</v>
      </c>
      <c r="B181" s="751" t="s">
        <v>629</v>
      </c>
      <c r="C181" s="661">
        <f>C182+C183</f>
        <v>37</v>
      </c>
      <c r="D181" s="661">
        <f t="shared" ref="D181:J181" si="266">D182+D183</f>
        <v>32</v>
      </c>
      <c r="E181" s="661">
        <f t="shared" si="266"/>
        <v>22</v>
      </c>
      <c r="F181" s="661">
        <f t="shared" si="266"/>
        <v>10</v>
      </c>
      <c r="G181" s="661">
        <f t="shared" si="266"/>
        <v>23</v>
      </c>
      <c r="H181" s="661">
        <f t="shared" si="266"/>
        <v>10</v>
      </c>
      <c r="I181" s="661">
        <f t="shared" si="266"/>
        <v>5</v>
      </c>
      <c r="J181" s="661">
        <f t="shared" si="266"/>
        <v>4</v>
      </c>
      <c r="K181" s="989">
        <f t="shared" si="207"/>
        <v>7521</v>
      </c>
      <c r="L181" s="666">
        <f>SUM(L182:L183)</f>
        <v>8244</v>
      </c>
      <c r="M181" s="666">
        <f t="shared" ref="M181:AK181" si="267">SUM(M182:M183)</f>
        <v>2722</v>
      </c>
      <c r="N181" s="666">
        <f>SUM(N182:N183)</f>
        <v>626</v>
      </c>
      <c r="O181" s="666">
        <f>SUM(O182:O183)</f>
        <v>175</v>
      </c>
      <c r="P181" s="666">
        <f t="shared" si="267"/>
        <v>0</v>
      </c>
      <c r="Q181" s="666">
        <f t="shared" si="267"/>
        <v>0</v>
      </c>
      <c r="R181" s="666">
        <f t="shared" si="267"/>
        <v>0</v>
      </c>
      <c r="S181" s="667">
        <f t="shared" si="267"/>
        <v>94</v>
      </c>
      <c r="T181" s="667">
        <f t="shared" si="267"/>
        <v>94</v>
      </c>
      <c r="U181" s="666">
        <f t="shared" si="267"/>
        <v>3429</v>
      </c>
      <c r="V181" s="666">
        <f t="shared" si="267"/>
        <v>4168</v>
      </c>
      <c r="W181" s="666">
        <f t="shared" si="267"/>
        <v>314</v>
      </c>
      <c r="X181" s="666">
        <f t="shared" si="267"/>
        <v>0</v>
      </c>
      <c r="Y181" s="667">
        <f t="shared" si="267"/>
        <v>65.80000000000004</v>
      </c>
      <c r="Z181" s="666">
        <f t="shared" si="267"/>
        <v>416.80000000000007</v>
      </c>
      <c r="AA181" s="667">
        <f t="shared" si="267"/>
        <v>324</v>
      </c>
      <c r="AB181" s="667">
        <f t="shared" si="267"/>
        <v>390</v>
      </c>
      <c r="AC181" s="666">
        <f t="shared" si="267"/>
        <v>4092</v>
      </c>
      <c r="AD181" s="666">
        <f t="shared" si="267"/>
        <v>723</v>
      </c>
      <c r="AE181" s="666">
        <f t="shared" si="267"/>
        <v>0</v>
      </c>
      <c r="AF181" s="669">
        <f t="shared" si="267"/>
        <v>0</v>
      </c>
      <c r="AG181" s="669">
        <f>SUM(AG182:AG183)</f>
        <v>0</v>
      </c>
      <c r="AH181" s="669">
        <f>SUM(AH182:AH183)</f>
        <v>0</v>
      </c>
      <c r="AI181" s="669">
        <f t="shared" si="267"/>
        <v>0</v>
      </c>
      <c r="AJ181" s="669">
        <f t="shared" si="267"/>
        <v>0</v>
      </c>
      <c r="AK181" s="669">
        <f t="shared" si="267"/>
        <v>0</v>
      </c>
      <c r="AL181" s="669"/>
      <c r="AN181" s="610"/>
      <c r="AO181" s="659">
        <v>67</v>
      </c>
      <c r="AP181" s="751" t="s">
        <v>629</v>
      </c>
      <c r="AQ181" s="661">
        <f>AQ182+AQ183</f>
        <v>39</v>
      </c>
      <c r="AR181" s="661">
        <f t="shared" ref="AR181:AX181" si="268">AR182+AR183</f>
        <v>34</v>
      </c>
      <c r="AS181" s="661">
        <f t="shared" si="268"/>
        <v>23</v>
      </c>
      <c r="AT181" s="661">
        <f t="shared" si="268"/>
        <v>11</v>
      </c>
      <c r="AU181" s="661">
        <f t="shared" si="268"/>
        <v>20</v>
      </c>
      <c r="AV181" s="661">
        <f t="shared" si="268"/>
        <v>10</v>
      </c>
      <c r="AW181" s="661">
        <f t="shared" si="268"/>
        <v>5</v>
      </c>
      <c r="AX181" s="661">
        <f t="shared" si="268"/>
        <v>5</v>
      </c>
      <c r="AY181" s="666">
        <f>SUM(AY182:AY183)</f>
        <v>7626</v>
      </c>
      <c r="AZ181" s="670">
        <f t="shared" ref="AZ181:BV181" si="269">SUM(AZ182:AZ183)</f>
        <v>2769</v>
      </c>
      <c r="BA181" s="666">
        <f t="shared" si="269"/>
        <v>733</v>
      </c>
      <c r="BB181" s="666">
        <f t="shared" si="269"/>
        <v>175</v>
      </c>
      <c r="BC181" s="666">
        <f t="shared" si="269"/>
        <v>0</v>
      </c>
      <c r="BD181" s="666">
        <f t="shared" si="269"/>
        <v>0</v>
      </c>
      <c r="BE181" s="666">
        <f t="shared" si="269"/>
        <v>91</v>
      </c>
      <c r="BF181" s="667">
        <f t="shared" si="269"/>
        <v>91</v>
      </c>
      <c r="BG181" s="666">
        <f t="shared" si="269"/>
        <v>3586</v>
      </c>
      <c r="BH181" s="666">
        <f t="shared" si="269"/>
        <v>3513</v>
      </c>
      <c r="BI181" s="666">
        <f t="shared" si="269"/>
        <v>0</v>
      </c>
      <c r="BJ181" s="666">
        <f t="shared" si="269"/>
        <v>369</v>
      </c>
      <c r="BK181" s="666">
        <f t="shared" si="269"/>
        <v>0</v>
      </c>
      <c r="BL181" s="666">
        <f t="shared" si="269"/>
        <v>351</v>
      </c>
      <c r="BM181" s="667">
        <f t="shared" si="269"/>
        <v>351</v>
      </c>
      <c r="BN181" s="666">
        <f t="shared" si="269"/>
        <v>3531</v>
      </c>
      <c r="BO181" s="666">
        <f t="shared" si="269"/>
        <v>509</v>
      </c>
      <c r="BP181" s="666">
        <f t="shared" si="269"/>
        <v>0</v>
      </c>
      <c r="BQ181" s="666">
        <f t="shared" si="269"/>
        <v>0</v>
      </c>
      <c r="BR181" s="666">
        <f>SUM(BR182:BR183)</f>
        <v>0</v>
      </c>
      <c r="BS181" s="666">
        <f>SUM(BS182:BS183)</f>
        <v>0</v>
      </c>
      <c r="BT181" s="666">
        <f t="shared" si="269"/>
        <v>0</v>
      </c>
      <c r="BU181" s="666">
        <f t="shared" si="269"/>
        <v>0</v>
      </c>
      <c r="BV181" s="666">
        <f t="shared" si="269"/>
        <v>0</v>
      </c>
      <c r="BW181" s="666"/>
    </row>
    <row r="182" spans="1:75">
      <c r="A182" s="659"/>
      <c r="B182" s="718" t="s">
        <v>630</v>
      </c>
      <c r="C182" s="661">
        <f t="shared" ref="C182:C187" si="270">D182+I182</f>
        <v>25</v>
      </c>
      <c r="D182" s="661">
        <f t="shared" ref="D182:D187" si="271">E182+F182</f>
        <v>22</v>
      </c>
      <c r="E182" s="661">
        <v>22</v>
      </c>
      <c r="F182" s="661"/>
      <c r="G182" s="661">
        <v>23</v>
      </c>
      <c r="H182" s="661"/>
      <c r="I182" s="661">
        <v>3</v>
      </c>
      <c r="J182" s="661">
        <v>3</v>
      </c>
      <c r="K182" s="989">
        <f t="shared" si="207"/>
        <v>5703</v>
      </c>
      <c r="L182" s="666">
        <f t="shared" ref="L182:L192" si="272">U182+AC182+AD182+AE182</f>
        <v>6302</v>
      </c>
      <c r="M182" s="666">
        <v>1966</v>
      </c>
      <c r="N182" s="666">
        <v>449</v>
      </c>
      <c r="O182" s="666">
        <f>91</f>
        <v>91</v>
      </c>
      <c r="P182" s="666"/>
      <c r="Q182" s="666"/>
      <c r="R182" s="666"/>
      <c r="S182" s="667">
        <v>63</v>
      </c>
      <c r="T182" s="667">
        <f t="shared" ref="T182:T192" si="273">ROUND((Q182+R182+S182),0)</f>
        <v>63</v>
      </c>
      <c r="U182" s="666">
        <f>(M182+N182+O182+P182)-T182</f>
        <v>2443</v>
      </c>
      <c r="V182" s="666">
        <f>3109+150</f>
        <v>3259</v>
      </c>
      <c r="W182" s="666">
        <v>288</v>
      </c>
      <c r="X182" s="666"/>
      <c r="Y182" s="667">
        <f>Z182-BM182</f>
        <v>43.900000000000034</v>
      </c>
      <c r="Z182" s="668">
        <f>V182*10%</f>
        <v>325.90000000000003</v>
      </c>
      <c r="AA182" s="667">
        <v>243</v>
      </c>
      <c r="AB182" s="667">
        <f>ROUND((Y182+AA182+X182),0)</f>
        <v>287</v>
      </c>
      <c r="AC182" s="666">
        <f t="shared" ref="AC182:AC187" si="274">(V182+W182)-AB182</f>
        <v>3260</v>
      </c>
      <c r="AD182" s="666">
        <v>599</v>
      </c>
      <c r="AE182" s="666"/>
      <c r="AF182" s="669"/>
      <c r="AG182" s="669"/>
      <c r="AH182" s="669"/>
      <c r="AI182" s="669"/>
      <c r="AJ182" s="669"/>
      <c r="AK182" s="669"/>
      <c r="AL182" s="664"/>
      <c r="AN182" s="610"/>
      <c r="AO182" s="659"/>
      <c r="AP182" s="718" t="s">
        <v>630</v>
      </c>
      <c r="AQ182" s="661">
        <f>AR182+AW182</f>
        <v>26</v>
      </c>
      <c r="AR182" s="661">
        <f>AS182+AT182</f>
        <v>23</v>
      </c>
      <c r="AS182" s="661">
        <v>23</v>
      </c>
      <c r="AT182" s="661"/>
      <c r="AU182" s="661">
        <v>20</v>
      </c>
      <c r="AV182" s="661"/>
      <c r="AW182" s="661">
        <v>3</v>
      </c>
      <c r="AX182" s="661">
        <v>3</v>
      </c>
      <c r="AY182" s="666">
        <f t="shared" ref="AY182:AY192" si="275">BG182+BN182+BO182+BP182</f>
        <v>5992</v>
      </c>
      <c r="AZ182" s="670">
        <f>816+151+110+12+592+242+99+54+23</f>
        <v>2099</v>
      </c>
      <c r="BA182" s="666">
        <v>530</v>
      </c>
      <c r="BB182" s="666">
        <f>91</f>
        <v>91</v>
      </c>
      <c r="BC182" s="666"/>
      <c r="BD182" s="666"/>
      <c r="BE182" s="666">
        <v>62</v>
      </c>
      <c r="BF182" s="667">
        <f>ROUND(BE182,0)</f>
        <v>62</v>
      </c>
      <c r="BG182" s="666">
        <f>(AZ182+BA182+BB182+BC182)-BF182</f>
        <v>2658</v>
      </c>
      <c r="BH182" s="666">
        <f>2753+30+40</f>
        <v>2823</v>
      </c>
      <c r="BI182" s="666"/>
      <c r="BJ182" s="666">
        <v>344</v>
      </c>
      <c r="BK182" s="666"/>
      <c r="BL182" s="666">
        <v>282</v>
      </c>
      <c r="BM182" s="667">
        <f>ROUND(BL182,0)</f>
        <v>282</v>
      </c>
      <c r="BN182" s="666">
        <f>(BH182+BI182+BJ182)-BM182</f>
        <v>2885</v>
      </c>
      <c r="BO182" s="666">
        <v>449</v>
      </c>
      <c r="BP182" s="666"/>
      <c r="BQ182" s="666"/>
      <c r="BR182" s="666"/>
      <c r="BS182" s="666"/>
      <c r="BT182" s="666"/>
      <c r="BU182" s="666"/>
      <c r="BV182" s="666"/>
      <c r="BW182" s="662"/>
    </row>
    <row r="183" spans="1:75">
      <c r="A183" s="659"/>
      <c r="B183" s="718" t="s">
        <v>631</v>
      </c>
      <c r="C183" s="661">
        <f t="shared" si="270"/>
        <v>12</v>
      </c>
      <c r="D183" s="661">
        <f t="shared" si="271"/>
        <v>10</v>
      </c>
      <c r="E183" s="661"/>
      <c r="F183" s="661">
        <v>10</v>
      </c>
      <c r="G183" s="661"/>
      <c r="H183" s="661">
        <v>10</v>
      </c>
      <c r="I183" s="661">
        <v>2</v>
      </c>
      <c r="J183" s="661">
        <v>1</v>
      </c>
      <c r="K183" s="989">
        <f t="shared" si="207"/>
        <v>1818</v>
      </c>
      <c r="L183" s="666">
        <f t="shared" si="272"/>
        <v>1942</v>
      </c>
      <c r="M183" s="666">
        <v>756</v>
      </c>
      <c r="N183" s="666">
        <v>177</v>
      </c>
      <c r="O183" s="666">
        <v>84</v>
      </c>
      <c r="P183" s="666"/>
      <c r="Q183" s="666"/>
      <c r="R183" s="666"/>
      <c r="S183" s="667">
        <v>31</v>
      </c>
      <c r="T183" s="667">
        <f t="shared" si="273"/>
        <v>31</v>
      </c>
      <c r="U183" s="666">
        <f>(M183+N183+O183+P183)-T183</f>
        <v>986</v>
      </c>
      <c r="V183" s="666">
        <v>909</v>
      </c>
      <c r="W183" s="666">
        <v>26</v>
      </c>
      <c r="X183" s="666"/>
      <c r="Y183" s="667">
        <f>Z183-BM183</f>
        <v>21.900000000000006</v>
      </c>
      <c r="Z183" s="668">
        <f>V183*10%</f>
        <v>90.9</v>
      </c>
      <c r="AA183" s="667">
        <v>81</v>
      </c>
      <c r="AB183" s="667">
        <f>ROUND((Y183+AA183+X183),0)</f>
        <v>103</v>
      </c>
      <c r="AC183" s="666">
        <f t="shared" si="274"/>
        <v>832</v>
      </c>
      <c r="AD183" s="666">
        <v>124</v>
      </c>
      <c r="AE183" s="666"/>
      <c r="AF183" s="669"/>
      <c r="AG183" s="669"/>
      <c r="AH183" s="669"/>
      <c r="AI183" s="669"/>
      <c r="AJ183" s="669"/>
      <c r="AK183" s="669"/>
      <c r="AL183" s="664"/>
      <c r="AN183" s="610"/>
      <c r="AO183" s="659"/>
      <c r="AP183" s="718" t="s">
        <v>631</v>
      </c>
      <c r="AQ183" s="661">
        <f>AR183+AW183</f>
        <v>13</v>
      </c>
      <c r="AR183" s="661">
        <f>AS183+AT183</f>
        <v>11</v>
      </c>
      <c r="AS183" s="661"/>
      <c r="AT183" s="661">
        <v>11</v>
      </c>
      <c r="AU183" s="661"/>
      <c r="AV183" s="661">
        <v>10</v>
      </c>
      <c r="AW183" s="661">
        <v>2</v>
      </c>
      <c r="AX183" s="661">
        <v>2</v>
      </c>
      <c r="AY183" s="666">
        <f t="shared" si="275"/>
        <v>1634</v>
      </c>
      <c r="AZ183" s="670">
        <f>591+79</f>
        <v>670</v>
      </c>
      <c r="BA183" s="666">
        <v>203</v>
      </c>
      <c r="BB183" s="666">
        <v>84</v>
      </c>
      <c r="BC183" s="666"/>
      <c r="BD183" s="666"/>
      <c r="BE183" s="666">
        <v>29</v>
      </c>
      <c r="BF183" s="667">
        <f>ROUND(BE183,0)</f>
        <v>29</v>
      </c>
      <c r="BG183" s="666">
        <f>(AZ183+BA183+BB183+BC183)-BF183</f>
        <v>928</v>
      </c>
      <c r="BH183" s="666">
        <v>690</v>
      </c>
      <c r="BI183" s="666"/>
      <c r="BJ183" s="666">
        <v>25</v>
      </c>
      <c r="BK183" s="666"/>
      <c r="BL183" s="666">
        <v>69</v>
      </c>
      <c r="BM183" s="667">
        <f>ROUND(BL183,0)</f>
        <v>69</v>
      </c>
      <c r="BN183" s="666">
        <f>(BH183+BI183+BJ183)-BM183</f>
        <v>646</v>
      </c>
      <c r="BO183" s="666">
        <v>60</v>
      </c>
      <c r="BP183" s="666"/>
      <c r="BQ183" s="666"/>
      <c r="BR183" s="666"/>
      <c r="BS183" s="666"/>
      <c r="BT183" s="666"/>
      <c r="BU183" s="666"/>
      <c r="BV183" s="666"/>
      <c r="BW183" s="662"/>
    </row>
    <row r="184" spans="1:75" s="766" customFormat="1" ht="31.2">
      <c r="A184" s="752"/>
      <c r="B184" s="753" t="s">
        <v>529</v>
      </c>
      <c r="C184" s="761">
        <f t="shared" si="270"/>
        <v>0</v>
      </c>
      <c r="D184" s="761">
        <f t="shared" si="271"/>
        <v>0</v>
      </c>
      <c r="E184" s="761"/>
      <c r="F184" s="761"/>
      <c r="G184" s="761"/>
      <c r="H184" s="761"/>
      <c r="I184" s="761"/>
      <c r="J184" s="761"/>
      <c r="K184" s="989">
        <f t="shared" si="207"/>
        <v>150</v>
      </c>
      <c r="L184" s="764">
        <f t="shared" si="272"/>
        <v>150</v>
      </c>
      <c r="M184" s="764"/>
      <c r="N184" s="764"/>
      <c r="O184" s="764"/>
      <c r="P184" s="764"/>
      <c r="Q184" s="764"/>
      <c r="R184" s="764"/>
      <c r="S184" s="765"/>
      <c r="T184" s="667">
        <f t="shared" si="273"/>
        <v>0</v>
      </c>
      <c r="U184" s="764">
        <f>(M184+N184+O184+P184)-S184</f>
        <v>0</v>
      </c>
      <c r="V184" s="764">
        <v>150</v>
      </c>
      <c r="W184" s="764"/>
      <c r="X184" s="764"/>
      <c r="Y184" s="765"/>
      <c r="Z184" s="810"/>
      <c r="AA184" s="765"/>
      <c r="AB184" s="765"/>
      <c r="AC184" s="666">
        <f t="shared" si="274"/>
        <v>150</v>
      </c>
      <c r="AD184" s="764"/>
      <c r="AE184" s="764"/>
      <c r="AF184" s="811"/>
      <c r="AG184" s="811"/>
      <c r="AH184" s="811"/>
      <c r="AI184" s="811"/>
      <c r="AJ184" s="811"/>
      <c r="AK184" s="811"/>
      <c r="AL184" s="812"/>
      <c r="AM184" s="758"/>
      <c r="AN184" s="759"/>
      <c r="AO184" s="752"/>
      <c r="AP184" s="813"/>
      <c r="AQ184" s="761"/>
      <c r="AR184" s="761"/>
      <c r="AS184" s="761"/>
      <c r="AT184" s="761"/>
      <c r="AU184" s="761"/>
      <c r="AV184" s="761"/>
      <c r="AW184" s="761"/>
      <c r="AX184" s="761"/>
      <c r="AY184" s="764"/>
      <c r="AZ184" s="814"/>
      <c r="BA184" s="764"/>
      <c r="BB184" s="764"/>
      <c r="BC184" s="764"/>
      <c r="BD184" s="764"/>
      <c r="BE184" s="764"/>
      <c r="BF184" s="765"/>
      <c r="BG184" s="764"/>
      <c r="BH184" s="764"/>
      <c r="BI184" s="764"/>
      <c r="BJ184" s="764"/>
      <c r="BK184" s="764"/>
      <c r="BL184" s="764"/>
      <c r="BM184" s="765"/>
      <c r="BN184" s="764"/>
      <c r="BO184" s="764"/>
      <c r="BP184" s="764"/>
      <c r="BQ184" s="764"/>
      <c r="BR184" s="764"/>
      <c r="BS184" s="764"/>
      <c r="BT184" s="764"/>
      <c r="BU184" s="764"/>
      <c r="BV184" s="764"/>
      <c r="BW184" s="762"/>
    </row>
    <row r="185" spans="1:75">
      <c r="A185" s="659">
        <v>65</v>
      </c>
      <c r="B185" s="660" t="s">
        <v>632</v>
      </c>
      <c r="C185" s="661">
        <f t="shared" si="270"/>
        <v>21</v>
      </c>
      <c r="D185" s="661">
        <f t="shared" si="271"/>
        <v>18</v>
      </c>
      <c r="E185" s="661">
        <v>18</v>
      </c>
      <c r="F185" s="661"/>
      <c r="G185" s="661">
        <v>19</v>
      </c>
      <c r="H185" s="661"/>
      <c r="I185" s="661">
        <v>3</v>
      </c>
      <c r="J185" s="661">
        <v>3</v>
      </c>
      <c r="K185" s="989">
        <f t="shared" si="207"/>
        <v>7087</v>
      </c>
      <c r="L185" s="666">
        <f t="shared" si="272"/>
        <v>8122</v>
      </c>
      <c r="M185" s="666">
        <v>2653</v>
      </c>
      <c r="N185" s="666">
        <v>311</v>
      </c>
      <c r="O185" s="666">
        <v>240</v>
      </c>
      <c r="P185" s="666"/>
      <c r="Q185" s="666"/>
      <c r="R185" s="666">
        <f>((N185+O185)-(BA185+BB185))*10%</f>
        <v>1.1000000000000001</v>
      </c>
      <c r="S185" s="667">
        <v>72</v>
      </c>
      <c r="T185" s="667">
        <f t="shared" si="273"/>
        <v>73</v>
      </c>
      <c r="U185" s="666">
        <f>(M185+N185+O185+P185)-T185</f>
        <v>3131</v>
      </c>
      <c r="V185" s="666">
        <f>3998-50+121</f>
        <v>4069</v>
      </c>
      <c r="W185" s="666">
        <v>207</v>
      </c>
      <c r="X185" s="666"/>
      <c r="Y185" s="667">
        <f>Z185-BM185</f>
        <v>24.900000000000034</v>
      </c>
      <c r="Z185" s="668">
        <f>(V185-1000)*10%</f>
        <v>306.90000000000003</v>
      </c>
      <c r="AA185" s="667">
        <v>295</v>
      </c>
      <c r="AB185" s="667">
        <f>ROUND((Y185+AA185+X185),0)</f>
        <v>320</v>
      </c>
      <c r="AC185" s="666">
        <f t="shared" si="274"/>
        <v>3956</v>
      </c>
      <c r="AD185" s="666">
        <v>1035</v>
      </c>
      <c r="AE185" s="666"/>
      <c r="AF185" s="669"/>
      <c r="AG185" s="669"/>
      <c r="AH185" s="669"/>
      <c r="AI185" s="669"/>
      <c r="AJ185" s="669"/>
      <c r="AK185" s="669"/>
      <c r="AL185" s="664"/>
      <c r="AN185" s="610"/>
      <c r="AO185" s="659">
        <v>68</v>
      </c>
      <c r="AP185" s="660" t="s">
        <v>632</v>
      </c>
      <c r="AQ185" s="661">
        <f>AR185+AW185</f>
        <v>23</v>
      </c>
      <c r="AR185" s="661">
        <f>AS185+AT185</f>
        <v>20</v>
      </c>
      <c r="AS185" s="661">
        <v>20</v>
      </c>
      <c r="AT185" s="661"/>
      <c r="AU185" s="661">
        <v>20</v>
      </c>
      <c r="AV185" s="661"/>
      <c r="AW185" s="661">
        <v>3</v>
      </c>
      <c r="AX185" s="661">
        <v>3</v>
      </c>
      <c r="AY185" s="666">
        <f t="shared" si="275"/>
        <v>7780</v>
      </c>
      <c r="AZ185" s="670">
        <f>1299+37+5+735+301+198</f>
        <v>2575</v>
      </c>
      <c r="BA185" s="666">
        <v>300</v>
      </c>
      <c r="BB185" s="666">
        <v>240</v>
      </c>
      <c r="BC185" s="666"/>
      <c r="BD185" s="666"/>
      <c r="BE185" s="666">
        <v>54</v>
      </c>
      <c r="BF185" s="667">
        <f>ROUND(BE185,0)</f>
        <v>54</v>
      </c>
      <c r="BG185" s="666">
        <f>(AZ185+BA185+BB185+BC185)-BF185</f>
        <v>3061</v>
      </c>
      <c r="BH185" s="666">
        <f>3257-12+176+323+10</f>
        <v>3754</v>
      </c>
      <c r="BI185" s="666"/>
      <c r="BJ185" s="666">
        <f>200+12</f>
        <v>212</v>
      </c>
      <c r="BK185" s="666"/>
      <c r="BL185" s="666">
        <v>282</v>
      </c>
      <c r="BM185" s="667">
        <f>ROUND(BL185,0)</f>
        <v>282</v>
      </c>
      <c r="BN185" s="666">
        <f>(BH185+BI185+BJ185)-BM185</f>
        <v>3684</v>
      </c>
      <c r="BO185" s="666">
        <f>1000+35</f>
        <v>1035</v>
      </c>
      <c r="BP185" s="666"/>
      <c r="BQ185" s="666"/>
      <c r="BR185" s="666"/>
      <c r="BS185" s="666"/>
      <c r="BT185" s="666"/>
      <c r="BU185" s="666"/>
      <c r="BV185" s="666"/>
      <c r="BW185" s="662"/>
    </row>
    <row r="186" spans="1:75" ht="31.2">
      <c r="A186" s="659"/>
      <c r="B186" s="753" t="s">
        <v>529</v>
      </c>
      <c r="C186" s="761">
        <f t="shared" si="270"/>
        <v>0</v>
      </c>
      <c r="D186" s="761">
        <f t="shared" si="271"/>
        <v>0</v>
      </c>
      <c r="E186" s="761"/>
      <c r="F186" s="761"/>
      <c r="G186" s="761"/>
      <c r="H186" s="761"/>
      <c r="I186" s="761"/>
      <c r="J186" s="761"/>
      <c r="K186" s="989">
        <f t="shared" si="207"/>
        <v>121</v>
      </c>
      <c r="L186" s="764">
        <f t="shared" si="272"/>
        <v>121</v>
      </c>
      <c r="M186" s="764"/>
      <c r="N186" s="764"/>
      <c r="O186" s="764"/>
      <c r="P186" s="764"/>
      <c r="Q186" s="764"/>
      <c r="R186" s="764"/>
      <c r="S186" s="765"/>
      <c r="T186" s="667">
        <f t="shared" si="273"/>
        <v>0</v>
      </c>
      <c r="U186" s="764">
        <f>(M186+N186+O186+P186)-S186</f>
        <v>0</v>
      </c>
      <c r="V186" s="764">
        <v>121</v>
      </c>
      <c r="W186" s="764"/>
      <c r="X186" s="764"/>
      <c r="Y186" s="765"/>
      <c r="Z186" s="810"/>
      <c r="AA186" s="765"/>
      <c r="AB186" s="765"/>
      <c r="AC186" s="764">
        <f>(V186+W186)-AA186</f>
        <v>121</v>
      </c>
      <c r="AD186" s="764"/>
      <c r="AE186" s="764"/>
      <c r="AF186" s="811"/>
      <c r="AG186" s="811"/>
      <c r="AH186" s="811"/>
      <c r="AI186" s="811"/>
      <c r="AJ186" s="811"/>
      <c r="AK186" s="811"/>
      <c r="AL186" s="812"/>
      <c r="AN186" s="610"/>
      <c r="AO186" s="659"/>
      <c r="AP186" s="660"/>
      <c r="AQ186" s="661"/>
      <c r="AR186" s="661"/>
      <c r="AS186" s="661"/>
      <c r="AT186" s="661"/>
      <c r="AU186" s="661"/>
      <c r="AV186" s="661"/>
      <c r="AW186" s="661"/>
      <c r="AX186" s="661"/>
      <c r="AY186" s="666"/>
      <c r="AZ186" s="670"/>
      <c r="BA186" s="666"/>
      <c r="BB186" s="666"/>
      <c r="BC186" s="666"/>
      <c r="BD186" s="666"/>
      <c r="BE186" s="666"/>
      <c r="BF186" s="667"/>
      <c r="BG186" s="666"/>
      <c r="BH186" s="666"/>
      <c r="BI186" s="666"/>
      <c r="BJ186" s="666"/>
      <c r="BK186" s="666"/>
      <c r="BL186" s="666"/>
      <c r="BM186" s="667"/>
      <c r="BN186" s="666"/>
      <c r="BO186" s="666"/>
      <c r="BP186" s="666"/>
      <c r="BQ186" s="666"/>
      <c r="BR186" s="666"/>
      <c r="BS186" s="666"/>
      <c r="BT186" s="666"/>
      <c r="BU186" s="666"/>
      <c r="BV186" s="666"/>
      <c r="BW186" s="662"/>
    </row>
    <row r="187" spans="1:75">
      <c r="A187" s="659">
        <v>66</v>
      </c>
      <c r="B187" s="660" t="s">
        <v>633</v>
      </c>
      <c r="C187" s="661">
        <f t="shared" si="270"/>
        <v>18</v>
      </c>
      <c r="D187" s="661">
        <f t="shared" si="271"/>
        <v>16</v>
      </c>
      <c r="E187" s="661">
        <v>16</v>
      </c>
      <c r="F187" s="661"/>
      <c r="G187" s="661">
        <v>16</v>
      </c>
      <c r="H187" s="661"/>
      <c r="I187" s="661">
        <v>2</v>
      </c>
      <c r="J187" s="661">
        <v>2</v>
      </c>
      <c r="K187" s="989">
        <f t="shared" si="207"/>
        <v>4351</v>
      </c>
      <c r="L187" s="666">
        <f t="shared" si="272"/>
        <v>4748</v>
      </c>
      <c r="M187" s="666">
        <v>2347</v>
      </c>
      <c r="N187" s="666">
        <v>337</v>
      </c>
      <c r="O187" s="666">
        <f>127</f>
        <v>127</v>
      </c>
      <c r="P187" s="666"/>
      <c r="Q187" s="666"/>
      <c r="R187" s="666"/>
      <c r="S187" s="667">
        <v>65</v>
      </c>
      <c r="T187" s="667">
        <f t="shared" si="273"/>
        <v>65</v>
      </c>
      <c r="U187" s="666">
        <f>(M187+N187+O187+P187)-S187</f>
        <v>2746</v>
      </c>
      <c r="V187" s="666">
        <f>1436+137</f>
        <v>1573</v>
      </c>
      <c r="W187" s="666">
        <v>109</v>
      </c>
      <c r="X187" s="666"/>
      <c r="Y187" s="667"/>
      <c r="Z187" s="668">
        <f>(V187-1000)*10%</f>
        <v>57.300000000000004</v>
      </c>
      <c r="AA187" s="667">
        <v>77</v>
      </c>
      <c r="AB187" s="667">
        <f>ROUND((Y187+AA187+X187),0)</f>
        <v>77</v>
      </c>
      <c r="AC187" s="666">
        <f t="shared" si="274"/>
        <v>1605</v>
      </c>
      <c r="AD187" s="666">
        <v>397</v>
      </c>
      <c r="AE187" s="666"/>
      <c r="AF187" s="669"/>
      <c r="AG187" s="669"/>
      <c r="AH187" s="669"/>
      <c r="AI187" s="669"/>
      <c r="AJ187" s="669"/>
      <c r="AK187" s="669"/>
      <c r="AL187" s="664"/>
      <c r="AM187" s="772" t="e">
        <f>#REF!</f>
        <v>#REF!</v>
      </c>
      <c r="AN187" s="610"/>
      <c r="AO187" s="659">
        <v>69</v>
      </c>
      <c r="AP187" s="660" t="s">
        <v>633</v>
      </c>
      <c r="AQ187" s="661">
        <f>AR187+AW187</f>
        <v>19</v>
      </c>
      <c r="AR187" s="661">
        <f>AS187+AT187</f>
        <v>17</v>
      </c>
      <c r="AS187" s="661">
        <v>17</v>
      </c>
      <c r="AT187" s="661"/>
      <c r="AU187" s="661">
        <v>17</v>
      </c>
      <c r="AV187" s="661"/>
      <c r="AW187" s="661">
        <v>2</v>
      </c>
      <c r="AX187" s="661">
        <v>2</v>
      </c>
      <c r="AY187" s="666">
        <f t="shared" si="275"/>
        <v>5450</v>
      </c>
      <c r="AZ187" s="670">
        <f>1205+271+5+663+73+17+40</f>
        <v>2274</v>
      </c>
      <c r="BA187" s="666">
        <v>366</v>
      </c>
      <c r="BB187" s="666">
        <f>127</f>
        <v>127</v>
      </c>
      <c r="BC187" s="666"/>
      <c r="BD187" s="666"/>
      <c r="BE187" s="666">
        <v>49</v>
      </c>
      <c r="BF187" s="667">
        <f>ROUND(BE187,0)</f>
        <v>49</v>
      </c>
      <c r="BG187" s="666">
        <f>(AZ187+BA187+BB187+BC187)-BF187</f>
        <v>2718</v>
      </c>
      <c r="BH187" s="666">
        <f>1161-90+1000+10+35</f>
        <v>2116</v>
      </c>
      <c r="BI187" s="666"/>
      <c r="BJ187" s="666">
        <v>245</v>
      </c>
      <c r="BK187" s="666"/>
      <c r="BL187" s="666">
        <v>112</v>
      </c>
      <c r="BM187" s="667">
        <f>ROUND(BL187,0)</f>
        <v>112</v>
      </c>
      <c r="BN187" s="666">
        <f>(BH187+BI187+BJ187)-BM187</f>
        <v>2249</v>
      </c>
      <c r="BO187" s="666">
        <v>483</v>
      </c>
      <c r="BP187" s="666"/>
      <c r="BQ187" s="666"/>
      <c r="BR187" s="666"/>
      <c r="BS187" s="666"/>
      <c r="BT187" s="666"/>
      <c r="BU187" s="666"/>
      <c r="BV187" s="666"/>
      <c r="BW187" s="662"/>
    </row>
    <row r="188" spans="1:75" s="693" customFormat="1">
      <c r="A188" s="682"/>
      <c r="B188" s="683" t="s">
        <v>634</v>
      </c>
      <c r="C188" s="684"/>
      <c r="D188" s="684"/>
      <c r="E188" s="684"/>
      <c r="F188" s="684"/>
      <c r="G188" s="684"/>
      <c r="H188" s="684"/>
      <c r="I188" s="684"/>
      <c r="J188" s="684"/>
      <c r="K188" s="989">
        <f t="shared" si="207"/>
        <v>1000</v>
      </c>
      <c r="L188" s="685">
        <f t="shared" si="272"/>
        <v>1000</v>
      </c>
      <c r="M188" s="685"/>
      <c r="N188" s="685"/>
      <c r="O188" s="685"/>
      <c r="P188" s="685"/>
      <c r="Q188" s="685"/>
      <c r="R188" s="685"/>
      <c r="S188" s="686"/>
      <c r="T188" s="667">
        <f t="shared" si="273"/>
        <v>0</v>
      </c>
      <c r="U188" s="685">
        <f>(M188+N188+O188+P188)-R188</f>
        <v>0</v>
      </c>
      <c r="V188" s="685">
        <v>1000</v>
      </c>
      <c r="W188" s="685"/>
      <c r="X188" s="685"/>
      <c r="Y188" s="667"/>
      <c r="Z188" s="668"/>
      <c r="AA188" s="686"/>
      <c r="AB188" s="686"/>
      <c r="AC188" s="666">
        <f>(V188+W188)-AA188</f>
        <v>1000</v>
      </c>
      <c r="AD188" s="685"/>
      <c r="AE188" s="685"/>
      <c r="AF188" s="687"/>
      <c r="AG188" s="687"/>
      <c r="AH188" s="687"/>
      <c r="AI188" s="687"/>
      <c r="AJ188" s="687"/>
      <c r="AK188" s="687"/>
      <c r="AL188" s="688"/>
      <c r="AM188" s="689"/>
      <c r="AN188" s="610"/>
      <c r="AO188" s="682"/>
      <c r="AP188" s="683" t="s">
        <v>635</v>
      </c>
      <c r="AQ188" s="684"/>
      <c r="AR188" s="684"/>
      <c r="AS188" s="684"/>
      <c r="AT188" s="684"/>
      <c r="AU188" s="684"/>
      <c r="AV188" s="684"/>
      <c r="AW188" s="684"/>
      <c r="AX188" s="684"/>
      <c r="AY188" s="685">
        <f t="shared" si="275"/>
        <v>1000</v>
      </c>
      <c r="AZ188" s="691"/>
      <c r="BA188" s="685"/>
      <c r="BB188" s="685"/>
      <c r="BC188" s="685"/>
      <c r="BD188" s="685"/>
      <c r="BE188" s="685"/>
      <c r="BF188" s="686"/>
      <c r="BG188" s="685">
        <f>(AZ188+BA188+BB188+BC188)-BE188</f>
        <v>0</v>
      </c>
      <c r="BH188" s="685">
        <v>1000</v>
      </c>
      <c r="BI188" s="685"/>
      <c r="BJ188" s="685"/>
      <c r="BK188" s="685"/>
      <c r="BL188" s="666"/>
      <c r="BM188" s="686"/>
      <c r="BN188" s="685">
        <f>(BH188+BI188+BJ188)-BL188</f>
        <v>1000</v>
      </c>
      <c r="BO188" s="685"/>
      <c r="BP188" s="685"/>
      <c r="BQ188" s="685"/>
      <c r="BR188" s="685"/>
      <c r="BS188" s="685"/>
      <c r="BT188" s="685"/>
      <c r="BU188" s="685"/>
      <c r="BV188" s="685"/>
      <c r="BW188" s="692"/>
    </row>
    <row r="189" spans="1:75" s="693" customFormat="1" ht="31.2">
      <c r="A189" s="682"/>
      <c r="B189" s="683" t="s">
        <v>636</v>
      </c>
      <c r="C189" s="684"/>
      <c r="D189" s="684"/>
      <c r="E189" s="684"/>
      <c r="F189" s="684"/>
      <c r="G189" s="684"/>
      <c r="H189" s="684"/>
      <c r="I189" s="684"/>
      <c r="J189" s="684"/>
      <c r="K189" s="989">
        <f t="shared" si="207"/>
        <v>137</v>
      </c>
      <c r="L189" s="685">
        <f t="shared" si="272"/>
        <v>137</v>
      </c>
      <c r="M189" s="685"/>
      <c r="N189" s="685"/>
      <c r="O189" s="685"/>
      <c r="P189" s="685"/>
      <c r="Q189" s="685"/>
      <c r="R189" s="685"/>
      <c r="S189" s="686"/>
      <c r="T189" s="667">
        <f t="shared" si="273"/>
        <v>0</v>
      </c>
      <c r="U189" s="685"/>
      <c r="V189" s="685">
        <v>137</v>
      </c>
      <c r="W189" s="685"/>
      <c r="X189" s="685"/>
      <c r="Y189" s="667"/>
      <c r="Z189" s="668"/>
      <c r="AA189" s="686"/>
      <c r="AB189" s="686"/>
      <c r="AC189" s="666">
        <f>(V189+W189)-AA189</f>
        <v>137</v>
      </c>
      <c r="AD189" s="685"/>
      <c r="AE189" s="685"/>
      <c r="AF189" s="687"/>
      <c r="AG189" s="687"/>
      <c r="AH189" s="687"/>
      <c r="AI189" s="687"/>
      <c r="AJ189" s="687"/>
      <c r="AK189" s="687"/>
      <c r="AL189" s="688"/>
      <c r="AM189" s="689"/>
      <c r="AN189" s="610"/>
      <c r="AO189" s="682"/>
      <c r="AP189" s="683"/>
      <c r="AQ189" s="684"/>
      <c r="AR189" s="684"/>
      <c r="AS189" s="684"/>
      <c r="AT189" s="684"/>
      <c r="AU189" s="684"/>
      <c r="AV189" s="684"/>
      <c r="AW189" s="684"/>
      <c r="AX189" s="684"/>
      <c r="AY189" s="685"/>
      <c r="AZ189" s="691"/>
      <c r="BA189" s="685"/>
      <c r="BB189" s="685"/>
      <c r="BC189" s="685"/>
      <c r="BD189" s="685"/>
      <c r="BE189" s="685"/>
      <c r="BF189" s="686"/>
      <c r="BG189" s="685"/>
      <c r="BH189" s="685"/>
      <c r="BI189" s="685"/>
      <c r="BJ189" s="685"/>
      <c r="BK189" s="685"/>
      <c r="BL189" s="666"/>
      <c r="BM189" s="686"/>
      <c r="BN189" s="685"/>
      <c r="BO189" s="685"/>
      <c r="BP189" s="685"/>
      <c r="BQ189" s="685"/>
      <c r="BR189" s="685"/>
      <c r="BS189" s="685"/>
      <c r="BT189" s="685"/>
      <c r="BU189" s="685"/>
      <c r="BV189" s="685"/>
      <c r="BW189" s="692"/>
    </row>
    <row r="190" spans="1:75">
      <c r="A190" s="659">
        <v>67</v>
      </c>
      <c r="B190" s="660" t="s">
        <v>637</v>
      </c>
      <c r="C190" s="661">
        <f t="shared" ref="C190:C197" si="276">D190+I190</f>
        <v>20</v>
      </c>
      <c r="D190" s="661">
        <f t="shared" ref="D190:D195" si="277">E190+F190</f>
        <v>17</v>
      </c>
      <c r="E190" s="661">
        <v>17</v>
      </c>
      <c r="F190" s="661"/>
      <c r="G190" s="661">
        <v>17</v>
      </c>
      <c r="H190" s="661"/>
      <c r="I190" s="661">
        <v>3</v>
      </c>
      <c r="J190" s="661">
        <v>3</v>
      </c>
      <c r="K190" s="989">
        <f t="shared" si="207"/>
        <v>4583</v>
      </c>
      <c r="L190" s="666">
        <f t="shared" si="272"/>
        <v>5021</v>
      </c>
      <c r="M190" s="666">
        <v>2332</v>
      </c>
      <c r="N190" s="666">
        <v>349</v>
      </c>
      <c r="O190" s="666">
        <f>144</f>
        <v>144</v>
      </c>
      <c r="P190" s="666"/>
      <c r="Q190" s="666"/>
      <c r="R190" s="666"/>
      <c r="S190" s="667">
        <v>62</v>
      </c>
      <c r="T190" s="667">
        <f t="shared" si="273"/>
        <v>62</v>
      </c>
      <c r="U190" s="666">
        <f>(M190+N190+O190+P190)-T190</f>
        <v>2763</v>
      </c>
      <c r="V190" s="666">
        <f>1065+247</f>
        <v>1312</v>
      </c>
      <c r="W190" s="666">
        <v>640</v>
      </c>
      <c r="X190" s="666"/>
      <c r="Y190" s="667">
        <f>Z190-BM190</f>
        <v>78.200000000000017</v>
      </c>
      <c r="Z190" s="668">
        <f>V190*10%</f>
        <v>131.20000000000002</v>
      </c>
      <c r="AA190" s="667">
        <v>54</v>
      </c>
      <c r="AB190" s="667">
        <f>ROUND((Y190+AA190+X190),0)</f>
        <v>132</v>
      </c>
      <c r="AC190" s="666">
        <f>(V190+W190)-AB190</f>
        <v>1820</v>
      </c>
      <c r="AD190" s="666">
        <v>438</v>
      </c>
      <c r="AE190" s="666"/>
      <c r="AF190" s="669"/>
      <c r="AG190" s="669"/>
      <c r="AH190" s="669"/>
      <c r="AI190" s="669"/>
      <c r="AJ190" s="669"/>
      <c r="AK190" s="669"/>
      <c r="AL190" s="664"/>
      <c r="AN190" s="610"/>
      <c r="AO190" s="659">
        <v>70</v>
      </c>
      <c r="AP190" s="660" t="s">
        <v>637</v>
      </c>
      <c r="AQ190" s="661">
        <f t="shared" ref="AQ190:AQ197" si="278">AR190+AW190</f>
        <v>22</v>
      </c>
      <c r="AR190" s="661">
        <f>AS190+AT190</f>
        <v>19</v>
      </c>
      <c r="AS190" s="661">
        <v>19</v>
      </c>
      <c r="AT190" s="661"/>
      <c r="AU190" s="661">
        <v>18</v>
      </c>
      <c r="AV190" s="661"/>
      <c r="AW190" s="661">
        <v>3</v>
      </c>
      <c r="AX190" s="661">
        <v>3</v>
      </c>
      <c r="AY190" s="666">
        <f t="shared" si="275"/>
        <v>3745</v>
      </c>
      <c r="AZ190" s="670">
        <f>1133+37+11+263+644+43+175</f>
        <v>2306</v>
      </c>
      <c r="BA190" s="666">
        <v>407</v>
      </c>
      <c r="BB190" s="666">
        <f>144</f>
        <v>144</v>
      </c>
      <c r="BC190" s="666"/>
      <c r="BD190" s="666"/>
      <c r="BE190" s="666">
        <v>55</v>
      </c>
      <c r="BF190" s="667">
        <f>ROUND(BE190,0)</f>
        <v>55</v>
      </c>
      <c r="BG190" s="666">
        <f>(AZ190+BA190+BB190+BC190)-BF190</f>
        <v>2802</v>
      </c>
      <c r="BH190" s="666">
        <f>474+15+40</f>
        <v>529</v>
      </c>
      <c r="BI190" s="666"/>
      <c r="BJ190" s="666">
        <v>62</v>
      </c>
      <c r="BK190" s="666"/>
      <c r="BL190" s="666">
        <v>53</v>
      </c>
      <c r="BM190" s="667">
        <f>ROUND(BL190,0)</f>
        <v>53</v>
      </c>
      <c r="BN190" s="666">
        <f>(BH190+BI190+BJ190)-BM190</f>
        <v>538</v>
      </c>
      <c r="BO190" s="666">
        <v>405</v>
      </c>
      <c r="BP190" s="666"/>
      <c r="BQ190" s="666"/>
      <c r="BR190" s="666"/>
      <c r="BS190" s="666"/>
      <c r="BT190" s="666"/>
      <c r="BU190" s="666"/>
      <c r="BV190" s="666"/>
      <c r="BW190" s="662"/>
    </row>
    <row r="191" spans="1:75" ht="31.2">
      <c r="A191" s="659"/>
      <c r="B191" s="753" t="s">
        <v>529</v>
      </c>
      <c r="C191" s="761">
        <f>D191+I191</f>
        <v>0</v>
      </c>
      <c r="D191" s="761">
        <f t="shared" si="277"/>
        <v>0</v>
      </c>
      <c r="E191" s="761"/>
      <c r="F191" s="761"/>
      <c r="G191" s="761"/>
      <c r="H191" s="761"/>
      <c r="I191" s="761"/>
      <c r="J191" s="761"/>
      <c r="K191" s="989">
        <f t="shared" si="207"/>
        <v>247</v>
      </c>
      <c r="L191" s="764">
        <f t="shared" si="272"/>
        <v>247</v>
      </c>
      <c r="M191" s="764"/>
      <c r="N191" s="764"/>
      <c r="O191" s="764"/>
      <c r="P191" s="764"/>
      <c r="Q191" s="764"/>
      <c r="R191" s="764"/>
      <c r="S191" s="765"/>
      <c r="T191" s="667">
        <f t="shared" si="273"/>
        <v>0</v>
      </c>
      <c r="U191" s="764">
        <f>(M191+N191+O191+P191)-S191</f>
        <v>0</v>
      </c>
      <c r="V191" s="764">
        <v>247</v>
      </c>
      <c r="W191" s="764"/>
      <c r="X191" s="764"/>
      <c r="Y191" s="765"/>
      <c r="Z191" s="810"/>
      <c r="AA191" s="765"/>
      <c r="AB191" s="765"/>
      <c r="AC191" s="764">
        <f>(V191+W191)-AA191</f>
        <v>247</v>
      </c>
      <c r="AD191" s="764"/>
      <c r="AE191" s="764"/>
      <c r="AF191" s="811"/>
      <c r="AG191" s="811"/>
      <c r="AH191" s="811"/>
      <c r="AI191" s="811"/>
      <c r="AJ191" s="811"/>
      <c r="AK191" s="811"/>
      <c r="AL191" s="812"/>
      <c r="AN191" s="610"/>
      <c r="AO191" s="659"/>
      <c r="AP191" s="660"/>
      <c r="AQ191" s="661"/>
      <c r="AR191" s="661"/>
      <c r="AS191" s="661"/>
      <c r="AT191" s="661"/>
      <c r="AU191" s="661"/>
      <c r="AV191" s="661"/>
      <c r="AW191" s="661"/>
      <c r="AX191" s="661"/>
      <c r="AY191" s="666"/>
      <c r="AZ191" s="670"/>
      <c r="BA191" s="666"/>
      <c r="BB191" s="666"/>
      <c r="BC191" s="666"/>
      <c r="BD191" s="666"/>
      <c r="BE191" s="666"/>
      <c r="BF191" s="667"/>
      <c r="BG191" s="666"/>
      <c r="BH191" s="666"/>
      <c r="BI191" s="666"/>
      <c r="BJ191" s="666"/>
      <c r="BK191" s="666"/>
      <c r="BL191" s="666"/>
      <c r="BM191" s="667"/>
      <c r="BN191" s="666"/>
      <c r="BO191" s="666"/>
      <c r="BP191" s="666"/>
      <c r="BQ191" s="666"/>
      <c r="BR191" s="666"/>
      <c r="BS191" s="666"/>
      <c r="BT191" s="666"/>
      <c r="BU191" s="666"/>
      <c r="BV191" s="666"/>
      <c r="BW191" s="662"/>
    </row>
    <row r="192" spans="1:75">
      <c r="A192" s="659">
        <v>68</v>
      </c>
      <c r="B192" s="660" t="s">
        <v>638</v>
      </c>
      <c r="C192" s="661">
        <f t="shared" si="276"/>
        <v>9</v>
      </c>
      <c r="D192" s="661">
        <f t="shared" si="277"/>
        <v>8</v>
      </c>
      <c r="E192" s="661">
        <v>8</v>
      </c>
      <c r="F192" s="661"/>
      <c r="G192" s="661">
        <v>9</v>
      </c>
      <c r="H192" s="661"/>
      <c r="I192" s="661">
        <v>1</v>
      </c>
      <c r="J192" s="661"/>
      <c r="K192" s="989">
        <f t="shared" si="207"/>
        <v>3181</v>
      </c>
      <c r="L192" s="666">
        <f t="shared" si="272"/>
        <v>3273</v>
      </c>
      <c r="M192" s="666">
        <v>1092</v>
      </c>
      <c r="N192" s="666">
        <v>215</v>
      </c>
      <c r="O192" s="666">
        <v>46</v>
      </c>
      <c r="P192" s="666"/>
      <c r="Q192" s="666"/>
      <c r="R192" s="666">
        <f>((N192+O192)-(BA192+BB192))*10%</f>
        <v>0</v>
      </c>
      <c r="S192" s="667">
        <v>31</v>
      </c>
      <c r="T192" s="667">
        <f t="shared" si="273"/>
        <v>31</v>
      </c>
      <c r="U192" s="666">
        <f>(M192+N192+O192+P192)-T192</f>
        <v>1322</v>
      </c>
      <c r="V192" s="666">
        <v>1865</v>
      </c>
      <c r="W192" s="666">
        <v>50</v>
      </c>
      <c r="X192" s="666"/>
      <c r="Y192" s="667">
        <f>Z192-BM192</f>
        <v>33.5</v>
      </c>
      <c r="Z192" s="668">
        <f>(V192-1440)*10%</f>
        <v>42.5</v>
      </c>
      <c r="AA192" s="667">
        <v>22</v>
      </c>
      <c r="AB192" s="667">
        <f>ROUND((Y192+AA192+X192),0)</f>
        <v>56</v>
      </c>
      <c r="AC192" s="666">
        <f>(V192+W192)-AB192</f>
        <v>1859</v>
      </c>
      <c r="AD192" s="666">
        <v>92</v>
      </c>
      <c r="AE192" s="666"/>
      <c r="AF192" s="669"/>
      <c r="AG192" s="669"/>
      <c r="AH192" s="669"/>
      <c r="AI192" s="669"/>
      <c r="AJ192" s="669"/>
      <c r="AK192" s="669"/>
      <c r="AL192" s="664"/>
      <c r="AN192" s="610"/>
      <c r="AO192" s="659">
        <v>71</v>
      </c>
      <c r="AP192" s="660" t="s">
        <v>638</v>
      </c>
      <c r="AQ192" s="661">
        <f t="shared" si="278"/>
        <v>10</v>
      </c>
      <c r="AR192" s="661">
        <f>AS192+AT192</f>
        <v>9</v>
      </c>
      <c r="AS192" s="661">
        <v>9</v>
      </c>
      <c r="AT192" s="661"/>
      <c r="AU192" s="661">
        <v>9</v>
      </c>
      <c r="AV192" s="661"/>
      <c r="AW192" s="661">
        <v>1</v>
      </c>
      <c r="AX192" s="661">
        <v>1</v>
      </c>
      <c r="AY192" s="666">
        <f t="shared" si="275"/>
        <v>2954</v>
      </c>
      <c r="AZ192" s="670">
        <f>578+133+318+46+11+25</f>
        <v>1111</v>
      </c>
      <c r="BA192" s="666">
        <v>215</v>
      </c>
      <c r="BB192" s="666">
        <v>46</v>
      </c>
      <c r="BC192" s="666"/>
      <c r="BD192" s="666"/>
      <c r="BE192" s="666">
        <v>26</v>
      </c>
      <c r="BF192" s="667">
        <f>ROUND(BE192,0)</f>
        <v>26</v>
      </c>
      <c r="BG192" s="666">
        <f>(AZ192+BA192+BB192+BC192)-BF192</f>
        <v>1346</v>
      </c>
      <c r="BH192" s="666">
        <f>1440+30+20+12+23</f>
        <v>1525</v>
      </c>
      <c r="BI192" s="666"/>
      <c r="BJ192" s="666"/>
      <c r="BK192" s="666"/>
      <c r="BL192" s="666">
        <v>9</v>
      </c>
      <c r="BM192" s="667">
        <f>ROUND(BL192,0)</f>
        <v>9</v>
      </c>
      <c r="BN192" s="666">
        <f>(BH192+BI192+BJ192)-BM192</f>
        <v>1516</v>
      </c>
      <c r="BO192" s="666">
        <f>80+12</f>
        <v>92</v>
      </c>
      <c r="BP192" s="666"/>
      <c r="BQ192" s="666"/>
      <c r="BR192" s="666"/>
      <c r="BS192" s="666"/>
      <c r="BT192" s="666"/>
      <c r="BU192" s="666"/>
      <c r="BV192" s="666"/>
      <c r="BW192" s="662"/>
    </row>
    <row r="193" spans="1:75">
      <c r="A193" s="650" t="s">
        <v>639</v>
      </c>
      <c r="B193" s="651" t="s">
        <v>640</v>
      </c>
      <c r="C193" s="652">
        <f t="shared" si="276"/>
        <v>222</v>
      </c>
      <c r="D193" s="652">
        <f t="shared" si="277"/>
        <v>208</v>
      </c>
      <c r="E193" s="652">
        <f t="shared" ref="E193:AK193" si="279">SUM(E194:E195)</f>
        <v>208</v>
      </c>
      <c r="F193" s="652">
        <f t="shared" si="279"/>
        <v>0</v>
      </c>
      <c r="G193" s="652">
        <f t="shared" si="279"/>
        <v>210</v>
      </c>
      <c r="H193" s="652">
        <f t="shared" si="279"/>
        <v>0</v>
      </c>
      <c r="I193" s="652">
        <f t="shared" si="279"/>
        <v>14</v>
      </c>
      <c r="J193" s="652">
        <f t="shared" si="279"/>
        <v>14</v>
      </c>
      <c r="K193" s="989">
        <f t="shared" si="207"/>
        <v>72520</v>
      </c>
      <c r="L193" s="653">
        <f t="shared" si="279"/>
        <v>74520</v>
      </c>
      <c r="M193" s="653">
        <f t="shared" si="279"/>
        <v>28341</v>
      </c>
      <c r="N193" s="653">
        <f t="shared" si="279"/>
        <v>4745</v>
      </c>
      <c r="O193" s="653">
        <f t="shared" si="279"/>
        <v>905</v>
      </c>
      <c r="P193" s="653">
        <f>SUM(P194:P195)</f>
        <v>1130</v>
      </c>
      <c r="Q193" s="653">
        <f t="shared" si="279"/>
        <v>0</v>
      </c>
      <c r="R193" s="653">
        <f t="shared" si="279"/>
        <v>0</v>
      </c>
      <c r="S193" s="655">
        <f t="shared" si="279"/>
        <v>895</v>
      </c>
      <c r="T193" s="655">
        <f t="shared" si="279"/>
        <v>895</v>
      </c>
      <c r="U193" s="653">
        <f t="shared" si="279"/>
        <v>34226</v>
      </c>
      <c r="V193" s="653">
        <f t="shared" si="279"/>
        <v>37419</v>
      </c>
      <c r="W193" s="653">
        <f t="shared" si="279"/>
        <v>3547</v>
      </c>
      <c r="X193" s="653">
        <f t="shared" si="279"/>
        <v>0</v>
      </c>
      <c r="Y193" s="655">
        <f t="shared" si="279"/>
        <v>87.900000000000091</v>
      </c>
      <c r="Z193" s="653">
        <f t="shared" si="279"/>
        <v>3191.9</v>
      </c>
      <c r="AA193" s="655">
        <f t="shared" si="279"/>
        <v>2584</v>
      </c>
      <c r="AB193" s="655">
        <f t="shared" si="279"/>
        <v>2672</v>
      </c>
      <c r="AC193" s="653">
        <f t="shared" si="279"/>
        <v>38294</v>
      </c>
      <c r="AD193" s="653">
        <f t="shared" si="279"/>
        <v>2000</v>
      </c>
      <c r="AE193" s="653">
        <f t="shared" si="279"/>
        <v>0</v>
      </c>
      <c r="AF193" s="656">
        <f t="shared" si="279"/>
        <v>0</v>
      </c>
      <c r="AG193" s="656">
        <f>SUM(AG194:AG195)</f>
        <v>0</v>
      </c>
      <c r="AH193" s="656">
        <f>SUM(AH194:AH195)</f>
        <v>0</v>
      </c>
      <c r="AI193" s="656">
        <f t="shared" si="279"/>
        <v>0</v>
      </c>
      <c r="AJ193" s="656">
        <f t="shared" si="279"/>
        <v>0</v>
      </c>
      <c r="AK193" s="656">
        <f t="shared" si="279"/>
        <v>0</v>
      </c>
      <c r="AL193" s="656"/>
      <c r="AN193" s="610"/>
      <c r="AO193" s="650" t="s">
        <v>639</v>
      </c>
      <c r="AP193" s="651" t="s">
        <v>640</v>
      </c>
      <c r="AQ193" s="652">
        <f t="shared" si="278"/>
        <v>281</v>
      </c>
      <c r="AR193" s="652">
        <f>AS193+AT193</f>
        <v>250</v>
      </c>
      <c r="AS193" s="652">
        <f t="shared" ref="AS193:BV193" si="280">SUM(AS194:AS195)</f>
        <v>250</v>
      </c>
      <c r="AT193" s="652">
        <f t="shared" si="280"/>
        <v>0</v>
      </c>
      <c r="AU193" s="652">
        <f t="shared" si="280"/>
        <v>225</v>
      </c>
      <c r="AV193" s="652">
        <f t="shared" si="280"/>
        <v>0</v>
      </c>
      <c r="AW193" s="652">
        <f t="shared" si="280"/>
        <v>31</v>
      </c>
      <c r="AX193" s="652">
        <f t="shared" si="280"/>
        <v>0</v>
      </c>
      <c r="AY193" s="653">
        <f t="shared" si="280"/>
        <v>81336</v>
      </c>
      <c r="AZ193" s="658">
        <f t="shared" si="280"/>
        <v>30846</v>
      </c>
      <c r="BA193" s="653">
        <f t="shared" si="280"/>
        <v>5751</v>
      </c>
      <c r="BB193" s="653">
        <f t="shared" si="280"/>
        <v>1037</v>
      </c>
      <c r="BC193" s="653">
        <f>SUM(BC194:BC195)</f>
        <v>1357</v>
      </c>
      <c r="BD193" s="653">
        <f t="shared" si="280"/>
        <v>0</v>
      </c>
      <c r="BE193" s="653">
        <f t="shared" si="280"/>
        <v>678.80000000000007</v>
      </c>
      <c r="BF193" s="655">
        <f t="shared" si="280"/>
        <v>679</v>
      </c>
      <c r="BG193" s="653">
        <f t="shared" si="280"/>
        <v>38312</v>
      </c>
      <c r="BH193" s="653">
        <f t="shared" si="280"/>
        <v>37466</v>
      </c>
      <c r="BI193" s="653">
        <f t="shared" si="280"/>
        <v>1400</v>
      </c>
      <c r="BJ193" s="653">
        <f t="shared" si="280"/>
        <v>3547</v>
      </c>
      <c r="BK193" s="653">
        <f t="shared" si="280"/>
        <v>0</v>
      </c>
      <c r="BL193" s="653">
        <f t="shared" si="280"/>
        <v>3211.3</v>
      </c>
      <c r="BM193" s="655">
        <f t="shared" si="280"/>
        <v>3211</v>
      </c>
      <c r="BN193" s="653">
        <f t="shared" si="280"/>
        <v>39202</v>
      </c>
      <c r="BO193" s="653">
        <f t="shared" si="280"/>
        <v>3822</v>
      </c>
      <c r="BP193" s="653">
        <f t="shared" si="280"/>
        <v>0</v>
      </c>
      <c r="BQ193" s="653">
        <f t="shared" si="280"/>
        <v>0</v>
      </c>
      <c r="BR193" s="653">
        <f>SUM(BR194:BR195)</f>
        <v>0</v>
      </c>
      <c r="BS193" s="653">
        <f>SUM(BS194:BS195)</f>
        <v>0</v>
      </c>
      <c r="BT193" s="653">
        <f t="shared" si="280"/>
        <v>0</v>
      </c>
      <c r="BU193" s="653">
        <f t="shared" si="280"/>
        <v>0</v>
      </c>
      <c r="BV193" s="653">
        <f t="shared" si="280"/>
        <v>0</v>
      </c>
      <c r="BW193" s="653"/>
    </row>
    <row r="194" spans="1:75" s="698" customFormat="1">
      <c r="A194" s="694">
        <v>69</v>
      </c>
      <c r="B194" s="695" t="s">
        <v>641</v>
      </c>
      <c r="C194" s="696">
        <f t="shared" si="276"/>
        <v>222</v>
      </c>
      <c r="D194" s="696">
        <f t="shared" si="277"/>
        <v>208</v>
      </c>
      <c r="E194" s="696">
        <f>222-14</f>
        <v>208</v>
      </c>
      <c r="F194" s="696"/>
      <c r="G194" s="696">
        <f>224-14</f>
        <v>210</v>
      </c>
      <c r="H194" s="696"/>
      <c r="I194" s="696">
        <v>14</v>
      </c>
      <c r="J194" s="696">
        <v>14</v>
      </c>
      <c r="K194" s="989">
        <f t="shared" si="207"/>
        <v>72520</v>
      </c>
      <c r="L194" s="668">
        <f>U194+AC194+AD194+AE194</f>
        <v>74520</v>
      </c>
      <c r="M194" s="815">
        <v>28341</v>
      </c>
      <c r="N194" s="816">
        <f>5650-905</f>
        <v>4745</v>
      </c>
      <c r="O194" s="816">
        <f>905</f>
        <v>905</v>
      </c>
      <c r="P194" s="817">
        <v>1130</v>
      </c>
      <c r="Q194" s="816"/>
      <c r="R194" s="668"/>
      <c r="S194" s="667">
        <f>816+79</f>
        <v>895</v>
      </c>
      <c r="T194" s="667">
        <f>ROUND((Q194+R194+S194),0)</f>
        <v>895</v>
      </c>
      <c r="U194" s="666">
        <f>(M194+N194+O194+P194)-T194</f>
        <v>34226</v>
      </c>
      <c r="V194" s="668">
        <v>37419</v>
      </c>
      <c r="W194" s="668">
        <v>3547</v>
      </c>
      <c r="X194" s="668"/>
      <c r="Y194" s="667">
        <f>Z194-BM194</f>
        <v>87.900000000000091</v>
      </c>
      <c r="Z194" s="668">
        <f>(V194-5500)*10%</f>
        <v>3191.9</v>
      </c>
      <c r="AA194" s="667">
        <f>2477+107</f>
        <v>2584</v>
      </c>
      <c r="AB194" s="667">
        <f>ROUND((Y194+AA194+X194),0)</f>
        <v>2672</v>
      </c>
      <c r="AC194" s="666">
        <f>(V194+W194)-AB194</f>
        <v>38294</v>
      </c>
      <c r="AD194" s="668">
        <v>2000</v>
      </c>
      <c r="AE194" s="668"/>
      <c r="AF194" s="668"/>
      <c r="AG194" s="668"/>
      <c r="AH194" s="668"/>
      <c r="AI194" s="668"/>
      <c r="AJ194" s="668"/>
      <c r="AK194" s="668"/>
      <c r="AL194" s="697"/>
      <c r="AM194" s="624"/>
      <c r="AN194" s="610"/>
      <c r="AO194" s="694">
        <v>72</v>
      </c>
      <c r="AP194" s="695" t="s">
        <v>641</v>
      </c>
      <c r="AQ194" s="696">
        <f t="shared" si="278"/>
        <v>259</v>
      </c>
      <c r="AR194" s="696">
        <f>AS194+AT194</f>
        <v>231</v>
      </c>
      <c r="AS194" s="696">
        <v>231</v>
      </c>
      <c r="AT194" s="696"/>
      <c r="AU194" s="696">
        <v>206</v>
      </c>
      <c r="AV194" s="696"/>
      <c r="AW194" s="696">
        <v>28</v>
      </c>
      <c r="AX194" s="696"/>
      <c r="AY194" s="668">
        <f>BG194+BN194+BO194+BP194</f>
        <v>74941</v>
      </c>
      <c r="AZ194" s="668">
        <f>28014</f>
        <v>28014</v>
      </c>
      <c r="BA194" s="668">
        <f>5332</f>
        <v>5332</v>
      </c>
      <c r="BB194" s="668">
        <f>905</f>
        <v>905</v>
      </c>
      <c r="BC194" s="668">
        <v>1247</v>
      </c>
      <c r="BD194" s="668"/>
      <c r="BE194" s="666">
        <f>(BA194+BB194)*10%</f>
        <v>623.70000000000005</v>
      </c>
      <c r="BF194" s="668">
        <f>ROUND(BE194,0)</f>
        <v>624</v>
      </c>
      <c r="BG194" s="668">
        <f>(AZ194+BA194+BB194+BC194)-BF194</f>
        <v>34874</v>
      </c>
      <c r="BH194" s="668">
        <f>36366+10+20</f>
        <v>36396</v>
      </c>
      <c r="BI194" s="668">
        <f>700+700</f>
        <v>1400</v>
      </c>
      <c r="BJ194" s="668">
        <f>4075-700</f>
        <v>3375</v>
      </c>
      <c r="BK194" s="668"/>
      <c r="BL194" s="666">
        <f>(BH194-5353)*10%</f>
        <v>3104.3</v>
      </c>
      <c r="BM194" s="668">
        <f>ROUND(BL194,0)</f>
        <v>3104</v>
      </c>
      <c r="BN194" s="668">
        <f>(BH194+BI194+BJ194)-BM194</f>
        <v>38067</v>
      </c>
      <c r="BO194" s="668">
        <f>2000</f>
        <v>2000</v>
      </c>
      <c r="BP194" s="668"/>
      <c r="BQ194" s="668"/>
      <c r="BR194" s="668"/>
      <c r="BS194" s="668"/>
      <c r="BT194" s="668"/>
      <c r="BU194" s="668"/>
      <c r="BV194" s="668"/>
      <c r="BW194" s="697"/>
    </row>
    <row r="195" spans="1:75">
      <c r="A195" s="659">
        <v>73</v>
      </c>
      <c r="B195" s="660" t="s">
        <v>642</v>
      </c>
      <c r="C195" s="661">
        <f t="shared" si="276"/>
        <v>0</v>
      </c>
      <c r="D195" s="661">
        <f t="shared" si="277"/>
        <v>0</v>
      </c>
      <c r="E195" s="661"/>
      <c r="F195" s="661"/>
      <c r="G195" s="661"/>
      <c r="H195" s="661"/>
      <c r="I195" s="661"/>
      <c r="J195" s="661"/>
      <c r="K195" s="989">
        <f t="shared" si="207"/>
        <v>0</v>
      </c>
      <c r="L195" s="666">
        <f>U195+AC195+AD195+AE195</f>
        <v>0</v>
      </c>
      <c r="M195" s="666"/>
      <c r="N195" s="666"/>
      <c r="O195" s="666"/>
      <c r="P195" s="666"/>
      <c r="Q195" s="666"/>
      <c r="R195" s="666"/>
      <c r="S195" s="667"/>
      <c r="T195" s="667">
        <f>ROUND((Q195+R195+S195),0)</f>
        <v>0</v>
      </c>
      <c r="U195" s="666">
        <f>(M195+N195+O195+P195)-T195</f>
        <v>0</v>
      </c>
      <c r="V195" s="666"/>
      <c r="W195" s="666"/>
      <c r="X195" s="666"/>
      <c r="Y195" s="667"/>
      <c r="Z195" s="668">
        <f>V195*10%</f>
        <v>0</v>
      </c>
      <c r="AA195" s="667"/>
      <c r="AB195" s="667">
        <f>ROUND((Y195+AA195+X195),0)</f>
        <v>0</v>
      </c>
      <c r="AC195" s="666">
        <f>(V195+W195)-AB195</f>
        <v>0</v>
      </c>
      <c r="AD195" s="666"/>
      <c r="AE195" s="666"/>
      <c r="AF195" s="669"/>
      <c r="AG195" s="669"/>
      <c r="AH195" s="669"/>
      <c r="AI195" s="669"/>
      <c r="AJ195" s="669"/>
      <c r="AK195" s="669"/>
      <c r="AL195" s="664"/>
      <c r="AN195" s="610"/>
      <c r="AO195" s="659">
        <v>73</v>
      </c>
      <c r="AP195" s="660" t="s">
        <v>642</v>
      </c>
      <c r="AQ195" s="661">
        <f t="shared" si="278"/>
        <v>22</v>
      </c>
      <c r="AR195" s="661">
        <f>AS195+AT195</f>
        <v>19</v>
      </c>
      <c r="AS195" s="661">
        <v>19</v>
      </c>
      <c r="AT195" s="661"/>
      <c r="AU195" s="661">
        <v>19</v>
      </c>
      <c r="AV195" s="661"/>
      <c r="AW195" s="661">
        <v>3</v>
      </c>
      <c r="AX195" s="661"/>
      <c r="AY195" s="666">
        <f>BG195+BN195+BO195+BP195</f>
        <v>6395</v>
      </c>
      <c r="AZ195" s="670">
        <f>1407+317+861+247</f>
        <v>2832</v>
      </c>
      <c r="BA195" s="666">
        <v>419</v>
      </c>
      <c r="BB195" s="666">
        <f>132</f>
        <v>132</v>
      </c>
      <c r="BC195" s="666">
        <v>110</v>
      </c>
      <c r="BD195" s="666"/>
      <c r="BE195" s="666">
        <f>(BA195+BB195)*10%</f>
        <v>55.1</v>
      </c>
      <c r="BF195" s="667">
        <f>ROUND(BE195,0)</f>
        <v>55</v>
      </c>
      <c r="BG195" s="666">
        <f>(AZ195+BA195+BB195+BC195)-BF195</f>
        <v>3438</v>
      </c>
      <c r="BH195" s="666">
        <v>1070</v>
      </c>
      <c r="BI195" s="666"/>
      <c r="BJ195" s="666">
        <v>172</v>
      </c>
      <c r="BK195" s="666"/>
      <c r="BL195" s="666">
        <f>BH195*10%</f>
        <v>107</v>
      </c>
      <c r="BM195" s="667">
        <f>ROUND(BL195,0)</f>
        <v>107</v>
      </c>
      <c r="BN195" s="666">
        <f>(BH195+BI195+BJ195)-BM195</f>
        <v>1135</v>
      </c>
      <c r="BO195" s="666">
        <v>1822</v>
      </c>
      <c r="BP195" s="666"/>
      <c r="BQ195" s="666"/>
      <c r="BR195" s="666"/>
      <c r="BS195" s="666"/>
      <c r="BT195" s="666"/>
      <c r="BU195" s="666"/>
      <c r="BV195" s="666"/>
      <c r="BW195" s="662"/>
    </row>
    <row r="196" spans="1:75">
      <c r="A196" s="818" t="s">
        <v>643</v>
      </c>
      <c r="B196" s="651" t="s">
        <v>644</v>
      </c>
      <c r="C196" s="652">
        <f t="shared" si="276"/>
        <v>89</v>
      </c>
      <c r="D196" s="652">
        <f t="shared" ref="D196:J196" si="281">SUM(D197:D213)</f>
        <v>82</v>
      </c>
      <c r="E196" s="652">
        <f t="shared" si="281"/>
        <v>0</v>
      </c>
      <c r="F196" s="652">
        <f t="shared" si="281"/>
        <v>82</v>
      </c>
      <c r="G196" s="652">
        <f t="shared" si="281"/>
        <v>0</v>
      </c>
      <c r="H196" s="652">
        <f t="shared" si="281"/>
        <v>72</v>
      </c>
      <c r="I196" s="652">
        <f t="shared" si="281"/>
        <v>7</v>
      </c>
      <c r="J196" s="652">
        <f t="shared" si="281"/>
        <v>7</v>
      </c>
      <c r="K196" s="989">
        <f t="shared" si="207"/>
        <v>14927</v>
      </c>
      <c r="L196" s="653">
        <f>SUM(L197,L199:L213)</f>
        <v>16331</v>
      </c>
      <c r="M196" s="653">
        <f t="shared" ref="M196:AM196" si="282">SUM(M197,M199:M213)</f>
        <v>7836</v>
      </c>
      <c r="N196" s="653">
        <f t="shared" si="282"/>
        <v>1760</v>
      </c>
      <c r="O196" s="653">
        <f t="shared" si="282"/>
        <v>378</v>
      </c>
      <c r="P196" s="653">
        <f t="shared" si="282"/>
        <v>0</v>
      </c>
      <c r="Q196" s="653">
        <f t="shared" si="282"/>
        <v>0</v>
      </c>
      <c r="R196" s="653">
        <f t="shared" si="282"/>
        <v>13.1</v>
      </c>
      <c r="S196" s="655">
        <f t="shared" si="282"/>
        <v>247</v>
      </c>
      <c r="T196" s="655">
        <f t="shared" si="282"/>
        <v>261</v>
      </c>
      <c r="U196" s="653">
        <f t="shared" si="282"/>
        <v>9713</v>
      </c>
      <c r="V196" s="653">
        <f>SUM(V197,V199:V213)</f>
        <v>5459</v>
      </c>
      <c r="W196" s="653">
        <f t="shared" si="282"/>
        <v>371</v>
      </c>
      <c r="X196" s="653">
        <f t="shared" si="282"/>
        <v>0</v>
      </c>
      <c r="Y196" s="655">
        <f t="shared" si="282"/>
        <v>210.40000000000003</v>
      </c>
      <c r="Z196" s="653">
        <f t="shared" si="282"/>
        <v>533.5</v>
      </c>
      <c r="AA196" s="655">
        <f t="shared" si="282"/>
        <v>404</v>
      </c>
      <c r="AB196" s="655">
        <f t="shared" si="282"/>
        <v>616</v>
      </c>
      <c r="AC196" s="653">
        <f t="shared" si="282"/>
        <v>5214</v>
      </c>
      <c r="AD196" s="653">
        <f t="shared" si="282"/>
        <v>1404</v>
      </c>
      <c r="AE196" s="653">
        <f t="shared" si="282"/>
        <v>0</v>
      </c>
      <c r="AF196" s="656">
        <f t="shared" si="282"/>
        <v>0</v>
      </c>
      <c r="AG196" s="656">
        <f>SUM(AG197,AG199:AG213)</f>
        <v>0</v>
      </c>
      <c r="AH196" s="656">
        <f>SUM(AH197,AH199:AH213)</f>
        <v>0</v>
      </c>
      <c r="AI196" s="656">
        <f t="shared" si="282"/>
        <v>0</v>
      </c>
      <c r="AJ196" s="656">
        <f t="shared" si="282"/>
        <v>0</v>
      </c>
      <c r="AK196" s="656">
        <f t="shared" si="282"/>
        <v>0</v>
      </c>
      <c r="AL196" s="656">
        <f t="shared" si="282"/>
        <v>0</v>
      </c>
      <c r="AM196" s="657">
        <f t="shared" si="282"/>
        <v>0</v>
      </c>
      <c r="AN196" s="610"/>
      <c r="AO196" s="818" t="s">
        <v>643</v>
      </c>
      <c r="AP196" s="651" t="s">
        <v>644</v>
      </c>
      <c r="AQ196" s="652">
        <f t="shared" si="278"/>
        <v>101</v>
      </c>
      <c r="AR196" s="652">
        <f t="shared" ref="AR196:AX196" si="283">SUM(AR197:AR213)</f>
        <v>94</v>
      </c>
      <c r="AS196" s="652">
        <f t="shared" si="283"/>
        <v>0</v>
      </c>
      <c r="AT196" s="652">
        <f t="shared" si="283"/>
        <v>94</v>
      </c>
      <c r="AU196" s="652">
        <f t="shared" si="283"/>
        <v>0</v>
      </c>
      <c r="AV196" s="652">
        <f t="shared" si="283"/>
        <v>78</v>
      </c>
      <c r="AW196" s="652">
        <f t="shared" si="283"/>
        <v>7</v>
      </c>
      <c r="AX196" s="652">
        <f t="shared" si="283"/>
        <v>7</v>
      </c>
      <c r="AY196" s="653">
        <f>SUM(AY197,AY199:AY213)</f>
        <v>15326</v>
      </c>
      <c r="AZ196" s="658">
        <f t="shared" ref="AZ196:BW196" si="284">SUM(AZ197,AZ199:AZ213)</f>
        <v>7920</v>
      </c>
      <c r="BA196" s="653">
        <f t="shared" si="284"/>
        <v>1883</v>
      </c>
      <c r="BB196" s="653">
        <f t="shared" si="284"/>
        <v>357</v>
      </c>
      <c r="BC196" s="653">
        <f t="shared" si="284"/>
        <v>0</v>
      </c>
      <c r="BD196" s="653">
        <f t="shared" si="284"/>
        <v>0</v>
      </c>
      <c r="BE196" s="653">
        <f t="shared" si="284"/>
        <v>224.00000000000003</v>
      </c>
      <c r="BF196" s="655">
        <f t="shared" si="284"/>
        <v>225</v>
      </c>
      <c r="BG196" s="653">
        <f t="shared" si="284"/>
        <v>9935</v>
      </c>
      <c r="BH196" s="653">
        <f>SUM(BH197,BH199:BH213)</f>
        <v>3495</v>
      </c>
      <c r="BI196" s="653">
        <f t="shared" si="284"/>
        <v>500</v>
      </c>
      <c r="BJ196" s="653">
        <f t="shared" si="284"/>
        <v>450</v>
      </c>
      <c r="BK196" s="653">
        <f t="shared" si="284"/>
        <v>0</v>
      </c>
      <c r="BL196" s="653">
        <f t="shared" si="284"/>
        <v>337.09999999999997</v>
      </c>
      <c r="BM196" s="655">
        <f t="shared" si="284"/>
        <v>339</v>
      </c>
      <c r="BN196" s="653">
        <f t="shared" si="284"/>
        <v>4106</v>
      </c>
      <c r="BO196" s="653">
        <f t="shared" si="284"/>
        <v>1285</v>
      </c>
      <c r="BP196" s="653">
        <f t="shared" si="284"/>
        <v>0</v>
      </c>
      <c r="BQ196" s="653">
        <f t="shared" si="284"/>
        <v>0</v>
      </c>
      <c r="BR196" s="653">
        <f>SUM(BR197,BR199:BR213)</f>
        <v>0</v>
      </c>
      <c r="BS196" s="653">
        <f>SUM(BS197,BS199:BS213)</f>
        <v>0</v>
      </c>
      <c r="BT196" s="653">
        <f t="shared" si="284"/>
        <v>0</v>
      </c>
      <c r="BU196" s="653">
        <f t="shared" si="284"/>
        <v>605</v>
      </c>
      <c r="BV196" s="653">
        <f t="shared" si="284"/>
        <v>0</v>
      </c>
      <c r="BW196" s="653">
        <f t="shared" si="284"/>
        <v>0</v>
      </c>
    </row>
    <row r="197" spans="1:75">
      <c r="A197" s="659">
        <v>70</v>
      </c>
      <c r="B197" s="660" t="s">
        <v>645</v>
      </c>
      <c r="C197" s="661">
        <f t="shared" si="276"/>
        <v>16</v>
      </c>
      <c r="D197" s="661">
        <f>E197+F197</f>
        <v>15</v>
      </c>
      <c r="E197" s="661"/>
      <c r="F197" s="819">
        <v>15</v>
      </c>
      <c r="G197" s="819"/>
      <c r="H197" s="819">
        <v>13</v>
      </c>
      <c r="I197" s="661">
        <v>1</v>
      </c>
      <c r="J197" s="661">
        <v>1</v>
      </c>
      <c r="K197" s="989">
        <f t="shared" si="207"/>
        <v>2048</v>
      </c>
      <c r="L197" s="666">
        <f>U197+AC197+AD197+AE197</f>
        <v>2565</v>
      </c>
      <c r="M197" s="666">
        <v>1290</v>
      </c>
      <c r="N197" s="666">
        <v>335</v>
      </c>
      <c r="O197" s="666">
        <v>57</v>
      </c>
      <c r="P197" s="666"/>
      <c r="Q197" s="666"/>
      <c r="R197" s="666"/>
      <c r="S197" s="667">
        <v>42</v>
      </c>
      <c r="T197" s="667">
        <f t="shared" ref="T197:T213" si="285">ROUND((Q197+R197+S197),0)</f>
        <v>42</v>
      </c>
      <c r="U197" s="666">
        <f t="shared" ref="U197:U213" si="286">(M197+N197+O197+P197)-T197</f>
        <v>1640</v>
      </c>
      <c r="V197" s="666">
        <v>334</v>
      </c>
      <c r="W197" s="666">
        <f>275-150</f>
        <v>125</v>
      </c>
      <c r="X197" s="666"/>
      <c r="Y197" s="667">
        <f>Z197-BM197</f>
        <v>18.399999999999999</v>
      </c>
      <c r="Z197" s="668">
        <f t="shared" ref="Z197:Z213" si="287">V197*10%</f>
        <v>33.4</v>
      </c>
      <c r="AA197" s="667">
        <v>33</v>
      </c>
      <c r="AB197" s="667">
        <f t="shared" ref="AB197:AB213" si="288">ROUND((Y197+AA197+X197),0)</f>
        <v>51</v>
      </c>
      <c r="AC197" s="666">
        <f t="shared" ref="AC197:AC213" si="289">(V197+W197)-AB197</f>
        <v>408</v>
      </c>
      <c r="AD197" s="666">
        <v>517</v>
      </c>
      <c r="AE197" s="666"/>
      <c r="AF197" s="669"/>
      <c r="AG197" s="669"/>
      <c r="AH197" s="669"/>
      <c r="AI197" s="669"/>
      <c r="AJ197" s="669"/>
      <c r="AK197" s="669"/>
      <c r="AL197" s="664"/>
      <c r="AN197" s="610"/>
      <c r="AO197" s="659">
        <v>74</v>
      </c>
      <c r="AP197" s="660" t="s">
        <v>645</v>
      </c>
      <c r="AQ197" s="661">
        <f t="shared" si="278"/>
        <v>17</v>
      </c>
      <c r="AR197" s="661">
        <f>AS197+AT197</f>
        <v>16</v>
      </c>
      <c r="AS197" s="661"/>
      <c r="AT197" s="661">
        <v>16</v>
      </c>
      <c r="AU197" s="661"/>
      <c r="AV197" s="661">
        <v>15</v>
      </c>
      <c r="AW197" s="661">
        <v>1</v>
      </c>
      <c r="AX197" s="661">
        <v>1</v>
      </c>
      <c r="AY197" s="666">
        <f>BG197+BN197+BO197+BP197</f>
        <v>2391</v>
      </c>
      <c r="AZ197" s="670">
        <f>1024+37+5+249+46+11</f>
        <v>1372</v>
      </c>
      <c r="BA197" s="666">
        <v>360</v>
      </c>
      <c r="BB197" s="666">
        <v>57</v>
      </c>
      <c r="BC197" s="666"/>
      <c r="BD197" s="666"/>
      <c r="BE197" s="666">
        <f t="shared" ref="BE197:BE213" si="290">(BA197+BB197)*10%</f>
        <v>41.7</v>
      </c>
      <c r="BF197" s="667">
        <f t="shared" ref="BF197:BF213" si="291">ROUND(BE197,0)</f>
        <v>42</v>
      </c>
      <c r="BG197" s="666">
        <f>(AZ197+BA197+BB197+BC197)-BF197</f>
        <v>1747</v>
      </c>
      <c r="BH197" s="666">
        <v>149</v>
      </c>
      <c r="BI197" s="666"/>
      <c r="BJ197" s="666"/>
      <c r="BK197" s="666"/>
      <c r="BL197" s="666">
        <f t="shared" ref="BL197:BL213" si="292">BH197*10%</f>
        <v>14.9</v>
      </c>
      <c r="BM197" s="667">
        <f>ROUND(BL197,0)</f>
        <v>15</v>
      </c>
      <c r="BN197" s="666">
        <f>(BH197+BI197+BJ197)-BM197</f>
        <v>134</v>
      </c>
      <c r="BO197" s="666">
        <v>510</v>
      </c>
      <c r="BP197" s="666"/>
      <c r="BQ197" s="666"/>
      <c r="BR197" s="666"/>
      <c r="BS197" s="666"/>
      <c r="BT197" s="666"/>
      <c r="BU197" s="666"/>
      <c r="BV197" s="666"/>
      <c r="BW197" s="662"/>
    </row>
    <row r="198" spans="1:75" s="693" customFormat="1" ht="31.2">
      <c r="A198" s="682"/>
      <c r="B198" s="803" t="s">
        <v>646</v>
      </c>
      <c r="C198" s="684"/>
      <c r="D198" s="684"/>
      <c r="E198" s="684"/>
      <c r="F198" s="684"/>
      <c r="G198" s="684"/>
      <c r="H198" s="684"/>
      <c r="I198" s="684"/>
      <c r="J198" s="684"/>
      <c r="K198" s="989">
        <f t="shared" si="207"/>
        <v>0</v>
      </c>
      <c r="L198" s="666"/>
      <c r="M198" s="685"/>
      <c r="N198" s="685"/>
      <c r="O198" s="685"/>
      <c r="P198" s="685"/>
      <c r="Q198" s="685"/>
      <c r="R198" s="666"/>
      <c r="S198" s="686"/>
      <c r="T198" s="667">
        <f t="shared" si="285"/>
        <v>0</v>
      </c>
      <c r="U198" s="666">
        <f t="shared" si="286"/>
        <v>0</v>
      </c>
      <c r="V198" s="685"/>
      <c r="W198" s="685"/>
      <c r="X198" s="685"/>
      <c r="Y198" s="667">
        <f>Z198-BM198</f>
        <v>0</v>
      </c>
      <c r="Z198" s="668">
        <f t="shared" si="287"/>
        <v>0</v>
      </c>
      <c r="AA198" s="686"/>
      <c r="AB198" s="667">
        <f t="shared" si="288"/>
        <v>0</v>
      </c>
      <c r="AC198" s="666">
        <f t="shared" si="289"/>
        <v>0</v>
      </c>
      <c r="AD198" s="685"/>
      <c r="AE198" s="685"/>
      <c r="AF198" s="687"/>
      <c r="AG198" s="687"/>
      <c r="AH198" s="687"/>
      <c r="AI198" s="687"/>
      <c r="AJ198" s="687"/>
      <c r="AK198" s="687"/>
      <c r="AL198" s="688"/>
      <c r="AM198" s="689"/>
      <c r="AN198" s="610"/>
      <c r="AO198" s="682"/>
      <c r="AP198" s="803" t="s">
        <v>646</v>
      </c>
      <c r="AQ198" s="684"/>
      <c r="AR198" s="684"/>
      <c r="AS198" s="684"/>
      <c r="AT198" s="684"/>
      <c r="AU198" s="684"/>
      <c r="AV198" s="684"/>
      <c r="AW198" s="684"/>
      <c r="AX198" s="684"/>
      <c r="AY198" s="666"/>
      <c r="AZ198" s="691"/>
      <c r="BA198" s="685"/>
      <c r="BB198" s="685"/>
      <c r="BC198" s="685"/>
      <c r="BD198" s="685"/>
      <c r="BE198" s="666">
        <f t="shared" si="290"/>
        <v>0</v>
      </c>
      <c r="BF198" s="686"/>
      <c r="BG198" s="685"/>
      <c r="BH198" s="685"/>
      <c r="BI198" s="685"/>
      <c r="BJ198" s="685"/>
      <c r="BK198" s="685"/>
      <c r="BL198" s="666">
        <f t="shared" si="292"/>
        <v>0</v>
      </c>
      <c r="BM198" s="686"/>
      <c r="BN198" s="685">
        <f>(BH198+BI198+BJ198)-BL198</f>
        <v>0</v>
      </c>
      <c r="BO198" s="685" t="s">
        <v>235</v>
      </c>
      <c r="BP198" s="685"/>
      <c r="BQ198" s="685"/>
      <c r="BR198" s="685"/>
      <c r="BS198" s="685"/>
      <c r="BT198" s="685"/>
      <c r="BU198" s="685"/>
      <c r="BV198" s="685"/>
      <c r="BW198" s="692"/>
    </row>
    <row r="199" spans="1:75">
      <c r="A199" s="659">
        <v>71</v>
      </c>
      <c r="B199" s="660" t="s">
        <v>647</v>
      </c>
      <c r="C199" s="661">
        <f t="shared" ref="C199:C213" si="293">D199+I199</f>
        <v>2</v>
      </c>
      <c r="D199" s="661">
        <f t="shared" ref="D199:D213" si="294">E199+F199</f>
        <v>2</v>
      </c>
      <c r="E199" s="661"/>
      <c r="F199" s="661">
        <v>2</v>
      </c>
      <c r="G199" s="661"/>
      <c r="H199" s="661">
        <v>2</v>
      </c>
      <c r="I199" s="661"/>
      <c r="J199" s="661"/>
      <c r="K199" s="989">
        <f t="shared" si="207"/>
        <v>538</v>
      </c>
      <c r="L199" s="666">
        <f t="shared" ref="L199:L213" si="295">U199+AC199+AD199+AE199</f>
        <v>538</v>
      </c>
      <c r="M199" s="666">
        <v>213</v>
      </c>
      <c r="N199" s="666">
        <v>30</v>
      </c>
      <c r="O199" s="666">
        <v>22</v>
      </c>
      <c r="P199" s="666"/>
      <c r="Q199" s="666"/>
      <c r="R199" s="666">
        <f>((N199+O199)-(BA199+BB199))*10%</f>
        <v>0</v>
      </c>
      <c r="S199" s="667">
        <v>10</v>
      </c>
      <c r="T199" s="667">
        <f t="shared" si="285"/>
        <v>10</v>
      </c>
      <c r="U199" s="666">
        <f t="shared" si="286"/>
        <v>255</v>
      </c>
      <c r="V199" s="666">
        <v>309</v>
      </c>
      <c r="W199" s="666"/>
      <c r="X199" s="666"/>
      <c r="Y199" s="667">
        <f>Z199-BM199</f>
        <v>10.5</v>
      </c>
      <c r="Z199" s="668">
        <f>(V199-24)*10%</f>
        <v>28.5</v>
      </c>
      <c r="AA199" s="667">
        <v>15</v>
      </c>
      <c r="AB199" s="667">
        <f t="shared" si="288"/>
        <v>26</v>
      </c>
      <c r="AC199" s="666">
        <f t="shared" si="289"/>
        <v>283</v>
      </c>
      <c r="AD199" s="666"/>
      <c r="AE199" s="666"/>
      <c r="AF199" s="669"/>
      <c r="AG199" s="669"/>
      <c r="AH199" s="669"/>
      <c r="AI199" s="669"/>
      <c r="AJ199" s="669"/>
      <c r="AK199" s="669"/>
      <c r="AL199" s="664"/>
      <c r="AN199" s="610"/>
      <c r="AO199" s="659">
        <v>75</v>
      </c>
      <c r="AP199" s="660" t="s">
        <v>647</v>
      </c>
      <c r="AQ199" s="661">
        <f t="shared" ref="AQ199:AQ213" si="296">AR199+AW199</f>
        <v>4</v>
      </c>
      <c r="AR199" s="661">
        <f t="shared" ref="AR199:AR213" si="297">AS199+AT199</f>
        <v>4</v>
      </c>
      <c r="AS199" s="661"/>
      <c r="AT199" s="661">
        <v>4</v>
      </c>
      <c r="AU199" s="661"/>
      <c r="AV199" s="661">
        <v>2</v>
      </c>
      <c r="AW199" s="661"/>
      <c r="AX199" s="661"/>
      <c r="AY199" s="666">
        <f t="shared" ref="AY199:AY213" si="298">BG199+BN199+BO199+BP199</f>
        <v>428</v>
      </c>
      <c r="AZ199" s="670">
        <f>109+26+2+63</f>
        <v>200</v>
      </c>
      <c r="BA199" s="666">
        <v>30</v>
      </c>
      <c r="BB199" s="666">
        <v>22</v>
      </c>
      <c r="BC199" s="666"/>
      <c r="BD199" s="666"/>
      <c r="BE199" s="666">
        <f t="shared" si="290"/>
        <v>5.2</v>
      </c>
      <c r="BF199" s="667">
        <f t="shared" si="291"/>
        <v>5</v>
      </c>
      <c r="BG199" s="666">
        <f t="shared" ref="BG199:BG213" si="299">(AZ199+BA199+BB199+BC199)-BF199</f>
        <v>247</v>
      </c>
      <c r="BH199" s="666">
        <f>175+15+9</f>
        <v>199</v>
      </c>
      <c r="BI199" s="666"/>
      <c r="BJ199" s="666"/>
      <c r="BK199" s="666"/>
      <c r="BL199" s="666">
        <f>(BH199-24)*10%</f>
        <v>17.5</v>
      </c>
      <c r="BM199" s="667">
        <f t="shared" ref="BM199:BM213" si="300">ROUND(BL199,0)</f>
        <v>18</v>
      </c>
      <c r="BN199" s="666">
        <f t="shared" ref="BN199:BN213" si="301">(BH199+BI199+BJ199)-BM199</f>
        <v>181</v>
      </c>
      <c r="BO199" s="666"/>
      <c r="BP199" s="666"/>
      <c r="BQ199" s="666"/>
      <c r="BR199" s="666"/>
      <c r="BS199" s="666"/>
      <c r="BT199" s="666"/>
      <c r="BU199" s="666">
        <v>90</v>
      </c>
      <c r="BV199" s="666"/>
      <c r="BW199" s="662"/>
    </row>
    <row r="200" spans="1:75" ht="46.8">
      <c r="A200" s="659">
        <v>76</v>
      </c>
      <c r="B200" s="660" t="s">
        <v>648</v>
      </c>
      <c r="C200" s="661">
        <f t="shared" si="293"/>
        <v>0</v>
      </c>
      <c r="D200" s="661">
        <f>E200+F200</f>
        <v>0</v>
      </c>
      <c r="E200" s="661"/>
      <c r="F200" s="661"/>
      <c r="G200" s="661"/>
      <c r="H200" s="661"/>
      <c r="I200" s="661"/>
      <c r="J200" s="661"/>
      <c r="K200" s="989">
        <f t="shared" si="207"/>
        <v>0</v>
      </c>
      <c r="L200" s="666">
        <f t="shared" si="295"/>
        <v>0</v>
      </c>
      <c r="M200" s="666"/>
      <c r="N200" s="666"/>
      <c r="O200" s="666"/>
      <c r="P200" s="666"/>
      <c r="Q200" s="666"/>
      <c r="R200" s="666"/>
      <c r="S200" s="667"/>
      <c r="T200" s="667">
        <f t="shared" si="285"/>
        <v>0</v>
      </c>
      <c r="U200" s="666">
        <f t="shared" si="286"/>
        <v>0</v>
      </c>
      <c r="V200" s="666"/>
      <c r="W200" s="666"/>
      <c r="X200" s="666"/>
      <c r="Y200" s="667"/>
      <c r="Z200" s="668">
        <f t="shared" si="287"/>
        <v>0</v>
      </c>
      <c r="AA200" s="667"/>
      <c r="AB200" s="667">
        <f t="shared" si="288"/>
        <v>0</v>
      </c>
      <c r="AC200" s="666">
        <f t="shared" si="289"/>
        <v>0</v>
      </c>
      <c r="AD200" s="666"/>
      <c r="AE200" s="666"/>
      <c r="AF200" s="669"/>
      <c r="AG200" s="669"/>
      <c r="AH200" s="669"/>
      <c r="AI200" s="669"/>
      <c r="AJ200" s="669"/>
      <c r="AK200" s="669"/>
      <c r="AL200" s="664"/>
      <c r="AN200" s="610"/>
      <c r="AO200" s="659">
        <v>76</v>
      </c>
      <c r="AP200" s="660" t="s">
        <v>648</v>
      </c>
      <c r="AQ200" s="661">
        <f t="shared" si="296"/>
        <v>3</v>
      </c>
      <c r="AR200" s="661">
        <f>AS200+AT200</f>
        <v>3</v>
      </c>
      <c r="AS200" s="661"/>
      <c r="AT200" s="661">
        <v>3</v>
      </c>
      <c r="AU200" s="661"/>
      <c r="AV200" s="661">
        <v>2</v>
      </c>
      <c r="AW200" s="661"/>
      <c r="AX200" s="661"/>
      <c r="AY200" s="666">
        <f t="shared" si="298"/>
        <v>289</v>
      </c>
      <c r="AZ200" s="670">
        <f>285-52</f>
        <v>233</v>
      </c>
      <c r="BA200" s="666">
        <v>52</v>
      </c>
      <c r="BB200" s="666"/>
      <c r="BC200" s="666"/>
      <c r="BD200" s="666"/>
      <c r="BE200" s="666">
        <f t="shared" si="290"/>
        <v>5.2</v>
      </c>
      <c r="BF200" s="667">
        <f t="shared" si="291"/>
        <v>5</v>
      </c>
      <c r="BG200" s="666">
        <f t="shared" si="299"/>
        <v>280</v>
      </c>
      <c r="BH200" s="666">
        <v>10</v>
      </c>
      <c r="BI200" s="666"/>
      <c r="BJ200" s="666"/>
      <c r="BK200" s="666"/>
      <c r="BL200" s="666">
        <f t="shared" si="292"/>
        <v>1</v>
      </c>
      <c r="BM200" s="667">
        <f t="shared" si="300"/>
        <v>1</v>
      </c>
      <c r="BN200" s="666">
        <f t="shared" si="301"/>
        <v>9</v>
      </c>
      <c r="BO200" s="666"/>
      <c r="BP200" s="666"/>
      <c r="BQ200" s="666"/>
      <c r="BR200" s="666"/>
      <c r="BS200" s="666"/>
      <c r="BT200" s="666"/>
      <c r="BU200" s="666"/>
      <c r="BV200" s="666"/>
      <c r="BW200" s="662"/>
    </row>
    <row r="201" spans="1:75" ht="31.2">
      <c r="A201" s="659">
        <v>77</v>
      </c>
      <c r="B201" s="660" t="s">
        <v>649</v>
      </c>
      <c r="C201" s="661">
        <f t="shared" si="293"/>
        <v>0</v>
      </c>
      <c r="D201" s="661">
        <f>E201+F201</f>
        <v>0</v>
      </c>
      <c r="E201" s="661"/>
      <c r="F201" s="661"/>
      <c r="G201" s="661"/>
      <c r="H201" s="661"/>
      <c r="I201" s="661"/>
      <c r="J201" s="661"/>
      <c r="K201" s="989">
        <f t="shared" ref="K201:K236" si="302">L201-AD201</f>
        <v>0</v>
      </c>
      <c r="L201" s="666">
        <f t="shared" si="295"/>
        <v>0</v>
      </c>
      <c r="M201" s="666"/>
      <c r="N201" s="666"/>
      <c r="O201" s="666"/>
      <c r="P201" s="666"/>
      <c r="Q201" s="666"/>
      <c r="R201" s="666"/>
      <c r="S201" s="667"/>
      <c r="T201" s="667">
        <f t="shared" si="285"/>
        <v>0</v>
      </c>
      <c r="U201" s="666">
        <f t="shared" si="286"/>
        <v>0</v>
      </c>
      <c r="V201" s="666"/>
      <c r="W201" s="666"/>
      <c r="X201" s="666"/>
      <c r="Y201" s="667"/>
      <c r="Z201" s="668">
        <f t="shared" si="287"/>
        <v>0</v>
      </c>
      <c r="AA201" s="667"/>
      <c r="AB201" s="667">
        <f t="shared" si="288"/>
        <v>0</v>
      </c>
      <c r="AC201" s="666">
        <f t="shared" si="289"/>
        <v>0</v>
      </c>
      <c r="AD201" s="666"/>
      <c r="AE201" s="666"/>
      <c r="AF201" s="669"/>
      <c r="AG201" s="669"/>
      <c r="AH201" s="669"/>
      <c r="AI201" s="669"/>
      <c r="AJ201" s="669"/>
      <c r="AK201" s="669"/>
      <c r="AL201" s="664"/>
      <c r="AN201" s="610"/>
      <c r="AO201" s="659">
        <v>77</v>
      </c>
      <c r="AP201" s="660" t="s">
        <v>649</v>
      </c>
      <c r="AQ201" s="661">
        <f t="shared" si="296"/>
        <v>3</v>
      </c>
      <c r="AR201" s="661">
        <f>AS201+AT201</f>
        <v>3</v>
      </c>
      <c r="AS201" s="661"/>
      <c r="AT201" s="661">
        <v>3</v>
      </c>
      <c r="AU201" s="661"/>
      <c r="AV201" s="661">
        <v>3</v>
      </c>
      <c r="AW201" s="661"/>
      <c r="AX201" s="661"/>
      <c r="AY201" s="666">
        <f t="shared" si="298"/>
        <v>380</v>
      </c>
      <c r="AZ201" s="670">
        <f>357-78</f>
        <v>279</v>
      </c>
      <c r="BA201" s="666">
        <v>78</v>
      </c>
      <c r="BB201" s="666"/>
      <c r="BC201" s="666"/>
      <c r="BD201" s="666"/>
      <c r="BE201" s="666">
        <f t="shared" si="290"/>
        <v>7.8000000000000007</v>
      </c>
      <c r="BF201" s="667">
        <f t="shared" si="291"/>
        <v>8</v>
      </c>
      <c r="BG201" s="666">
        <f t="shared" si="299"/>
        <v>349</v>
      </c>
      <c r="BH201" s="666">
        <v>35</v>
      </c>
      <c r="BI201" s="666"/>
      <c r="BJ201" s="666"/>
      <c r="BK201" s="666"/>
      <c r="BL201" s="666">
        <f t="shared" si="292"/>
        <v>3.5</v>
      </c>
      <c r="BM201" s="667">
        <f t="shared" si="300"/>
        <v>4</v>
      </c>
      <c r="BN201" s="666">
        <f t="shared" si="301"/>
        <v>31</v>
      </c>
      <c r="BO201" s="666"/>
      <c r="BP201" s="666"/>
      <c r="BQ201" s="666"/>
      <c r="BR201" s="666"/>
      <c r="BS201" s="666"/>
      <c r="BT201" s="666"/>
      <c r="BU201" s="666"/>
      <c r="BV201" s="666"/>
      <c r="BW201" s="662"/>
    </row>
    <row r="202" spans="1:75" s="698" customFormat="1" ht="46.8">
      <c r="A202" s="694">
        <v>72</v>
      </c>
      <c r="B202" s="695" t="s">
        <v>650</v>
      </c>
      <c r="C202" s="696">
        <f t="shared" si="293"/>
        <v>7</v>
      </c>
      <c r="D202" s="696">
        <f>E202+F202</f>
        <v>7</v>
      </c>
      <c r="E202" s="696"/>
      <c r="F202" s="696">
        <v>7</v>
      </c>
      <c r="G202" s="696"/>
      <c r="H202" s="696"/>
      <c r="I202" s="696"/>
      <c r="J202" s="696"/>
      <c r="K202" s="989">
        <f t="shared" si="302"/>
        <v>1114</v>
      </c>
      <c r="L202" s="668">
        <f t="shared" si="295"/>
        <v>1114</v>
      </c>
      <c r="M202" s="668">
        <v>558</v>
      </c>
      <c r="N202" s="668">
        <v>178</v>
      </c>
      <c r="O202" s="668">
        <v>5</v>
      </c>
      <c r="P202" s="668"/>
      <c r="Q202" s="668"/>
      <c r="R202" s="668">
        <f t="shared" ref="R202:R209" si="303">((N202+O202)-(BA202+BB202))*10%</f>
        <v>10.5</v>
      </c>
      <c r="S202" s="667">
        <f>8+8+8</f>
        <v>24</v>
      </c>
      <c r="T202" s="667">
        <f t="shared" si="285"/>
        <v>35</v>
      </c>
      <c r="U202" s="666">
        <f t="shared" si="286"/>
        <v>706</v>
      </c>
      <c r="V202" s="668">
        <v>477</v>
      </c>
      <c r="W202" s="668"/>
      <c r="X202" s="668"/>
      <c r="Y202" s="667">
        <f>Z202-BM202</f>
        <v>27.700000000000003</v>
      </c>
      <c r="Z202" s="668">
        <f t="shared" si="287"/>
        <v>47.7</v>
      </c>
      <c r="AA202" s="667">
        <f>6+10+25</f>
        <v>41</v>
      </c>
      <c r="AB202" s="667">
        <f t="shared" si="288"/>
        <v>69</v>
      </c>
      <c r="AC202" s="666">
        <f t="shared" si="289"/>
        <v>408</v>
      </c>
      <c r="AD202" s="668"/>
      <c r="AE202" s="668"/>
      <c r="AF202" s="668"/>
      <c r="AG202" s="668"/>
      <c r="AH202" s="668"/>
      <c r="AI202" s="668"/>
      <c r="AJ202" s="668"/>
      <c r="AK202" s="668"/>
      <c r="AL202" s="697"/>
      <c r="AM202" s="624"/>
      <c r="AN202" s="610"/>
      <c r="AO202" s="694">
        <v>78</v>
      </c>
      <c r="AP202" s="695" t="s">
        <v>650</v>
      </c>
      <c r="AQ202" s="696">
        <f t="shared" si="296"/>
        <v>3</v>
      </c>
      <c r="AR202" s="696">
        <f>AS202+AT202</f>
        <v>3</v>
      </c>
      <c r="AS202" s="696"/>
      <c r="AT202" s="696">
        <v>3</v>
      </c>
      <c r="AU202" s="696"/>
      <c r="AV202" s="696">
        <v>3</v>
      </c>
      <c r="AW202" s="696"/>
      <c r="AX202" s="696"/>
      <c r="AY202" s="668">
        <f t="shared" si="298"/>
        <v>639</v>
      </c>
      <c r="AZ202" s="668">
        <v>389</v>
      </c>
      <c r="BA202" s="668">
        <v>78</v>
      </c>
      <c r="BB202" s="668"/>
      <c r="BC202" s="668"/>
      <c r="BD202" s="668"/>
      <c r="BE202" s="666">
        <f t="shared" si="290"/>
        <v>7.8000000000000007</v>
      </c>
      <c r="BF202" s="668">
        <f t="shared" si="291"/>
        <v>8</v>
      </c>
      <c r="BG202" s="668">
        <f t="shared" si="299"/>
        <v>459</v>
      </c>
      <c r="BH202" s="668">
        <v>200</v>
      </c>
      <c r="BI202" s="668"/>
      <c r="BJ202" s="668"/>
      <c r="BK202" s="668"/>
      <c r="BL202" s="666">
        <f t="shared" si="292"/>
        <v>20</v>
      </c>
      <c r="BM202" s="668">
        <f t="shared" si="300"/>
        <v>20</v>
      </c>
      <c r="BN202" s="668">
        <f t="shared" si="301"/>
        <v>180</v>
      </c>
      <c r="BO202" s="668"/>
      <c r="BP202" s="668"/>
      <c r="BQ202" s="668"/>
      <c r="BR202" s="668"/>
      <c r="BS202" s="668"/>
      <c r="BT202" s="668"/>
      <c r="BU202" s="668"/>
      <c r="BV202" s="668"/>
      <c r="BW202" s="697"/>
    </row>
    <row r="203" spans="1:75" s="710" customFormat="1" ht="31.2">
      <c r="A203" s="700">
        <v>73</v>
      </c>
      <c r="B203" s="701" t="s">
        <v>651</v>
      </c>
      <c r="C203" s="702">
        <f t="shared" si="293"/>
        <v>4</v>
      </c>
      <c r="D203" s="702">
        <f t="shared" si="294"/>
        <v>4</v>
      </c>
      <c r="E203" s="702"/>
      <c r="F203" s="702">
        <v>4</v>
      </c>
      <c r="G203" s="702"/>
      <c r="H203" s="702">
        <v>4</v>
      </c>
      <c r="I203" s="702"/>
      <c r="J203" s="702"/>
      <c r="K203" s="989">
        <f t="shared" si="302"/>
        <v>626</v>
      </c>
      <c r="L203" s="709">
        <f t="shared" si="295"/>
        <v>702</v>
      </c>
      <c r="M203" s="709">
        <v>383</v>
      </c>
      <c r="N203" s="709">
        <v>90</v>
      </c>
      <c r="O203" s="709">
        <v>14</v>
      </c>
      <c r="P203" s="709"/>
      <c r="Q203" s="709"/>
      <c r="R203" s="666">
        <f t="shared" si="303"/>
        <v>2.6</v>
      </c>
      <c r="S203" s="704">
        <v>13</v>
      </c>
      <c r="T203" s="667">
        <f t="shared" si="285"/>
        <v>16</v>
      </c>
      <c r="U203" s="666">
        <f t="shared" si="286"/>
        <v>471</v>
      </c>
      <c r="V203" s="709">
        <v>191</v>
      </c>
      <c r="W203" s="709"/>
      <c r="X203" s="709"/>
      <c r="Y203" s="667"/>
      <c r="Z203" s="668">
        <f t="shared" si="287"/>
        <v>19.100000000000001</v>
      </c>
      <c r="AA203" s="704">
        <v>36</v>
      </c>
      <c r="AB203" s="667">
        <f t="shared" si="288"/>
        <v>36</v>
      </c>
      <c r="AC203" s="666">
        <f t="shared" si="289"/>
        <v>155</v>
      </c>
      <c r="AD203" s="709">
        <v>76</v>
      </c>
      <c r="AE203" s="709"/>
      <c r="AF203" s="733"/>
      <c r="AG203" s="733"/>
      <c r="AH203" s="733"/>
      <c r="AI203" s="733"/>
      <c r="AJ203" s="733"/>
      <c r="AK203" s="733"/>
      <c r="AL203" s="733"/>
      <c r="AM203" s="706"/>
      <c r="AN203" s="707"/>
      <c r="AO203" s="700">
        <v>79</v>
      </c>
      <c r="AP203" s="701" t="s">
        <v>651</v>
      </c>
      <c r="AQ203" s="702">
        <f t="shared" si="296"/>
        <v>5</v>
      </c>
      <c r="AR203" s="702">
        <f t="shared" si="297"/>
        <v>5</v>
      </c>
      <c r="AS203" s="702"/>
      <c r="AT203" s="702">
        <v>5</v>
      </c>
      <c r="AU203" s="702"/>
      <c r="AV203" s="702">
        <v>3</v>
      </c>
      <c r="AW203" s="702"/>
      <c r="AX203" s="702"/>
      <c r="AY203" s="709">
        <f t="shared" si="298"/>
        <v>604</v>
      </c>
      <c r="AZ203" s="734">
        <v>306</v>
      </c>
      <c r="BA203" s="709">
        <v>70</v>
      </c>
      <c r="BB203" s="709">
        <v>8</v>
      </c>
      <c r="BC203" s="709"/>
      <c r="BD203" s="709"/>
      <c r="BE203" s="666">
        <f t="shared" si="290"/>
        <v>7.8000000000000007</v>
      </c>
      <c r="BF203" s="704">
        <f t="shared" si="291"/>
        <v>8</v>
      </c>
      <c r="BG203" s="709">
        <f t="shared" si="299"/>
        <v>376</v>
      </c>
      <c r="BH203" s="709">
        <v>242</v>
      </c>
      <c r="BI203" s="709"/>
      <c r="BJ203" s="709"/>
      <c r="BK203" s="709"/>
      <c r="BL203" s="666">
        <f t="shared" si="292"/>
        <v>24.200000000000003</v>
      </c>
      <c r="BM203" s="704">
        <f t="shared" si="300"/>
        <v>24</v>
      </c>
      <c r="BN203" s="709">
        <f t="shared" si="301"/>
        <v>218</v>
      </c>
      <c r="BO203" s="709">
        <v>10</v>
      </c>
      <c r="BP203" s="709"/>
      <c r="BQ203" s="709"/>
      <c r="BR203" s="709"/>
      <c r="BS203" s="709"/>
      <c r="BT203" s="709"/>
      <c r="BU203" s="709"/>
      <c r="BV203" s="709"/>
      <c r="BW203" s="709"/>
    </row>
    <row r="204" spans="1:75" ht="31.2">
      <c r="A204" s="659">
        <v>74</v>
      </c>
      <c r="B204" s="660" t="s">
        <v>652</v>
      </c>
      <c r="C204" s="661">
        <f t="shared" si="293"/>
        <v>3</v>
      </c>
      <c r="D204" s="661">
        <f t="shared" si="294"/>
        <v>3</v>
      </c>
      <c r="E204" s="661"/>
      <c r="F204" s="661">
        <v>3</v>
      </c>
      <c r="G204" s="661"/>
      <c r="H204" s="661">
        <v>3</v>
      </c>
      <c r="I204" s="661"/>
      <c r="J204" s="661"/>
      <c r="K204" s="989">
        <f t="shared" si="302"/>
        <v>390</v>
      </c>
      <c r="L204" s="666">
        <f t="shared" si="295"/>
        <v>450</v>
      </c>
      <c r="M204" s="666">
        <v>261</v>
      </c>
      <c r="N204" s="666">
        <v>68</v>
      </c>
      <c r="O204" s="666">
        <v>10</v>
      </c>
      <c r="P204" s="666"/>
      <c r="Q204" s="666"/>
      <c r="R204" s="666">
        <f t="shared" si="303"/>
        <v>0</v>
      </c>
      <c r="S204" s="667">
        <v>8</v>
      </c>
      <c r="T204" s="667">
        <f t="shared" si="285"/>
        <v>8</v>
      </c>
      <c r="U204" s="666">
        <f t="shared" si="286"/>
        <v>331</v>
      </c>
      <c r="V204" s="666">
        <v>70</v>
      </c>
      <c r="W204" s="666"/>
      <c r="X204" s="666"/>
      <c r="Y204" s="667"/>
      <c r="Z204" s="668">
        <f t="shared" si="287"/>
        <v>7</v>
      </c>
      <c r="AA204" s="667">
        <v>11</v>
      </c>
      <c r="AB204" s="667">
        <f t="shared" si="288"/>
        <v>11</v>
      </c>
      <c r="AC204" s="666">
        <f t="shared" si="289"/>
        <v>59</v>
      </c>
      <c r="AD204" s="666">
        <v>60</v>
      </c>
      <c r="AE204" s="666"/>
      <c r="AF204" s="669"/>
      <c r="AG204" s="669"/>
      <c r="AH204" s="669"/>
      <c r="AI204" s="669"/>
      <c r="AJ204" s="669"/>
      <c r="AK204" s="669"/>
      <c r="AL204" s="669"/>
      <c r="AM204" s="662"/>
      <c r="AN204" s="610"/>
      <c r="AO204" s="659">
        <v>80</v>
      </c>
      <c r="AP204" s="660" t="s">
        <v>652</v>
      </c>
      <c r="AQ204" s="661">
        <f t="shared" si="296"/>
        <v>3</v>
      </c>
      <c r="AR204" s="661">
        <f t="shared" si="297"/>
        <v>3</v>
      </c>
      <c r="AS204" s="661"/>
      <c r="AT204" s="661">
        <v>3</v>
      </c>
      <c r="AU204" s="661"/>
      <c r="AV204" s="661">
        <v>3</v>
      </c>
      <c r="AW204" s="661"/>
      <c r="AX204" s="661"/>
      <c r="AY204" s="666">
        <f t="shared" si="298"/>
        <v>452</v>
      </c>
      <c r="AZ204" s="670">
        <f>136+32+5+71</f>
        <v>244</v>
      </c>
      <c r="BA204" s="666">
        <f>78-18</f>
        <v>60</v>
      </c>
      <c r="BB204" s="666">
        <v>18</v>
      </c>
      <c r="BC204" s="666"/>
      <c r="BD204" s="666"/>
      <c r="BE204" s="666">
        <f t="shared" si="290"/>
        <v>7.8000000000000007</v>
      </c>
      <c r="BF204" s="667">
        <f>ROUND(BE204,0)</f>
        <v>8</v>
      </c>
      <c r="BG204" s="666">
        <f t="shared" si="299"/>
        <v>314</v>
      </c>
      <c r="BH204" s="666">
        <v>98</v>
      </c>
      <c r="BI204" s="666"/>
      <c r="BJ204" s="666"/>
      <c r="BK204" s="666"/>
      <c r="BL204" s="666">
        <f t="shared" si="292"/>
        <v>9.8000000000000007</v>
      </c>
      <c r="BM204" s="667">
        <f>ROUND(BL204,0)</f>
        <v>10</v>
      </c>
      <c r="BN204" s="666">
        <f t="shared" si="301"/>
        <v>88</v>
      </c>
      <c r="BO204" s="666">
        <v>50</v>
      </c>
      <c r="BP204" s="666"/>
      <c r="BQ204" s="666"/>
      <c r="BR204" s="666"/>
      <c r="BS204" s="666"/>
      <c r="BT204" s="666"/>
      <c r="BU204" s="666"/>
      <c r="BV204" s="666"/>
      <c r="BW204" s="662"/>
    </row>
    <row r="205" spans="1:75" ht="31.2">
      <c r="A205" s="659">
        <v>75</v>
      </c>
      <c r="B205" s="660" t="s">
        <v>653</v>
      </c>
      <c r="C205" s="661">
        <f t="shared" si="293"/>
        <v>4</v>
      </c>
      <c r="D205" s="661">
        <f t="shared" si="294"/>
        <v>4</v>
      </c>
      <c r="E205" s="661"/>
      <c r="F205" s="661">
        <v>4</v>
      </c>
      <c r="G205" s="661"/>
      <c r="H205" s="661">
        <v>4</v>
      </c>
      <c r="I205" s="661"/>
      <c r="J205" s="661"/>
      <c r="K205" s="989">
        <f t="shared" si="302"/>
        <v>584</v>
      </c>
      <c r="L205" s="666">
        <f t="shared" si="295"/>
        <v>584</v>
      </c>
      <c r="M205" s="666">
        <v>428</v>
      </c>
      <c r="N205" s="666">
        <v>94</v>
      </c>
      <c r="O205" s="666">
        <v>10</v>
      </c>
      <c r="P205" s="666"/>
      <c r="Q205" s="666"/>
      <c r="R205" s="666">
        <f t="shared" si="303"/>
        <v>0</v>
      </c>
      <c r="S205" s="667">
        <v>13</v>
      </c>
      <c r="T205" s="667">
        <f t="shared" si="285"/>
        <v>13</v>
      </c>
      <c r="U205" s="666">
        <f t="shared" si="286"/>
        <v>519</v>
      </c>
      <c r="V205" s="666">
        <f>40+32</f>
        <v>72</v>
      </c>
      <c r="W205" s="666"/>
      <c r="X205" s="666"/>
      <c r="Y205" s="667">
        <f>Z205-BM205</f>
        <v>7.2</v>
      </c>
      <c r="Z205" s="668">
        <f t="shared" si="287"/>
        <v>7.2</v>
      </c>
      <c r="AA205" s="667"/>
      <c r="AB205" s="667">
        <f t="shared" si="288"/>
        <v>7</v>
      </c>
      <c r="AC205" s="666">
        <f t="shared" si="289"/>
        <v>65</v>
      </c>
      <c r="AD205" s="666"/>
      <c r="AE205" s="666"/>
      <c r="AF205" s="669"/>
      <c r="AG205" s="669"/>
      <c r="AH205" s="669"/>
      <c r="AI205" s="669"/>
      <c r="AJ205" s="669"/>
      <c r="AK205" s="669"/>
      <c r="AL205" s="669"/>
      <c r="AM205" s="662"/>
      <c r="AN205" s="610"/>
      <c r="AO205" s="659">
        <v>81</v>
      </c>
      <c r="AP205" s="660" t="s">
        <v>653</v>
      </c>
      <c r="AQ205" s="661">
        <f t="shared" si="296"/>
        <v>5</v>
      </c>
      <c r="AR205" s="661">
        <f t="shared" si="297"/>
        <v>5</v>
      </c>
      <c r="AS205" s="661"/>
      <c r="AT205" s="661">
        <v>5</v>
      </c>
      <c r="AU205" s="661"/>
      <c r="AV205" s="661">
        <v>4</v>
      </c>
      <c r="AW205" s="661"/>
      <c r="AX205" s="661"/>
      <c r="AY205" s="666">
        <f t="shared" si="298"/>
        <v>527</v>
      </c>
      <c r="AZ205" s="670">
        <f>214+51+2+71+63</f>
        <v>401</v>
      </c>
      <c r="BA205" s="666">
        <f>104-14</f>
        <v>90</v>
      </c>
      <c r="BB205" s="666">
        <v>14</v>
      </c>
      <c r="BC205" s="666"/>
      <c r="BD205" s="666"/>
      <c r="BE205" s="666">
        <f t="shared" si="290"/>
        <v>10.4</v>
      </c>
      <c r="BF205" s="667">
        <f>ROUND(BE205,0)</f>
        <v>10</v>
      </c>
      <c r="BG205" s="666">
        <f>(AZ205+BA205+BB205+BC205)-BF205</f>
        <v>495</v>
      </c>
      <c r="BH205" s="666"/>
      <c r="BI205" s="666"/>
      <c r="BJ205" s="666"/>
      <c r="BK205" s="666"/>
      <c r="BL205" s="666">
        <f t="shared" si="292"/>
        <v>0</v>
      </c>
      <c r="BM205" s="667">
        <f>ROUND(BL205,0)</f>
        <v>0</v>
      </c>
      <c r="BN205" s="666">
        <f t="shared" si="301"/>
        <v>0</v>
      </c>
      <c r="BO205" s="666">
        <v>32</v>
      </c>
      <c r="BP205" s="666"/>
      <c r="BQ205" s="666"/>
      <c r="BR205" s="666"/>
      <c r="BS205" s="666"/>
      <c r="BT205" s="666"/>
      <c r="BU205" s="666"/>
      <c r="BV205" s="666"/>
      <c r="BW205" s="662"/>
    </row>
    <row r="206" spans="1:75" ht="31.2">
      <c r="A206" s="659">
        <v>76</v>
      </c>
      <c r="B206" s="660" t="s">
        <v>654</v>
      </c>
      <c r="C206" s="661">
        <f t="shared" si="293"/>
        <v>9</v>
      </c>
      <c r="D206" s="661">
        <f>E206+F206</f>
        <v>8</v>
      </c>
      <c r="E206" s="661"/>
      <c r="F206" s="661">
        <v>8</v>
      </c>
      <c r="G206" s="661"/>
      <c r="H206" s="661">
        <v>8</v>
      </c>
      <c r="I206" s="661">
        <v>1</v>
      </c>
      <c r="J206" s="661">
        <v>1</v>
      </c>
      <c r="K206" s="989">
        <f t="shared" si="302"/>
        <v>2132</v>
      </c>
      <c r="L206" s="666">
        <f t="shared" si="295"/>
        <v>2132</v>
      </c>
      <c r="M206" s="662">
        <v>641</v>
      </c>
      <c r="N206" s="662">
        <v>187</v>
      </c>
      <c r="O206" s="662">
        <v>22</v>
      </c>
      <c r="P206" s="662"/>
      <c r="Q206" s="662"/>
      <c r="R206" s="666">
        <f t="shared" si="303"/>
        <v>0</v>
      </c>
      <c r="S206" s="667">
        <v>21</v>
      </c>
      <c r="T206" s="667">
        <f t="shared" si="285"/>
        <v>21</v>
      </c>
      <c r="U206" s="666">
        <f t="shared" si="286"/>
        <v>829</v>
      </c>
      <c r="V206" s="662">
        <v>1471</v>
      </c>
      <c r="W206" s="662"/>
      <c r="X206" s="662"/>
      <c r="Y206" s="667">
        <f>Z206-BM206</f>
        <v>92.1</v>
      </c>
      <c r="Z206" s="668">
        <f t="shared" si="287"/>
        <v>147.1</v>
      </c>
      <c r="AA206" s="667">
        <v>76</v>
      </c>
      <c r="AB206" s="667">
        <f t="shared" si="288"/>
        <v>168</v>
      </c>
      <c r="AC206" s="666">
        <f t="shared" si="289"/>
        <v>1303</v>
      </c>
      <c r="AD206" s="662"/>
      <c r="AE206" s="662"/>
      <c r="AF206" s="664"/>
      <c r="AG206" s="664"/>
      <c r="AH206" s="664"/>
      <c r="AI206" s="664"/>
      <c r="AJ206" s="664"/>
      <c r="AK206" s="664"/>
      <c r="AL206" s="720"/>
      <c r="AN206" s="610"/>
      <c r="AO206" s="659">
        <v>82</v>
      </c>
      <c r="AP206" s="660" t="s">
        <v>654</v>
      </c>
      <c r="AQ206" s="661">
        <f t="shared" si="296"/>
        <v>9</v>
      </c>
      <c r="AR206" s="661">
        <f>AS206+AT206</f>
        <v>8</v>
      </c>
      <c r="AS206" s="661"/>
      <c r="AT206" s="661">
        <v>8</v>
      </c>
      <c r="AU206" s="661"/>
      <c r="AV206" s="661">
        <v>8</v>
      </c>
      <c r="AW206" s="661">
        <v>1</v>
      </c>
      <c r="AX206" s="661">
        <v>1</v>
      </c>
      <c r="AY206" s="662">
        <f t="shared" si="298"/>
        <v>1299</v>
      </c>
      <c r="AZ206" s="665">
        <v>594</v>
      </c>
      <c r="BA206" s="662">
        <v>209</v>
      </c>
      <c r="BB206" s="662"/>
      <c r="BC206" s="662"/>
      <c r="BD206" s="662"/>
      <c r="BE206" s="666">
        <f t="shared" si="290"/>
        <v>20.900000000000002</v>
      </c>
      <c r="BF206" s="667">
        <f t="shared" si="291"/>
        <v>21</v>
      </c>
      <c r="BG206" s="666">
        <f t="shared" si="299"/>
        <v>782</v>
      </c>
      <c r="BH206" s="662">
        <v>552</v>
      </c>
      <c r="BI206" s="662"/>
      <c r="BJ206" s="662"/>
      <c r="BK206" s="662"/>
      <c r="BL206" s="666">
        <f t="shared" si="292"/>
        <v>55.2</v>
      </c>
      <c r="BM206" s="667">
        <f t="shared" si="300"/>
        <v>55</v>
      </c>
      <c r="BN206" s="666">
        <f t="shared" si="301"/>
        <v>497</v>
      </c>
      <c r="BO206" s="662">
        <v>20</v>
      </c>
      <c r="BP206" s="662"/>
      <c r="BQ206" s="662"/>
      <c r="BR206" s="662"/>
      <c r="BS206" s="662"/>
      <c r="BT206" s="662"/>
      <c r="BU206" s="662"/>
      <c r="BV206" s="662"/>
      <c r="BW206" s="721"/>
    </row>
    <row r="207" spans="1:75" s="681" customFormat="1" ht="31.2">
      <c r="A207" s="671">
        <v>77</v>
      </c>
      <c r="B207" s="672" t="s">
        <v>655</v>
      </c>
      <c r="C207" s="673">
        <f t="shared" si="293"/>
        <v>4</v>
      </c>
      <c r="D207" s="673">
        <f>E207+F207</f>
        <v>4</v>
      </c>
      <c r="E207" s="673"/>
      <c r="F207" s="673">
        <v>4</v>
      </c>
      <c r="G207" s="673"/>
      <c r="H207" s="673">
        <v>4</v>
      </c>
      <c r="I207" s="673"/>
      <c r="J207" s="673"/>
      <c r="K207" s="989">
        <f t="shared" si="302"/>
        <v>873</v>
      </c>
      <c r="L207" s="674">
        <f t="shared" si="295"/>
        <v>873</v>
      </c>
      <c r="M207" s="674">
        <v>410</v>
      </c>
      <c r="N207" s="674">
        <v>94</v>
      </c>
      <c r="O207" s="674">
        <v>10</v>
      </c>
      <c r="P207" s="674"/>
      <c r="Q207" s="674"/>
      <c r="R207" s="674">
        <f t="shared" si="303"/>
        <v>0</v>
      </c>
      <c r="S207" s="675">
        <v>8</v>
      </c>
      <c r="T207" s="667">
        <f t="shared" si="285"/>
        <v>8</v>
      </c>
      <c r="U207" s="666">
        <f t="shared" si="286"/>
        <v>506</v>
      </c>
      <c r="V207" s="674">
        <v>400</v>
      </c>
      <c r="W207" s="674"/>
      <c r="X207" s="674"/>
      <c r="Y207" s="675"/>
      <c r="Z207" s="676">
        <f>(V207-100)*10%</f>
        <v>30</v>
      </c>
      <c r="AA207" s="675">
        <v>33</v>
      </c>
      <c r="AB207" s="667">
        <f t="shared" si="288"/>
        <v>33</v>
      </c>
      <c r="AC207" s="666">
        <f t="shared" si="289"/>
        <v>367</v>
      </c>
      <c r="AD207" s="674"/>
      <c r="AE207" s="674"/>
      <c r="AF207" s="677"/>
      <c r="AG207" s="677"/>
      <c r="AH207" s="677"/>
      <c r="AI207" s="677"/>
      <c r="AJ207" s="677"/>
      <c r="AK207" s="677"/>
      <c r="AL207" s="790"/>
      <c r="AM207" s="791"/>
      <c r="AN207" s="679"/>
      <c r="AO207" s="671">
        <v>83</v>
      </c>
      <c r="AP207" s="672" t="s">
        <v>655</v>
      </c>
      <c r="AQ207" s="673">
        <f t="shared" si="296"/>
        <v>4</v>
      </c>
      <c r="AR207" s="673">
        <f>AS207+AT207</f>
        <v>4</v>
      </c>
      <c r="AS207" s="673"/>
      <c r="AT207" s="673">
        <v>4</v>
      </c>
      <c r="AU207" s="673"/>
      <c r="AV207" s="673">
        <v>4</v>
      </c>
      <c r="AW207" s="673"/>
      <c r="AX207" s="673"/>
      <c r="AY207" s="674">
        <f t="shared" si="298"/>
        <v>861</v>
      </c>
      <c r="AZ207" s="680">
        <v>364</v>
      </c>
      <c r="BA207" s="674">
        <f>104-10</f>
        <v>94</v>
      </c>
      <c r="BB207" s="674">
        <v>10</v>
      </c>
      <c r="BC207" s="674"/>
      <c r="BD207" s="674"/>
      <c r="BE207" s="674">
        <f t="shared" si="290"/>
        <v>10.4</v>
      </c>
      <c r="BF207" s="675">
        <f t="shared" si="291"/>
        <v>10</v>
      </c>
      <c r="BG207" s="674">
        <f>(AZ207+BA207+BB207+BC207)-BF207</f>
        <v>458</v>
      </c>
      <c r="BH207" s="674">
        <v>431</v>
      </c>
      <c r="BI207" s="674"/>
      <c r="BJ207" s="674">
        <v>5</v>
      </c>
      <c r="BK207" s="674"/>
      <c r="BL207" s="674">
        <f>(BH207-100)*10%</f>
        <v>33.1</v>
      </c>
      <c r="BM207" s="675">
        <f t="shared" si="300"/>
        <v>33</v>
      </c>
      <c r="BN207" s="674">
        <f t="shared" si="301"/>
        <v>403</v>
      </c>
      <c r="BO207" s="674"/>
      <c r="BP207" s="674"/>
      <c r="BQ207" s="674"/>
      <c r="BR207" s="674"/>
      <c r="BS207" s="674"/>
      <c r="BT207" s="674"/>
      <c r="BU207" s="674"/>
      <c r="BV207" s="674"/>
      <c r="BW207" s="678"/>
    </row>
    <row r="208" spans="1:75" ht="31.2">
      <c r="A208" s="659">
        <v>78</v>
      </c>
      <c r="B208" s="660" t="s">
        <v>656</v>
      </c>
      <c r="C208" s="661">
        <f t="shared" si="293"/>
        <v>3</v>
      </c>
      <c r="D208" s="661">
        <f t="shared" si="294"/>
        <v>3</v>
      </c>
      <c r="E208" s="661"/>
      <c r="F208" s="661">
        <v>3</v>
      </c>
      <c r="G208" s="661"/>
      <c r="H208" s="661">
        <v>3</v>
      </c>
      <c r="I208" s="661"/>
      <c r="J208" s="661"/>
      <c r="K208" s="989">
        <f t="shared" si="302"/>
        <v>879</v>
      </c>
      <c r="L208" s="666">
        <f t="shared" si="295"/>
        <v>1359</v>
      </c>
      <c r="M208" s="666">
        <v>508</v>
      </c>
      <c r="N208" s="666">
        <v>54</v>
      </c>
      <c r="O208" s="666">
        <v>24</v>
      </c>
      <c r="P208" s="666"/>
      <c r="Q208" s="666"/>
      <c r="R208" s="666">
        <f t="shared" si="303"/>
        <v>0</v>
      </c>
      <c r="S208" s="667">
        <v>8</v>
      </c>
      <c r="T208" s="667">
        <f t="shared" si="285"/>
        <v>8</v>
      </c>
      <c r="U208" s="666">
        <f t="shared" si="286"/>
        <v>578</v>
      </c>
      <c r="V208" s="666">
        <v>325</v>
      </c>
      <c r="W208" s="666"/>
      <c r="X208" s="666"/>
      <c r="Y208" s="667">
        <f t="shared" ref="Y208:Y213" si="304">Z208-BM208</f>
        <v>8.5</v>
      </c>
      <c r="Z208" s="668">
        <f t="shared" si="287"/>
        <v>32.5</v>
      </c>
      <c r="AA208" s="667">
        <v>15</v>
      </c>
      <c r="AB208" s="667">
        <f t="shared" si="288"/>
        <v>24</v>
      </c>
      <c r="AC208" s="666">
        <f t="shared" si="289"/>
        <v>301</v>
      </c>
      <c r="AD208" s="666">
        <v>480</v>
      </c>
      <c r="AE208" s="666"/>
      <c r="AF208" s="669"/>
      <c r="AG208" s="669"/>
      <c r="AH208" s="669"/>
      <c r="AI208" s="669"/>
      <c r="AJ208" s="669"/>
      <c r="AK208" s="669"/>
      <c r="AL208" s="664"/>
      <c r="AN208" s="610"/>
      <c r="AO208" s="659">
        <v>84</v>
      </c>
      <c r="AP208" s="660" t="s">
        <v>656</v>
      </c>
      <c r="AQ208" s="661">
        <f t="shared" si="296"/>
        <v>3</v>
      </c>
      <c r="AR208" s="661">
        <f t="shared" si="297"/>
        <v>3</v>
      </c>
      <c r="AS208" s="661"/>
      <c r="AT208" s="661">
        <v>3</v>
      </c>
      <c r="AU208" s="661"/>
      <c r="AV208" s="661">
        <v>3</v>
      </c>
      <c r="AW208" s="661"/>
      <c r="AX208" s="661"/>
      <c r="AY208" s="666">
        <f t="shared" si="298"/>
        <v>1183</v>
      </c>
      <c r="AZ208" s="670">
        <v>467</v>
      </c>
      <c r="BA208" s="666">
        <v>54</v>
      </c>
      <c r="BB208" s="666">
        <v>24</v>
      </c>
      <c r="BC208" s="666"/>
      <c r="BD208" s="666"/>
      <c r="BE208" s="666">
        <f t="shared" si="290"/>
        <v>7.8000000000000007</v>
      </c>
      <c r="BF208" s="667">
        <f t="shared" si="291"/>
        <v>8</v>
      </c>
      <c r="BG208" s="666">
        <f t="shared" si="299"/>
        <v>537</v>
      </c>
      <c r="BH208" s="666">
        <f>190+10-10+10+35</f>
        <v>235</v>
      </c>
      <c r="BI208" s="666"/>
      <c r="BJ208" s="666"/>
      <c r="BK208" s="666"/>
      <c r="BL208" s="666">
        <f t="shared" si="292"/>
        <v>23.5</v>
      </c>
      <c r="BM208" s="667">
        <f t="shared" si="300"/>
        <v>24</v>
      </c>
      <c r="BN208" s="666">
        <f t="shared" si="301"/>
        <v>211</v>
      </c>
      <c r="BO208" s="666">
        <v>435</v>
      </c>
      <c r="BP208" s="666"/>
      <c r="BQ208" s="666"/>
      <c r="BR208" s="666"/>
      <c r="BS208" s="666"/>
      <c r="BT208" s="666"/>
      <c r="BU208" s="666"/>
      <c r="BV208" s="666"/>
      <c r="BW208" s="662"/>
    </row>
    <row r="209" spans="1:75">
      <c r="A209" s="659">
        <v>79</v>
      </c>
      <c r="B209" s="660" t="s">
        <v>657</v>
      </c>
      <c r="C209" s="661">
        <f t="shared" si="293"/>
        <v>8</v>
      </c>
      <c r="D209" s="661">
        <f t="shared" si="294"/>
        <v>6</v>
      </c>
      <c r="E209" s="661"/>
      <c r="F209" s="661">
        <v>6</v>
      </c>
      <c r="G209" s="661"/>
      <c r="H209" s="661">
        <v>6</v>
      </c>
      <c r="I209" s="661">
        <v>2</v>
      </c>
      <c r="J209" s="661">
        <v>2</v>
      </c>
      <c r="K209" s="989">
        <f t="shared" si="302"/>
        <v>1580</v>
      </c>
      <c r="L209" s="666">
        <f t="shared" si="295"/>
        <v>1580</v>
      </c>
      <c r="M209" s="666">
        <v>737</v>
      </c>
      <c r="N209" s="666">
        <f>80+33</f>
        <v>113</v>
      </c>
      <c r="O209" s="666">
        <v>43</v>
      </c>
      <c r="P209" s="666"/>
      <c r="Q209" s="666"/>
      <c r="R209" s="666">
        <f t="shared" si="303"/>
        <v>0</v>
      </c>
      <c r="S209" s="667">
        <v>16</v>
      </c>
      <c r="T209" s="667">
        <f t="shared" si="285"/>
        <v>16</v>
      </c>
      <c r="U209" s="666">
        <f t="shared" si="286"/>
        <v>877</v>
      </c>
      <c r="V209" s="666">
        <v>667</v>
      </c>
      <c r="W209" s="666">
        <v>110</v>
      </c>
      <c r="X209" s="666"/>
      <c r="Y209" s="667">
        <f t="shared" si="304"/>
        <v>-0.29999999999999716</v>
      </c>
      <c r="Z209" s="668">
        <f t="shared" si="287"/>
        <v>66.7</v>
      </c>
      <c r="AA209" s="667">
        <v>74</v>
      </c>
      <c r="AB209" s="667">
        <f t="shared" si="288"/>
        <v>74</v>
      </c>
      <c r="AC209" s="666">
        <f t="shared" si="289"/>
        <v>703</v>
      </c>
      <c r="AD209" s="666"/>
      <c r="AE209" s="666"/>
      <c r="AF209" s="669"/>
      <c r="AG209" s="669"/>
      <c r="AH209" s="669"/>
      <c r="AI209" s="669"/>
      <c r="AJ209" s="669"/>
      <c r="AK209" s="669"/>
      <c r="AL209" s="664"/>
      <c r="AN209" s="610"/>
      <c r="AO209" s="659">
        <v>85</v>
      </c>
      <c r="AP209" s="660" t="s">
        <v>657</v>
      </c>
      <c r="AQ209" s="661">
        <f t="shared" si="296"/>
        <v>8</v>
      </c>
      <c r="AR209" s="661">
        <f t="shared" si="297"/>
        <v>6</v>
      </c>
      <c r="AS209" s="661"/>
      <c r="AT209" s="661">
        <v>6</v>
      </c>
      <c r="AU209" s="661"/>
      <c r="AV209" s="661">
        <v>6</v>
      </c>
      <c r="AW209" s="661">
        <v>2</v>
      </c>
      <c r="AX209" s="661">
        <v>2</v>
      </c>
      <c r="AY209" s="666">
        <f t="shared" si="298"/>
        <v>1527</v>
      </c>
      <c r="AZ209" s="670">
        <f>421+3+95+63+65+15</f>
        <v>662</v>
      </c>
      <c r="BA209" s="666">
        <f>80+33</f>
        <v>113</v>
      </c>
      <c r="BB209" s="666">
        <v>43</v>
      </c>
      <c r="BC209" s="666"/>
      <c r="BD209" s="666"/>
      <c r="BE209" s="666">
        <f t="shared" si="290"/>
        <v>15.600000000000001</v>
      </c>
      <c r="BF209" s="667">
        <f t="shared" si="291"/>
        <v>16</v>
      </c>
      <c r="BG209" s="666">
        <f t="shared" si="299"/>
        <v>802</v>
      </c>
      <c r="BH209" s="666">
        <v>667</v>
      </c>
      <c r="BI209" s="666"/>
      <c r="BJ209" s="666">
        <v>125</v>
      </c>
      <c r="BK209" s="666"/>
      <c r="BL209" s="666">
        <f t="shared" si="292"/>
        <v>66.7</v>
      </c>
      <c r="BM209" s="667">
        <f t="shared" si="300"/>
        <v>67</v>
      </c>
      <c r="BN209" s="666">
        <f t="shared" si="301"/>
        <v>725</v>
      </c>
      <c r="BO209" s="666"/>
      <c r="BP209" s="666"/>
      <c r="BQ209" s="666"/>
      <c r="BR209" s="666"/>
      <c r="BS209" s="666"/>
      <c r="BT209" s="666"/>
      <c r="BU209" s="666"/>
      <c r="BV209" s="666"/>
      <c r="BW209" s="662"/>
    </row>
    <row r="210" spans="1:75">
      <c r="A210" s="659">
        <v>80</v>
      </c>
      <c r="B210" s="660" t="s">
        <v>658</v>
      </c>
      <c r="C210" s="661">
        <f t="shared" si="293"/>
        <v>9</v>
      </c>
      <c r="D210" s="661">
        <f t="shared" si="294"/>
        <v>7</v>
      </c>
      <c r="E210" s="661"/>
      <c r="F210" s="661">
        <v>7</v>
      </c>
      <c r="G210" s="661"/>
      <c r="H210" s="661">
        <v>7</v>
      </c>
      <c r="I210" s="661">
        <v>2</v>
      </c>
      <c r="J210" s="661">
        <v>2</v>
      </c>
      <c r="K210" s="989">
        <f t="shared" si="302"/>
        <v>1576</v>
      </c>
      <c r="L210" s="666">
        <f t="shared" si="295"/>
        <v>1626</v>
      </c>
      <c r="M210" s="666">
        <v>784</v>
      </c>
      <c r="N210" s="666">
        <v>137</v>
      </c>
      <c r="O210" s="666">
        <v>46</v>
      </c>
      <c r="P210" s="666"/>
      <c r="Q210" s="666"/>
      <c r="R210" s="666"/>
      <c r="S210" s="667">
        <v>29</v>
      </c>
      <c r="T210" s="667">
        <f t="shared" si="285"/>
        <v>29</v>
      </c>
      <c r="U210" s="666">
        <f t="shared" si="286"/>
        <v>938</v>
      </c>
      <c r="V210" s="666">
        <v>595</v>
      </c>
      <c r="W210" s="666">
        <v>106</v>
      </c>
      <c r="X210" s="666"/>
      <c r="Y210" s="667">
        <f t="shared" si="304"/>
        <v>19.5</v>
      </c>
      <c r="Z210" s="668">
        <f t="shared" si="287"/>
        <v>59.5</v>
      </c>
      <c r="AA210" s="667">
        <v>43</v>
      </c>
      <c r="AB210" s="667">
        <f t="shared" si="288"/>
        <v>63</v>
      </c>
      <c r="AC210" s="666">
        <f t="shared" si="289"/>
        <v>638</v>
      </c>
      <c r="AD210" s="666">
        <v>50</v>
      </c>
      <c r="AE210" s="666"/>
      <c r="AF210" s="669"/>
      <c r="AG210" s="669"/>
      <c r="AH210" s="669"/>
      <c r="AI210" s="669"/>
      <c r="AJ210" s="669"/>
      <c r="AK210" s="669"/>
      <c r="AL210" s="664"/>
      <c r="AN210" s="621"/>
      <c r="AO210" s="659">
        <v>86</v>
      </c>
      <c r="AP210" s="660" t="s">
        <v>658</v>
      </c>
      <c r="AQ210" s="661">
        <f t="shared" si="296"/>
        <v>12</v>
      </c>
      <c r="AR210" s="661">
        <f t="shared" si="297"/>
        <v>10</v>
      </c>
      <c r="AS210" s="661"/>
      <c r="AT210" s="661">
        <v>10</v>
      </c>
      <c r="AU210" s="661"/>
      <c r="AV210" s="661">
        <v>8</v>
      </c>
      <c r="AW210" s="661">
        <v>2</v>
      </c>
      <c r="AX210" s="661">
        <v>2</v>
      </c>
      <c r="AY210" s="666">
        <f t="shared" si="298"/>
        <v>1472</v>
      </c>
      <c r="AZ210" s="670">
        <f>473+112+4+70+96+23</f>
        <v>778</v>
      </c>
      <c r="BA210" s="666">
        <v>163</v>
      </c>
      <c r="BB210" s="666">
        <v>46</v>
      </c>
      <c r="BC210" s="666"/>
      <c r="BD210" s="666"/>
      <c r="BE210" s="666">
        <f t="shared" si="290"/>
        <v>20.900000000000002</v>
      </c>
      <c r="BF210" s="667">
        <f t="shared" si="291"/>
        <v>21</v>
      </c>
      <c r="BG210" s="666">
        <f t="shared" si="299"/>
        <v>966</v>
      </c>
      <c r="BH210" s="666">
        <v>399</v>
      </c>
      <c r="BI210" s="666"/>
      <c r="BJ210" s="666">
        <v>147</v>
      </c>
      <c r="BK210" s="666"/>
      <c r="BL210" s="666">
        <f t="shared" si="292"/>
        <v>39.900000000000006</v>
      </c>
      <c r="BM210" s="667">
        <f t="shared" si="300"/>
        <v>40</v>
      </c>
      <c r="BN210" s="666">
        <f t="shared" si="301"/>
        <v>506</v>
      </c>
      <c r="BO210" s="666"/>
      <c r="BP210" s="666"/>
      <c r="BQ210" s="666"/>
      <c r="BR210" s="666"/>
      <c r="BS210" s="666"/>
      <c r="BT210" s="666"/>
      <c r="BU210" s="666">
        <v>515</v>
      </c>
      <c r="BV210" s="666"/>
      <c r="BW210" s="662"/>
    </row>
    <row r="211" spans="1:75">
      <c r="A211" s="659">
        <v>81</v>
      </c>
      <c r="B211" s="660" t="s">
        <v>659</v>
      </c>
      <c r="C211" s="661">
        <f t="shared" si="293"/>
        <v>5</v>
      </c>
      <c r="D211" s="661">
        <f t="shared" si="294"/>
        <v>5</v>
      </c>
      <c r="E211" s="661"/>
      <c r="F211" s="661">
        <v>5</v>
      </c>
      <c r="G211" s="661"/>
      <c r="H211" s="661">
        <v>5</v>
      </c>
      <c r="I211" s="661"/>
      <c r="J211" s="661"/>
      <c r="K211" s="989">
        <f t="shared" si="302"/>
        <v>447</v>
      </c>
      <c r="L211" s="666">
        <f t="shared" si="295"/>
        <v>447</v>
      </c>
      <c r="M211" s="666">
        <v>330</v>
      </c>
      <c r="N211" s="666">
        <v>104</v>
      </c>
      <c r="O211" s="666">
        <v>26</v>
      </c>
      <c r="P211" s="666"/>
      <c r="Q211" s="666"/>
      <c r="R211" s="666">
        <f>((N211+O211)-(BA211+BB211))*10%</f>
        <v>0</v>
      </c>
      <c r="S211" s="667">
        <v>13</v>
      </c>
      <c r="T211" s="667">
        <f t="shared" si="285"/>
        <v>13</v>
      </c>
      <c r="U211" s="666">
        <f t="shared" si="286"/>
        <v>447</v>
      </c>
      <c r="V211" s="666"/>
      <c r="W211" s="666"/>
      <c r="X211" s="666"/>
      <c r="Y211" s="667">
        <f t="shared" si="304"/>
        <v>0</v>
      </c>
      <c r="Z211" s="668">
        <f t="shared" si="287"/>
        <v>0</v>
      </c>
      <c r="AA211" s="667"/>
      <c r="AB211" s="667">
        <f t="shared" si="288"/>
        <v>0</v>
      </c>
      <c r="AC211" s="666">
        <f t="shared" si="289"/>
        <v>0</v>
      </c>
      <c r="AD211" s="666"/>
      <c r="AE211" s="666"/>
      <c r="AF211" s="669"/>
      <c r="AG211" s="669"/>
      <c r="AH211" s="669"/>
      <c r="AI211" s="669"/>
      <c r="AJ211" s="669"/>
      <c r="AK211" s="669"/>
      <c r="AL211" s="664"/>
      <c r="AN211" s="610"/>
      <c r="AO211" s="659">
        <v>87</v>
      </c>
      <c r="AP211" s="660" t="s">
        <v>659</v>
      </c>
      <c r="AQ211" s="661">
        <f t="shared" si="296"/>
        <v>5</v>
      </c>
      <c r="AR211" s="661">
        <f t="shared" si="297"/>
        <v>5</v>
      </c>
      <c r="AS211" s="661"/>
      <c r="AT211" s="661">
        <v>5</v>
      </c>
      <c r="AU211" s="661"/>
      <c r="AV211" s="661"/>
      <c r="AW211" s="661"/>
      <c r="AX211" s="661"/>
      <c r="AY211" s="666">
        <f t="shared" si="298"/>
        <v>912</v>
      </c>
      <c r="AZ211" s="670">
        <f>237+56+2</f>
        <v>295</v>
      </c>
      <c r="BA211" s="666">
        <v>104</v>
      </c>
      <c r="BB211" s="666">
        <v>26</v>
      </c>
      <c r="BC211" s="666"/>
      <c r="BD211" s="666"/>
      <c r="BE211" s="666">
        <f t="shared" si="290"/>
        <v>13</v>
      </c>
      <c r="BF211" s="667">
        <f t="shared" si="291"/>
        <v>13</v>
      </c>
      <c r="BG211" s="666">
        <f t="shared" si="299"/>
        <v>412</v>
      </c>
      <c r="BH211" s="666"/>
      <c r="BI211" s="666">
        <v>500</v>
      </c>
      <c r="BJ211" s="666"/>
      <c r="BK211" s="666"/>
      <c r="BL211" s="666">
        <f t="shared" si="292"/>
        <v>0</v>
      </c>
      <c r="BM211" s="667">
        <f t="shared" si="300"/>
        <v>0</v>
      </c>
      <c r="BN211" s="666">
        <f t="shared" si="301"/>
        <v>500</v>
      </c>
      <c r="BO211" s="666"/>
      <c r="BP211" s="666"/>
      <c r="BQ211" s="666"/>
      <c r="BR211" s="666"/>
      <c r="BS211" s="666"/>
      <c r="BT211" s="666"/>
      <c r="BU211" s="666"/>
      <c r="BV211" s="666"/>
      <c r="BW211" s="662"/>
    </row>
    <row r="212" spans="1:75">
      <c r="A212" s="659">
        <v>82</v>
      </c>
      <c r="B212" s="660" t="s">
        <v>660</v>
      </c>
      <c r="C212" s="661">
        <f t="shared" si="293"/>
        <v>3</v>
      </c>
      <c r="D212" s="661">
        <f t="shared" si="294"/>
        <v>3</v>
      </c>
      <c r="E212" s="661"/>
      <c r="F212" s="661">
        <v>3</v>
      </c>
      <c r="G212" s="661"/>
      <c r="H212" s="661">
        <v>3</v>
      </c>
      <c r="I212" s="661"/>
      <c r="J212" s="661"/>
      <c r="K212" s="989">
        <f t="shared" si="302"/>
        <v>444</v>
      </c>
      <c r="L212" s="666">
        <f t="shared" si="295"/>
        <v>444</v>
      </c>
      <c r="M212" s="666">
        <v>289</v>
      </c>
      <c r="N212" s="666">
        <v>63</v>
      </c>
      <c r="O212" s="666">
        <v>15</v>
      </c>
      <c r="P212" s="666"/>
      <c r="Q212" s="666"/>
      <c r="R212" s="666">
        <f>((N212+O212)-(BA212+BB212))*10%</f>
        <v>0</v>
      </c>
      <c r="S212" s="667">
        <v>8</v>
      </c>
      <c r="T212" s="667">
        <f t="shared" si="285"/>
        <v>8</v>
      </c>
      <c r="U212" s="666">
        <f t="shared" si="286"/>
        <v>359</v>
      </c>
      <c r="V212" s="666">
        <v>98</v>
      </c>
      <c r="W212" s="666"/>
      <c r="X212" s="666"/>
      <c r="Y212" s="667">
        <f t="shared" si="304"/>
        <v>3.8000000000000007</v>
      </c>
      <c r="Z212" s="668">
        <f t="shared" si="287"/>
        <v>9.8000000000000007</v>
      </c>
      <c r="AA212" s="667">
        <v>9</v>
      </c>
      <c r="AB212" s="667">
        <f t="shared" si="288"/>
        <v>13</v>
      </c>
      <c r="AC212" s="666">
        <f t="shared" si="289"/>
        <v>85</v>
      </c>
      <c r="AD212" s="666"/>
      <c r="AE212" s="666"/>
      <c r="AF212" s="669"/>
      <c r="AG212" s="669"/>
      <c r="AH212" s="669"/>
      <c r="AI212" s="669"/>
      <c r="AJ212" s="669"/>
      <c r="AK212" s="669"/>
      <c r="AL212" s="664"/>
      <c r="AN212" s="610"/>
      <c r="AO212" s="659">
        <v>88</v>
      </c>
      <c r="AP212" s="660" t="s">
        <v>660</v>
      </c>
      <c r="AQ212" s="661">
        <f t="shared" si="296"/>
        <v>3</v>
      </c>
      <c r="AR212" s="661">
        <f t="shared" si="297"/>
        <v>3</v>
      </c>
      <c r="AS212" s="661"/>
      <c r="AT212" s="661">
        <v>3</v>
      </c>
      <c r="AU212" s="661"/>
      <c r="AV212" s="661">
        <v>3</v>
      </c>
      <c r="AW212" s="661"/>
      <c r="AX212" s="661"/>
      <c r="AY212" s="666">
        <f t="shared" si="298"/>
        <v>394</v>
      </c>
      <c r="AZ212" s="670">
        <f>152+36+70+10</f>
        <v>268</v>
      </c>
      <c r="BA212" s="666">
        <v>63</v>
      </c>
      <c r="BB212" s="666">
        <v>15</v>
      </c>
      <c r="BC212" s="666"/>
      <c r="BD212" s="666"/>
      <c r="BE212" s="666">
        <f t="shared" si="290"/>
        <v>7.8000000000000007</v>
      </c>
      <c r="BF212" s="667">
        <f t="shared" si="291"/>
        <v>8</v>
      </c>
      <c r="BG212" s="666">
        <f t="shared" si="299"/>
        <v>338</v>
      </c>
      <c r="BH212" s="666">
        <v>62</v>
      </c>
      <c r="BI212" s="666"/>
      <c r="BJ212" s="666"/>
      <c r="BK212" s="666"/>
      <c r="BL212" s="666">
        <f t="shared" si="292"/>
        <v>6.2</v>
      </c>
      <c r="BM212" s="667">
        <f t="shared" si="300"/>
        <v>6</v>
      </c>
      <c r="BN212" s="666">
        <f t="shared" si="301"/>
        <v>56</v>
      </c>
      <c r="BO212" s="666"/>
      <c r="BP212" s="666"/>
      <c r="BQ212" s="666"/>
      <c r="BR212" s="666"/>
      <c r="BS212" s="666"/>
      <c r="BT212" s="666"/>
      <c r="BU212" s="666"/>
      <c r="BV212" s="666"/>
      <c r="BW212" s="662"/>
    </row>
    <row r="213" spans="1:75">
      <c r="A213" s="659">
        <v>83</v>
      </c>
      <c r="B213" s="660" t="s">
        <v>661</v>
      </c>
      <c r="C213" s="661">
        <f t="shared" si="293"/>
        <v>12</v>
      </c>
      <c r="D213" s="661">
        <f t="shared" si="294"/>
        <v>11</v>
      </c>
      <c r="E213" s="661"/>
      <c r="F213" s="661">
        <v>11</v>
      </c>
      <c r="G213" s="661"/>
      <c r="H213" s="661">
        <v>10</v>
      </c>
      <c r="I213" s="661">
        <v>1</v>
      </c>
      <c r="J213" s="661">
        <v>1</v>
      </c>
      <c r="K213" s="989">
        <f t="shared" si="302"/>
        <v>1696</v>
      </c>
      <c r="L213" s="666">
        <f t="shared" si="295"/>
        <v>1917</v>
      </c>
      <c r="M213" s="666">
        <v>1004</v>
      </c>
      <c r="N213" s="666">
        <v>213</v>
      </c>
      <c r="O213" s="666">
        <v>74</v>
      </c>
      <c r="P213" s="666"/>
      <c r="Q213" s="666"/>
      <c r="R213" s="666"/>
      <c r="S213" s="667">
        <v>34</v>
      </c>
      <c r="T213" s="667">
        <f t="shared" si="285"/>
        <v>34</v>
      </c>
      <c r="U213" s="666">
        <f t="shared" si="286"/>
        <v>1257</v>
      </c>
      <c r="V213" s="666">
        <v>450</v>
      </c>
      <c r="W213" s="666">
        <v>30</v>
      </c>
      <c r="X213" s="666"/>
      <c r="Y213" s="667">
        <f t="shared" si="304"/>
        <v>23</v>
      </c>
      <c r="Z213" s="668">
        <f t="shared" si="287"/>
        <v>45</v>
      </c>
      <c r="AA213" s="667">
        <v>18</v>
      </c>
      <c r="AB213" s="667">
        <f t="shared" si="288"/>
        <v>41</v>
      </c>
      <c r="AC213" s="666">
        <f t="shared" si="289"/>
        <v>439</v>
      </c>
      <c r="AD213" s="666">
        <v>221</v>
      </c>
      <c r="AE213" s="666"/>
      <c r="AF213" s="669"/>
      <c r="AG213" s="669"/>
      <c r="AH213" s="669"/>
      <c r="AI213" s="669"/>
      <c r="AJ213" s="669"/>
      <c r="AK213" s="669"/>
      <c r="AL213" s="664"/>
      <c r="AN213" s="610"/>
      <c r="AO213" s="659">
        <v>89</v>
      </c>
      <c r="AP213" s="660" t="s">
        <v>661</v>
      </c>
      <c r="AQ213" s="661">
        <f t="shared" si="296"/>
        <v>14</v>
      </c>
      <c r="AR213" s="661">
        <f t="shared" si="297"/>
        <v>13</v>
      </c>
      <c r="AS213" s="661"/>
      <c r="AT213" s="661">
        <v>13</v>
      </c>
      <c r="AU213" s="661"/>
      <c r="AV213" s="661">
        <v>11</v>
      </c>
      <c r="AW213" s="661">
        <v>1</v>
      </c>
      <c r="AX213" s="661">
        <v>1</v>
      </c>
      <c r="AY213" s="666">
        <f t="shared" si="298"/>
        <v>1968</v>
      </c>
      <c r="AZ213" s="670">
        <f>692+73+180+70+43+10</f>
        <v>1068</v>
      </c>
      <c r="BA213" s="666">
        <v>265</v>
      </c>
      <c r="BB213" s="666">
        <v>74</v>
      </c>
      <c r="BC213" s="666"/>
      <c r="BD213" s="666"/>
      <c r="BE213" s="666">
        <f t="shared" si="290"/>
        <v>33.9</v>
      </c>
      <c r="BF213" s="667">
        <f t="shared" si="291"/>
        <v>34</v>
      </c>
      <c r="BG213" s="666">
        <f t="shared" si="299"/>
        <v>1373</v>
      </c>
      <c r="BH213" s="666">
        <v>216</v>
      </c>
      <c r="BI213" s="666"/>
      <c r="BJ213" s="666">
        <v>173</v>
      </c>
      <c r="BK213" s="666"/>
      <c r="BL213" s="666">
        <f t="shared" si="292"/>
        <v>21.6</v>
      </c>
      <c r="BM213" s="667">
        <f t="shared" si="300"/>
        <v>22</v>
      </c>
      <c r="BN213" s="666">
        <f t="shared" si="301"/>
        <v>367</v>
      </c>
      <c r="BO213" s="666">
        <v>228</v>
      </c>
      <c r="BP213" s="666"/>
      <c r="BQ213" s="666"/>
      <c r="BR213" s="666"/>
      <c r="BS213" s="666"/>
      <c r="BT213" s="666"/>
      <c r="BU213" s="666"/>
      <c r="BV213" s="666"/>
      <c r="BW213" s="662"/>
    </row>
    <row r="214" spans="1:75" s="614" customFormat="1" ht="31.2">
      <c r="A214" s="650" t="s">
        <v>662</v>
      </c>
      <c r="B214" s="651" t="s">
        <v>663</v>
      </c>
      <c r="C214" s="652">
        <f>SUM(C215)</f>
        <v>0</v>
      </c>
      <c r="D214" s="652"/>
      <c r="E214" s="652"/>
      <c r="F214" s="652"/>
      <c r="G214" s="652">
        <f>SUM(G215)</f>
        <v>0</v>
      </c>
      <c r="H214" s="652">
        <f>SUM(H215)</f>
        <v>0</v>
      </c>
      <c r="I214" s="652"/>
      <c r="J214" s="652"/>
      <c r="K214" s="989">
        <f t="shared" si="302"/>
        <v>9400</v>
      </c>
      <c r="L214" s="653">
        <f>L215+L219+L220+L221</f>
        <v>9400</v>
      </c>
      <c r="M214" s="653">
        <f t="shared" ref="M214:AM214" si="305">M215+M219+M220+M221</f>
        <v>0</v>
      </c>
      <c r="N214" s="653">
        <f t="shared" si="305"/>
        <v>0</v>
      </c>
      <c r="O214" s="653">
        <f t="shared" si="305"/>
        <v>0</v>
      </c>
      <c r="P214" s="653">
        <f t="shared" si="305"/>
        <v>0</v>
      </c>
      <c r="Q214" s="653">
        <f t="shared" si="305"/>
        <v>0</v>
      </c>
      <c r="R214" s="653">
        <f t="shared" si="305"/>
        <v>0</v>
      </c>
      <c r="S214" s="655"/>
      <c r="T214" s="655"/>
      <c r="U214" s="653">
        <f t="shared" si="305"/>
        <v>0</v>
      </c>
      <c r="V214" s="653">
        <f t="shared" si="305"/>
        <v>9400</v>
      </c>
      <c r="W214" s="653">
        <f t="shared" si="305"/>
        <v>0</v>
      </c>
      <c r="X214" s="653">
        <f t="shared" si="305"/>
        <v>0</v>
      </c>
      <c r="Y214" s="655">
        <f t="shared" si="305"/>
        <v>0</v>
      </c>
      <c r="Z214" s="820"/>
      <c r="AA214" s="655"/>
      <c r="AB214" s="655"/>
      <c r="AC214" s="653">
        <f t="shared" si="305"/>
        <v>9400</v>
      </c>
      <c r="AD214" s="653">
        <f t="shared" si="305"/>
        <v>0</v>
      </c>
      <c r="AE214" s="653">
        <f t="shared" si="305"/>
        <v>0</v>
      </c>
      <c r="AF214" s="656">
        <f t="shared" si="305"/>
        <v>0</v>
      </c>
      <c r="AG214" s="656">
        <f>AG215+AG219+AG220+AG221</f>
        <v>0</v>
      </c>
      <c r="AH214" s="656">
        <f>AH215+AH219+AH220+AH221</f>
        <v>0</v>
      </c>
      <c r="AI214" s="656">
        <f t="shared" si="305"/>
        <v>0</v>
      </c>
      <c r="AJ214" s="656">
        <f t="shared" si="305"/>
        <v>0</v>
      </c>
      <c r="AK214" s="656">
        <f t="shared" si="305"/>
        <v>0</v>
      </c>
      <c r="AL214" s="656">
        <f t="shared" si="305"/>
        <v>0</v>
      </c>
      <c r="AM214" s="657">
        <f t="shared" si="305"/>
        <v>0</v>
      </c>
      <c r="AN214" s="610">
        <v>0</v>
      </c>
      <c r="AO214" s="650" t="s">
        <v>662</v>
      </c>
      <c r="AP214" s="651" t="s">
        <v>663</v>
      </c>
      <c r="AQ214" s="652">
        <f>SUM(AQ215)</f>
        <v>0</v>
      </c>
      <c r="AR214" s="652"/>
      <c r="AS214" s="652"/>
      <c r="AT214" s="652"/>
      <c r="AU214" s="652">
        <f>SUM(AU215)</f>
        <v>0</v>
      </c>
      <c r="AV214" s="652">
        <f>SUM(AV215)</f>
        <v>0</v>
      </c>
      <c r="AW214" s="652"/>
      <c r="AX214" s="652"/>
      <c r="AY214" s="653">
        <f>AY215+AY219+AY220+AY221</f>
        <v>27067</v>
      </c>
      <c r="AZ214" s="658">
        <f t="shared" ref="AZ214:BW214" si="306">AZ215+AZ219+AZ220+AZ221</f>
        <v>0</v>
      </c>
      <c r="BA214" s="653">
        <f t="shared" si="306"/>
        <v>0</v>
      </c>
      <c r="BB214" s="653">
        <f t="shared" si="306"/>
        <v>0</v>
      </c>
      <c r="BC214" s="653">
        <f t="shared" si="306"/>
        <v>0</v>
      </c>
      <c r="BD214" s="653">
        <f t="shared" si="306"/>
        <v>0</v>
      </c>
      <c r="BE214" s="653">
        <f t="shared" si="306"/>
        <v>0</v>
      </c>
      <c r="BF214" s="655"/>
      <c r="BG214" s="653">
        <f t="shared" si="306"/>
        <v>0</v>
      </c>
      <c r="BH214" s="653">
        <f t="shared" si="306"/>
        <v>27067</v>
      </c>
      <c r="BI214" s="653">
        <f t="shared" si="306"/>
        <v>0</v>
      </c>
      <c r="BJ214" s="653">
        <f t="shared" si="306"/>
        <v>0</v>
      </c>
      <c r="BK214" s="653">
        <f t="shared" si="306"/>
        <v>0</v>
      </c>
      <c r="BL214" s="653">
        <f t="shared" si="306"/>
        <v>0</v>
      </c>
      <c r="BM214" s="655"/>
      <c r="BN214" s="653">
        <f t="shared" si="306"/>
        <v>27067</v>
      </c>
      <c r="BO214" s="653">
        <f t="shared" si="306"/>
        <v>0</v>
      </c>
      <c r="BP214" s="653">
        <f t="shared" si="306"/>
        <v>0</v>
      </c>
      <c r="BQ214" s="653">
        <f t="shared" si="306"/>
        <v>0</v>
      </c>
      <c r="BR214" s="653">
        <f>BR215+BR219+BR220+BR221</f>
        <v>0</v>
      </c>
      <c r="BS214" s="653">
        <f>BS215+BS219+BS220+BS221</f>
        <v>0</v>
      </c>
      <c r="BT214" s="653">
        <f t="shared" si="306"/>
        <v>0</v>
      </c>
      <c r="BU214" s="653">
        <f t="shared" si="306"/>
        <v>0</v>
      </c>
      <c r="BV214" s="653">
        <f t="shared" si="306"/>
        <v>0</v>
      </c>
      <c r="BW214" s="653">
        <f t="shared" si="306"/>
        <v>0</v>
      </c>
    </row>
    <row r="215" spans="1:75">
      <c r="A215" s="659">
        <v>84</v>
      </c>
      <c r="B215" s="718" t="s">
        <v>664</v>
      </c>
      <c r="C215" s="661">
        <f>SUM(C216:C221)</f>
        <v>0</v>
      </c>
      <c r="D215" s="661"/>
      <c r="E215" s="661"/>
      <c r="F215" s="661"/>
      <c r="G215" s="661">
        <f>SUM(G216:G221)</f>
        <v>0</v>
      </c>
      <c r="H215" s="661">
        <f>SUM(H216:H221)</f>
        <v>0</v>
      </c>
      <c r="I215" s="661"/>
      <c r="J215" s="661"/>
      <c r="K215" s="989">
        <f t="shared" si="302"/>
        <v>9400</v>
      </c>
      <c r="L215" s="662">
        <f t="shared" ref="L215:AM215" si="307">SUM(L216,L217,L218)</f>
        <v>9400</v>
      </c>
      <c r="M215" s="662">
        <f t="shared" si="307"/>
        <v>0</v>
      </c>
      <c r="N215" s="662">
        <f t="shared" si="307"/>
        <v>0</v>
      </c>
      <c r="O215" s="662">
        <f t="shared" si="307"/>
        <v>0</v>
      </c>
      <c r="P215" s="662">
        <f t="shared" si="307"/>
        <v>0</v>
      </c>
      <c r="Q215" s="662">
        <f t="shared" si="307"/>
        <v>0</v>
      </c>
      <c r="R215" s="662">
        <f t="shared" si="307"/>
        <v>0</v>
      </c>
      <c r="S215" s="663">
        <f t="shared" si="307"/>
        <v>0</v>
      </c>
      <c r="T215" s="663"/>
      <c r="U215" s="662">
        <f t="shared" si="307"/>
        <v>0</v>
      </c>
      <c r="V215" s="662">
        <f t="shared" si="307"/>
        <v>9400</v>
      </c>
      <c r="W215" s="662">
        <f t="shared" si="307"/>
        <v>0</v>
      </c>
      <c r="X215" s="662">
        <f t="shared" si="307"/>
        <v>0</v>
      </c>
      <c r="Y215" s="663">
        <f t="shared" si="307"/>
        <v>0</v>
      </c>
      <c r="Z215" s="697"/>
      <c r="AA215" s="663">
        <f t="shared" si="307"/>
        <v>0</v>
      </c>
      <c r="AB215" s="663"/>
      <c r="AC215" s="662">
        <f t="shared" si="307"/>
        <v>9400</v>
      </c>
      <c r="AD215" s="662">
        <f t="shared" si="307"/>
        <v>0</v>
      </c>
      <c r="AE215" s="662">
        <f t="shared" si="307"/>
        <v>0</v>
      </c>
      <c r="AF215" s="664">
        <f t="shared" si="307"/>
        <v>0</v>
      </c>
      <c r="AG215" s="664">
        <f>SUM(AG216,AG217,AG218)</f>
        <v>0</v>
      </c>
      <c r="AH215" s="664">
        <f>SUM(AH216,AH217,AH218)</f>
        <v>0</v>
      </c>
      <c r="AI215" s="664">
        <f t="shared" si="307"/>
        <v>0</v>
      </c>
      <c r="AJ215" s="664">
        <f t="shared" si="307"/>
        <v>0</v>
      </c>
      <c r="AK215" s="664">
        <f t="shared" si="307"/>
        <v>0</v>
      </c>
      <c r="AL215" s="664">
        <f t="shared" si="307"/>
        <v>0</v>
      </c>
      <c r="AM215" s="772">
        <f t="shared" si="307"/>
        <v>0</v>
      </c>
      <c r="AN215" s="610"/>
      <c r="AO215" s="659">
        <v>90</v>
      </c>
      <c r="AP215" s="718" t="s">
        <v>664</v>
      </c>
      <c r="AQ215" s="661">
        <f>SUM(AQ216:AQ221)</f>
        <v>0</v>
      </c>
      <c r="AR215" s="661"/>
      <c r="AS215" s="661"/>
      <c r="AT215" s="661"/>
      <c r="AU215" s="661">
        <f>SUM(AU216:AU221)</f>
        <v>0</v>
      </c>
      <c r="AV215" s="661">
        <f>SUM(AV216:AV221)</f>
        <v>0</v>
      </c>
      <c r="AW215" s="661"/>
      <c r="AX215" s="661"/>
      <c r="AY215" s="662">
        <f t="shared" ref="AY215:BW215" si="308">SUM(AY216,AY217,AY218)</f>
        <v>8780</v>
      </c>
      <c r="AZ215" s="665">
        <f t="shared" si="308"/>
        <v>0</v>
      </c>
      <c r="BA215" s="662">
        <f t="shared" si="308"/>
        <v>0</v>
      </c>
      <c r="BB215" s="662">
        <f t="shared" si="308"/>
        <v>0</v>
      </c>
      <c r="BC215" s="662">
        <f t="shared" si="308"/>
        <v>0</v>
      </c>
      <c r="BD215" s="662">
        <f t="shared" si="308"/>
        <v>0</v>
      </c>
      <c r="BE215" s="662">
        <f t="shared" si="308"/>
        <v>0</v>
      </c>
      <c r="BF215" s="663">
        <f t="shared" si="308"/>
        <v>0</v>
      </c>
      <c r="BG215" s="662">
        <f t="shared" si="308"/>
        <v>0</v>
      </c>
      <c r="BH215" s="662">
        <f t="shared" si="308"/>
        <v>8780</v>
      </c>
      <c r="BI215" s="662">
        <f t="shared" si="308"/>
        <v>0</v>
      </c>
      <c r="BJ215" s="662">
        <f t="shared" si="308"/>
        <v>0</v>
      </c>
      <c r="BK215" s="662">
        <f t="shared" si="308"/>
        <v>0</v>
      </c>
      <c r="BL215" s="662">
        <f t="shared" si="308"/>
        <v>0</v>
      </c>
      <c r="BM215" s="663">
        <f t="shared" si="308"/>
        <v>0</v>
      </c>
      <c r="BN215" s="662">
        <f t="shared" si="308"/>
        <v>8780</v>
      </c>
      <c r="BO215" s="662">
        <f t="shared" si="308"/>
        <v>0</v>
      </c>
      <c r="BP215" s="662">
        <f t="shared" si="308"/>
        <v>0</v>
      </c>
      <c r="BQ215" s="662">
        <f t="shared" si="308"/>
        <v>0</v>
      </c>
      <c r="BR215" s="662">
        <f>SUM(BR216,BR217,BR218)</f>
        <v>0</v>
      </c>
      <c r="BS215" s="662">
        <f>SUM(BS216,BS217,BS218)</f>
        <v>0</v>
      </c>
      <c r="BT215" s="662">
        <f t="shared" si="308"/>
        <v>0</v>
      </c>
      <c r="BU215" s="662">
        <f t="shared" si="308"/>
        <v>0</v>
      </c>
      <c r="BV215" s="662">
        <f t="shared" si="308"/>
        <v>0</v>
      </c>
      <c r="BW215" s="662">
        <f t="shared" si="308"/>
        <v>0</v>
      </c>
    </row>
    <row r="216" spans="1:75" ht="46.8">
      <c r="A216" s="659"/>
      <c r="B216" s="660" t="s">
        <v>665</v>
      </c>
      <c r="C216" s="661">
        <f>D216+I216</f>
        <v>0</v>
      </c>
      <c r="D216" s="661">
        <f>E216+F216</f>
        <v>0</v>
      </c>
      <c r="E216" s="661"/>
      <c r="F216" s="661"/>
      <c r="G216" s="661"/>
      <c r="H216" s="661"/>
      <c r="I216" s="661"/>
      <c r="J216" s="661"/>
      <c r="K216" s="989">
        <f t="shared" si="302"/>
        <v>1980</v>
      </c>
      <c r="L216" s="666">
        <f t="shared" ref="L216:L223" si="309">U216+AC216+AD216+AE216</f>
        <v>1980</v>
      </c>
      <c r="M216" s="666"/>
      <c r="N216" s="666"/>
      <c r="O216" s="666"/>
      <c r="P216" s="666"/>
      <c r="Q216" s="666"/>
      <c r="R216" s="666"/>
      <c r="S216" s="667"/>
      <c r="T216" s="667"/>
      <c r="U216" s="666">
        <f t="shared" ref="U216:U221" si="310">(M216+N216+O216+P216)-S216</f>
        <v>0</v>
      </c>
      <c r="V216" s="666">
        <v>1980</v>
      </c>
      <c r="W216" s="666"/>
      <c r="X216" s="666"/>
      <c r="Y216" s="667"/>
      <c r="Z216" s="668"/>
      <c r="AA216" s="667"/>
      <c r="AB216" s="667">
        <f t="shared" ref="AB216:AB223" si="311">ROUND((Y216+AA216+X216),0)</f>
        <v>0</v>
      </c>
      <c r="AC216" s="666">
        <f t="shared" ref="AC216:AC223" si="312">(V216+W216)-AA216</f>
        <v>1980</v>
      </c>
      <c r="AD216" s="666"/>
      <c r="AE216" s="666"/>
      <c r="AF216" s="669"/>
      <c r="AG216" s="669"/>
      <c r="AH216" s="669"/>
      <c r="AI216" s="669"/>
      <c r="AJ216" s="669"/>
      <c r="AK216" s="669"/>
      <c r="AL216" s="664"/>
      <c r="AN216" s="610"/>
      <c r="AO216" s="659"/>
      <c r="AP216" s="660" t="s">
        <v>665</v>
      </c>
      <c r="AQ216" s="661">
        <f>AR216+AW216</f>
        <v>0</v>
      </c>
      <c r="AR216" s="661">
        <f>AS216+AT216</f>
        <v>0</v>
      </c>
      <c r="AS216" s="661"/>
      <c r="AT216" s="661"/>
      <c r="AU216" s="661"/>
      <c r="AV216" s="661"/>
      <c r="AW216" s="661"/>
      <c r="AX216" s="661"/>
      <c r="AY216" s="666">
        <f t="shared" ref="AY216:AY223" si="313">BG216+BN216+BO216+BP216</f>
        <v>1980</v>
      </c>
      <c r="AZ216" s="670"/>
      <c r="BA216" s="666"/>
      <c r="BB216" s="666"/>
      <c r="BC216" s="666"/>
      <c r="BD216" s="666"/>
      <c r="BE216" s="666"/>
      <c r="BF216" s="667"/>
      <c r="BG216" s="666">
        <f t="shared" ref="BG216:BG221" si="314">(AZ216+BA216+BB216+BC216)-BF216</f>
        <v>0</v>
      </c>
      <c r="BH216" s="666">
        <v>1980</v>
      </c>
      <c r="BI216" s="666"/>
      <c r="BJ216" s="666"/>
      <c r="BK216" s="666"/>
      <c r="BL216" s="666"/>
      <c r="BM216" s="667"/>
      <c r="BN216" s="666">
        <f>(BH216+BI216+BJ216)-BM216</f>
        <v>1980</v>
      </c>
      <c r="BO216" s="666"/>
      <c r="BP216" s="666"/>
      <c r="BQ216" s="666"/>
      <c r="BR216" s="666"/>
      <c r="BS216" s="666"/>
      <c r="BT216" s="666"/>
      <c r="BU216" s="666"/>
      <c r="BV216" s="666"/>
      <c r="BW216" s="662"/>
    </row>
    <row r="217" spans="1:75">
      <c r="A217" s="659"/>
      <c r="B217" s="821" t="s">
        <v>666</v>
      </c>
      <c r="C217" s="661"/>
      <c r="D217" s="661"/>
      <c r="E217" s="661"/>
      <c r="F217" s="661"/>
      <c r="G217" s="661"/>
      <c r="H217" s="661"/>
      <c r="I217" s="661"/>
      <c r="J217" s="661"/>
      <c r="K217" s="989">
        <f t="shared" si="302"/>
        <v>6820</v>
      </c>
      <c r="L217" s="662">
        <f t="shared" si="309"/>
        <v>6820</v>
      </c>
      <c r="M217" s="662"/>
      <c r="N217" s="662"/>
      <c r="O217" s="662"/>
      <c r="P217" s="662"/>
      <c r="Q217" s="662"/>
      <c r="R217" s="662"/>
      <c r="S217" s="663"/>
      <c r="T217" s="663"/>
      <c r="U217" s="666">
        <f t="shared" si="310"/>
        <v>0</v>
      </c>
      <c r="V217" s="662">
        <v>6820</v>
      </c>
      <c r="W217" s="662"/>
      <c r="X217" s="662"/>
      <c r="Y217" s="663"/>
      <c r="Z217" s="697"/>
      <c r="AA217" s="663"/>
      <c r="AB217" s="667">
        <f t="shared" si="311"/>
        <v>0</v>
      </c>
      <c r="AC217" s="666">
        <f t="shared" si="312"/>
        <v>6820</v>
      </c>
      <c r="AD217" s="662"/>
      <c r="AE217" s="662"/>
      <c r="AF217" s="664"/>
      <c r="AG217" s="664"/>
      <c r="AH217" s="664"/>
      <c r="AI217" s="664"/>
      <c r="AJ217" s="664"/>
      <c r="AK217" s="664"/>
      <c r="AL217" s="664"/>
      <c r="AN217" s="610"/>
      <c r="AO217" s="659"/>
      <c r="AP217" s="821" t="s">
        <v>666</v>
      </c>
      <c r="AQ217" s="661"/>
      <c r="AR217" s="661"/>
      <c r="AS217" s="661"/>
      <c r="AT217" s="661"/>
      <c r="AU217" s="661"/>
      <c r="AV217" s="661"/>
      <c r="AW217" s="661"/>
      <c r="AX217" s="661"/>
      <c r="AY217" s="662">
        <f t="shared" si="313"/>
        <v>6200</v>
      </c>
      <c r="AZ217" s="665"/>
      <c r="BA217" s="662"/>
      <c r="BB217" s="662"/>
      <c r="BC217" s="662"/>
      <c r="BD217" s="662"/>
      <c r="BE217" s="662"/>
      <c r="BF217" s="663"/>
      <c r="BG217" s="666">
        <f t="shared" si="314"/>
        <v>0</v>
      </c>
      <c r="BH217" s="662">
        <v>6200</v>
      </c>
      <c r="BI217" s="662"/>
      <c r="BJ217" s="662"/>
      <c r="BK217" s="662"/>
      <c r="BL217" s="662"/>
      <c r="BM217" s="663"/>
      <c r="BN217" s="666">
        <f>(BH217+BI217+BJ217)-BM217</f>
        <v>6200</v>
      </c>
      <c r="BO217" s="662"/>
      <c r="BP217" s="662"/>
      <c r="BQ217" s="662"/>
      <c r="BR217" s="662"/>
      <c r="BS217" s="662"/>
      <c r="BT217" s="662"/>
      <c r="BU217" s="662"/>
      <c r="BV217" s="662"/>
      <c r="BW217" s="662"/>
    </row>
    <row r="218" spans="1:75" ht="46.8">
      <c r="A218" s="659"/>
      <c r="B218" s="821" t="s">
        <v>667</v>
      </c>
      <c r="C218" s="661"/>
      <c r="D218" s="661"/>
      <c r="E218" s="661"/>
      <c r="F218" s="661"/>
      <c r="G218" s="661"/>
      <c r="H218" s="661"/>
      <c r="I218" s="661"/>
      <c r="J218" s="661"/>
      <c r="K218" s="989">
        <f t="shared" si="302"/>
        <v>600</v>
      </c>
      <c r="L218" s="666">
        <f t="shared" si="309"/>
        <v>600</v>
      </c>
      <c r="M218" s="666"/>
      <c r="N218" s="666"/>
      <c r="O218" s="666"/>
      <c r="P218" s="666"/>
      <c r="Q218" s="666"/>
      <c r="R218" s="666"/>
      <c r="S218" s="667"/>
      <c r="T218" s="667"/>
      <c r="U218" s="666">
        <f t="shared" si="310"/>
        <v>0</v>
      </c>
      <c r="V218" s="666">
        <v>600</v>
      </c>
      <c r="W218" s="666"/>
      <c r="X218" s="666"/>
      <c r="Y218" s="667"/>
      <c r="Z218" s="668"/>
      <c r="AA218" s="667"/>
      <c r="AB218" s="667">
        <f t="shared" si="311"/>
        <v>0</v>
      </c>
      <c r="AC218" s="666">
        <f t="shared" si="312"/>
        <v>600</v>
      </c>
      <c r="AD218" s="666"/>
      <c r="AE218" s="666"/>
      <c r="AF218" s="669"/>
      <c r="AG218" s="669"/>
      <c r="AH218" s="669"/>
      <c r="AI218" s="669"/>
      <c r="AJ218" s="669"/>
      <c r="AK218" s="669"/>
      <c r="AL218" s="664"/>
      <c r="AN218" s="610"/>
      <c r="AO218" s="659"/>
      <c r="AP218" s="821" t="s">
        <v>667</v>
      </c>
      <c r="AQ218" s="661"/>
      <c r="AR218" s="661"/>
      <c r="AS218" s="661"/>
      <c r="AT218" s="661"/>
      <c r="AU218" s="661"/>
      <c r="AV218" s="661"/>
      <c r="AW218" s="661"/>
      <c r="AX218" s="661"/>
      <c r="AY218" s="666">
        <f t="shared" si="313"/>
        <v>600</v>
      </c>
      <c r="AZ218" s="670"/>
      <c r="BA218" s="666"/>
      <c r="BB218" s="666"/>
      <c r="BC218" s="666"/>
      <c r="BD218" s="666"/>
      <c r="BE218" s="666"/>
      <c r="BF218" s="667"/>
      <c r="BG218" s="666">
        <f t="shared" si="314"/>
        <v>0</v>
      </c>
      <c r="BH218" s="666">
        <v>600</v>
      </c>
      <c r="BI218" s="666"/>
      <c r="BJ218" s="666"/>
      <c r="BK218" s="666"/>
      <c r="BL218" s="666"/>
      <c r="BM218" s="667"/>
      <c r="BN218" s="666">
        <f>(BH218+BI218+BJ218)-BM218</f>
        <v>600</v>
      </c>
      <c r="BO218" s="666"/>
      <c r="BP218" s="666"/>
      <c r="BQ218" s="666"/>
      <c r="BR218" s="666"/>
      <c r="BS218" s="666"/>
      <c r="BT218" s="666"/>
      <c r="BU218" s="666"/>
      <c r="BV218" s="666"/>
      <c r="BW218" s="662"/>
    </row>
    <row r="219" spans="1:75" ht="31.2">
      <c r="A219" s="659">
        <v>85</v>
      </c>
      <c r="B219" s="822" t="s">
        <v>668</v>
      </c>
      <c r="C219" s="661"/>
      <c r="D219" s="661"/>
      <c r="E219" s="661"/>
      <c r="F219" s="661"/>
      <c r="G219" s="661"/>
      <c r="H219" s="661"/>
      <c r="I219" s="661"/>
      <c r="J219" s="661"/>
      <c r="K219" s="989">
        <f t="shared" si="302"/>
        <v>0</v>
      </c>
      <c r="L219" s="662">
        <f t="shared" si="309"/>
        <v>0</v>
      </c>
      <c r="M219" s="662"/>
      <c r="N219" s="662"/>
      <c r="O219" s="662"/>
      <c r="P219" s="662"/>
      <c r="Q219" s="662"/>
      <c r="R219" s="662"/>
      <c r="S219" s="663"/>
      <c r="T219" s="663"/>
      <c r="U219" s="666">
        <f t="shared" si="310"/>
        <v>0</v>
      </c>
      <c r="V219" s="662"/>
      <c r="W219" s="662"/>
      <c r="X219" s="662"/>
      <c r="Y219" s="663"/>
      <c r="Z219" s="697"/>
      <c r="AA219" s="663"/>
      <c r="AB219" s="667">
        <f t="shared" si="311"/>
        <v>0</v>
      </c>
      <c r="AC219" s="666">
        <f t="shared" si="312"/>
        <v>0</v>
      </c>
      <c r="AD219" s="662"/>
      <c r="AE219" s="662"/>
      <c r="AF219" s="664"/>
      <c r="AG219" s="664"/>
      <c r="AH219" s="664"/>
      <c r="AI219" s="664"/>
      <c r="AJ219" s="664"/>
      <c r="AK219" s="664"/>
      <c r="AL219" s="664"/>
      <c r="AN219" s="610"/>
      <c r="AO219" s="659">
        <v>91</v>
      </c>
      <c r="AP219" s="822" t="s">
        <v>668</v>
      </c>
      <c r="AQ219" s="661"/>
      <c r="AR219" s="661"/>
      <c r="AS219" s="661"/>
      <c r="AT219" s="661"/>
      <c r="AU219" s="661"/>
      <c r="AV219" s="661"/>
      <c r="AW219" s="661"/>
      <c r="AX219" s="661"/>
      <c r="AY219" s="662">
        <f t="shared" si="313"/>
        <v>0</v>
      </c>
      <c r="AZ219" s="665"/>
      <c r="BA219" s="662"/>
      <c r="BB219" s="662"/>
      <c r="BC219" s="662"/>
      <c r="BD219" s="662"/>
      <c r="BE219" s="662"/>
      <c r="BF219" s="663"/>
      <c r="BG219" s="666">
        <f t="shared" si="314"/>
        <v>0</v>
      </c>
      <c r="BH219" s="662"/>
      <c r="BI219" s="662"/>
      <c r="BJ219" s="662"/>
      <c r="BK219" s="662"/>
      <c r="BL219" s="662"/>
      <c r="BM219" s="663"/>
      <c r="BN219" s="662">
        <f>BH219+BI219+BJ219-BK219-BL219</f>
        <v>0</v>
      </c>
      <c r="BO219" s="662"/>
      <c r="BP219" s="662"/>
      <c r="BQ219" s="662"/>
      <c r="BR219" s="662"/>
      <c r="BS219" s="662"/>
      <c r="BT219" s="662"/>
      <c r="BU219" s="662"/>
      <c r="BV219" s="662"/>
      <c r="BW219" s="662"/>
    </row>
    <row r="220" spans="1:75">
      <c r="A220" s="659">
        <v>86</v>
      </c>
      <c r="B220" s="822" t="s">
        <v>669</v>
      </c>
      <c r="C220" s="661"/>
      <c r="D220" s="661"/>
      <c r="E220" s="661"/>
      <c r="F220" s="661"/>
      <c r="G220" s="661"/>
      <c r="H220" s="661"/>
      <c r="I220" s="661"/>
      <c r="J220" s="661"/>
      <c r="K220" s="989">
        <f t="shared" si="302"/>
        <v>0</v>
      </c>
      <c r="L220" s="662">
        <f t="shared" si="309"/>
        <v>0</v>
      </c>
      <c r="M220" s="662"/>
      <c r="N220" s="662"/>
      <c r="O220" s="662"/>
      <c r="P220" s="662"/>
      <c r="Q220" s="662"/>
      <c r="R220" s="662"/>
      <c r="S220" s="663"/>
      <c r="T220" s="663"/>
      <c r="U220" s="666">
        <f t="shared" si="310"/>
        <v>0</v>
      </c>
      <c r="V220" s="662"/>
      <c r="W220" s="662"/>
      <c r="X220" s="662"/>
      <c r="Y220" s="663"/>
      <c r="Z220" s="697"/>
      <c r="AA220" s="663"/>
      <c r="AB220" s="667">
        <f t="shared" si="311"/>
        <v>0</v>
      </c>
      <c r="AC220" s="666">
        <f t="shared" si="312"/>
        <v>0</v>
      </c>
      <c r="AD220" s="662"/>
      <c r="AE220" s="662"/>
      <c r="AF220" s="664"/>
      <c r="AG220" s="664"/>
      <c r="AH220" s="664"/>
      <c r="AI220" s="664"/>
      <c r="AJ220" s="664"/>
      <c r="AK220" s="664"/>
      <c r="AL220" s="664"/>
      <c r="AN220" s="610"/>
      <c r="AO220" s="659">
        <v>92</v>
      </c>
      <c r="AP220" s="822" t="s">
        <v>669</v>
      </c>
      <c r="AQ220" s="661"/>
      <c r="AR220" s="661"/>
      <c r="AS220" s="661"/>
      <c r="AT220" s="661"/>
      <c r="AU220" s="661"/>
      <c r="AV220" s="661"/>
      <c r="AW220" s="661"/>
      <c r="AX220" s="661"/>
      <c r="AY220" s="662">
        <f t="shared" si="313"/>
        <v>0</v>
      </c>
      <c r="AZ220" s="665"/>
      <c r="BA220" s="662"/>
      <c r="BB220" s="662"/>
      <c r="BC220" s="662"/>
      <c r="BD220" s="662"/>
      <c r="BE220" s="662"/>
      <c r="BF220" s="663"/>
      <c r="BG220" s="666">
        <f t="shared" si="314"/>
        <v>0</v>
      </c>
      <c r="BH220" s="662"/>
      <c r="BI220" s="662"/>
      <c r="BJ220" s="662"/>
      <c r="BK220" s="662"/>
      <c r="BL220" s="662"/>
      <c r="BM220" s="663"/>
      <c r="BN220" s="662">
        <f>BH220+BI220+BJ220-BK220-BL220</f>
        <v>0</v>
      </c>
      <c r="BO220" s="662"/>
      <c r="BP220" s="662"/>
      <c r="BQ220" s="662"/>
      <c r="BR220" s="662"/>
      <c r="BS220" s="662"/>
      <c r="BT220" s="662"/>
      <c r="BU220" s="662"/>
      <c r="BV220" s="662"/>
      <c r="BW220" s="662"/>
    </row>
    <row r="221" spans="1:75">
      <c r="A221" s="659">
        <v>87</v>
      </c>
      <c r="B221" s="822" t="s">
        <v>670</v>
      </c>
      <c r="C221" s="661"/>
      <c r="D221" s="661"/>
      <c r="E221" s="661"/>
      <c r="F221" s="661"/>
      <c r="G221" s="661"/>
      <c r="H221" s="661"/>
      <c r="I221" s="661"/>
      <c r="J221" s="661"/>
      <c r="K221" s="989">
        <f t="shared" si="302"/>
        <v>0</v>
      </c>
      <c r="L221" s="662">
        <f t="shared" si="309"/>
        <v>0</v>
      </c>
      <c r="M221" s="662"/>
      <c r="N221" s="662"/>
      <c r="O221" s="662"/>
      <c r="P221" s="662"/>
      <c r="Q221" s="662"/>
      <c r="R221" s="662"/>
      <c r="S221" s="663"/>
      <c r="T221" s="663"/>
      <c r="U221" s="666">
        <f t="shared" si="310"/>
        <v>0</v>
      </c>
      <c r="V221" s="662"/>
      <c r="W221" s="662"/>
      <c r="X221" s="662"/>
      <c r="Y221" s="663"/>
      <c r="Z221" s="697"/>
      <c r="AA221" s="663"/>
      <c r="AB221" s="667">
        <f t="shared" si="311"/>
        <v>0</v>
      </c>
      <c r="AC221" s="666">
        <f t="shared" si="312"/>
        <v>0</v>
      </c>
      <c r="AD221" s="662"/>
      <c r="AE221" s="662"/>
      <c r="AF221" s="664"/>
      <c r="AG221" s="664"/>
      <c r="AH221" s="664"/>
      <c r="AI221" s="664"/>
      <c r="AJ221" s="664"/>
      <c r="AK221" s="664"/>
      <c r="AL221" s="664"/>
      <c r="AN221" s="610"/>
      <c r="AO221" s="659">
        <v>93</v>
      </c>
      <c r="AP221" s="822" t="s">
        <v>670</v>
      </c>
      <c r="AQ221" s="661"/>
      <c r="AR221" s="661"/>
      <c r="AS221" s="661"/>
      <c r="AT221" s="661"/>
      <c r="AU221" s="661"/>
      <c r="AV221" s="661"/>
      <c r="AW221" s="661"/>
      <c r="AX221" s="661"/>
      <c r="AY221" s="662">
        <f t="shared" si="313"/>
        <v>18287</v>
      </c>
      <c r="AZ221" s="665"/>
      <c r="BA221" s="662"/>
      <c r="BB221" s="662"/>
      <c r="BC221" s="662"/>
      <c r="BD221" s="662"/>
      <c r="BE221" s="662"/>
      <c r="BF221" s="663"/>
      <c r="BG221" s="666">
        <f t="shared" si="314"/>
        <v>0</v>
      </c>
      <c r="BH221" s="662">
        <f>17321+1542+723-1299</f>
        <v>18287</v>
      </c>
      <c r="BI221" s="662"/>
      <c r="BJ221" s="662"/>
      <c r="BK221" s="662"/>
      <c r="BL221" s="662"/>
      <c r="BM221" s="663"/>
      <c r="BN221" s="666">
        <f>(BH221+BI221+BJ221)-BM221</f>
        <v>18287</v>
      </c>
      <c r="BO221" s="662"/>
      <c r="BP221" s="662"/>
      <c r="BQ221" s="662"/>
      <c r="BR221" s="662"/>
      <c r="BS221" s="662"/>
      <c r="BT221" s="662"/>
      <c r="BU221" s="662"/>
      <c r="BV221" s="662"/>
      <c r="BW221" s="662"/>
    </row>
    <row r="222" spans="1:75" s="614" customFormat="1" ht="31.2">
      <c r="A222" s="650" t="s">
        <v>662</v>
      </c>
      <c r="B222" s="823" t="s">
        <v>671</v>
      </c>
      <c r="C222" s="652"/>
      <c r="D222" s="652"/>
      <c r="E222" s="652"/>
      <c r="F222" s="652"/>
      <c r="G222" s="652"/>
      <c r="H222" s="652"/>
      <c r="I222" s="652"/>
      <c r="J222" s="652"/>
      <c r="K222" s="989">
        <f t="shared" si="302"/>
        <v>0</v>
      </c>
      <c r="L222" s="662">
        <f t="shared" si="309"/>
        <v>0</v>
      </c>
      <c r="M222" s="653"/>
      <c r="N222" s="653"/>
      <c r="O222" s="653"/>
      <c r="P222" s="653"/>
      <c r="Q222" s="653"/>
      <c r="R222" s="653"/>
      <c r="S222" s="655"/>
      <c r="T222" s="655"/>
      <c r="U222" s="662">
        <f>M222+N222+O222+P222-Q222-R222</f>
        <v>0</v>
      </c>
      <c r="V222" s="653"/>
      <c r="W222" s="653"/>
      <c r="X222" s="653"/>
      <c r="Y222" s="655"/>
      <c r="Z222" s="820"/>
      <c r="AA222" s="655"/>
      <c r="AB222" s="667">
        <f t="shared" si="311"/>
        <v>0</v>
      </c>
      <c r="AC222" s="666">
        <f t="shared" si="312"/>
        <v>0</v>
      </c>
      <c r="AD222" s="653"/>
      <c r="AE222" s="653"/>
      <c r="AF222" s="656"/>
      <c r="AG222" s="656"/>
      <c r="AH222" s="656"/>
      <c r="AI222" s="656"/>
      <c r="AJ222" s="656"/>
      <c r="AK222" s="656"/>
      <c r="AL222" s="656"/>
      <c r="AM222" s="612"/>
      <c r="AN222" s="610"/>
      <c r="AO222" s="650" t="s">
        <v>662</v>
      </c>
      <c r="AP222" s="823" t="s">
        <v>671</v>
      </c>
      <c r="AQ222" s="652"/>
      <c r="AR222" s="652"/>
      <c r="AS222" s="652"/>
      <c r="AT222" s="652"/>
      <c r="AU222" s="652"/>
      <c r="AV222" s="652"/>
      <c r="AW222" s="652"/>
      <c r="AX222" s="652"/>
      <c r="AY222" s="662">
        <f t="shared" si="313"/>
        <v>0</v>
      </c>
      <c r="AZ222" s="658"/>
      <c r="BA222" s="653"/>
      <c r="BB222" s="653"/>
      <c r="BC222" s="653"/>
      <c r="BD222" s="653"/>
      <c r="BE222" s="653"/>
      <c r="BF222" s="655"/>
      <c r="BG222" s="662">
        <f>AZ222+BA222+BB222+BC222-BD222-BE222</f>
        <v>0</v>
      </c>
      <c r="BH222" s="653"/>
      <c r="BI222" s="653"/>
      <c r="BJ222" s="653"/>
      <c r="BK222" s="653"/>
      <c r="BL222" s="653"/>
      <c r="BM222" s="655"/>
      <c r="BN222" s="662">
        <f>BH222+BI222+BJ222-BK222-BL222</f>
        <v>0</v>
      </c>
      <c r="BO222" s="653"/>
      <c r="BP222" s="653"/>
      <c r="BQ222" s="653"/>
      <c r="BR222" s="653"/>
      <c r="BS222" s="653"/>
      <c r="BT222" s="653"/>
      <c r="BU222" s="653"/>
      <c r="BV222" s="653"/>
      <c r="BW222" s="653"/>
    </row>
    <row r="223" spans="1:75" s="614" customFormat="1">
      <c r="A223" s="650" t="s">
        <v>672</v>
      </c>
      <c r="B223" s="823" t="s">
        <v>673</v>
      </c>
      <c r="C223" s="652"/>
      <c r="D223" s="652"/>
      <c r="E223" s="652"/>
      <c r="F223" s="652"/>
      <c r="G223" s="652"/>
      <c r="H223" s="652"/>
      <c r="I223" s="652"/>
      <c r="J223" s="652"/>
      <c r="K223" s="989">
        <f t="shared" si="302"/>
        <v>0</v>
      </c>
      <c r="L223" s="662">
        <f t="shared" si="309"/>
        <v>0</v>
      </c>
      <c r="M223" s="653"/>
      <c r="N223" s="653"/>
      <c r="O223" s="653"/>
      <c r="P223" s="653"/>
      <c r="Q223" s="653"/>
      <c r="R223" s="653"/>
      <c r="S223" s="655"/>
      <c r="T223" s="655"/>
      <c r="U223" s="662">
        <f>M223+N223+O223+P223-Q223-R223</f>
        <v>0</v>
      </c>
      <c r="V223" s="653"/>
      <c r="W223" s="653"/>
      <c r="X223" s="653"/>
      <c r="Y223" s="655"/>
      <c r="Z223" s="820"/>
      <c r="AA223" s="655"/>
      <c r="AB223" s="667">
        <f t="shared" si="311"/>
        <v>0</v>
      </c>
      <c r="AC223" s="666">
        <f t="shared" si="312"/>
        <v>0</v>
      </c>
      <c r="AD223" s="653"/>
      <c r="AE223" s="653"/>
      <c r="AF223" s="656"/>
      <c r="AG223" s="656"/>
      <c r="AH223" s="656"/>
      <c r="AI223" s="656"/>
      <c r="AJ223" s="656"/>
      <c r="AK223" s="656"/>
      <c r="AL223" s="656"/>
      <c r="AM223" s="612"/>
      <c r="AN223" s="610"/>
      <c r="AO223" s="650" t="s">
        <v>672</v>
      </c>
      <c r="AP223" s="823" t="s">
        <v>673</v>
      </c>
      <c r="AQ223" s="652"/>
      <c r="AR223" s="652"/>
      <c r="AS223" s="652"/>
      <c r="AT223" s="652"/>
      <c r="AU223" s="652"/>
      <c r="AV223" s="652"/>
      <c r="AW223" s="652"/>
      <c r="AX223" s="652"/>
      <c r="AY223" s="662">
        <f t="shared" si="313"/>
        <v>0</v>
      </c>
      <c r="AZ223" s="658"/>
      <c r="BA223" s="653"/>
      <c r="BB223" s="653"/>
      <c r="BC223" s="653"/>
      <c r="BD223" s="653"/>
      <c r="BE223" s="653"/>
      <c r="BF223" s="655"/>
      <c r="BG223" s="662">
        <f>AZ223+BA223+BB223+BC223-BD223-BE223</f>
        <v>0</v>
      </c>
      <c r="BH223" s="653"/>
      <c r="BI223" s="653"/>
      <c r="BJ223" s="653"/>
      <c r="BK223" s="653"/>
      <c r="BL223" s="653"/>
      <c r="BM223" s="655"/>
      <c r="BN223" s="662">
        <f>BH223+BI223+BJ223-BK223-BL223</f>
        <v>0</v>
      </c>
      <c r="BO223" s="653"/>
      <c r="BP223" s="653"/>
      <c r="BQ223" s="653"/>
      <c r="BR223" s="653"/>
      <c r="BS223" s="653"/>
      <c r="BT223" s="653"/>
      <c r="BU223" s="653"/>
      <c r="BV223" s="653"/>
      <c r="BW223" s="653"/>
    </row>
    <row r="224" spans="1:75" s="614" customFormat="1" ht="31.2">
      <c r="A224" s="650" t="s">
        <v>674</v>
      </c>
      <c r="B224" s="823" t="s">
        <v>675</v>
      </c>
      <c r="C224" s="652">
        <f t="shared" ref="C224:J224" si="315">C225+C226</f>
        <v>0</v>
      </c>
      <c r="D224" s="652">
        <f t="shared" si="315"/>
        <v>0</v>
      </c>
      <c r="E224" s="652">
        <f t="shared" si="315"/>
        <v>0</v>
      </c>
      <c r="F224" s="652">
        <f t="shared" si="315"/>
        <v>0</v>
      </c>
      <c r="G224" s="652">
        <f t="shared" si="315"/>
        <v>0</v>
      </c>
      <c r="H224" s="652">
        <f t="shared" si="315"/>
        <v>0</v>
      </c>
      <c r="I224" s="652">
        <f t="shared" si="315"/>
        <v>0</v>
      </c>
      <c r="J224" s="652">
        <f t="shared" si="315"/>
        <v>0</v>
      </c>
      <c r="K224" s="989">
        <f t="shared" si="302"/>
        <v>2211</v>
      </c>
      <c r="L224" s="653">
        <f>L225+L226</f>
        <v>2400</v>
      </c>
      <c r="M224" s="653">
        <f t="shared" ref="M224:AL224" si="316">M225+M226</f>
        <v>1403</v>
      </c>
      <c r="N224" s="653">
        <f t="shared" si="316"/>
        <v>0</v>
      </c>
      <c r="O224" s="653">
        <f t="shared" si="316"/>
        <v>104</v>
      </c>
      <c r="P224" s="653">
        <f t="shared" si="316"/>
        <v>0</v>
      </c>
      <c r="Q224" s="653">
        <f t="shared" si="316"/>
        <v>0</v>
      </c>
      <c r="R224" s="653">
        <f t="shared" si="316"/>
        <v>0</v>
      </c>
      <c r="S224" s="655"/>
      <c r="T224" s="655"/>
      <c r="U224" s="653">
        <f t="shared" si="316"/>
        <v>1507</v>
      </c>
      <c r="V224" s="653">
        <f t="shared" si="316"/>
        <v>574</v>
      </c>
      <c r="W224" s="653">
        <f t="shared" si="316"/>
        <v>130</v>
      </c>
      <c r="X224" s="653">
        <f t="shared" si="316"/>
        <v>0</v>
      </c>
      <c r="Y224" s="655">
        <f t="shared" si="316"/>
        <v>0</v>
      </c>
      <c r="Z224" s="820"/>
      <c r="AA224" s="655"/>
      <c r="AB224" s="655"/>
      <c r="AC224" s="653">
        <f t="shared" si="316"/>
        <v>704</v>
      </c>
      <c r="AD224" s="653">
        <f t="shared" si="316"/>
        <v>189</v>
      </c>
      <c r="AE224" s="653">
        <f t="shared" si="316"/>
        <v>0</v>
      </c>
      <c r="AF224" s="656">
        <f t="shared" si="316"/>
        <v>0</v>
      </c>
      <c r="AG224" s="656">
        <f>AG225+AG226</f>
        <v>0</v>
      </c>
      <c r="AH224" s="656">
        <f>AH225+AH226</f>
        <v>0</v>
      </c>
      <c r="AI224" s="656">
        <f t="shared" si="316"/>
        <v>0</v>
      </c>
      <c r="AJ224" s="656">
        <f t="shared" si="316"/>
        <v>0</v>
      </c>
      <c r="AK224" s="656">
        <f t="shared" si="316"/>
        <v>0</v>
      </c>
      <c r="AL224" s="656">
        <f t="shared" si="316"/>
        <v>0</v>
      </c>
      <c r="AM224" s="612"/>
      <c r="AN224" s="610">
        <v>560</v>
      </c>
      <c r="AO224" s="650" t="s">
        <v>674</v>
      </c>
      <c r="AP224" s="823" t="s">
        <v>675</v>
      </c>
      <c r="AQ224" s="652">
        <f t="shared" ref="AQ224:AX224" si="317">AQ225+AQ226</f>
        <v>0</v>
      </c>
      <c r="AR224" s="652">
        <f t="shared" si="317"/>
        <v>0</v>
      </c>
      <c r="AS224" s="652">
        <f t="shared" si="317"/>
        <v>0</v>
      </c>
      <c r="AT224" s="652">
        <f t="shared" si="317"/>
        <v>0</v>
      </c>
      <c r="AU224" s="652">
        <f t="shared" si="317"/>
        <v>0</v>
      </c>
      <c r="AV224" s="652">
        <f t="shared" si="317"/>
        <v>0</v>
      </c>
      <c r="AW224" s="652">
        <f t="shared" si="317"/>
        <v>0</v>
      </c>
      <c r="AX224" s="652">
        <f t="shared" si="317"/>
        <v>0</v>
      </c>
      <c r="AY224" s="653">
        <f>AY225+AY226</f>
        <v>1300</v>
      </c>
      <c r="AZ224" s="658">
        <f t="shared" ref="AZ224:BW224" si="318">AZ225+AZ226</f>
        <v>907</v>
      </c>
      <c r="BA224" s="653">
        <f t="shared" si="318"/>
        <v>0</v>
      </c>
      <c r="BB224" s="653">
        <f t="shared" si="318"/>
        <v>103</v>
      </c>
      <c r="BC224" s="653">
        <f t="shared" si="318"/>
        <v>0</v>
      </c>
      <c r="BD224" s="653">
        <f t="shared" si="318"/>
        <v>0</v>
      </c>
      <c r="BE224" s="653">
        <f t="shared" si="318"/>
        <v>0</v>
      </c>
      <c r="BF224" s="655"/>
      <c r="BG224" s="653">
        <f t="shared" si="318"/>
        <v>1010</v>
      </c>
      <c r="BH224" s="653">
        <f t="shared" si="318"/>
        <v>223</v>
      </c>
      <c r="BI224" s="653">
        <f t="shared" si="318"/>
        <v>0</v>
      </c>
      <c r="BJ224" s="653">
        <f t="shared" si="318"/>
        <v>40</v>
      </c>
      <c r="BK224" s="653">
        <f t="shared" si="318"/>
        <v>0</v>
      </c>
      <c r="BL224" s="653">
        <f t="shared" si="318"/>
        <v>0</v>
      </c>
      <c r="BM224" s="655"/>
      <c r="BN224" s="653">
        <f t="shared" si="318"/>
        <v>263</v>
      </c>
      <c r="BO224" s="653">
        <f t="shared" si="318"/>
        <v>27</v>
      </c>
      <c r="BP224" s="653">
        <f t="shared" si="318"/>
        <v>0</v>
      </c>
      <c r="BQ224" s="653">
        <f t="shared" si="318"/>
        <v>0</v>
      </c>
      <c r="BR224" s="653">
        <f>BR225+BR226</f>
        <v>0</v>
      </c>
      <c r="BS224" s="653">
        <f>BS225+BS226</f>
        <v>0</v>
      </c>
      <c r="BT224" s="653">
        <f t="shared" si="318"/>
        <v>0</v>
      </c>
      <c r="BU224" s="653">
        <f t="shared" si="318"/>
        <v>0</v>
      </c>
      <c r="BV224" s="653">
        <f t="shared" si="318"/>
        <v>0</v>
      </c>
      <c r="BW224" s="653">
        <f t="shared" si="318"/>
        <v>0</v>
      </c>
    </row>
    <row r="225" spans="1:75">
      <c r="A225" s="659">
        <v>88</v>
      </c>
      <c r="B225" s="821" t="s">
        <v>676</v>
      </c>
      <c r="C225" s="661">
        <f>D225+I225</f>
        <v>0</v>
      </c>
      <c r="D225" s="661">
        <f>E225+F225</f>
        <v>0</v>
      </c>
      <c r="E225" s="661"/>
      <c r="F225" s="661"/>
      <c r="G225" s="661"/>
      <c r="H225" s="661"/>
      <c r="I225" s="661"/>
      <c r="J225" s="661"/>
      <c r="K225" s="989">
        <f t="shared" si="302"/>
        <v>1811</v>
      </c>
      <c r="L225" s="666">
        <f>U225+AC225+AD225+AE225</f>
        <v>2000</v>
      </c>
      <c r="M225" s="666">
        <v>1143</v>
      </c>
      <c r="N225" s="666"/>
      <c r="O225" s="666">
        <v>84</v>
      </c>
      <c r="P225" s="666"/>
      <c r="Q225" s="666"/>
      <c r="R225" s="666"/>
      <c r="S225" s="667"/>
      <c r="T225" s="667"/>
      <c r="U225" s="666">
        <f>(M225+N225+O225+P225)-S225</f>
        <v>1227</v>
      </c>
      <c r="V225" s="666">
        <v>494</v>
      </c>
      <c r="W225" s="666">
        <v>90</v>
      </c>
      <c r="X225" s="666"/>
      <c r="Y225" s="667"/>
      <c r="Z225" s="668"/>
      <c r="AA225" s="667"/>
      <c r="AB225" s="667">
        <f>ROUND((Y225+AA225+X225),0)</f>
        <v>0</v>
      </c>
      <c r="AC225" s="666">
        <f>(V225+W225)-AA225</f>
        <v>584</v>
      </c>
      <c r="AD225" s="666">
        <v>189</v>
      </c>
      <c r="AE225" s="666"/>
      <c r="AF225" s="669"/>
      <c r="AG225" s="669"/>
      <c r="AH225" s="669"/>
      <c r="AI225" s="669"/>
      <c r="AJ225" s="669"/>
      <c r="AK225" s="669"/>
      <c r="AL225" s="664"/>
      <c r="AN225" s="610"/>
      <c r="AO225" s="659">
        <v>94</v>
      </c>
      <c r="AP225" s="821" t="s">
        <v>676</v>
      </c>
      <c r="AQ225" s="661">
        <f>AR225+AW225</f>
        <v>0</v>
      </c>
      <c r="AR225" s="661">
        <f>AS225+AT225</f>
        <v>0</v>
      </c>
      <c r="AS225" s="661"/>
      <c r="AT225" s="661"/>
      <c r="AU225" s="661"/>
      <c r="AV225" s="661"/>
      <c r="AW225" s="661"/>
      <c r="AX225" s="661"/>
      <c r="AY225" s="666">
        <f>BG225+BN225+BO225+BP225</f>
        <v>900</v>
      </c>
      <c r="AZ225" s="670">
        <f>730-83</f>
        <v>647</v>
      </c>
      <c r="BA225" s="666"/>
      <c r="BB225" s="666">
        <v>83</v>
      </c>
      <c r="BC225" s="666"/>
      <c r="BD225" s="666"/>
      <c r="BE225" s="666"/>
      <c r="BF225" s="667"/>
      <c r="BG225" s="666">
        <f>(AZ225+BA225+BB225+BC225)-BF225</f>
        <v>730</v>
      </c>
      <c r="BH225" s="666">
        <v>143</v>
      </c>
      <c r="BI225" s="666"/>
      <c r="BJ225" s="666"/>
      <c r="BK225" s="666"/>
      <c r="BL225" s="666"/>
      <c r="BM225" s="667"/>
      <c r="BN225" s="666">
        <f>(BH225+BI225+BJ225)-BM225</f>
        <v>143</v>
      </c>
      <c r="BO225" s="666">
        <v>27</v>
      </c>
      <c r="BP225" s="666"/>
      <c r="BQ225" s="666"/>
      <c r="BR225" s="666"/>
      <c r="BS225" s="666"/>
      <c r="BT225" s="666"/>
      <c r="BU225" s="666"/>
      <c r="BV225" s="666"/>
      <c r="BW225" s="662"/>
    </row>
    <row r="226" spans="1:75" ht="31.2">
      <c r="A226" s="659">
        <v>89</v>
      </c>
      <c r="B226" s="821" t="s">
        <v>677</v>
      </c>
      <c r="C226" s="661">
        <f>D226+I226</f>
        <v>0</v>
      </c>
      <c r="D226" s="661">
        <f>E226+F226</f>
        <v>0</v>
      </c>
      <c r="E226" s="661"/>
      <c r="F226" s="661"/>
      <c r="G226" s="661"/>
      <c r="H226" s="661"/>
      <c r="I226" s="661"/>
      <c r="J226" s="661"/>
      <c r="K226" s="989">
        <f t="shared" si="302"/>
        <v>400</v>
      </c>
      <c r="L226" s="666">
        <f>U226+AC226+AD226+AE226</f>
        <v>400</v>
      </c>
      <c r="M226" s="666">
        <v>260</v>
      </c>
      <c r="N226" s="666"/>
      <c r="O226" s="666">
        <v>20</v>
      </c>
      <c r="P226" s="666"/>
      <c r="Q226" s="666"/>
      <c r="R226" s="666"/>
      <c r="S226" s="667"/>
      <c r="T226" s="667"/>
      <c r="U226" s="666">
        <f>(M226+N226+O226+P226)-S226</f>
        <v>280</v>
      </c>
      <c r="V226" s="666">
        <v>80</v>
      </c>
      <c r="W226" s="666">
        <v>40</v>
      </c>
      <c r="X226" s="666"/>
      <c r="Y226" s="667"/>
      <c r="Z226" s="668"/>
      <c r="AA226" s="667"/>
      <c r="AB226" s="667">
        <f>ROUND((Y226+AA226+X226),0)</f>
        <v>0</v>
      </c>
      <c r="AC226" s="666">
        <f>(V226+W226)-AA226</f>
        <v>120</v>
      </c>
      <c r="AD226" s="666"/>
      <c r="AE226" s="666"/>
      <c r="AF226" s="669"/>
      <c r="AG226" s="669"/>
      <c r="AH226" s="669"/>
      <c r="AI226" s="669"/>
      <c r="AJ226" s="669"/>
      <c r="AK226" s="669"/>
      <c r="AL226" s="664"/>
      <c r="AN226" s="610"/>
      <c r="AO226" s="659">
        <v>95</v>
      </c>
      <c r="AP226" s="821" t="s">
        <v>677</v>
      </c>
      <c r="AQ226" s="661">
        <f>AR226+AW226</f>
        <v>0</v>
      </c>
      <c r="AR226" s="661">
        <f>AS226+AT226</f>
        <v>0</v>
      </c>
      <c r="AS226" s="661"/>
      <c r="AT226" s="661"/>
      <c r="AU226" s="661"/>
      <c r="AV226" s="661"/>
      <c r="AW226" s="661"/>
      <c r="AX226" s="661"/>
      <c r="AY226" s="666">
        <f>BG226+BN226+BO226+BP226</f>
        <v>400</v>
      </c>
      <c r="AZ226" s="670">
        <v>260</v>
      </c>
      <c r="BA226" s="666"/>
      <c r="BB226" s="666">
        <v>20</v>
      </c>
      <c r="BC226" s="666"/>
      <c r="BD226" s="666"/>
      <c r="BE226" s="666"/>
      <c r="BF226" s="667"/>
      <c r="BG226" s="666">
        <f>(AZ226+BA226+BB226+BC226)-BF226</f>
        <v>280</v>
      </c>
      <c r="BH226" s="666">
        <v>80</v>
      </c>
      <c r="BI226" s="666"/>
      <c r="BJ226" s="666">
        <v>40</v>
      </c>
      <c r="BK226" s="666"/>
      <c r="BL226" s="666"/>
      <c r="BM226" s="667"/>
      <c r="BN226" s="666">
        <f>(BH226+BI226+BJ226)-BM226</f>
        <v>120</v>
      </c>
      <c r="BO226" s="666"/>
      <c r="BP226" s="666"/>
      <c r="BQ226" s="666"/>
      <c r="BR226" s="666"/>
      <c r="BS226" s="666"/>
      <c r="BT226" s="666"/>
      <c r="BU226" s="666"/>
      <c r="BV226" s="666"/>
      <c r="BW226" s="662"/>
    </row>
    <row r="227" spans="1:75" s="614" customFormat="1">
      <c r="A227" s="824" t="s">
        <v>678</v>
      </c>
      <c r="B227" s="651" t="s">
        <v>679</v>
      </c>
      <c r="C227" s="652">
        <f t="shared" ref="C227:J227" si="319">C228+C229+C230</f>
        <v>0</v>
      </c>
      <c r="D227" s="652">
        <f t="shared" si="319"/>
        <v>0</v>
      </c>
      <c r="E227" s="652">
        <f t="shared" si="319"/>
        <v>0</v>
      </c>
      <c r="F227" s="652">
        <f t="shared" si="319"/>
        <v>0</v>
      </c>
      <c r="G227" s="652">
        <f t="shared" si="319"/>
        <v>0</v>
      </c>
      <c r="H227" s="652">
        <f t="shared" si="319"/>
        <v>0</v>
      </c>
      <c r="I227" s="652">
        <f t="shared" si="319"/>
        <v>0</v>
      </c>
      <c r="J227" s="652">
        <f t="shared" si="319"/>
        <v>0</v>
      </c>
      <c r="K227" s="989">
        <f t="shared" si="302"/>
        <v>54171</v>
      </c>
      <c r="L227" s="653">
        <f>L228+L229+L230</f>
        <v>54171</v>
      </c>
      <c r="M227" s="653">
        <f t="shared" ref="M227:AL227" si="320">M228+M229+M230</f>
        <v>0</v>
      </c>
      <c r="N227" s="653">
        <f t="shared" si="320"/>
        <v>0</v>
      </c>
      <c r="O227" s="653">
        <f t="shared" si="320"/>
        <v>0</v>
      </c>
      <c r="P227" s="653">
        <f t="shared" si="320"/>
        <v>0</v>
      </c>
      <c r="Q227" s="653">
        <f t="shared" si="320"/>
        <v>0</v>
      </c>
      <c r="R227" s="653">
        <f t="shared" si="320"/>
        <v>0</v>
      </c>
      <c r="S227" s="655"/>
      <c r="T227" s="655"/>
      <c r="U227" s="653">
        <f>U228+U229+U230</f>
        <v>0</v>
      </c>
      <c r="V227" s="653">
        <f t="shared" si="320"/>
        <v>54171</v>
      </c>
      <c r="W227" s="653">
        <f t="shared" si="320"/>
        <v>0</v>
      </c>
      <c r="X227" s="653">
        <f t="shared" si="320"/>
        <v>0</v>
      </c>
      <c r="Y227" s="655">
        <f t="shared" si="320"/>
        <v>0</v>
      </c>
      <c r="Z227" s="820"/>
      <c r="AA227" s="655"/>
      <c r="AB227" s="655"/>
      <c r="AC227" s="653">
        <f t="shared" si="320"/>
        <v>54171</v>
      </c>
      <c r="AD227" s="653">
        <f t="shared" si="320"/>
        <v>0</v>
      </c>
      <c r="AE227" s="653">
        <f t="shared" si="320"/>
        <v>0</v>
      </c>
      <c r="AF227" s="656">
        <f t="shared" si="320"/>
        <v>0</v>
      </c>
      <c r="AG227" s="656">
        <f t="shared" si="320"/>
        <v>0</v>
      </c>
      <c r="AH227" s="656">
        <f>AH228+AH229+AH230</f>
        <v>0</v>
      </c>
      <c r="AI227" s="656">
        <f t="shared" si="320"/>
        <v>0</v>
      </c>
      <c r="AJ227" s="656">
        <f t="shared" si="320"/>
        <v>0</v>
      </c>
      <c r="AK227" s="656">
        <f t="shared" si="320"/>
        <v>0</v>
      </c>
      <c r="AL227" s="656">
        <f t="shared" si="320"/>
        <v>0</v>
      </c>
      <c r="AM227" s="612"/>
      <c r="AN227" s="610"/>
      <c r="AO227" s="824" t="s">
        <v>678</v>
      </c>
      <c r="AP227" s="651" t="s">
        <v>679</v>
      </c>
      <c r="AQ227" s="652">
        <f t="shared" ref="AQ227:AX227" si="321">AQ228+AQ229+AQ230</f>
        <v>0</v>
      </c>
      <c r="AR227" s="652">
        <f t="shared" si="321"/>
        <v>0</v>
      </c>
      <c r="AS227" s="652">
        <f t="shared" si="321"/>
        <v>0</v>
      </c>
      <c r="AT227" s="652">
        <f t="shared" si="321"/>
        <v>0</v>
      </c>
      <c r="AU227" s="652">
        <f t="shared" si="321"/>
        <v>0</v>
      </c>
      <c r="AV227" s="652">
        <f t="shared" si="321"/>
        <v>0</v>
      </c>
      <c r="AW227" s="652">
        <f t="shared" si="321"/>
        <v>0</v>
      </c>
      <c r="AX227" s="652">
        <f t="shared" si="321"/>
        <v>0</v>
      </c>
      <c r="AY227" s="653">
        <f>AY228+AY229+AY230</f>
        <v>55930</v>
      </c>
      <c r="AZ227" s="658">
        <f t="shared" ref="AZ227:BW227" si="322">AZ228+AZ229+AZ230</f>
        <v>0</v>
      </c>
      <c r="BA227" s="653">
        <f t="shared" si="322"/>
        <v>0</v>
      </c>
      <c r="BB227" s="653">
        <f t="shared" si="322"/>
        <v>0</v>
      </c>
      <c r="BC227" s="653">
        <f t="shared" si="322"/>
        <v>0</v>
      </c>
      <c r="BD227" s="653">
        <f t="shared" si="322"/>
        <v>0</v>
      </c>
      <c r="BE227" s="653">
        <f t="shared" si="322"/>
        <v>0</v>
      </c>
      <c r="BF227" s="655"/>
      <c r="BG227" s="653">
        <f>BG228+BG229+BG230</f>
        <v>0</v>
      </c>
      <c r="BH227" s="653">
        <f t="shared" si="322"/>
        <v>55930</v>
      </c>
      <c r="BI227" s="653">
        <f t="shared" si="322"/>
        <v>0</v>
      </c>
      <c r="BJ227" s="653">
        <f t="shared" si="322"/>
        <v>0</v>
      </c>
      <c r="BK227" s="653">
        <f t="shared" si="322"/>
        <v>0</v>
      </c>
      <c r="BL227" s="653">
        <f t="shared" si="322"/>
        <v>0</v>
      </c>
      <c r="BM227" s="655"/>
      <c r="BN227" s="653">
        <f t="shared" si="322"/>
        <v>55930</v>
      </c>
      <c r="BO227" s="653">
        <f t="shared" si="322"/>
        <v>0</v>
      </c>
      <c r="BP227" s="653">
        <f t="shared" si="322"/>
        <v>0</v>
      </c>
      <c r="BQ227" s="653">
        <f t="shared" si="322"/>
        <v>0</v>
      </c>
      <c r="BR227" s="653">
        <f t="shared" si="322"/>
        <v>0</v>
      </c>
      <c r="BS227" s="653">
        <f>BS228+BS229+BS230</f>
        <v>0</v>
      </c>
      <c r="BT227" s="653">
        <f t="shared" si="322"/>
        <v>0</v>
      </c>
      <c r="BU227" s="653">
        <f t="shared" si="322"/>
        <v>2457</v>
      </c>
      <c r="BV227" s="653">
        <f t="shared" si="322"/>
        <v>0</v>
      </c>
      <c r="BW227" s="653">
        <f t="shared" si="322"/>
        <v>0</v>
      </c>
    </row>
    <row r="228" spans="1:75">
      <c r="A228" s="776">
        <v>90</v>
      </c>
      <c r="B228" s="660" t="s">
        <v>680</v>
      </c>
      <c r="C228" s="661"/>
      <c r="D228" s="661"/>
      <c r="E228" s="661"/>
      <c r="F228" s="661"/>
      <c r="G228" s="661"/>
      <c r="H228" s="661"/>
      <c r="I228" s="661"/>
      <c r="J228" s="661"/>
      <c r="K228" s="989">
        <f t="shared" si="302"/>
        <v>25770</v>
      </c>
      <c r="L228" s="666">
        <f t="shared" ref="L228:L234" si="323">U228+AC228+AD228+AE228</f>
        <v>25770</v>
      </c>
      <c r="M228" s="662"/>
      <c r="N228" s="662"/>
      <c r="O228" s="662"/>
      <c r="P228" s="662"/>
      <c r="Q228" s="662"/>
      <c r="R228" s="662"/>
      <c r="S228" s="663"/>
      <c r="T228" s="663"/>
      <c r="U228" s="666">
        <f t="shared" ref="U228:U234" si="324">(M228+N228+O228+P228)-S228</f>
        <v>0</v>
      </c>
      <c r="V228" s="662">
        <v>25770</v>
      </c>
      <c r="W228" s="662"/>
      <c r="X228" s="662"/>
      <c r="Y228" s="663"/>
      <c r="Z228" s="697"/>
      <c r="AA228" s="663"/>
      <c r="AB228" s="667">
        <f t="shared" ref="AB228:AB234" si="325">ROUND((Y228+AA228+X228),0)</f>
        <v>0</v>
      </c>
      <c r="AC228" s="666">
        <f t="shared" ref="AC228:AC234" si="326">(V228+W228)-AA228</f>
        <v>25770</v>
      </c>
      <c r="AD228" s="662"/>
      <c r="AE228" s="662"/>
      <c r="AF228" s="664"/>
      <c r="AG228" s="664"/>
      <c r="AH228" s="664"/>
      <c r="AI228" s="664"/>
      <c r="AJ228" s="664"/>
      <c r="AK228" s="664"/>
      <c r="AL228" s="664"/>
      <c r="AN228" s="610"/>
      <c r="AO228" s="776">
        <v>96</v>
      </c>
      <c r="AP228" s="660" t="s">
        <v>680</v>
      </c>
      <c r="AQ228" s="661"/>
      <c r="AR228" s="661"/>
      <c r="AS228" s="661"/>
      <c r="AT228" s="661"/>
      <c r="AU228" s="661"/>
      <c r="AV228" s="661"/>
      <c r="AW228" s="661"/>
      <c r="AX228" s="661"/>
      <c r="AY228" s="666">
        <f t="shared" ref="AY228:AY234" si="327">BG228+BN228+BO228+BP228</f>
        <v>26923</v>
      </c>
      <c r="AZ228" s="665"/>
      <c r="BA228" s="662"/>
      <c r="BB228" s="662"/>
      <c r="BC228" s="662"/>
      <c r="BD228" s="662"/>
      <c r="BE228" s="662"/>
      <c r="BF228" s="663"/>
      <c r="BG228" s="666">
        <f t="shared" ref="BG228:BG234" si="328">(AZ228+BA228+BB228+BC228)-BF228</f>
        <v>0</v>
      </c>
      <c r="BH228" s="662">
        <v>26923</v>
      </c>
      <c r="BI228" s="662"/>
      <c r="BJ228" s="662"/>
      <c r="BK228" s="662"/>
      <c r="BL228" s="662"/>
      <c r="BM228" s="663"/>
      <c r="BN228" s="666">
        <f t="shared" ref="BN228:BN234" si="329">(BH228+BI228+BJ228)-BM228</f>
        <v>26923</v>
      </c>
      <c r="BO228" s="662"/>
      <c r="BP228" s="662"/>
      <c r="BQ228" s="662"/>
      <c r="BR228" s="662"/>
      <c r="BS228" s="662"/>
      <c r="BT228" s="662"/>
      <c r="BU228" s="662">
        <v>2457</v>
      </c>
      <c r="BV228" s="662"/>
      <c r="BW228" s="662"/>
    </row>
    <row r="229" spans="1:75">
      <c r="A229" s="776">
        <v>91</v>
      </c>
      <c r="B229" s="660" t="s">
        <v>681</v>
      </c>
      <c r="C229" s="661"/>
      <c r="D229" s="661"/>
      <c r="E229" s="661"/>
      <c r="F229" s="661"/>
      <c r="G229" s="661"/>
      <c r="H229" s="661"/>
      <c r="I229" s="661"/>
      <c r="J229" s="661"/>
      <c r="K229" s="989">
        <f t="shared" si="302"/>
        <v>21143</v>
      </c>
      <c r="L229" s="666">
        <f t="shared" si="323"/>
        <v>21143</v>
      </c>
      <c r="M229" s="662"/>
      <c r="N229" s="662"/>
      <c r="O229" s="662"/>
      <c r="P229" s="662"/>
      <c r="Q229" s="662"/>
      <c r="R229" s="662"/>
      <c r="S229" s="663"/>
      <c r="T229" s="663"/>
      <c r="U229" s="666">
        <f t="shared" si="324"/>
        <v>0</v>
      </c>
      <c r="V229" s="662">
        <v>21143</v>
      </c>
      <c r="W229" s="662"/>
      <c r="X229" s="662"/>
      <c r="Y229" s="663"/>
      <c r="Z229" s="697"/>
      <c r="AA229" s="663"/>
      <c r="AB229" s="667">
        <f t="shared" si="325"/>
        <v>0</v>
      </c>
      <c r="AC229" s="666">
        <f t="shared" si="326"/>
        <v>21143</v>
      </c>
      <c r="AD229" s="662"/>
      <c r="AE229" s="662"/>
      <c r="AF229" s="664"/>
      <c r="AG229" s="664"/>
      <c r="AH229" s="664"/>
      <c r="AI229" s="664"/>
      <c r="AJ229" s="664"/>
      <c r="AK229" s="664"/>
      <c r="AL229" s="664"/>
      <c r="AN229" s="610"/>
      <c r="AO229" s="776">
        <v>97</v>
      </c>
      <c r="AP229" s="660" t="s">
        <v>681</v>
      </c>
      <c r="AQ229" s="661"/>
      <c r="AR229" s="661"/>
      <c r="AS229" s="661"/>
      <c r="AT229" s="661"/>
      <c r="AU229" s="661"/>
      <c r="AV229" s="661"/>
      <c r="AW229" s="661"/>
      <c r="AX229" s="661"/>
      <c r="AY229" s="666">
        <f t="shared" si="327"/>
        <v>21749</v>
      </c>
      <c r="AZ229" s="665"/>
      <c r="BA229" s="662"/>
      <c r="BB229" s="662"/>
      <c r="BC229" s="662"/>
      <c r="BD229" s="662"/>
      <c r="BE229" s="662"/>
      <c r="BF229" s="663"/>
      <c r="BG229" s="666">
        <f t="shared" si="328"/>
        <v>0</v>
      </c>
      <c r="BH229" s="662">
        <v>21749</v>
      </c>
      <c r="BI229" s="662"/>
      <c r="BJ229" s="662"/>
      <c r="BK229" s="662"/>
      <c r="BL229" s="662"/>
      <c r="BM229" s="663"/>
      <c r="BN229" s="666">
        <f t="shared" si="329"/>
        <v>21749</v>
      </c>
      <c r="BO229" s="662"/>
      <c r="BP229" s="662"/>
      <c r="BQ229" s="662"/>
      <c r="BR229" s="662"/>
      <c r="BS229" s="662"/>
      <c r="BT229" s="662"/>
      <c r="BU229" s="662"/>
      <c r="BV229" s="662"/>
      <c r="BW229" s="662"/>
    </row>
    <row r="230" spans="1:75" ht="31.2">
      <c r="A230" s="776">
        <v>92</v>
      </c>
      <c r="B230" s="660" t="s">
        <v>682</v>
      </c>
      <c r="C230" s="661"/>
      <c r="D230" s="661"/>
      <c r="E230" s="661"/>
      <c r="F230" s="661"/>
      <c r="G230" s="661"/>
      <c r="H230" s="661"/>
      <c r="I230" s="661"/>
      <c r="J230" s="661"/>
      <c r="K230" s="989">
        <f t="shared" si="302"/>
        <v>7258</v>
      </c>
      <c r="L230" s="666">
        <f t="shared" si="323"/>
        <v>7258</v>
      </c>
      <c r="M230" s="662"/>
      <c r="N230" s="662"/>
      <c r="O230" s="662"/>
      <c r="P230" s="662"/>
      <c r="Q230" s="662"/>
      <c r="R230" s="662"/>
      <c r="S230" s="663"/>
      <c r="T230" s="663"/>
      <c r="U230" s="666">
        <f t="shared" si="324"/>
        <v>0</v>
      </c>
      <c r="V230" s="662">
        <v>7258</v>
      </c>
      <c r="W230" s="662"/>
      <c r="X230" s="662"/>
      <c r="Y230" s="663"/>
      <c r="Z230" s="697"/>
      <c r="AA230" s="663"/>
      <c r="AB230" s="667">
        <f t="shared" si="325"/>
        <v>0</v>
      </c>
      <c r="AC230" s="666">
        <f t="shared" si="326"/>
        <v>7258</v>
      </c>
      <c r="AD230" s="662"/>
      <c r="AE230" s="662"/>
      <c r="AF230" s="664"/>
      <c r="AG230" s="664"/>
      <c r="AH230" s="664"/>
      <c r="AI230" s="664"/>
      <c r="AJ230" s="664"/>
      <c r="AK230" s="664"/>
      <c r="AL230" s="664"/>
      <c r="AN230" s="610"/>
      <c r="AO230" s="776">
        <v>98</v>
      </c>
      <c r="AP230" s="660" t="s">
        <v>682</v>
      </c>
      <c r="AQ230" s="661"/>
      <c r="AR230" s="661"/>
      <c r="AS230" s="661"/>
      <c r="AT230" s="661"/>
      <c r="AU230" s="661"/>
      <c r="AV230" s="661"/>
      <c r="AW230" s="661"/>
      <c r="AX230" s="661"/>
      <c r="AY230" s="666">
        <f t="shared" si="327"/>
        <v>7258</v>
      </c>
      <c r="AZ230" s="665"/>
      <c r="BA230" s="662"/>
      <c r="BB230" s="662"/>
      <c r="BC230" s="662"/>
      <c r="BD230" s="662"/>
      <c r="BE230" s="662"/>
      <c r="BF230" s="663"/>
      <c r="BG230" s="666">
        <f t="shared" si="328"/>
        <v>0</v>
      </c>
      <c r="BH230" s="662">
        <v>7258</v>
      </c>
      <c r="BI230" s="662"/>
      <c r="BJ230" s="662"/>
      <c r="BK230" s="662"/>
      <c r="BL230" s="662"/>
      <c r="BM230" s="663"/>
      <c r="BN230" s="666">
        <f t="shared" si="329"/>
        <v>7258</v>
      </c>
      <c r="BO230" s="662"/>
      <c r="BP230" s="662"/>
      <c r="BQ230" s="662"/>
      <c r="BR230" s="662"/>
      <c r="BS230" s="662"/>
      <c r="BT230" s="662"/>
      <c r="BU230" s="662"/>
      <c r="BV230" s="662"/>
      <c r="BW230" s="662"/>
    </row>
    <row r="231" spans="1:75" s="614" customFormat="1">
      <c r="A231" s="824" t="s">
        <v>683</v>
      </c>
      <c r="B231" s="651" t="s">
        <v>320</v>
      </c>
      <c r="C231" s="652"/>
      <c r="D231" s="652"/>
      <c r="E231" s="652"/>
      <c r="F231" s="652"/>
      <c r="G231" s="652"/>
      <c r="H231" s="652"/>
      <c r="I231" s="652"/>
      <c r="J231" s="652"/>
      <c r="K231" s="989">
        <f t="shared" si="302"/>
        <v>62609</v>
      </c>
      <c r="L231" s="653">
        <f t="shared" si="323"/>
        <v>62609</v>
      </c>
      <c r="M231" s="653"/>
      <c r="N231" s="653"/>
      <c r="O231" s="653"/>
      <c r="P231" s="653"/>
      <c r="Q231" s="653"/>
      <c r="R231" s="653"/>
      <c r="S231" s="655"/>
      <c r="T231" s="655"/>
      <c r="U231" s="666">
        <f t="shared" si="324"/>
        <v>0</v>
      </c>
      <c r="V231" s="996">
        <v>62609</v>
      </c>
      <c r="W231" s="653"/>
      <c r="X231" s="653"/>
      <c r="Y231" s="655"/>
      <c r="Z231" s="820"/>
      <c r="AA231" s="655"/>
      <c r="AB231" s="667">
        <f t="shared" si="325"/>
        <v>0</v>
      </c>
      <c r="AC231" s="666">
        <f t="shared" si="326"/>
        <v>62609</v>
      </c>
      <c r="AD231" s="653"/>
      <c r="AE231" s="653"/>
      <c r="AF231" s="656"/>
      <c r="AG231" s="656"/>
      <c r="AH231" s="656"/>
      <c r="AI231" s="656"/>
      <c r="AJ231" s="656"/>
      <c r="AK231" s="656"/>
      <c r="AL231" s="656"/>
      <c r="AM231" s="612"/>
      <c r="AN231" s="610"/>
      <c r="AO231" s="824" t="s">
        <v>683</v>
      </c>
      <c r="AP231" s="651" t="s">
        <v>320</v>
      </c>
      <c r="AQ231" s="652"/>
      <c r="AR231" s="652"/>
      <c r="AS231" s="652"/>
      <c r="AT231" s="652"/>
      <c r="AU231" s="652"/>
      <c r="AV231" s="652"/>
      <c r="AW231" s="652"/>
      <c r="AX231" s="652"/>
      <c r="AY231" s="653">
        <f t="shared" si="327"/>
        <v>63876</v>
      </c>
      <c r="AZ231" s="658"/>
      <c r="BA231" s="653"/>
      <c r="BB231" s="653"/>
      <c r="BC231" s="653"/>
      <c r="BD231" s="653"/>
      <c r="BE231" s="653"/>
      <c r="BF231" s="655"/>
      <c r="BG231" s="666">
        <f t="shared" si="328"/>
        <v>0</v>
      </c>
      <c r="BH231" s="653">
        <f>64842-462-723+219</f>
        <v>63876</v>
      </c>
      <c r="BI231" s="653"/>
      <c r="BJ231" s="653"/>
      <c r="BK231" s="653"/>
      <c r="BL231" s="653"/>
      <c r="BM231" s="655"/>
      <c r="BN231" s="767">
        <f t="shared" si="329"/>
        <v>63876</v>
      </c>
      <c r="BO231" s="653"/>
      <c r="BP231" s="653"/>
      <c r="BQ231" s="653"/>
      <c r="BR231" s="653"/>
      <c r="BS231" s="653"/>
      <c r="BT231" s="653"/>
      <c r="BU231" s="653"/>
      <c r="BV231" s="653"/>
      <c r="BW231" s="653"/>
    </row>
    <row r="232" spans="1:75" s="826" customFormat="1">
      <c r="A232" s="824" t="s">
        <v>684</v>
      </c>
      <c r="B232" s="651" t="s">
        <v>685</v>
      </c>
      <c r="C232" s="652"/>
      <c r="D232" s="652"/>
      <c r="E232" s="652"/>
      <c r="F232" s="652"/>
      <c r="G232" s="652"/>
      <c r="H232" s="652"/>
      <c r="I232" s="652"/>
      <c r="J232" s="652"/>
      <c r="K232" s="989">
        <f t="shared" si="302"/>
        <v>1000</v>
      </c>
      <c r="L232" s="653">
        <f t="shared" si="323"/>
        <v>1000</v>
      </c>
      <c r="M232" s="653"/>
      <c r="N232" s="653"/>
      <c r="O232" s="653"/>
      <c r="P232" s="653"/>
      <c r="Q232" s="653"/>
      <c r="R232" s="653"/>
      <c r="S232" s="655"/>
      <c r="T232" s="655"/>
      <c r="U232" s="666">
        <f t="shared" si="324"/>
        <v>0</v>
      </c>
      <c r="V232" s="996">
        <v>1000</v>
      </c>
      <c r="W232" s="653"/>
      <c r="X232" s="653"/>
      <c r="Y232" s="655"/>
      <c r="Z232" s="820"/>
      <c r="AA232" s="655"/>
      <c r="AB232" s="667">
        <f t="shared" si="325"/>
        <v>0</v>
      </c>
      <c r="AC232" s="666">
        <f t="shared" si="326"/>
        <v>1000</v>
      </c>
      <c r="AD232" s="653"/>
      <c r="AE232" s="653"/>
      <c r="AF232" s="656"/>
      <c r="AG232" s="656"/>
      <c r="AH232" s="656"/>
      <c r="AI232" s="656"/>
      <c r="AJ232" s="656"/>
      <c r="AK232" s="656"/>
      <c r="AL232" s="656"/>
      <c r="AM232" s="825"/>
      <c r="AN232" s="610"/>
      <c r="AO232" s="824" t="s">
        <v>684</v>
      </c>
      <c r="AP232" s="651" t="s">
        <v>685</v>
      </c>
      <c r="AQ232" s="652"/>
      <c r="AR232" s="652"/>
      <c r="AS232" s="652"/>
      <c r="AT232" s="652"/>
      <c r="AU232" s="652"/>
      <c r="AV232" s="652"/>
      <c r="AW232" s="652"/>
      <c r="AX232" s="652"/>
      <c r="AY232" s="653">
        <f t="shared" si="327"/>
        <v>1000</v>
      </c>
      <c r="AZ232" s="658"/>
      <c r="BA232" s="653"/>
      <c r="BB232" s="653"/>
      <c r="BC232" s="653"/>
      <c r="BD232" s="653"/>
      <c r="BE232" s="653"/>
      <c r="BF232" s="655"/>
      <c r="BG232" s="666">
        <f t="shared" si="328"/>
        <v>0</v>
      </c>
      <c r="BH232" s="653">
        <v>1000</v>
      </c>
      <c r="BI232" s="653"/>
      <c r="BJ232" s="653"/>
      <c r="BK232" s="653"/>
      <c r="BL232" s="653"/>
      <c r="BM232" s="655"/>
      <c r="BN232" s="767">
        <f t="shared" si="329"/>
        <v>1000</v>
      </c>
      <c r="BO232" s="653"/>
      <c r="BP232" s="653"/>
      <c r="BQ232" s="653"/>
      <c r="BR232" s="653"/>
      <c r="BS232" s="653"/>
      <c r="BT232" s="653"/>
      <c r="BU232" s="653"/>
      <c r="BV232" s="653"/>
      <c r="BW232" s="653"/>
    </row>
    <row r="233" spans="1:75" s="831" customFormat="1">
      <c r="A233" s="827" t="s">
        <v>686</v>
      </c>
      <c r="B233" s="828" t="s">
        <v>687</v>
      </c>
      <c r="C233" s="829"/>
      <c r="D233" s="829"/>
      <c r="E233" s="829"/>
      <c r="F233" s="829"/>
      <c r="G233" s="829"/>
      <c r="H233" s="829"/>
      <c r="I233" s="829"/>
      <c r="J233" s="829"/>
      <c r="K233" s="989">
        <f t="shared" si="302"/>
        <v>100</v>
      </c>
      <c r="L233" s="653">
        <f t="shared" si="323"/>
        <v>100</v>
      </c>
      <c r="M233" s="653"/>
      <c r="N233" s="653"/>
      <c r="O233" s="653"/>
      <c r="P233" s="653"/>
      <c r="Q233" s="653"/>
      <c r="R233" s="653"/>
      <c r="S233" s="655"/>
      <c r="T233" s="655"/>
      <c r="U233" s="666">
        <f t="shared" si="324"/>
        <v>0</v>
      </c>
      <c r="V233" s="996">
        <v>100</v>
      </c>
      <c r="W233" s="653"/>
      <c r="X233" s="653"/>
      <c r="Y233" s="655"/>
      <c r="Z233" s="820"/>
      <c r="AA233" s="655"/>
      <c r="AB233" s="667">
        <f t="shared" si="325"/>
        <v>0</v>
      </c>
      <c r="AC233" s="666">
        <f t="shared" si="326"/>
        <v>100</v>
      </c>
      <c r="AD233" s="653"/>
      <c r="AE233" s="653"/>
      <c r="AF233" s="656"/>
      <c r="AG233" s="656"/>
      <c r="AH233" s="656"/>
      <c r="AI233" s="656"/>
      <c r="AJ233" s="656"/>
      <c r="AK233" s="656"/>
      <c r="AL233" s="656"/>
      <c r="AM233" s="830"/>
      <c r="AN233" s="610"/>
      <c r="AO233" s="827" t="s">
        <v>686</v>
      </c>
      <c r="AP233" s="828" t="s">
        <v>687</v>
      </c>
      <c r="AQ233" s="829"/>
      <c r="AR233" s="829"/>
      <c r="AS233" s="829"/>
      <c r="AT233" s="829"/>
      <c r="AU233" s="829"/>
      <c r="AV233" s="829"/>
      <c r="AW233" s="829"/>
      <c r="AX233" s="829"/>
      <c r="AY233" s="653">
        <f t="shared" si="327"/>
        <v>100</v>
      </c>
      <c r="AZ233" s="658"/>
      <c r="BA233" s="653"/>
      <c r="BB233" s="653"/>
      <c r="BC233" s="653"/>
      <c r="BD233" s="653"/>
      <c r="BE233" s="653"/>
      <c r="BF233" s="655"/>
      <c r="BG233" s="666">
        <f t="shared" si="328"/>
        <v>0</v>
      </c>
      <c r="BH233" s="653">
        <v>100</v>
      </c>
      <c r="BI233" s="653"/>
      <c r="BJ233" s="653"/>
      <c r="BK233" s="653"/>
      <c r="BL233" s="653"/>
      <c r="BM233" s="655"/>
      <c r="BN233" s="767">
        <f t="shared" si="329"/>
        <v>100</v>
      </c>
      <c r="BO233" s="653"/>
      <c r="BP233" s="653"/>
      <c r="BQ233" s="653"/>
      <c r="BR233" s="653"/>
      <c r="BS233" s="653"/>
      <c r="BT233" s="653"/>
      <c r="BU233" s="653"/>
      <c r="BV233" s="653"/>
      <c r="BW233" s="653"/>
    </row>
    <row r="234" spans="1:75" s="831" customFormat="1">
      <c r="A234" s="827" t="s">
        <v>688</v>
      </c>
      <c r="B234" s="828" t="s">
        <v>689</v>
      </c>
      <c r="C234" s="829"/>
      <c r="D234" s="829"/>
      <c r="E234" s="829"/>
      <c r="F234" s="829"/>
      <c r="G234" s="829"/>
      <c r="H234" s="829"/>
      <c r="I234" s="829"/>
      <c r="J234" s="829"/>
      <c r="K234" s="989">
        <f t="shared" si="302"/>
        <v>0</v>
      </c>
      <c r="L234" s="653">
        <f t="shared" si="323"/>
        <v>0</v>
      </c>
      <c r="M234" s="653"/>
      <c r="N234" s="653"/>
      <c r="O234" s="653"/>
      <c r="P234" s="653"/>
      <c r="Q234" s="653"/>
      <c r="R234" s="653"/>
      <c r="S234" s="655"/>
      <c r="T234" s="655"/>
      <c r="U234" s="666">
        <f t="shared" si="324"/>
        <v>0</v>
      </c>
      <c r="V234" s="653"/>
      <c r="W234" s="653"/>
      <c r="X234" s="653"/>
      <c r="Y234" s="655"/>
      <c r="Z234" s="820"/>
      <c r="AA234" s="655"/>
      <c r="AB234" s="667">
        <f t="shared" si="325"/>
        <v>0</v>
      </c>
      <c r="AC234" s="666">
        <f t="shared" si="326"/>
        <v>0</v>
      </c>
      <c r="AD234" s="653"/>
      <c r="AE234" s="653"/>
      <c r="AF234" s="656"/>
      <c r="AG234" s="656"/>
      <c r="AH234" s="656"/>
      <c r="AI234" s="656"/>
      <c r="AJ234" s="656"/>
      <c r="AK234" s="656"/>
      <c r="AL234" s="656"/>
      <c r="AM234" s="830"/>
      <c r="AN234" s="610"/>
      <c r="AO234" s="827" t="s">
        <v>688</v>
      </c>
      <c r="AP234" s="828" t="s">
        <v>689</v>
      </c>
      <c r="AQ234" s="829"/>
      <c r="AR234" s="829"/>
      <c r="AS234" s="829"/>
      <c r="AT234" s="829"/>
      <c r="AU234" s="829"/>
      <c r="AV234" s="829"/>
      <c r="AW234" s="829"/>
      <c r="AX234" s="829"/>
      <c r="AY234" s="653">
        <f t="shared" si="327"/>
        <v>93012</v>
      </c>
      <c r="AZ234" s="658"/>
      <c r="BA234" s="653"/>
      <c r="BB234" s="653"/>
      <c r="BC234" s="653"/>
      <c r="BD234" s="653"/>
      <c r="BE234" s="653"/>
      <c r="BF234" s="655"/>
      <c r="BG234" s="666">
        <f t="shared" si="328"/>
        <v>0</v>
      </c>
      <c r="BH234" s="653">
        <v>93012</v>
      </c>
      <c r="BI234" s="653"/>
      <c r="BJ234" s="653"/>
      <c r="BK234" s="653"/>
      <c r="BL234" s="653"/>
      <c r="BM234" s="655"/>
      <c r="BN234" s="767">
        <f t="shared" si="329"/>
        <v>93012</v>
      </c>
      <c r="BO234" s="653"/>
      <c r="BP234" s="653"/>
      <c r="BQ234" s="653"/>
      <c r="BR234" s="653"/>
      <c r="BS234" s="653"/>
      <c r="BT234" s="653"/>
      <c r="BU234" s="653"/>
      <c r="BV234" s="653"/>
      <c r="BW234" s="653"/>
    </row>
    <row r="235" spans="1:75" s="841" customFormat="1">
      <c r="A235" s="832"/>
      <c r="B235" s="833" t="s">
        <v>40</v>
      </c>
      <c r="C235" s="834">
        <f t="shared" ref="C235:J235" si="330">SUM(C8,C56,C76,C115,C124,C126,C134,C33,C143,C214)</f>
        <v>8427</v>
      </c>
      <c r="D235" s="834">
        <f t="shared" si="330"/>
        <v>7928</v>
      </c>
      <c r="E235" s="834">
        <f t="shared" si="330"/>
        <v>1193</v>
      </c>
      <c r="F235" s="834">
        <f t="shared" si="330"/>
        <v>5633</v>
      </c>
      <c r="G235" s="834">
        <f t="shared" si="330"/>
        <v>1144</v>
      </c>
      <c r="H235" s="834">
        <f t="shared" si="330"/>
        <v>5408</v>
      </c>
      <c r="I235" s="834">
        <f t="shared" si="330"/>
        <v>441</v>
      </c>
      <c r="J235" s="834">
        <f t="shared" si="330"/>
        <v>404</v>
      </c>
      <c r="K235" s="989">
        <f t="shared" si="302"/>
        <v>1856553</v>
      </c>
      <c r="L235" s="835">
        <f>SUM(L8,L56,L76,L115,L124,L126,L134,L144,L180,L193,L196,L214,L222,L223,L224,L227,L231:L234)</f>
        <v>1914874</v>
      </c>
      <c r="M235" s="835">
        <f t="shared" ref="M235:AL235" si="331">SUM(M8,M56,M76,M115,M124,M126,M134,M144,M180,M193,M196,M214,M222,M223,M224,M227,M231:M234)</f>
        <v>572275</v>
      </c>
      <c r="N235" s="835">
        <f t="shared" si="331"/>
        <v>91407</v>
      </c>
      <c r="O235" s="835">
        <f t="shared" si="331"/>
        <v>8909</v>
      </c>
      <c r="P235" s="835">
        <f t="shared" si="331"/>
        <v>1834</v>
      </c>
      <c r="Q235" s="835">
        <f t="shared" si="331"/>
        <v>0</v>
      </c>
      <c r="R235" s="835">
        <f t="shared" si="331"/>
        <v>768.9000000000002</v>
      </c>
      <c r="S235" s="836">
        <f t="shared" si="331"/>
        <v>7704.8888888888887</v>
      </c>
      <c r="T235" s="836">
        <f t="shared" si="331"/>
        <v>8478</v>
      </c>
      <c r="U235" s="835">
        <f t="shared" si="331"/>
        <v>665947</v>
      </c>
      <c r="V235" s="835">
        <f t="shared" si="331"/>
        <v>1175251</v>
      </c>
      <c r="W235" s="835">
        <f t="shared" si="331"/>
        <v>40255</v>
      </c>
      <c r="X235" s="835">
        <f t="shared" si="331"/>
        <v>0</v>
      </c>
      <c r="Y235" s="836">
        <f t="shared" si="331"/>
        <v>65137.700000000004</v>
      </c>
      <c r="Z235" s="837"/>
      <c r="AA235" s="836">
        <f t="shared" si="331"/>
        <v>15620</v>
      </c>
      <c r="AB235" s="836">
        <f t="shared" si="331"/>
        <v>26389</v>
      </c>
      <c r="AC235" s="836">
        <f t="shared" si="331"/>
        <v>1189117</v>
      </c>
      <c r="AD235" s="835">
        <f>SUM(AD8,AD56,AD76,AD115,AD124,AD126,AD134,AD144,AD180,AD193,AD196,AD214,AD222,AD223,AD224,AD227,AD231:AD234)-AD224</f>
        <v>58321</v>
      </c>
      <c r="AE235" s="835">
        <f t="shared" si="331"/>
        <v>1300</v>
      </c>
      <c r="AF235" s="838">
        <f t="shared" si="331"/>
        <v>0</v>
      </c>
      <c r="AG235" s="838">
        <f t="shared" si="331"/>
        <v>1572</v>
      </c>
      <c r="AH235" s="838">
        <f t="shared" si="331"/>
        <v>2434</v>
      </c>
      <c r="AI235" s="838">
        <f t="shared" si="331"/>
        <v>2570</v>
      </c>
      <c r="AJ235" s="838">
        <f t="shared" si="331"/>
        <v>0</v>
      </c>
      <c r="AK235" s="838">
        <f t="shared" si="331"/>
        <v>0</v>
      </c>
      <c r="AL235" s="838">
        <f t="shared" si="331"/>
        <v>0</v>
      </c>
      <c r="AM235" s="835" t="e">
        <f>SUM(AM8,AM56,AM76,AM115,AM124,AM126,AM134,AM144,AM180,AM193,AM196,AM214,AM222:AM224,AM227,AM231:AM232)</f>
        <v>#REF!</v>
      </c>
      <c r="AN235" s="839"/>
      <c r="AO235" s="832"/>
      <c r="AP235" s="833" t="s">
        <v>40</v>
      </c>
      <c r="AQ235" s="834">
        <f t="shared" ref="AQ235:AX235" si="332">SUM(AQ8,AQ56,AQ76,AQ115,AQ124,AQ126,AQ134,AQ33,AQ143,AQ214)</f>
        <v>9018</v>
      </c>
      <c r="AR235" s="834">
        <f t="shared" si="332"/>
        <v>8412</v>
      </c>
      <c r="AS235" s="834">
        <f t="shared" si="332"/>
        <v>1372</v>
      </c>
      <c r="AT235" s="834">
        <f t="shared" si="332"/>
        <v>7040</v>
      </c>
      <c r="AU235" s="834">
        <f t="shared" si="332"/>
        <v>1272</v>
      </c>
      <c r="AV235" s="834">
        <f t="shared" si="332"/>
        <v>6647</v>
      </c>
      <c r="AW235" s="834">
        <f t="shared" si="332"/>
        <v>606</v>
      </c>
      <c r="AX235" s="834">
        <f t="shared" si="332"/>
        <v>488</v>
      </c>
      <c r="AY235" s="835">
        <f>SUM(AY8,AY56,AY76,AY115,AY124,AY126,AY134,AY144,AY180,AY193,AY196,AY214,AY222,AY223,AY224,AY227,AY231:AY234)</f>
        <v>1995005</v>
      </c>
      <c r="AZ235" s="840">
        <f t="shared" ref="AZ235:BW235" si="333">SUM(AZ8,AZ56,AZ76,AZ115,AZ124,AZ126,AZ134,AZ144,AZ180,AZ193,AZ196,AZ214,AZ222,AZ223,AZ224,AZ227,AZ231:AZ234)</f>
        <v>577817</v>
      </c>
      <c r="BA235" s="835">
        <f t="shared" si="333"/>
        <v>91357</v>
      </c>
      <c r="BB235" s="835">
        <f t="shared" si="333"/>
        <v>11279</v>
      </c>
      <c r="BC235" s="835">
        <f t="shared" si="333"/>
        <v>2067</v>
      </c>
      <c r="BD235" s="835">
        <f t="shared" si="333"/>
        <v>0</v>
      </c>
      <c r="BE235" s="835">
        <f t="shared" si="333"/>
        <v>10241.999999999998</v>
      </c>
      <c r="BF235" s="836">
        <f t="shared" si="333"/>
        <v>10246</v>
      </c>
      <c r="BG235" s="835">
        <f t="shared" si="333"/>
        <v>672274</v>
      </c>
      <c r="BH235" s="835">
        <f t="shared" si="333"/>
        <v>1110989</v>
      </c>
      <c r="BI235" s="835">
        <f t="shared" si="333"/>
        <v>107452</v>
      </c>
      <c r="BJ235" s="835">
        <f t="shared" si="333"/>
        <v>53515</v>
      </c>
      <c r="BK235" s="835">
        <f t="shared" si="333"/>
        <v>0</v>
      </c>
      <c r="BL235" s="835">
        <f t="shared" si="333"/>
        <v>18665.199999999997</v>
      </c>
      <c r="BM235" s="836">
        <f t="shared" si="333"/>
        <v>18669</v>
      </c>
      <c r="BN235" s="835">
        <f t="shared" si="333"/>
        <v>1253287</v>
      </c>
      <c r="BO235" s="835">
        <f t="shared" si="333"/>
        <v>66329</v>
      </c>
      <c r="BP235" s="835">
        <f t="shared" si="333"/>
        <v>3115</v>
      </c>
      <c r="BQ235" s="835">
        <f t="shared" si="333"/>
        <v>1033389</v>
      </c>
      <c r="BR235" s="835">
        <f t="shared" si="333"/>
        <v>2907</v>
      </c>
      <c r="BS235" s="835">
        <f t="shared" si="333"/>
        <v>7138</v>
      </c>
      <c r="BT235" s="835">
        <f t="shared" si="333"/>
        <v>10373</v>
      </c>
      <c r="BU235" s="835">
        <f t="shared" si="333"/>
        <v>18696</v>
      </c>
      <c r="BV235" s="835">
        <f t="shared" si="333"/>
        <v>30000</v>
      </c>
      <c r="BW235" s="835">
        <f t="shared" si="333"/>
        <v>0</v>
      </c>
    </row>
    <row r="236" spans="1:75" s="614" customFormat="1">
      <c r="A236" s="3035" t="s">
        <v>690</v>
      </c>
      <c r="B236" s="3035"/>
      <c r="C236" s="842">
        <f t="shared" ref="C236:J236" si="334">C8-C29-C53+C56-C72+C76-(C109+C110+C111+C113+C114)+C115+C124+C126+C134+C33+C143+C214-C220-C221+C224</f>
        <v>8427</v>
      </c>
      <c r="D236" s="842">
        <f t="shared" si="334"/>
        <v>7928</v>
      </c>
      <c r="E236" s="842">
        <f t="shared" si="334"/>
        <v>1193</v>
      </c>
      <c r="F236" s="842">
        <f t="shared" si="334"/>
        <v>5633</v>
      </c>
      <c r="G236" s="842">
        <f t="shared" si="334"/>
        <v>1144</v>
      </c>
      <c r="H236" s="842">
        <f t="shared" si="334"/>
        <v>5408</v>
      </c>
      <c r="I236" s="843">
        <f t="shared" si="334"/>
        <v>441</v>
      </c>
      <c r="J236" s="842">
        <f t="shared" si="334"/>
        <v>404</v>
      </c>
      <c r="K236" s="989">
        <f t="shared" si="302"/>
        <v>1194951</v>
      </c>
      <c r="L236" s="842">
        <f>L8-L53-L54-L55+L56-L72+L76-L109-L110-L111-L112-L113-L114+L115+L124+L126+L134+L144+L180+L193+L196+L215+L224-L28</f>
        <v>1219017</v>
      </c>
      <c r="M236" s="842">
        <f t="shared" ref="M236:AL236" si="335">M8-M53-M54-M55+M56-M72+M76-M109-M110-M111-M112-M113-M114+M115+M124+M126+M134+M144+M180+M193+M196+M215+M224-M28</f>
        <v>572275</v>
      </c>
      <c r="N236" s="842">
        <f t="shared" si="335"/>
        <v>91407</v>
      </c>
      <c r="O236" s="842">
        <f t="shared" si="335"/>
        <v>8909</v>
      </c>
      <c r="P236" s="842">
        <f t="shared" si="335"/>
        <v>1834</v>
      </c>
      <c r="Q236" s="842">
        <f t="shared" si="335"/>
        <v>0</v>
      </c>
      <c r="R236" s="842">
        <f t="shared" si="335"/>
        <v>768.9000000000002</v>
      </c>
      <c r="S236" s="844">
        <f t="shared" si="335"/>
        <v>7704.8888888888887</v>
      </c>
      <c r="T236" s="842">
        <f t="shared" si="335"/>
        <v>8478</v>
      </c>
      <c r="U236" s="842">
        <f>U8-U53-U54-U55+U56-U72+U76-U109-U110-U111-U112-U113-U114+U115+U124+U126+U134+U144+U180+U193+U196+U215+U224-U28</f>
        <v>665947</v>
      </c>
      <c r="V236" s="842">
        <f t="shared" si="335"/>
        <v>513649</v>
      </c>
      <c r="W236" s="842">
        <f t="shared" si="335"/>
        <v>40255</v>
      </c>
      <c r="X236" s="842">
        <f t="shared" si="335"/>
        <v>0</v>
      </c>
      <c r="Y236" s="844">
        <f t="shared" si="335"/>
        <v>10765.500000000004</v>
      </c>
      <c r="Z236" s="845"/>
      <c r="AA236" s="844">
        <f t="shared" si="335"/>
        <v>15620</v>
      </c>
      <c r="AB236" s="844">
        <f t="shared" si="335"/>
        <v>26389</v>
      </c>
      <c r="AC236" s="842">
        <f t="shared" si="335"/>
        <v>527515</v>
      </c>
      <c r="AD236" s="842">
        <f>AD8-AD53-AD54-AD55+AD56-AD72+AD76-AD109-AD110-AD111-AD112-AD113-AD114+AD115+AD124+AD126+AD134+AD144+AD180+AD193+AD196+AD215+AD224-AD28-AD224</f>
        <v>24066</v>
      </c>
      <c r="AE236" s="842">
        <f t="shared" si="335"/>
        <v>1300</v>
      </c>
      <c r="AF236" s="846">
        <f t="shared" si="335"/>
        <v>0</v>
      </c>
      <c r="AG236" s="846">
        <f t="shared" si="335"/>
        <v>1572</v>
      </c>
      <c r="AH236" s="846">
        <f t="shared" si="335"/>
        <v>2434</v>
      </c>
      <c r="AI236" s="846">
        <f t="shared" si="335"/>
        <v>2570</v>
      </c>
      <c r="AJ236" s="846">
        <f t="shared" si="335"/>
        <v>0</v>
      </c>
      <c r="AK236" s="846">
        <f t="shared" si="335"/>
        <v>0</v>
      </c>
      <c r="AL236" s="846">
        <f t="shared" si="335"/>
        <v>0</v>
      </c>
      <c r="AM236" s="842" t="e">
        <f>AM8-AM53-AM54-AM55+AM56-AM72+AM76-AM109-AM110-AM111-AM112-AM113-AM114+AM115+AM124+AM126+AM134+AM144+AM180+AM193+AM196+AM215+AM224</f>
        <v>#REF!</v>
      </c>
      <c r="AN236" s="610"/>
      <c r="AO236" s="3035" t="s">
        <v>691</v>
      </c>
      <c r="AP236" s="3035"/>
      <c r="AQ236" s="842">
        <f t="shared" ref="AQ236:AX236" si="336">AQ8-AQ29-AQ53+AQ56-AQ72+AQ76-(AQ109+AQ110+AQ111+AQ113+AQ114)+AQ115+AQ124+AQ126+AQ134+AQ33+AQ143+AQ214-AQ220-AQ221+AQ224</f>
        <v>9018</v>
      </c>
      <c r="AR236" s="842">
        <f t="shared" si="336"/>
        <v>8412</v>
      </c>
      <c r="AS236" s="842">
        <f t="shared" si="336"/>
        <v>1372</v>
      </c>
      <c r="AT236" s="842">
        <f t="shared" si="336"/>
        <v>7040</v>
      </c>
      <c r="AU236" s="842">
        <f t="shared" si="336"/>
        <v>1272</v>
      </c>
      <c r="AV236" s="842">
        <f t="shared" si="336"/>
        <v>6647</v>
      </c>
      <c r="AW236" s="843">
        <f t="shared" si="336"/>
        <v>606</v>
      </c>
      <c r="AX236" s="842">
        <f t="shared" si="336"/>
        <v>488</v>
      </c>
      <c r="AY236" s="842">
        <f>AY8-AY53-AY54-AY55+AY56-AY72+AY76-AY109-AY110-AY111-AY112-AY113-AY114+AY115+AY124+AY126+AY134+AY144+AY180+AY193+AY196+AY215+AY224-AY28</f>
        <v>1185082</v>
      </c>
      <c r="AZ236" s="847">
        <f>AZ8-AZ53-AZ54-AZ55+AZ56-AZ72+AZ76-AZ109-AZ110-AZ111-AZ112-AZ113-AZ114+AZ115+AZ124+AZ126+AZ134+AZ144+AZ180+AZ193+AZ196+AZ215+AZ224-AZ28</f>
        <v>577817</v>
      </c>
      <c r="BA236" s="842">
        <f t="shared" ref="BA236:BW236" si="337">BA8-BA53-BA54-BA55+BA56-BA72+BA76-BA109-BA110-BA111-BA112-BA113-BA114+BA115+BA124+BA126+BA134+BA144+BA180+BA193+BA196+BA215+BA224-BA28</f>
        <v>91357</v>
      </c>
      <c r="BB236" s="842">
        <f t="shared" si="337"/>
        <v>11279</v>
      </c>
      <c r="BC236" s="842">
        <f t="shared" si="337"/>
        <v>2067</v>
      </c>
      <c r="BD236" s="842">
        <f t="shared" si="337"/>
        <v>0</v>
      </c>
      <c r="BE236" s="842">
        <f t="shared" si="337"/>
        <v>10241.999999999998</v>
      </c>
      <c r="BF236" s="844">
        <f t="shared" si="337"/>
        <v>10246</v>
      </c>
      <c r="BG236" s="842">
        <f>BG8-BG53-BG54-BG55+BG56-BG72+BG76-BG109-BG110-BG111-BG112-BG113-BG114+BG115+BG124+BG126+BG134+BG144+BG180+BG193+BG196+BG215+BG224-BG28</f>
        <v>672274</v>
      </c>
      <c r="BH236" s="842">
        <f t="shared" si="337"/>
        <v>403226</v>
      </c>
      <c r="BI236" s="842">
        <f t="shared" si="337"/>
        <v>40765</v>
      </c>
      <c r="BJ236" s="842">
        <f t="shared" si="337"/>
        <v>53515</v>
      </c>
      <c r="BK236" s="842">
        <f t="shared" si="337"/>
        <v>0</v>
      </c>
      <c r="BL236" s="842">
        <f t="shared" si="337"/>
        <v>18665.199999999997</v>
      </c>
      <c r="BM236" s="844">
        <f t="shared" si="337"/>
        <v>18669</v>
      </c>
      <c r="BN236" s="842">
        <f t="shared" si="337"/>
        <v>478837</v>
      </c>
      <c r="BO236" s="842">
        <f t="shared" si="337"/>
        <v>30856</v>
      </c>
      <c r="BP236" s="842">
        <f t="shared" si="337"/>
        <v>3115</v>
      </c>
      <c r="BQ236" s="842">
        <f t="shared" si="337"/>
        <v>1031369</v>
      </c>
      <c r="BR236" s="842">
        <f t="shared" si="337"/>
        <v>2907</v>
      </c>
      <c r="BS236" s="842">
        <f t="shared" si="337"/>
        <v>7138</v>
      </c>
      <c r="BT236" s="842">
        <f t="shared" si="337"/>
        <v>10373</v>
      </c>
      <c r="BU236" s="842">
        <f t="shared" si="337"/>
        <v>16239</v>
      </c>
      <c r="BV236" s="842">
        <f t="shared" si="337"/>
        <v>30000</v>
      </c>
      <c r="BW236" s="842">
        <f t="shared" si="337"/>
        <v>0</v>
      </c>
    </row>
    <row r="237" spans="1:75" s="614" customFormat="1">
      <c r="A237" s="848"/>
      <c r="B237" s="848" t="s">
        <v>799</v>
      </c>
      <c r="C237" s="849"/>
      <c r="D237" s="849"/>
      <c r="E237" s="849"/>
      <c r="F237" s="849"/>
      <c r="G237" s="849"/>
      <c r="H237" s="849"/>
      <c r="I237" s="850"/>
      <c r="J237" s="849"/>
      <c r="K237" s="849"/>
      <c r="L237" s="849"/>
      <c r="M237" s="849"/>
      <c r="N237" s="849"/>
      <c r="O237" s="849"/>
      <c r="P237" s="849"/>
      <c r="Q237" s="849"/>
      <c r="R237" s="849"/>
      <c r="S237" s="851"/>
      <c r="T237" s="849"/>
      <c r="U237" s="849"/>
      <c r="V237" s="849"/>
      <c r="W237" s="849"/>
      <c r="X237" s="849"/>
      <c r="Y237" s="851"/>
      <c r="Z237" s="852"/>
      <c r="AA237" s="851"/>
      <c r="AB237" s="851"/>
      <c r="AC237" s="849"/>
      <c r="AD237" s="849">
        <f>AD235-AD236</f>
        <v>34255</v>
      </c>
      <c r="AE237" s="849"/>
      <c r="AF237" s="853"/>
      <c r="AG237" s="853"/>
      <c r="AH237" s="853"/>
      <c r="AI237" s="853"/>
      <c r="AJ237" s="853"/>
      <c r="AK237" s="853"/>
      <c r="AL237" s="853"/>
      <c r="AM237" s="849"/>
      <c r="AN237" s="610"/>
      <c r="AO237" s="848"/>
      <c r="AP237" s="848"/>
      <c r="AQ237" s="849"/>
      <c r="AR237" s="849"/>
      <c r="AS237" s="849"/>
      <c r="AT237" s="849"/>
      <c r="AU237" s="849"/>
      <c r="AV237" s="849"/>
      <c r="AW237" s="850"/>
      <c r="AX237" s="849"/>
      <c r="AY237" s="849"/>
      <c r="AZ237" s="854"/>
      <c r="BA237" s="849"/>
      <c r="BB237" s="849"/>
      <c r="BC237" s="849"/>
      <c r="BD237" s="849"/>
      <c r="BE237" s="849"/>
      <c r="BF237" s="851"/>
      <c r="BG237" s="849"/>
      <c r="BH237" s="849"/>
      <c r="BI237" s="849"/>
      <c r="BJ237" s="849"/>
      <c r="BK237" s="849"/>
      <c r="BL237" s="849"/>
      <c r="BM237" s="851"/>
      <c r="BN237" s="849"/>
      <c r="BO237" s="849"/>
      <c r="BP237" s="849"/>
      <c r="BQ237" s="849"/>
      <c r="BR237" s="849"/>
      <c r="BS237" s="849"/>
      <c r="BT237" s="849"/>
      <c r="BU237" s="849"/>
      <c r="BV237" s="849"/>
      <c r="BW237" s="849"/>
    </row>
    <row r="238" spans="1:75" s="614" customFormat="1">
      <c r="A238" s="848"/>
      <c r="B238" s="848"/>
      <c r="C238" s="849"/>
      <c r="D238" s="849"/>
      <c r="E238" s="849"/>
      <c r="F238" s="849"/>
      <c r="G238" s="849"/>
      <c r="H238" s="849"/>
      <c r="I238" s="850"/>
      <c r="J238" s="849"/>
      <c r="K238" s="849">
        <f>K235+AD235</f>
        <v>1914874</v>
      </c>
      <c r="L238" s="849">
        <f>L235+T235+AB235</f>
        <v>1949741</v>
      </c>
      <c r="M238" s="849"/>
      <c r="N238" s="849"/>
      <c r="O238" s="849"/>
      <c r="P238" s="849"/>
      <c r="Q238" s="849"/>
      <c r="R238" s="849"/>
      <c r="S238" s="851"/>
      <c r="T238" s="851"/>
      <c r="U238" s="849">
        <f>M235+N235+O235+P235-T235</f>
        <v>665947</v>
      </c>
      <c r="V238" s="849"/>
      <c r="W238" s="849"/>
      <c r="X238" s="849"/>
      <c r="Y238" s="855"/>
      <c r="Z238" s="852"/>
      <c r="AA238" s="851"/>
      <c r="AB238" s="851"/>
      <c r="AC238" s="849">
        <f>V235+W235-AB235</f>
        <v>1189117</v>
      </c>
      <c r="AD238" s="849"/>
      <c r="AE238" s="849"/>
      <c r="AF238" s="853"/>
      <c r="AG238" s="853"/>
      <c r="AH238" s="853"/>
      <c r="AI238" s="853"/>
      <c r="AJ238" s="853"/>
      <c r="AK238" s="853"/>
      <c r="AL238" s="853"/>
      <c r="AM238" s="849"/>
      <c r="AN238" s="610"/>
      <c r="AO238" s="608"/>
      <c r="AP238" s="612"/>
      <c r="AQ238" s="612"/>
      <c r="AZ238" s="615"/>
      <c r="BG238" s="856">
        <f>AZ236+BA236+BB236+BC236-BF236</f>
        <v>672274</v>
      </c>
    </row>
    <row r="239" spans="1:75" s="831" customFormat="1">
      <c r="A239" s="3031" t="s">
        <v>692</v>
      </c>
      <c r="B239" s="3031"/>
      <c r="C239" s="3031"/>
      <c r="D239" s="3031"/>
      <c r="E239" s="3031"/>
      <c r="F239" s="849"/>
      <c r="G239" s="849"/>
      <c r="H239" s="849"/>
      <c r="I239" s="850"/>
      <c r="J239" s="849"/>
      <c r="K239" s="849">
        <f>K238+T235+AB235</f>
        <v>1949741</v>
      </c>
      <c r="L239" s="849"/>
      <c r="M239" s="849"/>
      <c r="N239" s="849"/>
      <c r="O239" s="849"/>
      <c r="P239" s="849"/>
      <c r="Q239" s="849"/>
      <c r="R239" s="849"/>
      <c r="S239" s="851"/>
      <c r="T239" s="851">
        <f>T235+AB235</f>
        <v>34867</v>
      </c>
      <c r="U239" s="849"/>
      <c r="V239" s="849"/>
      <c r="W239" s="849"/>
      <c r="X239" s="849"/>
      <c r="Y239" s="851"/>
      <c r="Z239" s="852"/>
      <c r="AA239" s="851"/>
      <c r="AB239" s="851"/>
      <c r="AC239" s="849"/>
      <c r="AD239" s="849"/>
      <c r="AE239" s="849"/>
      <c r="AF239" s="853"/>
      <c r="AG239" s="853"/>
      <c r="AH239" s="853"/>
      <c r="AI239" s="853"/>
      <c r="AJ239" s="853"/>
      <c r="AK239" s="853"/>
      <c r="AL239" s="853"/>
      <c r="AM239" s="849"/>
      <c r="AN239" s="857"/>
      <c r="AO239" s="858"/>
      <c r="AP239" s="830"/>
      <c r="AQ239" s="830"/>
      <c r="AZ239" s="859"/>
    </row>
    <row r="240" spans="1:75" s="870" customFormat="1">
      <c r="A240" s="860"/>
      <c r="B240" s="861" t="s">
        <v>693</v>
      </c>
      <c r="C240" s="862"/>
      <c r="D240" s="862"/>
      <c r="E240" s="862"/>
      <c r="F240" s="862"/>
      <c r="G240" s="862"/>
      <c r="H240" s="862"/>
      <c r="I240" s="863"/>
      <c r="J240" s="862"/>
      <c r="K240" s="862"/>
      <c r="L240" s="862"/>
      <c r="M240" s="862"/>
      <c r="N240" s="862"/>
      <c r="O240" s="862"/>
      <c r="P240" s="862"/>
      <c r="Q240" s="862"/>
      <c r="R240" s="862"/>
      <c r="S240" s="864"/>
      <c r="T240" s="864"/>
      <c r="U240" s="862">
        <f>U238+AC238</f>
        <v>1855064</v>
      </c>
      <c r="V240" s="862"/>
      <c r="W240" s="862"/>
      <c r="X240" s="862"/>
      <c r="Y240" s="864"/>
      <c r="Z240" s="865"/>
      <c r="AA240" s="864"/>
      <c r="AB240" s="864"/>
      <c r="AC240" s="862"/>
      <c r="AD240" s="862"/>
      <c r="AE240" s="862"/>
      <c r="AF240" s="866"/>
      <c r="AG240" s="866"/>
      <c r="AH240" s="866"/>
      <c r="AI240" s="866"/>
      <c r="AJ240" s="866"/>
      <c r="AK240" s="866"/>
      <c r="AL240" s="866"/>
      <c r="AM240" s="862"/>
      <c r="AN240" s="867"/>
      <c r="AO240" s="868"/>
      <c r="AP240" s="869"/>
      <c r="AQ240" s="869"/>
      <c r="AZ240" s="871"/>
    </row>
    <row r="241" spans="1:52" s="870" customFormat="1">
      <c r="A241" s="860"/>
      <c r="B241" s="861" t="s">
        <v>694</v>
      </c>
      <c r="C241" s="862"/>
      <c r="D241" s="862"/>
      <c r="E241" s="862"/>
      <c r="F241" s="862"/>
      <c r="G241" s="862"/>
      <c r="H241" s="862"/>
      <c r="I241" s="863"/>
      <c r="J241" s="862"/>
      <c r="K241" s="862"/>
      <c r="L241" s="862"/>
      <c r="M241" s="862"/>
      <c r="N241" s="862"/>
      <c r="O241" s="862"/>
      <c r="P241" s="862"/>
      <c r="Q241" s="862"/>
      <c r="R241" s="862"/>
      <c r="S241" s="864"/>
      <c r="T241" s="864"/>
      <c r="U241" s="862">
        <f>U240-AE236</f>
        <v>1853764</v>
      </c>
      <c r="V241" s="862"/>
      <c r="W241" s="862"/>
      <c r="X241" s="862"/>
      <c r="Y241" s="864"/>
      <c r="Z241" s="865"/>
      <c r="AA241" s="864"/>
      <c r="AB241" s="864"/>
      <c r="AC241" s="862"/>
      <c r="AD241" s="862"/>
      <c r="AE241" s="862"/>
      <c r="AF241" s="866"/>
      <c r="AG241" s="866"/>
      <c r="AH241" s="866"/>
      <c r="AI241" s="866"/>
      <c r="AJ241" s="866"/>
      <c r="AK241" s="866"/>
      <c r="AL241" s="866"/>
      <c r="AM241" s="862"/>
      <c r="AN241" s="867"/>
      <c r="AO241" s="868"/>
      <c r="AP241" s="869"/>
      <c r="AQ241" s="869"/>
      <c r="AZ241" s="871"/>
    </row>
    <row r="242" spans="1:52" s="875" customFormat="1">
      <c r="A242" s="860"/>
      <c r="B242" s="861" t="s">
        <v>695</v>
      </c>
      <c r="C242" s="863"/>
      <c r="D242" s="863"/>
      <c r="E242" s="863"/>
      <c r="F242" s="863"/>
      <c r="G242" s="863"/>
      <c r="H242" s="863"/>
      <c r="I242" s="863"/>
      <c r="J242" s="863"/>
      <c r="K242" s="863"/>
      <c r="L242" s="862">
        <f>L235-U240</f>
        <v>59810</v>
      </c>
      <c r="M242" s="862"/>
      <c r="N242" s="862"/>
      <c r="O242" s="862"/>
      <c r="P242" s="862"/>
      <c r="Q242" s="862"/>
      <c r="R242" s="862"/>
      <c r="S242" s="864"/>
      <c r="T242" s="864"/>
      <c r="U242" s="862"/>
      <c r="V242" s="862"/>
      <c r="W242" s="862"/>
      <c r="X242" s="862"/>
      <c r="Y242" s="864"/>
      <c r="Z242" s="865"/>
      <c r="AA242" s="864"/>
      <c r="AB242" s="864"/>
      <c r="AC242" s="862"/>
      <c r="AD242" s="862"/>
      <c r="AE242" s="862"/>
      <c r="AF242" s="866"/>
      <c r="AG242" s="866"/>
      <c r="AH242" s="866"/>
      <c r="AI242" s="866"/>
      <c r="AJ242" s="866"/>
      <c r="AK242" s="866"/>
      <c r="AL242" s="866"/>
      <c r="AM242" s="872"/>
      <c r="AN242" s="873"/>
      <c r="AO242" s="874"/>
      <c r="AP242" s="872"/>
      <c r="AQ242" s="872"/>
      <c r="AZ242" s="876"/>
    </row>
    <row r="243" spans="1:52" s="875" customFormat="1">
      <c r="A243" s="860"/>
      <c r="B243" s="861" t="s">
        <v>696</v>
      </c>
      <c r="C243" s="863"/>
      <c r="D243" s="863"/>
      <c r="E243" s="863"/>
      <c r="F243" s="863"/>
      <c r="G243" s="863"/>
      <c r="H243" s="863"/>
      <c r="I243" s="863"/>
      <c r="J243" s="863"/>
      <c r="K243" s="863"/>
      <c r="L243" s="862"/>
      <c r="M243" s="862"/>
      <c r="N243" s="862"/>
      <c r="O243" s="862"/>
      <c r="P243" s="862"/>
      <c r="Q243" s="862"/>
      <c r="R243" s="862"/>
      <c r="S243" s="864"/>
      <c r="T243" s="864"/>
      <c r="U243" s="862"/>
      <c r="V243" s="862"/>
      <c r="W243" s="862"/>
      <c r="X243" s="862"/>
      <c r="Y243" s="864"/>
      <c r="Z243" s="865"/>
      <c r="AA243" s="864"/>
      <c r="AB243" s="864"/>
      <c r="AC243" s="862"/>
      <c r="AD243" s="862"/>
      <c r="AE243" s="862"/>
      <c r="AF243" s="866"/>
      <c r="AG243" s="866"/>
      <c r="AH243" s="866"/>
      <c r="AI243" s="866"/>
      <c r="AJ243" s="866"/>
      <c r="AK243" s="866"/>
      <c r="AL243" s="866"/>
      <c r="AM243" s="872"/>
      <c r="AN243" s="873"/>
      <c r="AO243" s="874"/>
      <c r="AP243" s="872"/>
      <c r="AQ243" s="872"/>
      <c r="AZ243" s="876"/>
    </row>
    <row r="244" spans="1:52" s="875" customFormat="1">
      <c r="A244" s="860"/>
      <c r="B244" s="861" t="s">
        <v>697</v>
      </c>
      <c r="C244" s="863"/>
      <c r="D244" s="863"/>
      <c r="E244" s="863"/>
      <c r="F244" s="863"/>
      <c r="G244" s="863"/>
      <c r="H244" s="863"/>
      <c r="I244" s="863"/>
      <c r="J244" s="863"/>
      <c r="K244" s="863"/>
      <c r="L244" s="862"/>
      <c r="M244" s="862"/>
      <c r="N244" s="862"/>
      <c r="O244" s="862"/>
      <c r="P244" s="862"/>
      <c r="Q244" s="862"/>
      <c r="R244" s="862"/>
      <c r="S244" s="864"/>
      <c r="T244" s="864"/>
      <c r="U244" s="862"/>
      <c r="V244" s="862"/>
      <c r="W244" s="862"/>
      <c r="X244" s="862"/>
      <c r="Y244" s="864"/>
      <c r="Z244" s="865"/>
      <c r="AA244" s="864"/>
      <c r="AB244" s="864"/>
      <c r="AC244" s="862"/>
      <c r="AD244" s="862"/>
      <c r="AE244" s="862"/>
      <c r="AF244" s="866"/>
      <c r="AG244" s="866"/>
      <c r="AH244" s="866"/>
      <c r="AI244" s="866"/>
      <c r="AJ244" s="866"/>
      <c r="AK244" s="866"/>
      <c r="AL244" s="866"/>
      <c r="AM244" s="872"/>
      <c r="AN244" s="873"/>
      <c r="AO244" s="874"/>
      <c r="AP244" s="872"/>
      <c r="AQ244" s="872"/>
      <c r="AZ244" s="876"/>
    </row>
    <row r="245" spans="1:52" s="875" customFormat="1">
      <c r="A245" s="860"/>
      <c r="B245" s="861" t="s">
        <v>698</v>
      </c>
      <c r="C245" s="863"/>
      <c r="D245" s="863"/>
      <c r="E245" s="863"/>
      <c r="F245" s="863"/>
      <c r="G245" s="863"/>
      <c r="H245" s="863"/>
      <c r="I245" s="863"/>
      <c r="J245" s="863"/>
      <c r="K245" s="863"/>
      <c r="L245" s="862"/>
      <c r="M245" s="862"/>
      <c r="N245" s="862"/>
      <c r="O245" s="862"/>
      <c r="P245" s="862"/>
      <c r="Q245" s="862"/>
      <c r="R245" s="862"/>
      <c r="S245" s="864"/>
      <c r="T245" s="864"/>
      <c r="U245" s="862"/>
      <c r="V245" s="862"/>
      <c r="W245" s="862"/>
      <c r="X245" s="862"/>
      <c r="Y245" s="864"/>
      <c r="Z245" s="865"/>
      <c r="AA245" s="864"/>
      <c r="AB245" s="864"/>
      <c r="AC245" s="862"/>
      <c r="AD245" s="862"/>
      <c r="AE245" s="862"/>
      <c r="AF245" s="866"/>
      <c r="AG245" s="866"/>
      <c r="AH245" s="866"/>
      <c r="AI245" s="866"/>
      <c r="AJ245" s="866"/>
      <c r="AK245" s="866"/>
      <c r="AL245" s="866"/>
      <c r="AM245" s="872"/>
      <c r="AN245" s="873"/>
      <c r="AO245" s="874"/>
      <c r="AP245" s="872"/>
      <c r="AQ245" s="872"/>
      <c r="AZ245" s="876"/>
    </row>
    <row r="246" spans="1:52" s="875" customFormat="1">
      <c r="A246" s="860"/>
      <c r="B246" s="861" t="s">
        <v>699</v>
      </c>
      <c r="C246" s="863"/>
      <c r="D246" s="863"/>
      <c r="E246" s="863"/>
      <c r="F246" s="863"/>
      <c r="G246" s="863"/>
      <c r="H246" s="863"/>
      <c r="I246" s="863"/>
      <c r="J246" s="863"/>
      <c r="K246" s="863"/>
      <c r="L246" s="862"/>
      <c r="M246" s="862"/>
      <c r="N246" s="862"/>
      <c r="O246" s="862"/>
      <c r="P246" s="862"/>
      <c r="Q246" s="862"/>
      <c r="R246" s="862"/>
      <c r="S246" s="864"/>
      <c r="T246" s="864"/>
      <c r="U246" s="862"/>
      <c r="V246" s="862"/>
      <c r="W246" s="862"/>
      <c r="X246" s="862"/>
      <c r="Y246" s="864"/>
      <c r="Z246" s="865"/>
      <c r="AA246" s="864"/>
      <c r="AB246" s="864"/>
      <c r="AC246" s="862"/>
      <c r="AD246" s="862"/>
      <c r="AE246" s="862"/>
      <c r="AF246" s="866"/>
      <c r="AG246" s="866"/>
      <c r="AH246" s="866"/>
      <c r="AI246" s="866"/>
      <c r="AJ246" s="866"/>
      <c r="AK246" s="866"/>
      <c r="AL246" s="866"/>
      <c r="AM246" s="872"/>
      <c r="AN246" s="873"/>
      <c r="AO246" s="874"/>
      <c r="AP246" s="872"/>
      <c r="AQ246" s="872"/>
      <c r="AZ246" s="876"/>
    </row>
    <row r="247" spans="1:52" s="875" customFormat="1">
      <c r="A247" s="860"/>
      <c r="B247" s="861" t="s">
        <v>700</v>
      </c>
      <c r="C247" s="863"/>
      <c r="D247" s="863"/>
      <c r="E247" s="863"/>
      <c r="F247" s="863"/>
      <c r="G247" s="863"/>
      <c r="H247" s="863"/>
      <c r="I247" s="863"/>
      <c r="J247" s="863"/>
      <c r="K247" s="863"/>
      <c r="L247" s="862"/>
      <c r="M247" s="862"/>
      <c r="N247" s="862"/>
      <c r="O247" s="862"/>
      <c r="P247" s="862"/>
      <c r="Q247" s="862"/>
      <c r="R247" s="862"/>
      <c r="S247" s="864"/>
      <c r="T247" s="864"/>
      <c r="U247" s="862"/>
      <c r="V247" s="862"/>
      <c r="W247" s="862"/>
      <c r="X247" s="862"/>
      <c r="Y247" s="864"/>
      <c r="Z247" s="865"/>
      <c r="AA247" s="864"/>
      <c r="AB247" s="864"/>
      <c r="AC247" s="862"/>
      <c r="AD247" s="862"/>
      <c r="AE247" s="862"/>
      <c r="AF247" s="866"/>
      <c r="AG247" s="866"/>
      <c r="AH247" s="866"/>
      <c r="AI247" s="866"/>
      <c r="AJ247" s="866"/>
      <c r="AK247" s="866"/>
      <c r="AL247" s="866"/>
      <c r="AM247" s="872"/>
      <c r="AN247" s="873"/>
      <c r="AO247" s="874"/>
      <c r="AP247" s="872"/>
      <c r="AQ247" s="872"/>
      <c r="AZ247" s="876"/>
    </row>
    <row r="248" spans="1:52" s="875" customFormat="1">
      <c r="A248" s="860"/>
      <c r="B248" s="861" t="s">
        <v>701</v>
      </c>
      <c r="C248" s="863"/>
      <c r="D248" s="863"/>
      <c r="E248" s="863"/>
      <c r="F248" s="863"/>
      <c r="G248" s="863"/>
      <c r="H248" s="863"/>
      <c r="I248" s="863"/>
      <c r="J248" s="863"/>
      <c r="K248" s="863"/>
      <c r="L248" s="862"/>
      <c r="M248" s="862"/>
      <c r="N248" s="862"/>
      <c r="O248" s="862"/>
      <c r="P248" s="862"/>
      <c r="Q248" s="862"/>
      <c r="R248" s="862"/>
      <c r="S248" s="864"/>
      <c r="T248" s="864"/>
      <c r="U248" s="862"/>
      <c r="V248" s="862"/>
      <c r="W248" s="862"/>
      <c r="X248" s="862"/>
      <c r="Y248" s="864"/>
      <c r="Z248" s="865"/>
      <c r="AA248" s="864"/>
      <c r="AB248" s="864"/>
      <c r="AC248" s="862"/>
      <c r="AD248" s="862"/>
      <c r="AE248" s="862"/>
      <c r="AF248" s="866"/>
      <c r="AG248" s="866"/>
      <c r="AH248" s="866"/>
      <c r="AI248" s="866"/>
      <c r="AJ248" s="866"/>
      <c r="AK248" s="866"/>
      <c r="AL248" s="866"/>
      <c r="AM248" s="872"/>
      <c r="AN248" s="873"/>
      <c r="AO248" s="874"/>
      <c r="AP248" s="872"/>
      <c r="AQ248" s="872"/>
      <c r="AZ248" s="876"/>
    </row>
    <row r="249" spans="1:52" s="875" customFormat="1">
      <c r="A249" s="860"/>
      <c r="B249" s="861" t="s">
        <v>702</v>
      </c>
      <c r="C249" s="863"/>
      <c r="D249" s="863"/>
      <c r="E249" s="863"/>
      <c r="F249" s="863"/>
      <c r="G249" s="863"/>
      <c r="H249" s="863"/>
      <c r="I249" s="863"/>
      <c r="J249" s="863"/>
      <c r="K249" s="863"/>
      <c r="L249" s="862"/>
      <c r="M249" s="862"/>
      <c r="N249" s="862"/>
      <c r="O249" s="862"/>
      <c r="P249" s="862"/>
      <c r="Q249" s="862"/>
      <c r="R249" s="862"/>
      <c r="S249" s="864"/>
      <c r="T249" s="864"/>
      <c r="U249" s="862"/>
      <c r="V249" s="862"/>
      <c r="W249" s="862"/>
      <c r="X249" s="862"/>
      <c r="Y249" s="864"/>
      <c r="Z249" s="865"/>
      <c r="AA249" s="864"/>
      <c r="AB249" s="864"/>
      <c r="AC249" s="862"/>
      <c r="AD249" s="862"/>
      <c r="AE249" s="862"/>
      <c r="AF249" s="866"/>
      <c r="AG249" s="866"/>
      <c r="AH249" s="866"/>
      <c r="AI249" s="866"/>
      <c r="AJ249" s="866"/>
      <c r="AK249" s="866"/>
      <c r="AL249" s="866"/>
      <c r="AM249" s="872"/>
      <c r="AN249" s="873"/>
      <c r="AO249" s="874"/>
      <c r="AP249" s="872"/>
      <c r="AQ249" s="872"/>
      <c r="AZ249" s="876"/>
    </row>
    <row r="250" spans="1:52" s="614" customFormat="1">
      <c r="A250" s="848"/>
      <c r="B250" s="861" t="s">
        <v>703</v>
      </c>
      <c r="C250" s="850"/>
      <c r="D250" s="850"/>
      <c r="E250" s="850"/>
      <c r="F250" s="850"/>
      <c r="G250" s="850"/>
      <c r="H250" s="850"/>
      <c r="I250" s="850"/>
      <c r="J250" s="850"/>
      <c r="K250" s="850"/>
      <c r="L250" s="849"/>
      <c r="M250" s="849"/>
      <c r="N250" s="849"/>
      <c r="O250" s="849"/>
      <c r="P250" s="849"/>
      <c r="Q250" s="849"/>
      <c r="R250" s="849"/>
      <c r="S250" s="851"/>
      <c r="T250" s="851"/>
      <c r="U250" s="849"/>
      <c r="V250" s="849"/>
      <c r="W250" s="849"/>
      <c r="X250" s="849"/>
      <c r="Y250" s="851"/>
      <c r="Z250" s="852"/>
      <c r="AA250" s="851"/>
      <c r="AB250" s="851"/>
      <c r="AC250" s="849"/>
      <c r="AD250" s="849"/>
      <c r="AE250" s="849"/>
      <c r="AF250" s="853"/>
      <c r="AG250" s="853"/>
      <c r="AH250" s="853"/>
      <c r="AI250" s="853"/>
      <c r="AJ250" s="853"/>
      <c r="AK250" s="853"/>
      <c r="AL250" s="853"/>
      <c r="AM250" s="612"/>
      <c r="AN250" s="610"/>
      <c r="AO250" s="608"/>
      <c r="AP250" s="612"/>
      <c r="AQ250" s="612"/>
      <c r="AZ250" s="615"/>
    </row>
    <row r="251" spans="1:52" s="614" customFormat="1">
      <c r="A251" s="848"/>
      <c r="B251" s="861" t="s">
        <v>704</v>
      </c>
      <c r="C251" s="850"/>
      <c r="D251" s="850"/>
      <c r="E251" s="850"/>
      <c r="F251" s="850"/>
      <c r="G251" s="850"/>
      <c r="H251" s="850"/>
      <c r="I251" s="850"/>
      <c r="J251" s="850"/>
      <c r="K251" s="850"/>
      <c r="L251" s="849"/>
      <c r="M251" s="849"/>
      <c r="N251" s="849"/>
      <c r="O251" s="849"/>
      <c r="P251" s="849"/>
      <c r="Q251" s="849"/>
      <c r="R251" s="849"/>
      <c r="S251" s="851"/>
      <c r="T251" s="851"/>
      <c r="U251" s="849"/>
      <c r="V251" s="849"/>
      <c r="W251" s="849"/>
      <c r="X251" s="849"/>
      <c r="Y251" s="851"/>
      <c r="Z251" s="852"/>
      <c r="AA251" s="851"/>
      <c r="AB251" s="851"/>
      <c r="AC251" s="849"/>
      <c r="AD251" s="849"/>
      <c r="AE251" s="849"/>
      <c r="AF251" s="853"/>
      <c r="AG251" s="853"/>
      <c r="AH251" s="853"/>
      <c r="AI251" s="853"/>
      <c r="AJ251" s="853"/>
      <c r="AK251" s="853"/>
      <c r="AL251" s="853"/>
      <c r="AM251" s="612"/>
      <c r="AN251" s="610"/>
      <c r="AO251" s="608"/>
      <c r="AP251" s="612"/>
      <c r="AQ251" s="612"/>
      <c r="AZ251" s="615"/>
    </row>
    <row r="252" spans="1:52" s="614" customFormat="1">
      <c r="A252" s="848"/>
      <c r="B252" s="848"/>
      <c r="C252" s="850"/>
      <c r="D252" s="850"/>
      <c r="E252" s="850"/>
      <c r="F252" s="850"/>
      <c r="G252" s="850"/>
      <c r="H252" s="850"/>
      <c r="I252" s="850"/>
      <c r="J252" s="850"/>
      <c r="K252" s="850"/>
      <c r="L252" s="849">
        <f>U236+AC236+AD236+AE236</f>
        <v>1218828</v>
      </c>
      <c r="M252" s="849"/>
      <c r="N252" s="849">
        <f>BA236+BB236+BC236</f>
        <v>104703</v>
      </c>
      <c r="O252" s="849"/>
      <c r="P252" s="849"/>
      <c r="Q252" s="849"/>
      <c r="R252" s="849"/>
      <c r="S252" s="851"/>
      <c r="T252" s="851"/>
      <c r="U252" s="849">
        <f>U236-U238</f>
        <v>0</v>
      </c>
      <c r="V252" s="849"/>
      <c r="W252" s="849"/>
      <c r="X252" s="849"/>
      <c r="Y252" s="851"/>
      <c r="Z252" s="852"/>
      <c r="AA252" s="851"/>
      <c r="AB252" s="851"/>
      <c r="AC252" s="849"/>
      <c r="AD252" s="849"/>
      <c r="AE252" s="849"/>
      <c r="AF252" s="853"/>
      <c r="AG252" s="853"/>
      <c r="AH252" s="853"/>
      <c r="AI252" s="853"/>
      <c r="AJ252" s="853"/>
      <c r="AK252" s="853"/>
      <c r="AL252" s="853"/>
      <c r="AM252" s="612"/>
      <c r="AN252" s="610"/>
      <c r="AO252" s="608"/>
      <c r="AP252" s="612"/>
      <c r="AQ252" s="612"/>
      <c r="AZ252" s="615"/>
    </row>
    <row r="253" spans="1:52" s="614" customFormat="1">
      <c r="A253" s="848"/>
      <c r="B253" s="848"/>
      <c r="C253" s="850"/>
      <c r="D253" s="850"/>
      <c r="E253" s="850"/>
      <c r="F253" s="850"/>
      <c r="G253" s="850"/>
      <c r="H253" s="850"/>
      <c r="I253" s="850"/>
      <c r="J253" s="850"/>
      <c r="K253" s="850"/>
      <c r="L253" s="849"/>
      <c r="M253" s="849"/>
      <c r="N253" s="849"/>
      <c r="O253" s="849"/>
      <c r="P253" s="849"/>
      <c r="Q253" s="849"/>
      <c r="R253" s="849"/>
      <c r="S253" s="851"/>
      <c r="T253" s="851"/>
      <c r="U253" s="849"/>
      <c r="V253" s="849"/>
      <c r="W253" s="849"/>
      <c r="X253" s="849"/>
      <c r="Y253" s="851"/>
      <c r="Z253" s="852"/>
      <c r="AA253" s="851"/>
      <c r="AB253" s="851"/>
      <c r="AC253" s="849"/>
      <c r="AD253" s="849"/>
      <c r="AE253" s="849"/>
      <c r="AF253" s="853"/>
      <c r="AG253" s="853"/>
      <c r="AH253" s="853"/>
      <c r="AI253" s="853"/>
      <c r="AJ253" s="853"/>
      <c r="AK253" s="853"/>
      <c r="AL253" s="853"/>
      <c r="AM253" s="612"/>
      <c r="AN253" s="610"/>
      <c r="AO253" s="608"/>
      <c r="AP253" s="612"/>
      <c r="AQ253" s="612"/>
      <c r="AZ253" s="615"/>
    </row>
    <row r="254" spans="1:52" s="614" customFormat="1">
      <c r="A254" s="848"/>
      <c r="B254" s="848"/>
      <c r="C254" s="850"/>
      <c r="D254" s="850"/>
      <c r="E254" s="850"/>
      <c r="F254" s="850"/>
      <c r="G254" s="850"/>
      <c r="H254" s="850"/>
      <c r="I254" s="850"/>
      <c r="J254" s="850"/>
      <c r="K254" s="850"/>
      <c r="L254" s="849"/>
      <c r="M254" s="849"/>
      <c r="N254" s="849"/>
      <c r="O254" s="849"/>
      <c r="P254" s="849"/>
      <c r="Q254" s="849"/>
      <c r="R254" s="849"/>
      <c r="S254" s="851"/>
      <c r="T254" s="851"/>
      <c r="U254" s="849"/>
      <c r="V254" s="849"/>
      <c r="W254" s="849"/>
      <c r="X254" s="849"/>
      <c r="Y254" s="851"/>
      <c r="Z254" s="852"/>
      <c r="AA254" s="851"/>
      <c r="AB254" s="851"/>
      <c r="AC254" s="849"/>
      <c r="AD254" s="849"/>
      <c r="AE254" s="849"/>
      <c r="AF254" s="853"/>
      <c r="AG254" s="853"/>
      <c r="AH254" s="853"/>
      <c r="AI254" s="853"/>
      <c r="AJ254" s="853"/>
      <c r="AK254" s="853"/>
      <c r="AL254" s="853"/>
      <c r="AM254" s="612"/>
      <c r="AN254" s="610"/>
      <c r="AO254" s="608"/>
      <c r="AP254" s="612"/>
      <c r="AQ254" s="612"/>
      <c r="AZ254" s="615"/>
    </row>
    <row r="255" spans="1:52" s="614" customFormat="1">
      <c r="A255" s="848"/>
      <c r="B255" s="848"/>
      <c r="C255" s="850"/>
      <c r="D255" s="850"/>
      <c r="E255" s="850"/>
      <c r="F255" s="850"/>
      <c r="G255" s="850"/>
      <c r="H255" s="850"/>
      <c r="I255" s="850"/>
      <c r="J255" s="850"/>
      <c r="K255" s="850"/>
      <c r="L255" s="849"/>
      <c r="M255" s="849"/>
      <c r="N255" s="849"/>
      <c r="O255" s="849"/>
      <c r="P255" s="849"/>
      <c r="Q255" s="849"/>
      <c r="R255" s="849"/>
      <c r="S255" s="851"/>
      <c r="T255" s="851"/>
      <c r="U255" s="849"/>
      <c r="V255" s="849"/>
      <c r="W255" s="849"/>
      <c r="X255" s="849"/>
      <c r="Y255" s="851"/>
      <c r="Z255" s="852"/>
      <c r="AA255" s="851"/>
      <c r="AB255" s="851"/>
      <c r="AC255" s="849"/>
      <c r="AD255" s="849"/>
      <c r="AE255" s="849"/>
      <c r="AF255" s="853"/>
      <c r="AG255" s="853"/>
      <c r="AH255" s="853"/>
      <c r="AI255" s="853"/>
      <c r="AJ255" s="853"/>
      <c r="AK255" s="853"/>
      <c r="AL255" s="853"/>
      <c r="AM255" s="612"/>
      <c r="AN255" s="610"/>
      <c r="AO255" s="608"/>
      <c r="AP255" s="612"/>
      <c r="AQ255" s="612"/>
      <c r="AZ255" s="615"/>
    </row>
    <row r="256" spans="1:52" s="614" customFormat="1">
      <c r="A256" s="848"/>
      <c r="B256" s="848"/>
      <c r="C256" s="850"/>
      <c r="D256" s="850"/>
      <c r="E256" s="850"/>
      <c r="F256" s="850"/>
      <c r="G256" s="850"/>
      <c r="H256" s="850"/>
      <c r="I256" s="850"/>
      <c r="J256" s="850"/>
      <c r="K256" s="850"/>
      <c r="L256" s="849"/>
      <c r="M256" s="849"/>
      <c r="N256" s="849"/>
      <c r="O256" s="849"/>
      <c r="P256" s="849"/>
      <c r="Q256" s="849"/>
      <c r="R256" s="849"/>
      <c r="S256" s="851"/>
      <c r="T256" s="851"/>
      <c r="U256" s="849"/>
      <c r="V256" s="849"/>
      <c r="W256" s="849"/>
      <c r="X256" s="849"/>
      <c r="Y256" s="851"/>
      <c r="Z256" s="852"/>
      <c r="AA256" s="851"/>
      <c r="AB256" s="851"/>
      <c r="AC256" s="849"/>
      <c r="AD256" s="849"/>
      <c r="AE256" s="849"/>
      <c r="AF256" s="853"/>
      <c r="AG256" s="853"/>
      <c r="AH256" s="853"/>
      <c r="AI256" s="853"/>
      <c r="AJ256" s="853"/>
      <c r="AK256" s="853"/>
      <c r="AL256" s="853"/>
      <c r="AM256" s="612"/>
      <c r="AN256" s="610"/>
      <c r="AO256" s="608"/>
      <c r="AP256" s="612"/>
      <c r="AQ256" s="612"/>
      <c r="AZ256" s="615"/>
    </row>
    <row r="257" spans="1:52" s="614" customFormat="1">
      <c r="A257" s="848"/>
      <c r="B257" s="848"/>
      <c r="C257" s="850"/>
      <c r="D257" s="850"/>
      <c r="E257" s="850"/>
      <c r="F257" s="850"/>
      <c r="G257" s="850"/>
      <c r="H257" s="850"/>
      <c r="I257" s="850"/>
      <c r="J257" s="850"/>
      <c r="K257" s="850"/>
      <c r="L257" s="849"/>
      <c r="M257" s="849"/>
      <c r="N257" s="849"/>
      <c r="O257" s="849"/>
      <c r="P257" s="849"/>
      <c r="Q257" s="849"/>
      <c r="R257" s="849"/>
      <c r="S257" s="851"/>
      <c r="T257" s="851"/>
      <c r="U257" s="849"/>
      <c r="V257" s="849"/>
      <c r="W257" s="849"/>
      <c r="X257" s="849"/>
      <c r="Y257" s="851"/>
      <c r="Z257" s="852"/>
      <c r="AA257" s="851"/>
      <c r="AB257" s="851"/>
      <c r="AC257" s="849"/>
      <c r="AD257" s="849"/>
      <c r="AE257" s="849"/>
      <c r="AF257" s="853"/>
      <c r="AG257" s="853"/>
      <c r="AH257" s="853"/>
      <c r="AI257" s="853"/>
      <c r="AJ257" s="853"/>
      <c r="AK257" s="853"/>
      <c r="AL257" s="853"/>
      <c r="AM257" s="612"/>
      <c r="AN257" s="610"/>
      <c r="AO257" s="608"/>
      <c r="AP257" s="612"/>
      <c r="AQ257" s="612"/>
      <c r="AZ257" s="615"/>
    </row>
    <row r="258" spans="1:52" s="614" customFormat="1">
      <c r="A258" s="848"/>
      <c r="B258" s="848"/>
      <c r="C258" s="850"/>
      <c r="D258" s="850"/>
      <c r="E258" s="850"/>
      <c r="F258" s="850"/>
      <c r="G258" s="850"/>
      <c r="H258" s="850"/>
      <c r="I258" s="850"/>
      <c r="J258" s="850"/>
      <c r="K258" s="850"/>
      <c r="L258" s="849"/>
      <c r="M258" s="849"/>
      <c r="N258" s="849">
        <f>N238-N252</f>
        <v>-104703</v>
      </c>
      <c r="O258" s="849"/>
      <c r="P258" s="849"/>
      <c r="Q258" s="849"/>
      <c r="R258" s="849"/>
      <c r="S258" s="851"/>
      <c r="T258" s="851"/>
      <c r="U258" s="849"/>
      <c r="V258" s="849"/>
      <c r="W258" s="849"/>
      <c r="X258" s="849"/>
      <c r="Y258" s="851"/>
      <c r="Z258" s="852"/>
      <c r="AA258" s="851"/>
      <c r="AB258" s="851"/>
      <c r="AC258" s="849"/>
      <c r="AD258" s="849"/>
      <c r="AE258" s="849"/>
      <c r="AF258" s="853"/>
      <c r="AG258" s="853"/>
      <c r="AH258" s="853"/>
      <c r="AI258" s="853"/>
      <c r="AJ258" s="853"/>
      <c r="AK258" s="853"/>
      <c r="AL258" s="853"/>
      <c r="AM258" s="612"/>
      <c r="AN258" s="610"/>
      <c r="AO258" s="608"/>
      <c r="AP258" s="612"/>
      <c r="AQ258" s="612"/>
      <c r="AZ258" s="615"/>
    </row>
    <row r="259" spans="1:52" s="614" customFormat="1">
      <c r="A259" s="848"/>
      <c r="B259" s="848"/>
      <c r="C259" s="3032" t="s">
        <v>705</v>
      </c>
      <c r="D259" s="3032"/>
      <c r="E259" s="3032" t="s">
        <v>706</v>
      </c>
      <c r="F259" s="3032"/>
      <c r="G259" s="3032"/>
      <c r="H259" s="850"/>
      <c r="I259" s="850"/>
      <c r="J259" s="850"/>
      <c r="K259" s="850"/>
      <c r="L259" s="849"/>
      <c r="M259" s="849"/>
      <c r="N259" s="849"/>
      <c r="O259" s="849"/>
      <c r="P259" s="849"/>
      <c r="Q259" s="849"/>
      <c r="R259" s="849"/>
      <c r="S259" s="851"/>
      <c r="T259" s="851"/>
      <c r="U259" s="849"/>
      <c r="V259" s="849"/>
      <c r="W259" s="849"/>
      <c r="X259" s="849"/>
      <c r="Y259" s="851"/>
      <c r="Z259" s="852"/>
      <c r="AA259" s="851"/>
      <c r="AB259" s="851"/>
      <c r="AC259" s="849"/>
      <c r="AD259" s="849"/>
      <c r="AE259" s="849"/>
      <c r="AF259" s="853"/>
      <c r="AG259" s="853"/>
      <c r="AH259" s="853"/>
      <c r="AI259" s="853"/>
      <c r="AJ259" s="853"/>
      <c r="AK259" s="853"/>
      <c r="AL259" s="853"/>
      <c r="AM259" s="612"/>
      <c r="AN259" s="610"/>
      <c r="AO259" s="608"/>
      <c r="AP259" s="612"/>
      <c r="AQ259" s="612"/>
      <c r="AZ259" s="615"/>
    </row>
    <row r="260" spans="1:52" s="614" customFormat="1">
      <c r="A260" s="848"/>
      <c r="B260" s="848" t="s">
        <v>707</v>
      </c>
      <c r="C260" s="850"/>
      <c r="D260" s="850">
        <f>E236+F236</f>
        <v>6826</v>
      </c>
      <c r="E260" s="850"/>
      <c r="F260" s="850">
        <f>I236</f>
        <v>441</v>
      </c>
      <c r="G260" s="850"/>
      <c r="H260" s="850"/>
      <c r="I260" s="850"/>
      <c r="J260" s="850"/>
      <c r="K260" s="850"/>
      <c r="L260" s="849"/>
      <c r="M260" s="849">
        <f>M236</f>
        <v>572275</v>
      </c>
      <c r="N260" s="849"/>
      <c r="O260" s="3032">
        <f>N236+O236+P236</f>
        <v>102150</v>
      </c>
      <c r="P260" s="3032"/>
      <c r="Q260" s="849"/>
      <c r="R260" s="849"/>
      <c r="S260" s="851"/>
      <c r="T260" s="851"/>
      <c r="U260" s="849"/>
      <c r="V260" s="849"/>
      <c r="W260" s="849"/>
      <c r="X260" s="849"/>
      <c r="Y260" s="851"/>
      <c r="Z260" s="852"/>
      <c r="AA260" s="851"/>
      <c r="AB260" s="851"/>
      <c r="AC260" s="849"/>
      <c r="AD260" s="849"/>
      <c r="AE260" s="849"/>
      <c r="AF260" s="853"/>
      <c r="AG260" s="853"/>
      <c r="AH260" s="853"/>
      <c r="AI260" s="853"/>
      <c r="AJ260" s="853"/>
      <c r="AK260" s="853"/>
      <c r="AL260" s="853"/>
      <c r="AM260" s="612"/>
      <c r="AN260" s="610"/>
      <c r="AO260" s="608"/>
      <c r="AP260" s="612"/>
      <c r="AQ260" s="612"/>
      <c r="AZ260" s="615"/>
    </row>
    <row r="261" spans="1:52" s="614" customFormat="1">
      <c r="A261" s="848"/>
      <c r="B261" s="848" t="s">
        <v>708</v>
      </c>
      <c r="C261" s="850"/>
      <c r="D261" s="850">
        <f>AS236+AT236</f>
        <v>8412</v>
      </c>
      <c r="E261" s="850"/>
      <c r="F261" s="850">
        <f>AW236</f>
        <v>606</v>
      </c>
      <c r="G261" s="850"/>
      <c r="H261" s="850"/>
      <c r="I261" s="850"/>
      <c r="J261" s="850"/>
      <c r="K261" s="850"/>
      <c r="L261" s="849"/>
      <c r="M261" s="849">
        <v>577817</v>
      </c>
      <c r="N261" s="849"/>
      <c r="O261" s="3032">
        <f>BA236+BB236+BC236</f>
        <v>104703</v>
      </c>
      <c r="P261" s="3032"/>
      <c r="Q261" s="849"/>
      <c r="R261" s="849"/>
      <c r="S261" s="851"/>
      <c r="T261" s="851"/>
      <c r="U261" s="849"/>
      <c r="V261" s="849"/>
      <c r="W261" s="849"/>
      <c r="X261" s="849"/>
      <c r="Y261" s="851"/>
      <c r="Z261" s="852"/>
      <c r="AA261" s="851"/>
      <c r="AB261" s="851"/>
      <c r="AC261" s="849"/>
      <c r="AD261" s="849"/>
      <c r="AE261" s="849"/>
      <c r="AF261" s="853"/>
      <c r="AG261" s="853"/>
      <c r="AH261" s="853"/>
      <c r="AI261" s="853"/>
      <c r="AJ261" s="853"/>
      <c r="AK261" s="853"/>
      <c r="AL261" s="853"/>
      <c r="AM261" s="612"/>
      <c r="AN261" s="610"/>
      <c r="AO261" s="608"/>
      <c r="AP261" s="612"/>
      <c r="AQ261" s="612"/>
      <c r="AZ261" s="615"/>
    </row>
    <row r="262" spans="1:52" s="614" customFormat="1">
      <c r="A262" s="848"/>
      <c r="B262" s="848"/>
      <c r="C262" s="850"/>
      <c r="D262" s="850"/>
      <c r="E262" s="850"/>
      <c r="F262" s="850"/>
      <c r="G262" s="850"/>
      <c r="H262" s="850"/>
      <c r="I262" s="850"/>
      <c r="J262" s="850"/>
      <c r="K262" s="850"/>
      <c r="L262" s="849"/>
      <c r="M262" s="849"/>
      <c r="N262" s="849"/>
      <c r="O262" s="849"/>
      <c r="P262" s="849"/>
      <c r="Q262" s="849"/>
      <c r="R262" s="849"/>
      <c r="S262" s="851"/>
      <c r="T262" s="851"/>
      <c r="U262" s="849"/>
      <c r="V262" s="849"/>
      <c r="W262" s="849"/>
      <c r="X262" s="849"/>
      <c r="Y262" s="851"/>
      <c r="Z262" s="852"/>
      <c r="AA262" s="851"/>
      <c r="AB262" s="851"/>
      <c r="AC262" s="849"/>
      <c r="AD262" s="849"/>
      <c r="AE262" s="849"/>
      <c r="AF262" s="853"/>
      <c r="AG262" s="853"/>
      <c r="AH262" s="853"/>
      <c r="AI262" s="853"/>
      <c r="AJ262" s="853"/>
      <c r="AK262" s="853"/>
      <c r="AL262" s="853"/>
      <c r="AM262" s="612"/>
      <c r="AN262" s="610"/>
      <c r="AO262" s="608"/>
      <c r="AP262" s="612"/>
      <c r="AQ262" s="612"/>
      <c r="AZ262" s="615"/>
    </row>
    <row r="263" spans="1:52" s="614" customFormat="1">
      <c r="A263" s="848"/>
      <c r="B263" s="848"/>
      <c r="C263" s="850"/>
      <c r="D263" s="850"/>
      <c r="E263" s="850"/>
      <c r="F263" s="850"/>
      <c r="G263" s="850"/>
      <c r="H263" s="850"/>
      <c r="I263" s="850"/>
      <c r="J263" s="850"/>
      <c r="K263" s="850"/>
      <c r="L263" s="849"/>
      <c r="M263" s="849"/>
      <c r="N263" s="849"/>
      <c r="O263" s="849"/>
      <c r="P263" s="849"/>
      <c r="Q263" s="849"/>
      <c r="R263" s="849"/>
      <c r="S263" s="851"/>
      <c r="T263" s="851"/>
      <c r="U263" s="849"/>
      <c r="V263" s="849"/>
      <c r="W263" s="849"/>
      <c r="X263" s="849"/>
      <c r="Y263" s="851"/>
      <c r="Z263" s="852"/>
      <c r="AA263" s="851"/>
      <c r="AB263" s="851"/>
      <c r="AC263" s="849"/>
      <c r="AD263" s="849"/>
      <c r="AE263" s="849"/>
      <c r="AF263" s="853"/>
      <c r="AG263" s="853"/>
      <c r="AH263" s="853"/>
      <c r="AI263" s="853"/>
      <c r="AJ263" s="853"/>
      <c r="AK263" s="853"/>
      <c r="AL263" s="853"/>
      <c r="AM263" s="612"/>
      <c r="AN263" s="610"/>
      <c r="AO263" s="608"/>
      <c r="AP263" s="612"/>
      <c r="AQ263" s="612"/>
      <c r="AZ263" s="615"/>
    </row>
    <row r="264" spans="1:52" s="614" customFormat="1">
      <c r="A264" s="848"/>
      <c r="B264" s="848"/>
      <c r="C264" s="850"/>
      <c r="D264" s="850"/>
      <c r="E264" s="850"/>
      <c r="F264" s="850"/>
      <c r="G264" s="850"/>
      <c r="H264" s="850"/>
      <c r="I264" s="850"/>
      <c r="J264" s="850"/>
      <c r="K264" s="850"/>
      <c r="L264" s="849"/>
      <c r="M264" s="849">
        <f>M260-M261</f>
        <v>-5542</v>
      </c>
      <c r="N264" s="849"/>
      <c r="O264" s="877">
        <f>O260-O261</f>
        <v>-2553</v>
      </c>
      <c r="P264" s="849"/>
      <c r="Q264" s="849"/>
      <c r="R264" s="849"/>
      <c r="S264" s="851"/>
      <c r="T264" s="851"/>
      <c r="U264" s="849"/>
      <c r="V264" s="849"/>
      <c r="W264" s="849"/>
      <c r="X264" s="849"/>
      <c r="Y264" s="851"/>
      <c r="Z264" s="852"/>
      <c r="AA264" s="851"/>
      <c r="AB264" s="851"/>
      <c r="AC264" s="849"/>
      <c r="AD264" s="849"/>
      <c r="AE264" s="849"/>
      <c r="AF264" s="853"/>
      <c r="AG264" s="853"/>
      <c r="AH264" s="853"/>
      <c r="AI264" s="853"/>
      <c r="AJ264" s="853"/>
      <c r="AK264" s="853"/>
      <c r="AL264" s="853"/>
      <c r="AM264" s="612"/>
      <c r="AN264" s="610"/>
      <c r="AO264" s="608"/>
      <c r="AP264" s="612"/>
      <c r="AQ264" s="612"/>
      <c r="AZ264" s="615"/>
    </row>
    <row r="265" spans="1:52" s="614" customFormat="1">
      <c r="A265" s="848"/>
      <c r="B265" s="848"/>
      <c r="C265" s="850"/>
      <c r="D265" s="850"/>
      <c r="E265" s="850"/>
      <c r="F265" s="850"/>
      <c r="G265" s="850"/>
      <c r="H265" s="850"/>
      <c r="I265" s="850"/>
      <c r="J265" s="850"/>
      <c r="K265" s="850"/>
      <c r="L265" s="849"/>
      <c r="M265" s="849"/>
      <c r="N265" s="849"/>
      <c r="O265" s="849"/>
      <c r="P265" s="849"/>
      <c r="Q265" s="849"/>
      <c r="R265" s="849"/>
      <c r="S265" s="851"/>
      <c r="T265" s="851"/>
      <c r="U265" s="849"/>
      <c r="V265" s="849"/>
      <c r="W265" s="849"/>
      <c r="X265" s="849"/>
      <c r="Y265" s="851"/>
      <c r="Z265" s="852"/>
      <c r="AA265" s="851"/>
      <c r="AB265" s="851"/>
      <c r="AC265" s="849"/>
      <c r="AD265" s="849"/>
      <c r="AE265" s="849"/>
      <c r="AF265" s="853"/>
      <c r="AG265" s="853"/>
      <c r="AH265" s="853"/>
      <c r="AI265" s="853"/>
      <c r="AJ265" s="853"/>
      <c r="AK265" s="853"/>
      <c r="AL265" s="853"/>
      <c r="AM265" s="612"/>
      <c r="AN265" s="610"/>
      <c r="AO265" s="608"/>
      <c r="AP265" s="612"/>
      <c r="AQ265" s="612"/>
      <c r="AZ265" s="615"/>
    </row>
    <row r="266" spans="1:52" s="614" customFormat="1">
      <c r="A266" s="848"/>
      <c r="B266" s="848"/>
      <c r="C266" s="850"/>
      <c r="D266" s="850"/>
      <c r="E266" s="850"/>
      <c r="F266" s="850"/>
      <c r="G266" s="850"/>
      <c r="H266" s="850"/>
      <c r="I266" s="850"/>
      <c r="J266" s="850"/>
      <c r="K266" s="850"/>
      <c r="L266" s="849"/>
      <c r="M266" s="849"/>
      <c r="N266" s="849"/>
      <c r="O266" s="849"/>
      <c r="P266" s="849"/>
      <c r="Q266" s="849"/>
      <c r="R266" s="849"/>
      <c r="S266" s="851"/>
      <c r="T266" s="851"/>
      <c r="U266" s="849"/>
      <c r="V266" s="849"/>
      <c r="W266" s="849"/>
      <c r="X266" s="849"/>
      <c r="Y266" s="851"/>
      <c r="Z266" s="852"/>
      <c r="AA266" s="851"/>
      <c r="AB266" s="851"/>
      <c r="AC266" s="849"/>
      <c r="AD266" s="849"/>
      <c r="AE266" s="849"/>
      <c r="AF266" s="853"/>
      <c r="AG266" s="853"/>
      <c r="AH266" s="853"/>
      <c r="AI266" s="853"/>
      <c r="AJ266" s="853"/>
      <c r="AK266" s="853"/>
      <c r="AL266" s="853"/>
      <c r="AM266" s="612"/>
      <c r="AN266" s="610"/>
      <c r="AO266" s="608"/>
      <c r="AP266" s="612"/>
      <c r="AQ266" s="612"/>
      <c r="AZ266" s="615"/>
    </row>
    <row r="267" spans="1:52" s="614" customFormat="1">
      <c r="A267" s="848"/>
      <c r="B267" s="848"/>
      <c r="C267" s="850"/>
      <c r="D267" s="850"/>
      <c r="E267" s="850"/>
      <c r="F267" s="850"/>
      <c r="G267" s="850"/>
      <c r="H267" s="850">
        <v>2019</v>
      </c>
      <c r="I267" s="850"/>
      <c r="J267" s="850">
        <v>77</v>
      </c>
      <c r="K267" s="850"/>
      <c r="L267" s="849">
        <v>66</v>
      </c>
      <c r="M267" s="849">
        <v>7642</v>
      </c>
      <c r="N267" s="849">
        <v>1282</v>
      </c>
      <c r="O267" s="849">
        <v>368</v>
      </c>
      <c r="P267" s="849">
        <v>330</v>
      </c>
      <c r="Q267" s="849"/>
      <c r="R267" s="849">
        <f>N267+O267+P267</f>
        <v>1980</v>
      </c>
      <c r="S267" s="851"/>
      <c r="T267" s="851"/>
      <c r="U267" s="849"/>
      <c r="V267" s="849"/>
      <c r="W267" s="849"/>
      <c r="X267" s="849"/>
      <c r="Y267" s="851"/>
      <c r="Z267" s="852"/>
      <c r="AA267" s="851"/>
      <c r="AB267" s="851"/>
      <c r="AC267" s="849"/>
      <c r="AD267" s="849"/>
      <c r="AE267" s="849"/>
      <c r="AF267" s="853"/>
      <c r="AG267" s="853"/>
      <c r="AH267" s="853"/>
      <c r="AI267" s="853"/>
      <c r="AJ267" s="853"/>
      <c r="AK267" s="853"/>
      <c r="AL267" s="853"/>
      <c r="AM267" s="612"/>
      <c r="AN267" s="610"/>
      <c r="AO267" s="608"/>
      <c r="AP267" s="612"/>
      <c r="AQ267" s="612"/>
      <c r="AZ267" s="615"/>
    </row>
    <row r="268" spans="1:52" s="614" customFormat="1">
      <c r="A268" s="848"/>
      <c r="B268" s="848"/>
      <c r="C268" s="850"/>
      <c r="D268" s="850"/>
      <c r="E268" s="850"/>
      <c r="F268" s="850"/>
      <c r="G268" s="850"/>
      <c r="H268" s="850">
        <v>2018</v>
      </c>
      <c r="I268" s="850"/>
      <c r="J268" s="850">
        <v>79</v>
      </c>
      <c r="K268" s="850"/>
      <c r="L268" s="849">
        <v>67</v>
      </c>
      <c r="M268" s="849">
        <v>7025</v>
      </c>
      <c r="N268" s="849">
        <v>1307</v>
      </c>
      <c r="O268" s="849">
        <v>368</v>
      </c>
      <c r="P268" s="849">
        <v>320</v>
      </c>
      <c r="Q268" s="849"/>
      <c r="R268" s="849">
        <f>N268+O268+P268</f>
        <v>1995</v>
      </c>
      <c r="S268" s="851"/>
      <c r="T268" s="851"/>
      <c r="U268" s="849"/>
      <c r="V268" s="849"/>
      <c r="W268" s="849"/>
      <c r="X268" s="849"/>
      <c r="Y268" s="851"/>
      <c r="Z268" s="852"/>
      <c r="AA268" s="851"/>
      <c r="AB268" s="851"/>
      <c r="AC268" s="849"/>
      <c r="AD268" s="849"/>
      <c r="AE268" s="849"/>
      <c r="AF268" s="853"/>
      <c r="AG268" s="853"/>
      <c r="AH268" s="853"/>
      <c r="AI268" s="853"/>
      <c r="AJ268" s="853"/>
      <c r="AK268" s="853"/>
      <c r="AL268" s="853"/>
      <c r="AM268" s="612"/>
      <c r="AN268" s="610"/>
      <c r="AO268" s="608"/>
      <c r="AP268" s="612"/>
      <c r="AQ268" s="612"/>
      <c r="AZ268" s="615"/>
    </row>
    <row r="269" spans="1:52" s="614" customFormat="1">
      <c r="A269" s="831"/>
      <c r="B269" s="878"/>
      <c r="C269" s="850"/>
      <c r="D269" s="850"/>
      <c r="E269" s="850"/>
      <c r="F269" s="850"/>
      <c r="G269" s="850"/>
      <c r="H269" s="850"/>
      <c r="I269" s="850"/>
      <c r="J269" s="850"/>
      <c r="K269" s="850"/>
      <c r="L269" s="849"/>
      <c r="M269" s="849"/>
      <c r="N269" s="849"/>
      <c r="O269" s="849"/>
      <c r="P269" s="849"/>
      <c r="Q269" s="849"/>
      <c r="R269" s="849"/>
      <c r="S269" s="851"/>
      <c r="T269" s="851"/>
      <c r="U269" s="849"/>
      <c r="V269" s="849"/>
      <c r="W269" s="849"/>
      <c r="X269" s="849"/>
      <c r="Y269" s="851"/>
      <c r="Z269" s="852"/>
      <c r="AA269" s="851"/>
      <c r="AB269" s="851"/>
      <c r="AC269" s="849"/>
      <c r="AD269" s="849"/>
      <c r="AE269" s="849"/>
      <c r="AF269" s="853"/>
      <c r="AG269" s="853"/>
      <c r="AH269" s="853"/>
      <c r="AI269" s="853"/>
      <c r="AJ269" s="853"/>
      <c r="AK269" s="853"/>
      <c r="AL269" s="853"/>
      <c r="AM269" s="612"/>
      <c r="AN269" s="610"/>
      <c r="AO269" s="608"/>
      <c r="AP269" s="612"/>
      <c r="AQ269" s="612"/>
      <c r="AZ269" s="615"/>
    </row>
    <row r="270" spans="1:52" s="614" customFormat="1">
      <c r="A270" s="831"/>
      <c r="B270" s="878"/>
      <c r="C270" s="850"/>
      <c r="D270" s="850"/>
      <c r="E270" s="850"/>
      <c r="F270" s="850"/>
      <c r="G270" s="850"/>
      <c r="H270" s="850"/>
      <c r="I270" s="850"/>
      <c r="J270" s="850"/>
      <c r="K270" s="850"/>
      <c r="L270" s="849"/>
      <c r="M270" s="849">
        <f t="shared" ref="M270:R270" si="338">M267-M268</f>
        <v>617</v>
      </c>
      <c r="N270" s="849">
        <f t="shared" si="338"/>
        <v>-25</v>
      </c>
      <c r="O270" s="849">
        <f t="shared" si="338"/>
        <v>0</v>
      </c>
      <c r="P270" s="849">
        <f t="shared" si="338"/>
        <v>10</v>
      </c>
      <c r="Q270" s="849">
        <f t="shared" si="338"/>
        <v>0</v>
      </c>
      <c r="R270" s="849">
        <f t="shared" si="338"/>
        <v>-15</v>
      </c>
      <c r="S270" s="851"/>
      <c r="T270" s="851"/>
      <c r="U270" s="849"/>
      <c r="V270" s="849"/>
      <c r="W270" s="849"/>
      <c r="X270" s="849"/>
      <c r="Y270" s="851"/>
      <c r="Z270" s="852"/>
      <c r="AA270" s="851"/>
      <c r="AB270" s="851"/>
      <c r="AC270" s="849"/>
      <c r="AD270" s="849"/>
      <c r="AE270" s="849"/>
      <c r="AF270" s="853"/>
      <c r="AG270" s="853"/>
      <c r="AH270" s="853"/>
      <c r="AI270" s="853"/>
      <c r="AJ270" s="853"/>
      <c r="AK270" s="853"/>
      <c r="AL270" s="853"/>
      <c r="AM270" s="612"/>
      <c r="AN270" s="610"/>
      <c r="AO270" s="608"/>
      <c r="AP270" s="612"/>
      <c r="AQ270" s="612"/>
      <c r="AZ270" s="615"/>
    </row>
    <row r="271" spans="1:52" s="614" customFormat="1">
      <c r="A271" s="831"/>
      <c r="B271" s="878"/>
      <c r="C271" s="850"/>
      <c r="D271" s="850"/>
      <c r="E271" s="850"/>
      <c r="F271" s="850"/>
      <c r="G271" s="850"/>
      <c r="H271" s="850"/>
      <c r="I271" s="850"/>
      <c r="J271" s="850"/>
      <c r="K271" s="850"/>
      <c r="L271" s="849"/>
      <c r="M271" s="849"/>
      <c r="N271" s="849"/>
      <c r="O271" s="849"/>
      <c r="P271" s="849"/>
      <c r="Q271" s="849"/>
      <c r="R271" s="849"/>
      <c r="S271" s="851"/>
      <c r="T271" s="851"/>
      <c r="U271" s="849"/>
      <c r="V271" s="849"/>
      <c r="W271" s="849"/>
      <c r="X271" s="849"/>
      <c r="Y271" s="851"/>
      <c r="Z271" s="852"/>
      <c r="AA271" s="851"/>
      <c r="AB271" s="851"/>
      <c r="AC271" s="849"/>
      <c r="AD271" s="849"/>
      <c r="AE271" s="849"/>
      <c r="AF271" s="853"/>
      <c r="AG271" s="853"/>
      <c r="AH271" s="853"/>
      <c r="AI271" s="853"/>
      <c r="AJ271" s="853"/>
      <c r="AK271" s="853"/>
      <c r="AL271" s="853"/>
      <c r="AM271" s="612"/>
      <c r="AN271" s="610"/>
      <c r="AO271" s="608"/>
      <c r="AP271" s="612"/>
      <c r="AQ271" s="612"/>
      <c r="AZ271" s="615"/>
    </row>
    <row r="272" spans="1:52" s="614" customFormat="1">
      <c r="A272" s="831"/>
      <c r="B272" s="878"/>
      <c r="C272" s="850"/>
      <c r="D272" s="850"/>
      <c r="E272" s="850"/>
      <c r="F272" s="850"/>
      <c r="G272" s="850"/>
      <c r="H272" s="850"/>
      <c r="I272" s="850"/>
      <c r="J272" s="850"/>
      <c r="K272" s="850"/>
      <c r="L272" s="849"/>
      <c r="M272" s="849"/>
      <c r="N272" s="849"/>
      <c r="O272" s="849"/>
      <c r="P272" s="849"/>
      <c r="Q272" s="849"/>
      <c r="R272" s="849"/>
      <c r="S272" s="851"/>
      <c r="T272" s="851"/>
      <c r="U272" s="849"/>
      <c r="V272" s="849"/>
      <c r="W272" s="849"/>
      <c r="X272" s="849"/>
      <c r="Y272" s="851"/>
      <c r="Z272" s="852"/>
      <c r="AA272" s="851"/>
      <c r="AB272" s="851"/>
      <c r="AC272" s="849"/>
      <c r="AD272" s="849"/>
      <c r="AE272" s="849"/>
      <c r="AF272" s="853"/>
      <c r="AG272" s="853"/>
      <c r="AH272" s="853"/>
      <c r="AI272" s="853"/>
      <c r="AJ272" s="853"/>
      <c r="AK272" s="853"/>
      <c r="AL272" s="853"/>
      <c r="AM272" s="612"/>
      <c r="AN272" s="610"/>
      <c r="AO272" s="608"/>
      <c r="AP272" s="612"/>
      <c r="AQ272" s="612"/>
      <c r="AZ272" s="615"/>
    </row>
    <row r="273" spans="1:52" s="614" customFormat="1">
      <c r="A273" s="831"/>
      <c r="B273" s="878"/>
      <c r="C273" s="850"/>
      <c r="D273" s="850"/>
      <c r="E273" s="850"/>
      <c r="F273" s="850"/>
      <c r="G273" s="850"/>
      <c r="H273" s="850"/>
      <c r="I273" s="850"/>
      <c r="J273" s="850"/>
      <c r="K273" s="850"/>
      <c r="L273" s="849"/>
      <c r="M273" s="849"/>
      <c r="N273" s="849"/>
      <c r="O273" s="849"/>
      <c r="P273" s="849"/>
      <c r="Q273" s="849"/>
      <c r="R273" s="849"/>
      <c r="S273" s="851"/>
      <c r="T273" s="851"/>
      <c r="U273" s="849"/>
      <c r="V273" s="849"/>
      <c r="W273" s="849"/>
      <c r="X273" s="849"/>
      <c r="Y273" s="851"/>
      <c r="Z273" s="852"/>
      <c r="AA273" s="851"/>
      <c r="AB273" s="851"/>
      <c r="AC273" s="849"/>
      <c r="AD273" s="849"/>
      <c r="AE273" s="849"/>
      <c r="AF273" s="853"/>
      <c r="AG273" s="853"/>
      <c r="AH273" s="853"/>
      <c r="AI273" s="853"/>
      <c r="AJ273" s="853"/>
      <c r="AK273" s="853"/>
      <c r="AL273" s="853"/>
      <c r="AM273" s="612"/>
      <c r="AN273" s="610"/>
      <c r="AO273" s="608"/>
      <c r="AP273" s="612"/>
      <c r="AQ273" s="612"/>
      <c r="AZ273" s="615"/>
    </row>
    <row r="274" spans="1:52" s="614" customFormat="1">
      <c r="A274" s="831"/>
      <c r="B274" s="878"/>
      <c r="C274" s="850"/>
      <c r="D274" s="850"/>
      <c r="E274" s="850"/>
      <c r="F274" s="850"/>
      <c r="G274" s="850"/>
      <c r="H274" s="850"/>
      <c r="I274" s="850"/>
      <c r="J274" s="850"/>
      <c r="K274" s="850"/>
      <c r="L274" s="849"/>
      <c r="M274" s="849"/>
      <c r="N274" s="849"/>
      <c r="O274" s="849"/>
      <c r="P274" s="849"/>
      <c r="Q274" s="849"/>
      <c r="R274" s="849"/>
      <c r="S274" s="851"/>
      <c r="T274" s="851"/>
      <c r="U274" s="849"/>
      <c r="V274" s="849"/>
      <c r="W274" s="849"/>
      <c r="X274" s="849"/>
      <c r="Y274" s="851"/>
      <c r="Z274" s="852"/>
      <c r="AA274" s="851"/>
      <c r="AB274" s="851"/>
      <c r="AC274" s="849"/>
      <c r="AD274" s="849"/>
      <c r="AE274" s="849"/>
      <c r="AF274" s="853"/>
      <c r="AG274" s="853"/>
      <c r="AH274" s="853"/>
      <c r="AI274" s="853"/>
      <c r="AJ274" s="853"/>
      <c r="AK274" s="853"/>
      <c r="AL274" s="853"/>
      <c r="AM274" s="612"/>
      <c r="AN274" s="610"/>
      <c r="AO274" s="608"/>
      <c r="AP274" s="612"/>
      <c r="AQ274" s="612"/>
      <c r="AZ274" s="615"/>
    </row>
    <row r="275" spans="1:52" s="614" customFormat="1">
      <c r="A275" s="831"/>
      <c r="B275" s="878"/>
      <c r="C275" s="850"/>
      <c r="D275" s="850"/>
      <c r="E275" s="850"/>
      <c r="F275" s="850"/>
      <c r="G275" s="850"/>
      <c r="H275" s="850"/>
      <c r="I275" s="850"/>
      <c r="J275" s="850"/>
      <c r="K275" s="850"/>
      <c r="L275" s="849"/>
      <c r="M275" s="849"/>
      <c r="N275" s="849"/>
      <c r="O275" s="849"/>
      <c r="P275" s="849"/>
      <c r="Q275" s="849"/>
      <c r="R275" s="849"/>
      <c r="S275" s="851"/>
      <c r="T275" s="851"/>
      <c r="U275" s="849"/>
      <c r="V275" s="849"/>
      <c r="W275" s="849"/>
      <c r="X275" s="849"/>
      <c r="Y275" s="851"/>
      <c r="Z275" s="852"/>
      <c r="AA275" s="851"/>
      <c r="AB275" s="851"/>
      <c r="AC275" s="849"/>
      <c r="AD275" s="849"/>
      <c r="AE275" s="849"/>
      <c r="AF275" s="853"/>
      <c r="AG275" s="853"/>
      <c r="AH275" s="853"/>
      <c r="AI275" s="853"/>
      <c r="AJ275" s="853"/>
      <c r="AK275" s="853"/>
      <c r="AL275" s="853"/>
      <c r="AM275" s="612"/>
      <c r="AN275" s="610"/>
      <c r="AO275" s="608"/>
      <c r="AP275" s="612"/>
      <c r="AQ275" s="612"/>
      <c r="AZ275" s="615"/>
    </row>
    <row r="276" spans="1:52" s="614" customFormat="1">
      <c r="A276" s="831"/>
      <c r="B276" s="878"/>
      <c r="C276" s="850"/>
      <c r="D276" s="850"/>
      <c r="E276" s="850"/>
      <c r="F276" s="850"/>
      <c r="G276" s="850"/>
      <c r="H276" s="850"/>
      <c r="I276" s="850"/>
      <c r="J276" s="850"/>
      <c r="K276" s="850"/>
      <c r="L276" s="849"/>
      <c r="M276" s="849"/>
      <c r="N276" s="849"/>
      <c r="O276" s="849"/>
      <c r="P276" s="849"/>
      <c r="Q276" s="849"/>
      <c r="R276" s="849"/>
      <c r="S276" s="851"/>
      <c r="T276" s="851"/>
      <c r="U276" s="849"/>
      <c r="V276" s="849"/>
      <c r="W276" s="849"/>
      <c r="X276" s="849"/>
      <c r="Y276" s="851"/>
      <c r="Z276" s="852"/>
      <c r="AA276" s="851"/>
      <c r="AB276" s="851"/>
      <c r="AC276" s="849"/>
      <c r="AD276" s="849"/>
      <c r="AE276" s="849"/>
      <c r="AF276" s="853"/>
      <c r="AG276" s="853"/>
      <c r="AH276" s="853"/>
      <c r="AI276" s="853"/>
      <c r="AJ276" s="853"/>
      <c r="AK276" s="853"/>
      <c r="AL276" s="853"/>
      <c r="AM276" s="612"/>
      <c r="AN276" s="610"/>
      <c r="AO276" s="608"/>
      <c r="AP276" s="612"/>
      <c r="AQ276" s="612"/>
      <c r="AZ276" s="615"/>
    </row>
    <row r="277" spans="1:52" s="797" customFormat="1">
      <c r="A277" s="879"/>
      <c r="B277" s="831"/>
      <c r="C277" s="848"/>
      <c r="D277" s="848"/>
      <c r="E277" s="850"/>
      <c r="F277" s="850"/>
      <c r="G277" s="850"/>
      <c r="H277" s="850"/>
      <c r="I277" s="850"/>
      <c r="J277" s="850"/>
      <c r="K277" s="850"/>
      <c r="L277" s="880"/>
      <c r="M277" s="781"/>
      <c r="N277" s="781"/>
      <c r="O277" s="781"/>
      <c r="P277" s="781"/>
      <c r="Q277" s="781"/>
      <c r="R277" s="781"/>
      <c r="S277" s="881"/>
      <c r="T277" s="881"/>
      <c r="U277" s="781"/>
      <c r="V277" s="781"/>
      <c r="W277" s="781"/>
      <c r="X277" s="781"/>
      <c r="Y277" s="881"/>
      <c r="Z277" s="882"/>
      <c r="AA277" s="881"/>
      <c r="AB277" s="881"/>
      <c r="AC277" s="781"/>
      <c r="AD277" s="781"/>
      <c r="AE277" s="781"/>
      <c r="AF277" s="883"/>
      <c r="AG277" s="883"/>
      <c r="AH277" s="883"/>
      <c r="AI277" s="883"/>
      <c r="AJ277" s="883"/>
      <c r="AK277" s="883"/>
      <c r="AL277" s="883"/>
      <c r="AM277" s="884"/>
      <c r="AN277" s="885"/>
      <c r="AO277" s="884"/>
      <c r="AP277" s="884"/>
      <c r="AQ277" s="884"/>
      <c r="AZ277" s="886"/>
    </row>
    <row r="278" spans="1:52" s="797" customFormat="1">
      <c r="A278" s="879"/>
      <c r="B278" s="831"/>
      <c r="C278" s="848"/>
      <c r="D278" s="848"/>
      <c r="E278" s="850"/>
      <c r="F278" s="850"/>
      <c r="G278" s="850"/>
      <c r="H278" s="850"/>
      <c r="I278" s="850"/>
      <c r="J278" s="850"/>
      <c r="K278" s="850"/>
      <c r="L278" s="887"/>
      <c r="M278" s="781"/>
      <c r="N278" s="781"/>
      <c r="O278" s="781"/>
      <c r="P278" s="781"/>
      <c r="Q278" s="781"/>
      <c r="R278" s="781"/>
      <c r="S278" s="881"/>
      <c r="T278" s="881"/>
      <c r="U278" s="781"/>
      <c r="V278" s="781"/>
      <c r="W278" s="781"/>
      <c r="X278" s="781"/>
      <c r="Y278" s="881"/>
      <c r="Z278" s="882"/>
      <c r="AA278" s="881"/>
      <c r="AB278" s="881"/>
      <c r="AC278" s="781"/>
      <c r="AD278" s="781"/>
      <c r="AE278" s="781"/>
      <c r="AF278" s="883"/>
      <c r="AG278" s="883"/>
      <c r="AH278" s="883"/>
      <c r="AI278" s="883"/>
      <c r="AJ278" s="883"/>
      <c r="AK278" s="883"/>
      <c r="AL278" s="883"/>
      <c r="AM278" s="884"/>
      <c r="AN278" s="885"/>
      <c r="AO278" s="884"/>
      <c r="AP278" s="884"/>
      <c r="AQ278" s="884"/>
      <c r="AZ278" s="886"/>
    </row>
    <row r="279" spans="1:52">
      <c r="B279" s="619"/>
      <c r="AD279" s="888">
        <f>N59</f>
        <v>1100</v>
      </c>
    </row>
    <row r="280" spans="1:52" s="614" customFormat="1">
      <c r="A280" s="629"/>
      <c r="B280" s="612"/>
      <c r="C280" s="607"/>
      <c r="D280" s="607"/>
      <c r="E280" s="607"/>
      <c r="F280" s="607"/>
      <c r="G280" s="607"/>
      <c r="H280" s="607"/>
      <c r="I280" s="607"/>
      <c r="J280" s="607"/>
      <c r="K280" s="607"/>
      <c r="L280" s="607"/>
      <c r="M280" s="608"/>
      <c r="N280" s="608"/>
      <c r="O280" s="608"/>
      <c r="P280" s="608"/>
      <c r="Q280" s="608"/>
      <c r="R280" s="608"/>
      <c r="S280" s="609"/>
      <c r="T280" s="609"/>
      <c r="U280" s="608"/>
      <c r="V280" s="608"/>
      <c r="W280" s="608"/>
      <c r="X280" s="608"/>
      <c r="Y280" s="609"/>
      <c r="Z280" s="610"/>
      <c r="AA280" s="609"/>
      <c r="AB280" s="609"/>
      <c r="AC280" s="608"/>
      <c r="AD280" s="608"/>
      <c r="AE280" s="608"/>
      <c r="AF280" s="611"/>
      <c r="AG280" s="611"/>
      <c r="AH280" s="611"/>
      <c r="AI280" s="611"/>
      <c r="AJ280" s="611"/>
      <c r="AK280" s="611"/>
      <c r="AL280" s="611"/>
      <c r="AM280" s="612"/>
      <c r="AN280" s="613"/>
      <c r="AO280" s="612"/>
      <c r="AP280" s="612"/>
      <c r="AQ280" s="612"/>
      <c r="AZ280" s="615"/>
    </row>
    <row r="281" spans="1:52">
      <c r="B281" s="890"/>
    </row>
    <row r="282" spans="1:52">
      <c r="B282" s="612"/>
    </row>
    <row r="302" spans="1:43">
      <c r="A302" s="625"/>
      <c r="B302" s="617" t="s">
        <v>709</v>
      </c>
      <c r="C302" s="618">
        <v>46</v>
      </c>
      <c r="D302" s="618">
        <v>197</v>
      </c>
      <c r="E302" s="618">
        <v>13043</v>
      </c>
      <c r="F302" s="618">
        <v>66.208121827411162</v>
      </c>
      <c r="G302" s="618">
        <v>27</v>
      </c>
      <c r="H302" s="625"/>
      <c r="I302" s="625"/>
      <c r="J302" s="625"/>
      <c r="K302" s="625"/>
      <c r="L302" s="625"/>
      <c r="M302" s="625"/>
      <c r="N302" s="625"/>
      <c r="O302" s="625"/>
      <c r="P302" s="625"/>
      <c r="Q302" s="625"/>
      <c r="R302" s="625"/>
      <c r="S302" s="891"/>
      <c r="T302" s="891"/>
      <c r="U302" s="625"/>
      <c r="V302" s="625"/>
      <c r="W302" s="625"/>
      <c r="X302" s="625"/>
      <c r="Y302" s="891"/>
      <c r="Z302" s="698"/>
      <c r="AA302" s="891"/>
      <c r="AB302" s="891"/>
      <c r="AC302" s="625"/>
      <c r="AD302" s="625"/>
      <c r="AE302" s="625"/>
      <c r="AF302" s="892"/>
      <c r="AG302" s="892"/>
      <c r="AH302" s="892"/>
      <c r="AI302" s="892"/>
      <c r="AJ302" s="892"/>
      <c r="AK302" s="892"/>
      <c r="AL302" s="892"/>
      <c r="AM302" s="625"/>
      <c r="AN302" s="698"/>
      <c r="AO302" s="625"/>
      <c r="AP302" s="625"/>
      <c r="AQ302" s="625"/>
    </row>
    <row r="303" spans="1:43">
      <c r="A303" s="625"/>
      <c r="B303" s="617" t="s">
        <v>710</v>
      </c>
      <c r="C303" s="618">
        <v>25</v>
      </c>
      <c r="D303" s="618">
        <v>1150</v>
      </c>
      <c r="E303" s="618">
        <v>23702.321739130435</v>
      </c>
      <c r="F303" s="618">
        <v>20.610714555765597</v>
      </c>
      <c r="G303" s="618">
        <v>25</v>
      </c>
      <c r="H303" s="625"/>
      <c r="I303" s="625"/>
      <c r="J303" s="625"/>
      <c r="K303" s="625"/>
      <c r="L303" s="625"/>
      <c r="M303" s="625"/>
      <c r="N303" s="625"/>
      <c r="O303" s="625"/>
      <c r="P303" s="625"/>
      <c r="Q303" s="625"/>
      <c r="R303" s="625"/>
      <c r="S303" s="891"/>
      <c r="T303" s="891"/>
      <c r="U303" s="625"/>
      <c r="V303" s="625"/>
      <c r="W303" s="625"/>
      <c r="X303" s="625"/>
      <c r="Y303" s="891"/>
      <c r="Z303" s="698"/>
      <c r="AA303" s="891"/>
      <c r="AB303" s="891"/>
      <c r="AC303" s="625"/>
      <c r="AD303" s="625"/>
      <c r="AE303" s="625"/>
      <c r="AF303" s="892"/>
      <c r="AG303" s="892"/>
      <c r="AH303" s="892"/>
      <c r="AI303" s="892"/>
      <c r="AJ303" s="892"/>
      <c r="AK303" s="892"/>
      <c r="AL303" s="892"/>
      <c r="AM303" s="625"/>
      <c r="AN303" s="698"/>
      <c r="AO303" s="625"/>
      <c r="AP303" s="625"/>
      <c r="AQ303" s="625"/>
    </row>
    <row r="304" spans="1:43">
      <c r="A304" s="625"/>
      <c r="B304" s="617" t="s">
        <v>252</v>
      </c>
      <c r="C304" s="618">
        <v>99</v>
      </c>
      <c r="D304" s="618">
        <v>1599</v>
      </c>
      <c r="E304" s="618">
        <v>43759.81449275362</v>
      </c>
      <c r="F304" s="618">
        <v>27.366988425737098</v>
      </c>
      <c r="H304" s="625"/>
      <c r="I304" s="625"/>
      <c r="J304" s="625"/>
      <c r="K304" s="625"/>
      <c r="L304" s="625"/>
      <c r="M304" s="625"/>
      <c r="N304" s="625"/>
      <c r="O304" s="625"/>
      <c r="P304" s="625"/>
      <c r="Q304" s="625"/>
      <c r="R304" s="625"/>
      <c r="S304" s="891"/>
      <c r="T304" s="891"/>
      <c r="U304" s="625"/>
      <c r="V304" s="625"/>
      <c r="W304" s="625"/>
      <c r="X304" s="625"/>
      <c r="Y304" s="891"/>
      <c r="Z304" s="698"/>
      <c r="AA304" s="891"/>
      <c r="AB304" s="891"/>
      <c r="AC304" s="625"/>
      <c r="AD304" s="625"/>
      <c r="AE304" s="625"/>
      <c r="AF304" s="892"/>
      <c r="AG304" s="892"/>
      <c r="AH304" s="892"/>
      <c r="AI304" s="892"/>
      <c r="AJ304" s="892"/>
      <c r="AK304" s="892"/>
      <c r="AL304" s="892"/>
      <c r="AM304" s="625"/>
      <c r="AN304" s="698"/>
      <c r="AO304" s="625"/>
      <c r="AP304" s="625"/>
      <c r="AQ304" s="625"/>
    </row>
  </sheetData>
  <mergeCells count="51">
    <mergeCell ref="A5:A6"/>
    <mergeCell ref="B5:B6"/>
    <mergeCell ref="C5:C6"/>
    <mergeCell ref="D5:D6"/>
    <mergeCell ref="E5:F5"/>
    <mergeCell ref="A1:B1"/>
    <mergeCell ref="A2:AL2"/>
    <mergeCell ref="AO2:BW2"/>
    <mergeCell ref="A3:AL3"/>
    <mergeCell ref="AI4:AJ4"/>
    <mergeCell ref="AI5:AI6"/>
    <mergeCell ref="G5:H5"/>
    <mergeCell ref="I5:J5"/>
    <mergeCell ref="K5:K6"/>
    <mergeCell ref="L5:L6"/>
    <mergeCell ref="M5:U5"/>
    <mergeCell ref="V5:AC5"/>
    <mergeCell ref="AD5:AD6"/>
    <mergeCell ref="AE5:AE6"/>
    <mergeCell ref="AF5:AF6"/>
    <mergeCell ref="AG5:AG6"/>
    <mergeCell ref="AH5:AH6"/>
    <mergeCell ref="AY5:AY6"/>
    <mergeCell ref="AZ5:BG5"/>
    <mergeCell ref="AJ5:AJ6"/>
    <mergeCell ref="AK5:AK6"/>
    <mergeCell ref="AL5:AL6"/>
    <mergeCell ref="AO5:AO6"/>
    <mergeCell ref="AP5:AP6"/>
    <mergeCell ref="AQ5:AQ6"/>
    <mergeCell ref="BT5:BT6"/>
    <mergeCell ref="BU5:BU6"/>
    <mergeCell ref="BV5:BV6"/>
    <mergeCell ref="BW5:BW6"/>
    <mergeCell ref="A236:B236"/>
    <mergeCell ref="AO236:AP236"/>
    <mergeCell ref="BH5:BN5"/>
    <mergeCell ref="BO5:BO6"/>
    <mergeCell ref="BP5:BP6"/>
    <mergeCell ref="BQ5:BQ6"/>
    <mergeCell ref="BR5:BR6"/>
    <mergeCell ref="BS5:BS6"/>
    <mergeCell ref="AR5:AR6"/>
    <mergeCell ref="AS5:AT5"/>
    <mergeCell ref="AU5:AV5"/>
    <mergeCell ref="AW5:AX5"/>
    <mergeCell ref="A239:E239"/>
    <mergeCell ref="C259:D259"/>
    <mergeCell ref="E259:G259"/>
    <mergeCell ref="O260:P260"/>
    <mergeCell ref="O261:P261"/>
  </mergeCells>
  <pageMargins left="0.17" right="0.16" top="0.28999999999999998" bottom="0.37" header="0.196850393700787" footer="0.26"/>
  <pageSetup paperSize="9" scale="50" orientation="landscape" blackAndWhite="1" r:id="rId1"/>
  <headerFooter differentFirst="1" alignWithMargins="0">
    <oddFooter>&amp;C&amp;7&amp;Z&amp;F&amp;P</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topLeftCell="B7" workbookViewId="0">
      <pane xSplit="2" ySplit="6" topLeftCell="D13" activePane="bottomRight" state="frozen"/>
      <selection activeCell="B7" sqref="B7"/>
      <selection pane="topRight" activeCell="D7" sqref="D7"/>
      <selection pane="bottomLeft" activeCell="B13" sqref="B13"/>
      <selection pane="bottomRight" activeCell="E66" sqref="E66"/>
    </sheetView>
  </sheetViews>
  <sheetFormatPr defaultRowHeight="15.6"/>
  <cols>
    <col min="1" max="1" width="5.6640625" style="324" customWidth="1"/>
    <col min="2" max="2" width="63.88671875" style="324" customWidth="1"/>
    <col min="3" max="3" width="12.6640625" style="324" customWidth="1"/>
    <col min="4" max="5" width="12.44140625" style="324" customWidth="1"/>
    <col min="6" max="6" width="10.6640625" style="324" customWidth="1"/>
    <col min="7" max="7" width="11.44140625" style="324" customWidth="1"/>
    <col min="8" max="14" width="10.6640625" style="324" customWidth="1"/>
    <col min="15" max="234" width="9.109375" style="324"/>
    <col min="235" max="235" width="5.6640625" style="324" customWidth="1"/>
    <col min="236" max="236" width="39.33203125" style="324" customWidth="1"/>
    <col min="237" max="237" width="11.88671875" style="324" customWidth="1"/>
    <col min="238" max="238" width="11.109375" style="324" customWidth="1"/>
    <col min="239" max="239" width="11.5546875" style="324" customWidth="1"/>
    <col min="240" max="240" width="12.44140625" style="324" customWidth="1"/>
    <col min="241" max="241" width="11.6640625" style="324" customWidth="1"/>
    <col min="242" max="243" width="11.88671875" style="324" customWidth="1"/>
    <col min="244" max="244" width="11.44140625" style="324" customWidth="1"/>
    <col min="245" max="245" width="12" style="324" customWidth="1"/>
    <col min="246" max="246" width="13.33203125" style="324" customWidth="1"/>
    <col min="247" max="247" width="13.5546875" style="324" customWidth="1"/>
    <col min="248" max="249" width="14.5546875" style="324" customWidth="1"/>
    <col min="250" max="490" width="9.109375" style="324"/>
    <col min="491" max="491" width="5.6640625" style="324" customWidth="1"/>
    <col min="492" max="492" width="39.33203125" style="324" customWidth="1"/>
    <col min="493" max="493" width="11.88671875" style="324" customWidth="1"/>
    <col min="494" max="494" width="11.109375" style="324" customWidth="1"/>
    <col min="495" max="495" width="11.5546875" style="324" customWidth="1"/>
    <col min="496" max="496" width="12.44140625" style="324" customWidth="1"/>
    <col min="497" max="497" width="11.6640625" style="324" customWidth="1"/>
    <col min="498" max="499" width="11.88671875" style="324" customWidth="1"/>
    <col min="500" max="500" width="11.44140625" style="324" customWidth="1"/>
    <col min="501" max="501" width="12" style="324" customWidth="1"/>
    <col min="502" max="502" width="13.33203125" style="324" customWidth="1"/>
    <col min="503" max="503" width="13.5546875" style="324" customWidth="1"/>
    <col min="504" max="505" width="14.5546875" style="324" customWidth="1"/>
    <col min="506" max="746" width="9.109375" style="324"/>
    <col min="747" max="747" width="5.6640625" style="324" customWidth="1"/>
    <col min="748" max="748" width="39.33203125" style="324" customWidth="1"/>
    <col min="749" max="749" width="11.88671875" style="324" customWidth="1"/>
    <col min="750" max="750" width="11.109375" style="324" customWidth="1"/>
    <col min="751" max="751" width="11.5546875" style="324" customWidth="1"/>
    <col min="752" max="752" width="12.44140625" style="324" customWidth="1"/>
    <col min="753" max="753" width="11.6640625" style="324" customWidth="1"/>
    <col min="754" max="755" width="11.88671875" style="324" customWidth="1"/>
    <col min="756" max="756" width="11.44140625" style="324" customWidth="1"/>
    <col min="757" max="757" width="12" style="324" customWidth="1"/>
    <col min="758" max="758" width="13.33203125" style="324" customWidth="1"/>
    <col min="759" max="759" width="13.5546875" style="324" customWidth="1"/>
    <col min="760" max="761" width="14.5546875" style="324" customWidth="1"/>
    <col min="762" max="1002" width="9.109375" style="324"/>
    <col min="1003" max="1003" width="5.6640625" style="324" customWidth="1"/>
    <col min="1004" max="1004" width="39.33203125" style="324" customWidth="1"/>
    <col min="1005" max="1005" width="11.88671875" style="324" customWidth="1"/>
    <col min="1006" max="1006" width="11.109375" style="324" customWidth="1"/>
    <col min="1007" max="1007" width="11.5546875" style="324" customWidth="1"/>
    <col min="1008" max="1008" width="12.44140625" style="324" customWidth="1"/>
    <col min="1009" max="1009" width="11.6640625" style="324" customWidth="1"/>
    <col min="1010" max="1011" width="11.88671875" style="324" customWidth="1"/>
    <col min="1012" max="1012" width="11.44140625" style="324" customWidth="1"/>
    <col min="1013" max="1013" width="12" style="324" customWidth="1"/>
    <col min="1014" max="1014" width="13.33203125" style="324" customWidth="1"/>
    <col min="1015" max="1015" width="13.5546875" style="324" customWidth="1"/>
    <col min="1016" max="1017" width="14.5546875" style="324" customWidth="1"/>
    <col min="1018" max="1258" width="9.109375" style="324"/>
    <col min="1259" max="1259" width="5.6640625" style="324" customWidth="1"/>
    <col min="1260" max="1260" width="39.33203125" style="324" customWidth="1"/>
    <col min="1261" max="1261" width="11.88671875" style="324" customWidth="1"/>
    <col min="1262" max="1262" width="11.109375" style="324" customWidth="1"/>
    <col min="1263" max="1263" width="11.5546875" style="324" customWidth="1"/>
    <col min="1264" max="1264" width="12.44140625" style="324" customWidth="1"/>
    <col min="1265" max="1265" width="11.6640625" style="324" customWidth="1"/>
    <col min="1266" max="1267" width="11.88671875" style="324" customWidth="1"/>
    <col min="1268" max="1268" width="11.44140625" style="324" customWidth="1"/>
    <col min="1269" max="1269" width="12" style="324" customWidth="1"/>
    <col min="1270" max="1270" width="13.33203125" style="324" customWidth="1"/>
    <col min="1271" max="1271" width="13.5546875" style="324" customWidth="1"/>
    <col min="1272" max="1273" width="14.5546875" style="324" customWidth="1"/>
    <col min="1274" max="1514" width="9.109375" style="324"/>
    <col min="1515" max="1515" width="5.6640625" style="324" customWidth="1"/>
    <col min="1516" max="1516" width="39.33203125" style="324" customWidth="1"/>
    <col min="1517" max="1517" width="11.88671875" style="324" customWidth="1"/>
    <col min="1518" max="1518" width="11.109375" style="324" customWidth="1"/>
    <col min="1519" max="1519" width="11.5546875" style="324" customWidth="1"/>
    <col min="1520" max="1520" width="12.44140625" style="324" customWidth="1"/>
    <col min="1521" max="1521" width="11.6640625" style="324" customWidth="1"/>
    <col min="1522" max="1523" width="11.88671875" style="324" customWidth="1"/>
    <col min="1524" max="1524" width="11.44140625" style="324" customWidth="1"/>
    <col min="1525" max="1525" width="12" style="324" customWidth="1"/>
    <col min="1526" max="1526" width="13.33203125" style="324" customWidth="1"/>
    <col min="1527" max="1527" width="13.5546875" style="324" customWidth="1"/>
    <col min="1528" max="1529" width="14.5546875" style="324" customWidth="1"/>
    <col min="1530" max="1770" width="9.109375" style="324"/>
    <col min="1771" max="1771" width="5.6640625" style="324" customWidth="1"/>
    <col min="1772" max="1772" width="39.33203125" style="324" customWidth="1"/>
    <col min="1773" max="1773" width="11.88671875" style="324" customWidth="1"/>
    <col min="1774" max="1774" width="11.109375" style="324" customWidth="1"/>
    <col min="1775" max="1775" width="11.5546875" style="324" customWidth="1"/>
    <col min="1776" max="1776" width="12.44140625" style="324" customWidth="1"/>
    <col min="1777" max="1777" width="11.6640625" style="324" customWidth="1"/>
    <col min="1778" max="1779" width="11.88671875" style="324" customWidth="1"/>
    <col min="1780" max="1780" width="11.44140625" style="324" customWidth="1"/>
    <col min="1781" max="1781" width="12" style="324" customWidth="1"/>
    <col min="1782" max="1782" width="13.33203125" style="324" customWidth="1"/>
    <col min="1783" max="1783" width="13.5546875" style="324" customWidth="1"/>
    <col min="1784" max="1785" width="14.5546875" style="324" customWidth="1"/>
    <col min="1786" max="2026" width="9.109375" style="324"/>
    <col min="2027" max="2027" width="5.6640625" style="324" customWidth="1"/>
    <col min="2028" max="2028" width="39.33203125" style="324" customWidth="1"/>
    <col min="2029" max="2029" width="11.88671875" style="324" customWidth="1"/>
    <col min="2030" max="2030" width="11.109375" style="324" customWidth="1"/>
    <col min="2031" max="2031" width="11.5546875" style="324" customWidth="1"/>
    <col min="2032" max="2032" width="12.44140625" style="324" customWidth="1"/>
    <col min="2033" max="2033" width="11.6640625" style="324" customWidth="1"/>
    <col min="2034" max="2035" width="11.88671875" style="324" customWidth="1"/>
    <col min="2036" max="2036" width="11.44140625" style="324" customWidth="1"/>
    <col min="2037" max="2037" width="12" style="324" customWidth="1"/>
    <col min="2038" max="2038" width="13.33203125" style="324" customWidth="1"/>
    <col min="2039" max="2039" width="13.5546875" style="324" customWidth="1"/>
    <col min="2040" max="2041" width="14.5546875" style="324" customWidth="1"/>
    <col min="2042" max="2282" width="9.109375" style="324"/>
    <col min="2283" max="2283" width="5.6640625" style="324" customWidth="1"/>
    <col min="2284" max="2284" width="39.33203125" style="324" customWidth="1"/>
    <col min="2285" max="2285" width="11.88671875" style="324" customWidth="1"/>
    <col min="2286" max="2286" width="11.109375" style="324" customWidth="1"/>
    <col min="2287" max="2287" width="11.5546875" style="324" customWidth="1"/>
    <col min="2288" max="2288" width="12.44140625" style="324" customWidth="1"/>
    <col min="2289" max="2289" width="11.6640625" style="324" customWidth="1"/>
    <col min="2290" max="2291" width="11.88671875" style="324" customWidth="1"/>
    <col min="2292" max="2292" width="11.44140625" style="324" customWidth="1"/>
    <col min="2293" max="2293" width="12" style="324" customWidth="1"/>
    <col min="2294" max="2294" width="13.33203125" style="324" customWidth="1"/>
    <col min="2295" max="2295" width="13.5546875" style="324" customWidth="1"/>
    <col min="2296" max="2297" width="14.5546875" style="324" customWidth="1"/>
    <col min="2298" max="2538" width="9.109375" style="324"/>
    <col min="2539" max="2539" width="5.6640625" style="324" customWidth="1"/>
    <col min="2540" max="2540" width="39.33203125" style="324" customWidth="1"/>
    <col min="2541" max="2541" width="11.88671875" style="324" customWidth="1"/>
    <col min="2542" max="2542" width="11.109375" style="324" customWidth="1"/>
    <col min="2543" max="2543" width="11.5546875" style="324" customWidth="1"/>
    <col min="2544" max="2544" width="12.44140625" style="324" customWidth="1"/>
    <col min="2545" max="2545" width="11.6640625" style="324" customWidth="1"/>
    <col min="2546" max="2547" width="11.88671875" style="324" customWidth="1"/>
    <col min="2548" max="2548" width="11.44140625" style="324" customWidth="1"/>
    <col min="2549" max="2549" width="12" style="324" customWidth="1"/>
    <col min="2550" max="2550" width="13.33203125" style="324" customWidth="1"/>
    <col min="2551" max="2551" width="13.5546875" style="324" customWidth="1"/>
    <col min="2552" max="2553" width="14.5546875" style="324" customWidth="1"/>
    <col min="2554" max="2794" width="9.109375" style="324"/>
    <col min="2795" max="2795" width="5.6640625" style="324" customWidth="1"/>
    <col min="2796" max="2796" width="39.33203125" style="324" customWidth="1"/>
    <col min="2797" max="2797" width="11.88671875" style="324" customWidth="1"/>
    <col min="2798" max="2798" width="11.109375" style="324" customWidth="1"/>
    <col min="2799" max="2799" width="11.5546875" style="324" customWidth="1"/>
    <col min="2800" max="2800" width="12.44140625" style="324" customWidth="1"/>
    <col min="2801" max="2801" width="11.6640625" style="324" customWidth="1"/>
    <col min="2802" max="2803" width="11.88671875" style="324" customWidth="1"/>
    <col min="2804" max="2804" width="11.44140625" style="324" customWidth="1"/>
    <col min="2805" max="2805" width="12" style="324" customWidth="1"/>
    <col min="2806" max="2806" width="13.33203125" style="324" customWidth="1"/>
    <col min="2807" max="2807" width="13.5546875" style="324" customWidth="1"/>
    <col min="2808" max="2809" width="14.5546875" style="324" customWidth="1"/>
    <col min="2810" max="3050" width="9.109375" style="324"/>
    <col min="3051" max="3051" width="5.6640625" style="324" customWidth="1"/>
    <col min="3052" max="3052" width="39.33203125" style="324" customWidth="1"/>
    <col min="3053" max="3053" width="11.88671875" style="324" customWidth="1"/>
    <col min="3054" max="3054" width="11.109375" style="324" customWidth="1"/>
    <col min="3055" max="3055" width="11.5546875" style="324" customWidth="1"/>
    <col min="3056" max="3056" width="12.44140625" style="324" customWidth="1"/>
    <col min="3057" max="3057" width="11.6640625" style="324" customWidth="1"/>
    <col min="3058" max="3059" width="11.88671875" style="324" customWidth="1"/>
    <col min="3060" max="3060" width="11.44140625" style="324" customWidth="1"/>
    <col min="3061" max="3061" width="12" style="324" customWidth="1"/>
    <col min="3062" max="3062" width="13.33203125" style="324" customWidth="1"/>
    <col min="3063" max="3063" width="13.5546875" style="324" customWidth="1"/>
    <col min="3064" max="3065" width="14.5546875" style="324" customWidth="1"/>
    <col min="3066" max="3306" width="9.109375" style="324"/>
    <col min="3307" max="3307" width="5.6640625" style="324" customWidth="1"/>
    <col min="3308" max="3308" width="39.33203125" style="324" customWidth="1"/>
    <col min="3309" max="3309" width="11.88671875" style="324" customWidth="1"/>
    <col min="3310" max="3310" width="11.109375" style="324" customWidth="1"/>
    <col min="3311" max="3311" width="11.5546875" style="324" customWidth="1"/>
    <col min="3312" max="3312" width="12.44140625" style="324" customWidth="1"/>
    <col min="3313" max="3313" width="11.6640625" style="324" customWidth="1"/>
    <col min="3314" max="3315" width="11.88671875" style="324" customWidth="1"/>
    <col min="3316" max="3316" width="11.44140625" style="324" customWidth="1"/>
    <col min="3317" max="3317" width="12" style="324" customWidth="1"/>
    <col min="3318" max="3318" width="13.33203125" style="324" customWidth="1"/>
    <col min="3319" max="3319" width="13.5546875" style="324" customWidth="1"/>
    <col min="3320" max="3321" width="14.5546875" style="324" customWidth="1"/>
    <col min="3322" max="3562" width="9.109375" style="324"/>
    <col min="3563" max="3563" width="5.6640625" style="324" customWidth="1"/>
    <col min="3564" max="3564" width="39.33203125" style="324" customWidth="1"/>
    <col min="3565" max="3565" width="11.88671875" style="324" customWidth="1"/>
    <col min="3566" max="3566" width="11.109375" style="324" customWidth="1"/>
    <col min="3567" max="3567" width="11.5546875" style="324" customWidth="1"/>
    <col min="3568" max="3568" width="12.44140625" style="324" customWidth="1"/>
    <col min="3569" max="3569" width="11.6640625" style="324" customWidth="1"/>
    <col min="3570" max="3571" width="11.88671875" style="324" customWidth="1"/>
    <col min="3572" max="3572" width="11.44140625" style="324" customWidth="1"/>
    <col min="3573" max="3573" width="12" style="324" customWidth="1"/>
    <col min="3574" max="3574" width="13.33203125" style="324" customWidth="1"/>
    <col min="3575" max="3575" width="13.5546875" style="324" customWidth="1"/>
    <col min="3576" max="3577" width="14.5546875" style="324" customWidth="1"/>
    <col min="3578" max="3818" width="9.109375" style="324"/>
    <col min="3819" max="3819" width="5.6640625" style="324" customWidth="1"/>
    <col min="3820" max="3820" width="39.33203125" style="324" customWidth="1"/>
    <col min="3821" max="3821" width="11.88671875" style="324" customWidth="1"/>
    <col min="3822" max="3822" width="11.109375" style="324" customWidth="1"/>
    <col min="3823" max="3823" width="11.5546875" style="324" customWidth="1"/>
    <col min="3824" max="3824" width="12.44140625" style="324" customWidth="1"/>
    <col min="3825" max="3825" width="11.6640625" style="324" customWidth="1"/>
    <col min="3826" max="3827" width="11.88671875" style="324" customWidth="1"/>
    <col min="3828" max="3828" width="11.44140625" style="324" customWidth="1"/>
    <col min="3829" max="3829" width="12" style="324" customWidth="1"/>
    <col min="3830" max="3830" width="13.33203125" style="324" customWidth="1"/>
    <col min="3831" max="3831" width="13.5546875" style="324" customWidth="1"/>
    <col min="3832" max="3833" width="14.5546875" style="324" customWidth="1"/>
    <col min="3834" max="4074" width="9.109375" style="324"/>
    <col min="4075" max="4075" width="5.6640625" style="324" customWidth="1"/>
    <col min="4076" max="4076" width="39.33203125" style="324" customWidth="1"/>
    <col min="4077" max="4077" width="11.88671875" style="324" customWidth="1"/>
    <col min="4078" max="4078" width="11.109375" style="324" customWidth="1"/>
    <col min="4079" max="4079" width="11.5546875" style="324" customWidth="1"/>
    <col min="4080" max="4080" width="12.44140625" style="324" customWidth="1"/>
    <col min="4081" max="4081" width="11.6640625" style="324" customWidth="1"/>
    <col min="4082" max="4083" width="11.88671875" style="324" customWidth="1"/>
    <col min="4084" max="4084" width="11.44140625" style="324" customWidth="1"/>
    <col min="4085" max="4085" width="12" style="324" customWidth="1"/>
    <col min="4086" max="4086" width="13.33203125" style="324" customWidth="1"/>
    <col min="4087" max="4087" width="13.5546875" style="324" customWidth="1"/>
    <col min="4088" max="4089" width="14.5546875" style="324" customWidth="1"/>
    <col min="4090" max="4330" width="9.109375" style="324"/>
    <col min="4331" max="4331" width="5.6640625" style="324" customWidth="1"/>
    <col min="4332" max="4332" width="39.33203125" style="324" customWidth="1"/>
    <col min="4333" max="4333" width="11.88671875" style="324" customWidth="1"/>
    <col min="4334" max="4334" width="11.109375" style="324" customWidth="1"/>
    <col min="4335" max="4335" width="11.5546875" style="324" customWidth="1"/>
    <col min="4336" max="4336" width="12.44140625" style="324" customWidth="1"/>
    <col min="4337" max="4337" width="11.6640625" style="324" customWidth="1"/>
    <col min="4338" max="4339" width="11.88671875" style="324" customWidth="1"/>
    <col min="4340" max="4340" width="11.44140625" style="324" customWidth="1"/>
    <col min="4341" max="4341" width="12" style="324" customWidth="1"/>
    <col min="4342" max="4342" width="13.33203125" style="324" customWidth="1"/>
    <col min="4343" max="4343" width="13.5546875" style="324" customWidth="1"/>
    <col min="4344" max="4345" width="14.5546875" style="324" customWidth="1"/>
    <col min="4346" max="4586" width="9.109375" style="324"/>
    <col min="4587" max="4587" width="5.6640625" style="324" customWidth="1"/>
    <col min="4588" max="4588" width="39.33203125" style="324" customWidth="1"/>
    <col min="4589" max="4589" width="11.88671875" style="324" customWidth="1"/>
    <col min="4590" max="4590" width="11.109375" style="324" customWidth="1"/>
    <col min="4591" max="4591" width="11.5546875" style="324" customWidth="1"/>
    <col min="4592" max="4592" width="12.44140625" style="324" customWidth="1"/>
    <col min="4593" max="4593" width="11.6640625" style="324" customWidth="1"/>
    <col min="4594" max="4595" width="11.88671875" style="324" customWidth="1"/>
    <col min="4596" max="4596" width="11.44140625" style="324" customWidth="1"/>
    <col min="4597" max="4597" width="12" style="324" customWidth="1"/>
    <col min="4598" max="4598" width="13.33203125" style="324" customWidth="1"/>
    <col min="4599" max="4599" width="13.5546875" style="324" customWidth="1"/>
    <col min="4600" max="4601" width="14.5546875" style="324" customWidth="1"/>
    <col min="4602" max="4842" width="9.109375" style="324"/>
    <col min="4843" max="4843" width="5.6640625" style="324" customWidth="1"/>
    <col min="4844" max="4844" width="39.33203125" style="324" customWidth="1"/>
    <col min="4845" max="4845" width="11.88671875" style="324" customWidth="1"/>
    <col min="4846" max="4846" width="11.109375" style="324" customWidth="1"/>
    <col min="4847" max="4847" width="11.5546875" style="324" customWidth="1"/>
    <col min="4848" max="4848" width="12.44140625" style="324" customWidth="1"/>
    <col min="4849" max="4849" width="11.6640625" style="324" customWidth="1"/>
    <col min="4850" max="4851" width="11.88671875" style="324" customWidth="1"/>
    <col min="4852" max="4852" width="11.44140625" style="324" customWidth="1"/>
    <col min="4853" max="4853" width="12" style="324" customWidth="1"/>
    <col min="4854" max="4854" width="13.33203125" style="324" customWidth="1"/>
    <col min="4855" max="4855" width="13.5546875" style="324" customWidth="1"/>
    <col min="4856" max="4857" width="14.5546875" style="324" customWidth="1"/>
    <col min="4858" max="5098" width="9.109375" style="324"/>
    <col min="5099" max="5099" width="5.6640625" style="324" customWidth="1"/>
    <col min="5100" max="5100" width="39.33203125" style="324" customWidth="1"/>
    <col min="5101" max="5101" width="11.88671875" style="324" customWidth="1"/>
    <col min="5102" max="5102" width="11.109375" style="324" customWidth="1"/>
    <col min="5103" max="5103" width="11.5546875" style="324" customWidth="1"/>
    <col min="5104" max="5104" width="12.44140625" style="324" customWidth="1"/>
    <col min="5105" max="5105" width="11.6640625" style="324" customWidth="1"/>
    <col min="5106" max="5107" width="11.88671875" style="324" customWidth="1"/>
    <col min="5108" max="5108" width="11.44140625" style="324" customWidth="1"/>
    <col min="5109" max="5109" width="12" style="324" customWidth="1"/>
    <col min="5110" max="5110" width="13.33203125" style="324" customWidth="1"/>
    <col min="5111" max="5111" width="13.5546875" style="324" customWidth="1"/>
    <col min="5112" max="5113" width="14.5546875" style="324" customWidth="1"/>
    <col min="5114" max="5354" width="9.109375" style="324"/>
    <col min="5355" max="5355" width="5.6640625" style="324" customWidth="1"/>
    <col min="5356" max="5356" width="39.33203125" style="324" customWidth="1"/>
    <col min="5357" max="5357" width="11.88671875" style="324" customWidth="1"/>
    <col min="5358" max="5358" width="11.109375" style="324" customWidth="1"/>
    <col min="5359" max="5359" width="11.5546875" style="324" customWidth="1"/>
    <col min="5360" max="5360" width="12.44140625" style="324" customWidth="1"/>
    <col min="5361" max="5361" width="11.6640625" style="324" customWidth="1"/>
    <col min="5362" max="5363" width="11.88671875" style="324" customWidth="1"/>
    <col min="5364" max="5364" width="11.44140625" style="324" customWidth="1"/>
    <col min="5365" max="5365" width="12" style="324" customWidth="1"/>
    <col min="5366" max="5366" width="13.33203125" style="324" customWidth="1"/>
    <col min="5367" max="5367" width="13.5546875" style="324" customWidth="1"/>
    <col min="5368" max="5369" width="14.5546875" style="324" customWidth="1"/>
    <col min="5370" max="5610" width="9.109375" style="324"/>
    <col min="5611" max="5611" width="5.6640625" style="324" customWidth="1"/>
    <col min="5612" max="5612" width="39.33203125" style="324" customWidth="1"/>
    <col min="5613" max="5613" width="11.88671875" style="324" customWidth="1"/>
    <col min="5614" max="5614" width="11.109375" style="324" customWidth="1"/>
    <col min="5615" max="5615" width="11.5546875" style="324" customWidth="1"/>
    <col min="5616" max="5616" width="12.44140625" style="324" customWidth="1"/>
    <col min="5617" max="5617" width="11.6640625" style="324" customWidth="1"/>
    <col min="5618" max="5619" width="11.88671875" style="324" customWidth="1"/>
    <col min="5620" max="5620" width="11.44140625" style="324" customWidth="1"/>
    <col min="5621" max="5621" width="12" style="324" customWidth="1"/>
    <col min="5622" max="5622" width="13.33203125" style="324" customWidth="1"/>
    <col min="5623" max="5623" width="13.5546875" style="324" customWidth="1"/>
    <col min="5624" max="5625" width="14.5546875" style="324" customWidth="1"/>
    <col min="5626" max="5866" width="9.109375" style="324"/>
    <col min="5867" max="5867" width="5.6640625" style="324" customWidth="1"/>
    <col min="5868" max="5868" width="39.33203125" style="324" customWidth="1"/>
    <col min="5869" max="5869" width="11.88671875" style="324" customWidth="1"/>
    <col min="5870" max="5870" width="11.109375" style="324" customWidth="1"/>
    <col min="5871" max="5871" width="11.5546875" style="324" customWidth="1"/>
    <col min="5872" max="5872" width="12.44140625" style="324" customWidth="1"/>
    <col min="5873" max="5873" width="11.6640625" style="324" customWidth="1"/>
    <col min="5874" max="5875" width="11.88671875" style="324" customWidth="1"/>
    <col min="5876" max="5876" width="11.44140625" style="324" customWidth="1"/>
    <col min="5877" max="5877" width="12" style="324" customWidth="1"/>
    <col min="5878" max="5878" width="13.33203125" style="324" customWidth="1"/>
    <col min="5879" max="5879" width="13.5546875" style="324" customWidth="1"/>
    <col min="5880" max="5881" width="14.5546875" style="324" customWidth="1"/>
    <col min="5882" max="6122" width="9.109375" style="324"/>
    <col min="6123" max="6123" width="5.6640625" style="324" customWidth="1"/>
    <col min="6124" max="6124" width="39.33203125" style="324" customWidth="1"/>
    <col min="6125" max="6125" width="11.88671875" style="324" customWidth="1"/>
    <col min="6126" max="6126" width="11.109375" style="324" customWidth="1"/>
    <col min="6127" max="6127" width="11.5546875" style="324" customWidth="1"/>
    <col min="6128" max="6128" width="12.44140625" style="324" customWidth="1"/>
    <col min="6129" max="6129" width="11.6640625" style="324" customWidth="1"/>
    <col min="6130" max="6131" width="11.88671875" style="324" customWidth="1"/>
    <col min="6132" max="6132" width="11.44140625" style="324" customWidth="1"/>
    <col min="6133" max="6133" width="12" style="324" customWidth="1"/>
    <col min="6134" max="6134" width="13.33203125" style="324" customWidth="1"/>
    <col min="6135" max="6135" width="13.5546875" style="324" customWidth="1"/>
    <col min="6136" max="6137" width="14.5546875" style="324" customWidth="1"/>
    <col min="6138" max="6378" width="9.109375" style="324"/>
    <col min="6379" max="6379" width="5.6640625" style="324" customWidth="1"/>
    <col min="6380" max="6380" width="39.33203125" style="324" customWidth="1"/>
    <col min="6381" max="6381" width="11.88671875" style="324" customWidth="1"/>
    <col min="6382" max="6382" width="11.109375" style="324" customWidth="1"/>
    <col min="6383" max="6383" width="11.5546875" style="324" customWidth="1"/>
    <col min="6384" max="6384" width="12.44140625" style="324" customWidth="1"/>
    <col min="6385" max="6385" width="11.6640625" style="324" customWidth="1"/>
    <col min="6386" max="6387" width="11.88671875" style="324" customWidth="1"/>
    <col min="6388" max="6388" width="11.44140625" style="324" customWidth="1"/>
    <col min="6389" max="6389" width="12" style="324" customWidth="1"/>
    <col min="6390" max="6390" width="13.33203125" style="324" customWidth="1"/>
    <col min="6391" max="6391" width="13.5546875" style="324" customWidth="1"/>
    <col min="6392" max="6393" width="14.5546875" style="324" customWidth="1"/>
    <col min="6394" max="6634" width="9.109375" style="324"/>
    <col min="6635" max="6635" width="5.6640625" style="324" customWidth="1"/>
    <col min="6636" max="6636" width="39.33203125" style="324" customWidth="1"/>
    <col min="6637" max="6637" width="11.88671875" style="324" customWidth="1"/>
    <col min="6638" max="6638" width="11.109375" style="324" customWidth="1"/>
    <col min="6639" max="6639" width="11.5546875" style="324" customWidth="1"/>
    <col min="6640" max="6640" width="12.44140625" style="324" customWidth="1"/>
    <col min="6641" max="6641" width="11.6640625" style="324" customWidth="1"/>
    <col min="6642" max="6643" width="11.88671875" style="324" customWidth="1"/>
    <col min="6644" max="6644" width="11.44140625" style="324" customWidth="1"/>
    <col min="6645" max="6645" width="12" style="324" customWidth="1"/>
    <col min="6646" max="6646" width="13.33203125" style="324" customWidth="1"/>
    <col min="6647" max="6647" width="13.5546875" style="324" customWidth="1"/>
    <col min="6648" max="6649" width="14.5546875" style="324" customWidth="1"/>
    <col min="6650" max="6890" width="9.109375" style="324"/>
    <col min="6891" max="6891" width="5.6640625" style="324" customWidth="1"/>
    <col min="6892" max="6892" width="39.33203125" style="324" customWidth="1"/>
    <col min="6893" max="6893" width="11.88671875" style="324" customWidth="1"/>
    <col min="6894" max="6894" width="11.109375" style="324" customWidth="1"/>
    <col min="6895" max="6895" width="11.5546875" style="324" customWidth="1"/>
    <col min="6896" max="6896" width="12.44140625" style="324" customWidth="1"/>
    <col min="6897" max="6897" width="11.6640625" style="324" customWidth="1"/>
    <col min="6898" max="6899" width="11.88671875" style="324" customWidth="1"/>
    <col min="6900" max="6900" width="11.44140625" style="324" customWidth="1"/>
    <col min="6901" max="6901" width="12" style="324" customWidth="1"/>
    <col min="6902" max="6902" width="13.33203125" style="324" customWidth="1"/>
    <col min="6903" max="6903" width="13.5546875" style="324" customWidth="1"/>
    <col min="6904" max="6905" width="14.5546875" style="324" customWidth="1"/>
    <col min="6906" max="7146" width="9.109375" style="324"/>
    <col min="7147" max="7147" width="5.6640625" style="324" customWidth="1"/>
    <col min="7148" max="7148" width="39.33203125" style="324" customWidth="1"/>
    <col min="7149" max="7149" width="11.88671875" style="324" customWidth="1"/>
    <col min="7150" max="7150" width="11.109375" style="324" customWidth="1"/>
    <col min="7151" max="7151" width="11.5546875" style="324" customWidth="1"/>
    <col min="7152" max="7152" width="12.44140625" style="324" customWidth="1"/>
    <col min="7153" max="7153" width="11.6640625" style="324" customWidth="1"/>
    <col min="7154" max="7155" width="11.88671875" style="324" customWidth="1"/>
    <col min="7156" max="7156" width="11.44140625" style="324" customWidth="1"/>
    <col min="7157" max="7157" width="12" style="324" customWidth="1"/>
    <col min="7158" max="7158" width="13.33203125" style="324" customWidth="1"/>
    <col min="7159" max="7159" width="13.5546875" style="324" customWidth="1"/>
    <col min="7160" max="7161" width="14.5546875" style="324" customWidth="1"/>
    <col min="7162" max="7402" width="9.109375" style="324"/>
    <col min="7403" max="7403" width="5.6640625" style="324" customWidth="1"/>
    <col min="7404" max="7404" width="39.33203125" style="324" customWidth="1"/>
    <col min="7405" max="7405" width="11.88671875" style="324" customWidth="1"/>
    <col min="7406" max="7406" width="11.109375" style="324" customWidth="1"/>
    <col min="7407" max="7407" width="11.5546875" style="324" customWidth="1"/>
    <col min="7408" max="7408" width="12.44140625" style="324" customWidth="1"/>
    <col min="7409" max="7409" width="11.6640625" style="324" customWidth="1"/>
    <col min="7410" max="7411" width="11.88671875" style="324" customWidth="1"/>
    <col min="7412" max="7412" width="11.44140625" style="324" customWidth="1"/>
    <col min="7413" max="7413" width="12" style="324" customWidth="1"/>
    <col min="7414" max="7414" width="13.33203125" style="324" customWidth="1"/>
    <col min="7415" max="7415" width="13.5546875" style="324" customWidth="1"/>
    <col min="7416" max="7417" width="14.5546875" style="324" customWidth="1"/>
    <col min="7418" max="7658" width="9.109375" style="324"/>
    <col min="7659" max="7659" width="5.6640625" style="324" customWidth="1"/>
    <col min="7660" max="7660" width="39.33203125" style="324" customWidth="1"/>
    <col min="7661" max="7661" width="11.88671875" style="324" customWidth="1"/>
    <col min="7662" max="7662" width="11.109375" style="324" customWidth="1"/>
    <col min="7663" max="7663" width="11.5546875" style="324" customWidth="1"/>
    <col min="7664" max="7664" width="12.44140625" style="324" customWidth="1"/>
    <col min="7665" max="7665" width="11.6640625" style="324" customWidth="1"/>
    <col min="7666" max="7667" width="11.88671875" style="324" customWidth="1"/>
    <col min="7668" max="7668" width="11.44140625" style="324" customWidth="1"/>
    <col min="7669" max="7669" width="12" style="324" customWidth="1"/>
    <col min="7670" max="7670" width="13.33203125" style="324" customWidth="1"/>
    <col min="7671" max="7671" width="13.5546875" style="324" customWidth="1"/>
    <col min="7672" max="7673" width="14.5546875" style="324" customWidth="1"/>
    <col min="7674" max="7914" width="9.109375" style="324"/>
    <col min="7915" max="7915" width="5.6640625" style="324" customWidth="1"/>
    <col min="7916" max="7916" width="39.33203125" style="324" customWidth="1"/>
    <col min="7917" max="7917" width="11.88671875" style="324" customWidth="1"/>
    <col min="7918" max="7918" width="11.109375" style="324" customWidth="1"/>
    <col min="7919" max="7919" width="11.5546875" style="324" customWidth="1"/>
    <col min="7920" max="7920" width="12.44140625" style="324" customWidth="1"/>
    <col min="7921" max="7921" width="11.6640625" style="324" customWidth="1"/>
    <col min="7922" max="7923" width="11.88671875" style="324" customWidth="1"/>
    <col min="7924" max="7924" width="11.44140625" style="324" customWidth="1"/>
    <col min="7925" max="7925" width="12" style="324" customWidth="1"/>
    <col min="7926" max="7926" width="13.33203125" style="324" customWidth="1"/>
    <col min="7927" max="7927" width="13.5546875" style="324" customWidth="1"/>
    <col min="7928" max="7929" width="14.5546875" style="324" customWidth="1"/>
    <col min="7930" max="8170" width="9.109375" style="324"/>
    <col min="8171" max="8171" width="5.6640625" style="324" customWidth="1"/>
    <col min="8172" max="8172" width="39.33203125" style="324" customWidth="1"/>
    <col min="8173" max="8173" width="11.88671875" style="324" customWidth="1"/>
    <col min="8174" max="8174" width="11.109375" style="324" customWidth="1"/>
    <col min="8175" max="8175" width="11.5546875" style="324" customWidth="1"/>
    <col min="8176" max="8176" width="12.44140625" style="324" customWidth="1"/>
    <col min="8177" max="8177" width="11.6640625" style="324" customWidth="1"/>
    <col min="8178" max="8179" width="11.88671875" style="324" customWidth="1"/>
    <col min="8180" max="8180" width="11.44140625" style="324" customWidth="1"/>
    <col min="8181" max="8181" width="12" style="324" customWidth="1"/>
    <col min="8182" max="8182" width="13.33203125" style="324" customWidth="1"/>
    <col min="8183" max="8183" width="13.5546875" style="324" customWidth="1"/>
    <col min="8184" max="8185" width="14.5546875" style="324" customWidth="1"/>
    <col min="8186" max="8426" width="9.109375" style="324"/>
    <col min="8427" max="8427" width="5.6640625" style="324" customWidth="1"/>
    <col min="8428" max="8428" width="39.33203125" style="324" customWidth="1"/>
    <col min="8429" max="8429" width="11.88671875" style="324" customWidth="1"/>
    <col min="8430" max="8430" width="11.109375" style="324" customWidth="1"/>
    <col min="8431" max="8431" width="11.5546875" style="324" customWidth="1"/>
    <col min="8432" max="8432" width="12.44140625" style="324" customWidth="1"/>
    <col min="8433" max="8433" width="11.6640625" style="324" customWidth="1"/>
    <col min="8434" max="8435" width="11.88671875" style="324" customWidth="1"/>
    <col min="8436" max="8436" width="11.44140625" style="324" customWidth="1"/>
    <col min="8437" max="8437" width="12" style="324" customWidth="1"/>
    <col min="8438" max="8438" width="13.33203125" style="324" customWidth="1"/>
    <col min="8439" max="8439" width="13.5546875" style="324" customWidth="1"/>
    <col min="8440" max="8441" width="14.5546875" style="324" customWidth="1"/>
    <col min="8442" max="8682" width="9.109375" style="324"/>
    <col min="8683" max="8683" width="5.6640625" style="324" customWidth="1"/>
    <col min="8684" max="8684" width="39.33203125" style="324" customWidth="1"/>
    <col min="8685" max="8685" width="11.88671875" style="324" customWidth="1"/>
    <col min="8686" max="8686" width="11.109375" style="324" customWidth="1"/>
    <col min="8687" max="8687" width="11.5546875" style="324" customWidth="1"/>
    <col min="8688" max="8688" width="12.44140625" style="324" customWidth="1"/>
    <col min="8689" max="8689" width="11.6640625" style="324" customWidth="1"/>
    <col min="8690" max="8691" width="11.88671875" style="324" customWidth="1"/>
    <col min="8692" max="8692" width="11.44140625" style="324" customWidth="1"/>
    <col min="8693" max="8693" width="12" style="324" customWidth="1"/>
    <col min="8694" max="8694" width="13.33203125" style="324" customWidth="1"/>
    <col min="8695" max="8695" width="13.5546875" style="324" customWidth="1"/>
    <col min="8696" max="8697" width="14.5546875" style="324" customWidth="1"/>
    <col min="8698" max="8938" width="9.109375" style="324"/>
    <col min="8939" max="8939" width="5.6640625" style="324" customWidth="1"/>
    <col min="8940" max="8940" width="39.33203125" style="324" customWidth="1"/>
    <col min="8941" max="8941" width="11.88671875" style="324" customWidth="1"/>
    <col min="8942" max="8942" width="11.109375" style="324" customWidth="1"/>
    <col min="8943" max="8943" width="11.5546875" style="324" customWidth="1"/>
    <col min="8944" max="8944" width="12.44140625" style="324" customWidth="1"/>
    <col min="8945" max="8945" width="11.6640625" style="324" customWidth="1"/>
    <col min="8946" max="8947" width="11.88671875" style="324" customWidth="1"/>
    <col min="8948" max="8948" width="11.44140625" style="324" customWidth="1"/>
    <col min="8949" max="8949" width="12" style="324" customWidth="1"/>
    <col min="8950" max="8950" width="13.33203125" style="324" customWidth="1"/>
    <col min="8951" max="8951" width="13.5546875" style="324" customWidth="1"/>
    <col min="8952" max="8953" width="14.5546875" style="324" customWidth="1"/>
    <col min="8954" max="9194" width="9.109375" style="324"/>
    <col min="9195" max="9195" width="5.6640625" style="324" customWidth="1"/>
    <col min="9196" max="9196" width="39.33203125" style="324" customWidth="1"/>
    <col min="9197" max="9197" width="11.88671875" style="324" customWidth="1"/>
    <col min="9198" max="9198" width="11.109375" style="324" customWidth="1"/>
    <col min="9199" max="9199" width="11.5546875" style="324" customWidth="1"/>
    <col min="9200" max="9200" width="12.44140625" style="324" customWidth="1"/>
    <col min="9201" max="9201" width="11.6640625" style="324" customWidth="1"/>
    <col min="9202" max="9203" width="11.88671875" style="324" customWidth="1"/>
    <col min="9204" max="9204" width="11.44140625" style="324" customWidth="1"/>
    <col min="9205" max="9205" width="12" style="324" customWidth="1"/>
    <col min="9206" max="9206" width="13.33203125" style="324" customWidth="1"/>
    <col min="9207" max="9207" width="13.5546875" style="324" customWidth="1"/>
    <col min="9208" max="9209" width="14.5546875" style="324" customWidth="1"/>
    <col min="9210" max="9450" width="9.109375" style="324"/>
    <col min="9451" max="9451" width="5.6640625" style="324" customWidth="1"/>
    <col min="9452" max="9452" width="39.33203125" style="324" customWidth="1"/>
    <col min="9453" max="9453" width="11.88671875" style="324" customWidth="1"/>
    <col min="9454" max="9454" width="11.109375" style="324" customWidth="1"/>
    <col min="9455" max="9455" width="11.5546875" style="324" customWidth="1"/>
    <col min="9456" max="9456" width="12.44140625" style="324" customWidth="1"/>
    <col min="9457" max="9457" width="11.6640625" style="324" customWidth="1"/>
    <col min="9458" max="9459" width="11.88671875" style="324" customWidth="1"/>
    <col min="9460" max="9460" width="11.44140625" style="324" customWidth="1"/>
    <col min="9461" max="9461" width="12" style="324" customWidth="1"/>
    <col min="9462" max="9462" width="13.33203125" style="324" customWidth="1"/>
    <col min="9463" max="9463" width="13.5546875" style="324" customWidth="1"/>
    <col min="9464" max="9465" width="14.5546875" style="324" customWidth="1"/>
    <col min="9466" max="9706" width="9.109375" style="324"/>
    <col min="9707" max="9707" width="5.6640625" style="324" customWidth="1"/>
    <col min="9708" max="9708" width="39.33203125" style="324" customWidth="1"/>
    <col min="9709" max="9709" width="11.88671875" style="324" customWidth="1"/>
    <col min="9710" max="9710" width="11.109375" style="324" customWidth="1"/>
    <col min="9711" max="9711" width="11.5546875" style="324" customWidth="1"/>
    <col min="9712" max="9712" width="12.44140625" style="324" customWidth="1"/>
    <col min="9713" max="9713" width="11.6640625" style="324" customWidth="1"/>
    <col min="9714" max="9715" width="11.88671875" style="324" customWidth="1"/>
    <col min="9716" max="9716" width="11.44140625" style="324" customWidth="1"/>
    <col min="9717" max="9717" width="12" style="324" customWidth="1"/>
    <col min="9718" max="9718" width="13.33203125" style="324" customWidth="1"/>
    <col min="9719" max="9719" width="13.5546875" style="324" customWidth="1"/>
    <col min="9720" max="9721" width="14.5546875" style="324" customWidth="1"/>
    <col min="9722" max="9962" width="9.109375" style="324"/>
    <col min="9963" max="9963" width="5.6640625" style="324" customWidth="1"/>
    <col min="9964" max="9964" width="39.33203125" style="324" customWidth="1"/>
    <col min="9965" max="9965" width="11.88671875" style="324" customWidth="1"/>
    <col min="9966" max="9966" width="11.109375" style="324" customWidth="1"/>
    <col min="9967" max="9967" width="11.5546875" style="324" customWidth="1"/>
    <col min="9968" max="9968" width="12.44140625" style="324" customWidth="1"/>
    <col min="9969" max="9969" width="11.6640625" style="324" customWidth="1"/>
    <col min="9970" max="9971" width="11.88671875" style="324" customWidth="1"/>
    <col min="9972" max="9972" width="11.44140625" style="324" customWidth="1"/>
    <col min="9973" max="9973" width="12" style="324" customWidth="1"/>
    <col min="9974" max="9974" width="13.33203125" style="324" customWidth="1"/>
    <col min="9975" max="9975" width="13.5546875" style="324" customWidth="1"/>
    <col min="9976" max="9977" width="14.5546875" style="324" customWidth="1"/>
    <col min="9978" max="10218" width="9.109375" style="324"/>
    <col min="10219" max="10219" width="5.6640625" style="324" customWidth="1"/>
    <col min="10220" max="10220" width="39.33203125" style="324" customWidth="1"/>
    <col min="10221" max="10221" width="11.88671875" style="324" customWidth="1"/>
    <col min="10222" max="10222" width="11.109375" style="324" customWidth="1"/>
    <col min="10223" max="10223" width="11.5546875" style="324" customWidth="1"/>
    <col min="10224" max="10224" width="12.44140625" style="324" customWidth="1"/>
    <col min="10225" max="10225" width="11.6640625" style="324" customWidth="1"/>
    <col min="10226" max="10227" width="11.88671875" style="324" customWidth="1"/>
    <col min="10228" max="10228" width="11.44140625" style="324" customWidth="1"/>
    <col min="10229" max="10229" width="12" style="324" customWidth="1"/>
    <col min="10230" max="10230" width="13.33203125" style="324" customWidth="1"/>
    <col min="10231" max="10231" width="13.5546875" style="324" customWidth="1"/>
    <col min="10232" max="10233" width="14.5546875" style="324" customWidth="1"/>
    <col min="10234" max="10474" width="9.109375" style="324"/>
    <col min="10475" max="10475" width="5.6640625" style="324" customWidth="1"/>
    <col min="10476" max="10476" width="39.33203125" style="324" customWidth="1"/>
    <col min="10477" max="10477" width="11.88671875" style="324" customWidth="1"/>
    <col min="10478" max="10478" width="11.109375" style="324" customWidth="1"/>
    <col min="10479" max="10479" width="11.5546875" style="324" customWidth="1"/>
    <col min="10480" max="10480" width="12.44140625" style="324" customWidth="1"/>
    <col min="10481" max="10481" width="11.6640625" style="324" customWidth="1"/>
    <col min="10482" max="10483" width="11.88671875" style="324" customWidth="1"/>
    <col min="10484" max="10484" width="11.44140625" style="324" customWidth="1"/>
    <col min="10485" max="10485" width="12" style="324" customWidth="1"/>
    <col min="10486" max="10486" width="13.33203125" style="324" customWidth="1"/>
    <col min="10487" max="10487" width="13.5546875" style="324" customWidth="1"/>
    <col min="10488" max="10489" width="14.5546875" style="324" customWidth="1"/>
    <col min="10490" max="10730" width="9.109375" style="324"/>
    <col min="10731" max="10731" width="5.6640625" style="324" customWidth="1"/>
    <col min="10732" max="10732" width="39.33203125" style="324" customWidth="1"/>
    <col min="10733" max="10733" width="11.88671875" style="324" customWidth="1"/>
    <col min="10734" max="10734" width="11.109375" style="324" customWidth="1"/>
    <col min="10735" max="10735" width="11.5546875" style="324" customWidth="1"/>
    <col min="10736" max="10736" width="12.44140625" style="324" customWidth="1"/>
    <col min="10737" max="10737" width="11.6640625" style="324" customWidth="1"/>
    <col min="10738" max="10739" width="11.88671875" style="324" customWidth="1"/>
    <col min="10740" max="10740" width="11.44140625" style="324" customWidth="1"/>
    <col min="10741" max="10741" width="12" style="324" customWidth="1"/>
    <col min="10742" max="10742" width="13.33203125" style="324" customWidth="1"/>
    <col min="10743" max="10743" width="13.5546875" style="324" customWidth="1"/>
    <col min="10744" max="10745" width="14.5546875" style="324" customWidth="1"/>
    <col min="10746" max="10986" width="9.109375" style="324"/>
    <col min="10987" max="10987" width="5.6640625" style="324" customWidth="1"/>
    <col min="10988" max="10988" width="39.33203125" style="324" customWidth="1"/>
    <col min="10989" max="10989" width="11.88671875" style="324" customWidth="1"/>
    <col min="10990" max="10990" width="11.109375" style="324" customWidth="1"/>
    <col min="10991" max="10991" width="11.5546875" style="324" customWidth="1"/>
    <col min="10992" max="10992" width="12.44140625" style="324" customWidth="1"/>
    <col min="10993" max="10993" width="11.6640625" style="324" customWidth="1"/>
    <col min="10994" max="10995" width="11.88671875" style="324" customWidth="1"/>
    <col min="10996" max="10996" width="11.44140625" style="324" customWidth="1"/>
    <col min="10997" max="10997" width="12" style="324" customWidth="1"/>
    <col min="10998" max="10998" width="13.33203125" style="324" customWidth="1"/>
    <col min="10999" max="10999" width="13.5546875" style="324" customWidth="1"/>
    <col min="11000" max="11001" width="14.5546875" style="324" customWidth="1"/>
    <col min="11002" max="11242" width="9.109375" style="324"/>
    <col min="11243" max="11243" width="5.6640625" style="324" customWidth="1"/>
    <col min="11244" max="11244" width="39.33203125" style="324" customWidth="1"/>
    <col min="11245" max="11245" width="11.88671875" style="324" customWidth="1"/>
    <col min="11246" max="11246" width="11.109375" style="324" customWidth="1"/>
    <col min="11247" max="11247" width="11.5546875" style="324" customWidth="1"/>
    <col min="11248" max="11248" width="12.44140625" style="324" customWidth="1"/>
    <col min="11249" max="11249" width="11.6640625" style="324" customWidth="1"/>
    <col min="11250" max="11251" width="11.88671875" style="324" customWidth="1"/>
    <col min="11252" max="11252" width="11.44140625" style="324" customWidth="1"/>
    <col min="11253" max="11253" width="12" style="324" customWidth="1"/>
    <col min="11254" max="11254" width="13.33203125" style="324" customWidth="1"/>
    <col min="11255" max="11255" width="13.5546875" style="324" customWidth="1"/>
    <col min="11256" max="11257" width="14.5546875" style="324" customWidth="1"/>
    <col min="11258" max="11498" width="9.109375" style="324"/>
    <col min="11499" max="11499" width="5.6640625" style="324" customWidth="1"/>
    <col min="11500" max="11500" width="39.33203125" style="324" customWidth="1"/>
    <col min="11501" max="11501" width="11.88671875" style="324" customWidth="1"/>
    <col min="11502" max="11502" width="11.109375" style="324" customWidth="1"/>
    <col min="11503" max="11503" width="11.5546875" style="324" customWidth="1"/>
    <col min="11504" max="11504" width="12.44140625" style="324" customWidth="1"/>
    <col min="11505" max="11505" width="11.6640625" style="324" customWidth="1"/>
    <col min="11506" max="11507" width="11.88671875" style="324" customWidth="1"/>
    <col min="11508" max="11508" width="11.44140625" style="324" customWidth="1"/>
    <col min="11509" max="11509" width="12" style="324" customWidth="1"/>
    <col min="11510" max="11510" width="13.33203125" style="324" customWidth="1"/>
    <col min="11511" max="11511" width="13.5546875" style="324" customWidth="1"/>
    <col min="11512" max="11513" width="14.5546875" style="324" customWidth="1"/>
    <col min="11514" max="11754" width="9.109375" style="324"/>
    <col min="11755" max="11755" width="5.6640625" style="324" customWidth="1"/>
    <col min="11756" max="11756" width="39.33203125" style="324" customWidth="1"/>
    <col min="11757" max="11757" width="11.88671875" style="324" customWidth="1"/>
    <col min="11758" max="11758" width="11.109375" style="324" customWidth="1"/>
    <col min="11759" max="11759" width="11.5546875" style="324" customWidth="1"/>
    <col min="11760" max="11760" width="12.44140625" style="324" customWidth="1"/>
    <col min="11761" max="11761" width="11.6640625" style="324" customWidth="1"/>
    <col min="11762" max="11763" width="11.88671875" style="324" customWidth="1"/>
    <col min="11764" max="11764" width="11.44140625" style="324" customWidth="1"/>
    <col min="11765" max="11765" width="12" style="324" customWidth="1"/>
    <col min="11766" max="11766" width="13.33203125" style="324" customWidth="1"/>
    <col min="11767" max="11767" width="13.5546875" style="324" customWidth="1"/>
    <col min="11768" max="11769" width="14.5546875" style="324" customWidth="1"/>
    <col min="11770" max="12010" width="9.109375" style="324"/>
    <col min="12011" max="12011" width="5.6640625" style="324" customWidth="1"/>
    <col min="12012" max="12012" width="39.33203125" style="324" customWidth="1"/>
    <col min="12013" max="12013" width="11.88671875" style="324" customWidth="1"/>
    <col min="12014" max="12014" width="11.109375" style="324" customWidth="1"/>
    <col min="12015" max="12015" width="11.5546875" style="324" customWidth="1"/>
    <col min="12016" max="12016" width="12.44140625" style="324" customWidth="1"/>
    <col min="12017" max="12017" width="11.6640625" style="324" customWidth="1"/>
    <col min="12018" max="12019" width="11.88671875" style="324" customWidth="1"/>
    <col min="12020" max="12020" width="11.44140625" style="324" customWidth="1"/>
    <col min="12021" max="12021" width="12" style="324" customWidth="1"/>
    <col min="12022" max="12022" width="13.33203125" style="324" customWidth="1"/>
    <col min="12023" max="12023" width="13.5546875" style="324" customWidth="1"/>
    <col min="12024" max="12025" width="14.5546875" style="324" customWidth="1"/>
    <col min="12026" max="12266" width="9.109375" style="324"/>
    <col min="12267" max="12267" width="5.6640625" style="324" customWidth="1"/>
    <col min="12268" max="12268" width="39.33203125" style="324" customWidth="1"/>
    <col min="12269" max="12269" width="11.88671875" style="324" customWidth="1"/>
    <col min="12270" max="12270" width="11.109375" style="324" customWidth="1"/>
    <col min="12271" max="12271" width="11.5546875" style="324" customWidth="1"/>
    <col min="12272" max="12272" width="12.44140625" style="324" customWidth="1"/>
    <col min="12273" max="12273" width="11.6640625" style="324" customWidth="1"/>
    <col min="12274" max="12275" width="11.88671875" style="324" customWidth="1"/>
    <col min="12276" max="12276" width="11.44140625" style="324" customWidth="1"/>
    <col min="12277" max="12277" width="12" style="324" customWidth="1"/>
    <col min="12278" max="12278" width="13.33203125" style="324" customWidth="1"/>
    <col min="12279" max="12279" width="13.5546875" style="324" customWidth="1"/>
    <col min="12280" max="12281" width="14.5546875" style="324" customWidth="1"/>
    <col min="12282" max="12522" width="9.109375" style="324"/>
    <col min="12523" max="12523" width="5.6640625" style="324" customWidth="1"/>
    <col min="12524" max="12524" width="39.33203125" style="324" customWidth="1"/>
    <col min="12525" max="12525" width="11.88671875" style="324" customWidth="1"/>
    <col min="12526" max="12526" width="11.109375" style="324" customWidth="1"/>
    <col min="12527" max="12527" width="11.5546875" style="324" customWidth="1"/>
    <col min="12528" max="12528" width="12.44140625" style="324" customWidth="1"/>
    <col min="12529" max="12529" width="11.6640625" style="324" customWidth="1"/>
    <col min="12530" max="12531" width="11.88671875" style="324" customWidth="1"/>
    <col min="12532" max="12532" width="11.44140625" style="324" customWidth="1"/>
    <col min="12533" max="12533" width="12" style="324" customWidth="1"/>
    <col min="12534" max="12534" width="13.33203125" style="324" customWidth="1"/>
    <col min="12535" max="12535" width="13.5546875" style="324" customWidth="1"/>
    <col min="12536" max="12537" width="14.5546875" style="324" customWidth="1"/>
    <col min="12538" max="12778" width="9.109375" style="324"/>
    <col min="12779" max="12779" width="5.6640625" style="324" customWidth="1"/>
    <col min="12780" max="12780" width="39.33203125" style="324" customWidth="1"/>
    <col min="12781" max="12781" width="11.88671875" style="324" customWidth="1"/>
    <col min="12782" max="12782" width="11.109375" style="324" customWidth="1"/>
    <col min="12783" max="12783" width="11.5546875" style="324" customWidth="1"/>
    <col min="12784" max="12784" width="12.44140625" style="324" customWidth="1"/>
    <col min="12785" max="12785" width="11.6640625" style="324" customWidth="1"/>
    <col min="12786" max="12787" width="11.88671875" style="324" customWidth="1"/>
    <col min="12788" max="12788" width="11.44140625" style="324" customWidth="1"/>
    <col min="12789" max="12789" width="12" style="324" customWidth="1"/>
    <col min="12790" max="12790" width="13.33203125" style="324" customWidth="1"/>
    <col min="12791" max="12791" width="13.5546875" style="324" customWidth="1"/>
    <col min="12792" max="12793" width="14.5546875" style="324" customWidth="1"/>
    <col min="12794" max="13034" width="9.109375" style="324"/>
    <col min="13035" max="13035" width="5.6640625" style="324" customWidth="1"/>
    <col min="13036" max="13036" width="39.33203125" style="324" customWidth="1"/>
    <col min="13037" max="13037" width="11.88671875" style="324" customWidth="1"/>
    <col min="13038" max="13038" width="11.109375" style="324" customWidth="1"/>
    <col min="13039" max="13039" width="11.5546875" style="324" customWidth="1"/>
    <col min="13040" max="13040" width="12.44140625" style="324" customWidth="1"/>
    <col min="13041" max="13041" width="11.6640625" style="324" customWidth="1"/>
    <col min="13042" max="13043" width="11.88671875" style="324" customWidth="1"/>
    <col min="13044" max="13044" width="11.44140625" style="324" customWidth="1"/>
    <col min="13045" max="13045" width="12" style="324" customWidth="1"/>
    <col min="13046" max="13046" width="13.33203125" style="324" customWidth="1"/>
    <col min="13047" max="13047" width="13.5546875" style="324" customWidth="1"/>
    <col min="13048" max="13049" width="14.5546875" style="324" customWidth="1"/>
    <col min="13050" max="13290" width="9.109375" style="324"/>
    <col min="13291" max="13291" width="5.6640625" style="324" customWidth="1"/>
    <col min="13292" max="13292" width="39.33203125" style="324" customWidth="1"/>
    <col min="13293" max="13293" width="11.88671875" style="324" customWidth="1"/>
    <col min="13294" max="13294" width="11.109375" style="324" customWidth="1"/>
    <col min="13295" max="13295" width="11.5546875" style="324" customWidth="1"/>
    <col min="13296" max="13296" width="12.44140625" style="324" customWidth="1"/>
    <col min="13297" max="13297" width="11.6640625" style="324" customWidth="1"/>
    <col min="13298" max="13299" width="11.88671875" style="324" customWidth="1"/>
    <col min="13300" max="13300" width="11.44140625" style="324" customWidth="1"/>
    <col min="13301" max="13301" width="12" style="324" customWidth="1"/>
    <col min="13302" max="13302" width="13.33203125" style="324" customWidth="1"/>
    <col min="13303" max="13303" width="13.5546875" style="324" customWidth="1"/>
    <col min="13304" max="13305" width="14.5546875" style="324" customWidth="1"/>
    <col min="13306" max="13546" width="9.109375" style="324"/>
    <col min="13547" max="13547" width="5.6640625" style="324" customWidth="1"/>
    <col min="13548" max="13548" width="39.33203125" style="324" customWidth="1"/>
    <col min="13549" max="13549" width="11.88671875" style="324" customWidth="1"/>
    <col min="13550" max="13550" width="11.109375" style="324" customWidth="1"/>
    <col min="13551" max="13551" width="11.5546875" style="324" customWidth="1"/>
    <col min="13552" max="13552" width="12.44140625" style="324" customWidth="1"/>
    <col min="13553" max="13553" width="11.6640625" style="324" customWidth="1"/>
    <col min="13554" max="13555" width="11.88671875" style="324" customWidth="1"/>
    <col min="13556" max="13556" width="11.44140625" style="324" customWidth="1"/>
    <col min="13557" max="13557" width="12" style="324" customWidth="1"/>
    <col min="13558" max="13558" width="13.33203125" style="324" customWidth="1"/>
    <col min="13559" max="13559" width="13.5546875" style="324" customWidth="1"/>
    <col min="13560" max="13561" width="14.5546875" style="324" customWidth="1"/>
    <col min="13562" max="13802" width="9.109375" style="324"/>
    <col min="13803" max="13803" width="5.6640625" style="324" customWidth="1"/>
    <col min="13804" max="13804" width="39.33203125" style="324" customWidth="1"/>
    <col min="13805" max="13805" width="11.88671875" style="324" customWidth="1"/>
    <col min="13806" max="13806" width="11.109375" style="324" customWidth="1"/>
    <col min="13807" max="13807" width="11.5546875" style="324" customWidth="1"/>
    <col min="13808" max="13808" width="12.44140625" style="324" customWidth="1"/>
    <col min="13809" max="13809" width="11.6640625" style="324" customWidth="1"/>
    <col min="13810" max="13811" width="11.88671875" style="324" customWidth="1"/>
    <col min="13812" max="13812" width="11.44140625" style="324" customWidth="1"/>
    <col min="13813" max="13813" width="12" style="324" customWidth="1"/>
    <col min="13814" max="13814" width="13.33203125" style="324" customWidth="1"/>
    <col min="13815" max="13815" width="13.5546875" style="324" customWidth="1"/>
    <col min="13816" max="13817" width="14.5546875" style="324" customWidth="1"/>
    <col min="13818" max="14058" width="9.109375" style="324"/>
    <col min="14059" max="14059" width="5.6640625" style="324" customWidth="1"/>
    <col min="14060" max="14060" width="39.33203125" style="324" customWidth="1"/>
    <col min="14061" max="14061" width="11.88671875" style="324" customWidth="1"/>
    <col min="14062" max="14062" width="11.109375" style="324" customWidth="1"/>
    <col min="14063" max="14063" width="11.5546875" style="324" customWidth="1"/>
    <col min="14064" max="14064" width="12.44140625" style="324" customWidth="1"/>
    <col min="14065" max="14065" width="11.6640625" style="324" customWidth="1"/>
    <col min="14066" max="14067" width="11.88671875" style="324" customWidth="1"/>
    <col min="14068" max="14068" width="11.44140625" style="324" customWidth="1"/>
    <col min="14069" max="14069" width="12" style="324" customWidth="1"/>
    <col min="14070" max="14070" width="13.33203125" style="324" customWidth="1"/>
    <col min="14071" max="14071" width="13.5546875" style="324" customWidth="1"/>
    <col min="14072" max="14073" width="14.5546875" style="324" customWidth="1"/>
    <col min="14074" max="14314" width="9.109375" style="324"/>
    <col min="14315" max="14315" width="5.6640625" style="324" customWidth="1"/>
    <col min="14316" max="14316" width="39.33203125" style="324" customWidth="1"/>
    <col min="14317" max="14317" width="11.88671875" style="324" customWidth="1"/>
    <col min="14318" max="14318" width="11.109375" style="324" customWidth="1"/>
    <col min="14319" max="14319" width="11.5546875" style="324" customWidth="1"/>
    <col min="14320" max="14320" width="12.44140625" style="324" customWidth="1"/>
    <col min="14321" max="14321" width="11.6640625" style="324" customWidth="1"/>
    <col min="14322" max="14323" width="11.88671875" style="324" customWidth="1"/>
    <col min="14324" max="14324" width="11.44140625" style="324" customWidth="1"/>
    <col min="14325" max="14325" width="12" style="324" customWidth="1"/>
    <col min="14326" max="14326" width="13.33203125" style="324" customWidth="1"/>
    <col min="14327" max="14327" width="13.5546875" style="324" customWidth="1"/>
    <col min="14328" max="14329" width="14.5546875" style="324" customWidth="1"/>
    <col min="14330" max="14570" width="9.109375" style="324"/>
    <col min="14571" max="14571" width="5.6640625" style="324" customWidth="1"/>
    <col min="14572" max="14572" width="39.33203125" style="324" customWidth="1"/>
    <col min="14573" max="14573" width="11.88671875" style="324" customWidth="1"/>
    <col min="14574" max="14574" width="11.109375" style="324" customWidth="1"/>
    <col min="14575" max="14575" width="11.5546875" style="324" customWidth="1"/>
    <col min="14576" max="14576" width="12.44140625" style="324" customWidth="1"/>
    <col min="14577" max="14577" width="11.6640625" style="324" customWidth="1"/>
    <col min="14578" max="14579" width="11.88671875" style="324" customWidth="1"/>
    <col min="14580" max="14580" width="11.44140625" style="324" customWidth="1"/>
    <col min="14581" max="14581" width="12" style="324" customWidth="1"/>
    <col min="14582" max="14582" width="13.33203125" style="324" customWidth="1"/>
    <col min="14583" max="14583" width="13.5546875" style="324" customWidth="1"/>
    <col min="14584" max="14585" width="14.5546875" style="324" customWidth="1"/>
    <col min="14586" max="14826" width="9.109375" style="324"/>
    <col min="14827" max="14827" width="5.6640625" style="324" customWidth="1"/>
    <col min="14828" max="14828" width="39.33203125" style="324" customWidth="1"/>
    <col min="14829" max="14829" width="11.88671875" style="324" customWidth="1"/>
    <col min="14830" max="14830" width="11.109375" style="324" customWidth="1"/>
    <col min="14831" max="14831" width="11.5546875" style="324" customWidth="1"/>
    <col min="14832" max="14832" width="12.44140625" style="324" customWidth="1"/>
    <col min="14833" max="14833" width="11.6640625" style="324" customWidth="1"/>
    <col min="14834" max="14835" width="11.88671875" style="324" customWidth="1"/>
    <col min="14836" max="14836" width="11.44140625" style="324" customWidth="1"/>
    <col min="14837" max="14837" width="12" style="324" customWidth="1"/>
    <col min="14838" max="14838" width="13.33203125" style="324" customWidth="1"/>
    <col min="14839" max="14839" width="13.5546875" style="324" customWidth="1"/>
    <col min="14840" max="14841" width="14.5546875" style="324" customWidth="1"/>
    <col min="14842" max="15082" width="9.109375" style="324"/>
    <col min="15083" max="15083" width="5.6640625" style="324" customWidth="1"/>
    <col min="15084" max="15084" width="39.33203125" style="324" customWidth="1"/>
    <col min="15085" max="15085" width="11.88671875" style="324" customWidth="1"/>
    <col min="15086" max="15086" width="11.109375" style="324" customWidth="1"/>
    <col min="15087" max="15087" width="11.5546875" style="324" customWidth="1"/>
    <col min="15088" max="15088" width="12.44140625" style="324" customWidth="1"/>
    <col min="15089" max="15089" width="11.6640625" style="324" customWidth="1"/>
    <col min="15090" max="15091" width="11.88671875" style="324" customWidth="1"/>
    <col min="15092" max="15092" width="11.44140625" style="324" customWidth="1"/>
    <col min="15093" max="15093" width="12" style="324" customWidth="1"/>
    <col min="15094" max="15094" width="13.33203125" style="324" customWidth="1"/>
    <col min="15095" max="15095" width="13.5546875" style="324" customWidth="1"/>
    <col min="15096" max="15097" width="14.5546875" style="324" customWidth="1"/>
    <col min="15098" max="15338" width="9.109375" style="324"/>
    <col min="15339" max="15339" width="5.6640625" style="324" customWidth="1"/>
    <col min="15340" max="15340" width="39.33203125" style="324" customWidth="1"/>
    <col min="15341" max="15341" width="11.88671875" style="324" customWidth="1"/>
    <col min="15342" max="15342" width="11.109375" style="324" customWidth="1"/>
    <col min="15343" max="15343" width="11.5546875" style="324" customWidth="1"/>
    <col min="15344" max="15344" width="12.44140625" style="324" customWidth="1"/>
    <col min="15345" max="15345" width="11.6640625" style="324" customWidth="1"/>
    <col min="15346" max="15347" width="11.88671875" style="324" customWidth="1"/>
    <col min="15348" max="15348" width="11.44140625" style="324" customWidth="1"/>
    <col min="15349" max="15349" width="12" style="324" customWidth="1"/>
    <col min="15350" max="15350" width="13.33203125" style="324" customWidth="1"/>
    <col min="15351" max="15351" width="13.5546875" style="324" customWidth="1"/>
    <col min="15352" max="15353" width="14.5546875" style="324" customWidth="1"/>
    <col min="15354" max="15594" width="9.109375" style="324"/>
    <col min="15595" max="15595" width="5.6640625" style="324" customWidth="1"/>
    <col min="15596" max="15596" width="39.33203125" style="324" customWidth="1"/>
    <col min="15597" max="15597" width="11.88671875" style="324" customWidth="1"/>
    <col min="15598" max="15598" width="11.109375" style="324" customWidth="1"/>
    <col min="15599" max="15599" width="11.5546875" style="324" customWidth="1"/>
    <col min="15600" max="15600" width="12.44140625" style="324" customWidth="1"/>
    <col min="15601" max="15601" width="11.6640625" style="324" customWidth="1"/>
    <col min="15602" max="15603" width="11.88671875" style="324" customWidth="1"/>
    <col min="15604" max="15604" width="11.44140625" style="324" customWidth="1"/>
    <col min="15605" max="15605" width="12" style="324" customWidth="1"/>
    <col min="15606" max="15606" width="13.33203125" style="324" customWidth="1"/>
    <col min="15607" max="15607" width="13.5546875" style="324" customWidth="1"/>
    <col min="15608" max="15609" width="14.5546875" style="324" customWidth="1"/>
    <col min="15610" max="15850" width="9.109375" style="324"/>
    <col min="15851" max="15851" width="5.6640625" style="324" customWidth="1"/>
    <col min="15852" max="15852" width="39.33203125" style="324" customWidth="1"/>
    <col min="15853" max="15853" width="11.88671875" style="324" customWidth="1"/>
    <col min="15854" max="15854" width="11.109375" style="324" customWidth="1"/>
    <col min="15855" max="15855" width="11.5546875" style="324" customWidth="1"/>
    <col min="15856" max="15856" width="12.44140625" style="324" customWidth="1"/>
    <col min="15857" max="15857" width="11.6640625" style="324" customWidth="1"/>
    <col min="15858" max="15859" width="11.88671875" style="324" customWidth="1"/>
    <col min="15860" max="15860" width="11.44140625" style="324" customWidth="1"/>
    <col min="15861" max="15861" width="12" style="324" customWidth="1"/>
    <col min="15862" max="15862" width="13.33203125" style="324" customWidth="1"/>
    <col min="15863" max="15863" width="13.5546875" style="324" customWidth="1"/>
    <col min="15864" max="15865" width="14.5546875" style="324" customWidth="1"/>
    <col min="15866" max="16106" width="9.109375" style="324"/>
    <col min="16107" max="16107" width="5.6640625" style="324" customWidth="1"/>
    <col min="16108" max="16108" width="39.33203125" style="324" customWidth="1"/>
    <col min="16109" max="16109" width="11.88671875" style="324" customWidth="1"/>
    <col min="16110" max="16110" width="11.109375" style="324" customWidth="1"/>
    <col min="16111" max="16111" width="11.5546875" style="324" customWidth="1"/>
    <col min="16112" max="16112" width="12.44140625" style="324" customWidth="1"/>
    <col min="16113" max="16113" width="11.6640625" style="324" customWidth="1"/>
    <col min="16114" max="16115" width="11.88671875" style="324" customWidth="1"/>
    <col min="16116" max="16116" width="11.44140625" style="324" customWidth="1"/>
    <col min="16117" max="16117" width="12" style="324" customWidth="1"/>
    <col min="16118" max="16118" width="13.33203125" style="324" customWidth="1"/>
    <col min="16119" max="16119" width="13.5546875" style="324" customWidth="1"/>
    <col min="16120" max="16121" width="14.5546875" style="324" customWidth="1"/>
    <col min="16122" max="16384" width="9.109375" style="324"/>
  </cols>
  <sheetData>
    <row r="1" spans="1:14" ht="18">
      <c r="A1" s="320"/>
      <c r="B1" s="320" t="s">
        <v>173</v>
      </c>
      <c r="C1" s="321"/>
      <c r="D1" s="322"/>
      <c r="E1" s="322"/>
      <c r="F1" s="322"/>
      <c r="G1" s="323"/>
      <c r="H1" s="323"/>
      <c r="I1" s="323"/>
      <c r="J1" s="3048"/>
      <c r="K1" s="3049"/>
      <c r="L1" s="3049"/>
      <c r="M1" s="3049"/>
    </row>
    <row r="2" spans="1:14">
      <c r="A2" s="320"/>
      <c r="B2" s="325" t="s">
        <v>174</v>
      </c>
      <c r="C2" s="326"/>
      <c r="D2" s="322"/>
      <c r="E2" s="322"/>
      <c r="F2" s="322"/>
      <c r="G2" s="323"/>
      <c r="H2" s="323"/>
      <c r="I2" s="323"/>
      <c r="J2" s="3050"/>
      <c r="K2" s="3050"/>
      <c r="L2" s="3050"/>
      <c r="M2" s="3050"/>
    </row>
    <row r="3" spans="1:14">
      <c r="A3" s="320"/>
      <c r="B3" s="325" t="s">
        <v>175</v>
      </c>
      <c r="C3" s="326"/>
      <c r="D3" s="322"/>
      <c r="E3" s="322"/>
      <c r="F3" s="322"/>
      <c r="G3" s="323"/>
      <c r="H3" s="323"/>
      <c r="I3" s="323"/>
      <c r="J3" s="327"/>
      <c r="K3" s="327"/>
      <c r="L3" s="327"/>
      <c r="M3" s="327"/>
    </row>
    <row r="4" spans="1:14" ht="17.399999999999999">
      <c r="A4" s="3051" t="s">
        <v>176</v>
      </c>
      <c r="B4" s="3051"/>
      <c r="C4" s="3051"/>
      <c r="D4" s="3051"/>
      <c r="E4" s="3051"/>
      <c r="F4" s="3051"/>
      <c r="G4" s="3051"/>
      <c r="H4" s="3051"/>
      <c r="I4" s="3051"/>
      <c r="J4" s="3051"/>
      <c r="K4" s="3051"/>
      <c r="L4" s="3051"/>
      <c r="M4" s="3051"/>
      <c r="N4" s="3051"/>
    </row>
    <row r="5" spans="1:14" s="328" customFormat="1" ht="18">
      <c r="A5" s="3052" t="s">
        <v>177</v>
      </c>
      <c r="B5" s="3052"/>
      <c r="C5" s="3052"/>
      <c r="D5" s="3052"/>
      <c r="E5" s="3052"/>
      <c r="F5" s="3052"/>
      <c r="G5" s="3052"/>
      <c r="H5" s="3052"/>
      <c r="I5" s="3052"/>
      <c r="J5" s="3052"/>
      <c r="K5" s="3052"/>
      <c r="L5" s="3052"/>
      <c r="M5" s="3052"/>
      <c r="N5" s="3052"/>
    </row>
    <row r="6" spans="1:14" ht="18">
      <c r="A6" s="329"/>
      <c r="B6" s="329"/>
      <c r="C6" s="3053" t="s">
        <v>178</v>
      </c>
      <c r="D6" s="3053"/>
      <c r="E6" s="3053"/>
      <c r="F6" s="3053"/>
      <c r="G6" s="3053"/>
      <c r="H6" s="3053"/>
      <c r="I6" s="329"/>
      <c r="J6" s="329"/>
      <c r="K6" s="329"/>
      <c r="L6" s="3054" t="s">
        <v>179</v>
      </c>
      <c r="M6" s="3054"/>
      <c r="N6" s="3054"/>
    </row>
    <row r="7" spans="1:14" ht="18.75" customHeight="1">
      <c r="A7" s="3055" t="s">
        <v>49</v>
      </c>
      <c r="B7" s="3056" t="s">
        <v>0</v>
      </c>
      <c r="C7" s="3057" t="s">
        <v>180</v>
      </c>
      <c r="D7" s="3060" t="s">
        <v>181</v>
      </c>
      <c r="E7" s="3060"/>
      <c r="F7" s="3060"/>
      <c r="G7" s="3060"/>
      <c r="H7" s="3060"/>
      <c r="I7" s="3060"/>
      <c r="J7" s="3060"/>
      <c r="K7" s="3060"/>
      <c r="L7" s="3060"/>
      <c r="M7" s="3060"/>
      <c r="N7" s="3060"/>
    </row>
    <row r="8" spans="1:14" s="330" customFormat="1" ht="18.75" customHeight="1">
      <c r="A8" s="3055"/>
      <c r="B8" s="3056"/>
      <c r="C8" s="3058"/>
      <c r="D8" s="3061" t="s">
        <v>182</v>
      </c>
      <c r="E8" s="3060" t="s">
        <v>183</v>
      </c>
      <c r="F8" s="3060"/>
      <c r="G8" s="3060"/>
      <c r="H8" s="3060"/>
      <c r="I8" s="3060"/>
      <c r="J8" s="3060"/>
      <c r="K8" s="3060"/>
      <c r="L8" s="3060"/>
      <c r="M8" s="3060"/>
      <c r="N8" s="3060"/>
    </row>
    <row r="9" spans="1:14" s="330" customFormat="1" ht="18.75" customHeight="1">
      <c r="A9" s="3055"/>
      <c r="B9" s="3056"/>
      <c r="C9" s="3058"/>
      <c r="D9" s="3062"/>
      <c r="E9" s="3057" t="s">
        <v>180</v>
      </c>
      <c r="F9" s="3060" t="s">
        <v>184</v>
      </c>
      <c r="G9" s="3060"/>
      <c r="H9" s="3060"/>
      <c r="I9" s="3060"/>
      <c r="J9" s="3060"/>
      <c r="K9" s="3060"/>
      <c r="L9" s="3060"/>
      <c r="M9" s="3060"/>
      <c r="N9" s="3060"/>
    </row>
    <row r="10" spans="1:14" s="335" customFormat="1" ht="30" customHeight="1">
      <c r="A10" s="3055"/>
      <c r="B10" s="3056"/>
      <c r="C10" s="3059"/>
      <c r="D10" s="3063"/>
      <c r="E10" s="3064"/>
      <c r="F10" s="331" t="s">
        <v>185</v>
      </c>
      <c r="G10" s="331" t="s">
        <v>186</v>
      </c>
      <c r="H10" s="332" t="s">
        <v>42</v>
      </c>
      <c r="I10" s="333" t="s">
        <v>187</v>
      </c>
      <c r="J10" s="334" t="s">
        <v>188</v>
      </c>
      <c r="K10" s="333" t="s">
        <v>189</v>
      </c>
      <c r="L10" s="334" t="s">
        <v>190</v>
      </c>
      <c r="M10" s="333" t="s">
        <v>191</v>
      </c>
      <c r="N10" s="333" t="s">
        <v>192</v>
      </c>
    </row>
    <row r="11" spans="1:14" s="338" customFormat="1" ht="16.5" customHeight="1">
      <c r="A11" s="336" t="s">
        <v>80</v>
      </c>
      <c r="B11" s="337" t="s">
        <v>81</v>
      </c>
      <c r="C11" s="337" t="s">
        <v>193</v>
      </c>
      <c r="D11" s="337">
        <v>2</v>
      </c>
      <c r="E11" s="337" t="s">
        <v>194</v>
      </c>
      <c r="F11" s="337">
        <v>4</v>
      </c>
      <c r="G11" s="337">
        <v>5</v>
      </c>
      <c r="H11" s="337">
        <v>6</v>
      </c>
      <c r="I11" s="337">
        <v>7</v>
      </c>
      <c r="J11" s="337">
        <v>8</v>
      </c>
      <c r="K11" s="337">
        <v>9</v>
      </c>
      <c r="L11" s="337">
        <v>10</v>
      </c>
      <c r="M11" s="337">
        <v>11</v>
      </c>
      <c r="N11" s="337">
        <v>12</v>
      </c>
    </row>
    <row r="12" spans="1:14" s="338" customFormat="1" ht="18.75" customHeight="1">
      <c r="A12" s="339"/>
      <c r="B12" s="340" t="s">
        <v>195</v>
      </c>
      <c r="C12" s="341">
        <f t="shared" ref="C12:N12" si="0">C13+C14+C76</f>
        <v>3761800</v>
      </c>
      <c r="D12" s="341">
        <f t="shared" si="0"/>
        <v>3182200</v>
      </c>
      <c r="E12" s="341">
        <f>E13+E14+E76</f>
        <v>579600</v>
      </c>
      <c r="F12" s="341">
        <f t="shared" si="0"/>
        <v>195900</v>
      </c>
      <c r="G12" s="341">
        <f t="shared" si="0"/>
        <v>68000</v>
      </c>
      <c r="H12" s="341">
        <f t="shared" si="0"/>
        <v>51000</v>
      </c>
      <c r="I12" s="341">
        <f t="shared" si="0"/>
        <v>42200</v>
      </c>
      <c r="J12" s="341">
        <f t="shared" si="0"/>
        <v>62500</v>
      </c>
      <c r="K12" s="341">
        <f t="shared" si="0"/>
        <v>27400</v>
      </c>
      <c r="L12" s="341">
        <f t="shared" si="0"/>
        <v>43500</v>
      </c>
      <c r="M12" s="341">
        <f t="shared" si="0"/>
        <v>31900</v>
      </c>
      <c r="N12" s="341">
        <f t="shared" si="0"/>
        <v>57200</v>
      </c>
    </row>
    <row r="13" spans="1:14" s="338" customFormat="1" ht="18.75" customHeight="1">
      <c r="A13" s="342" t="s">
        <v>54</v>
      </c>
      <c r="B13" s="343" t="s">
        <v>196</v>
      </c>
      <c r="C13" s="344"/>
      <c r="D13" s="344"/>
      <c r="E13" s="344"/>
      <c r="F13" s="344"/>
      <c r="G13" s="344"/>
      <c r="H13" s="344"/>
      <c r="I13" s="344"/>
      <c r="J13" s="344"/>
      <c r="K13" s="344"/>
      <c r="L13" s="344"/>
      <c r="M13" s="344"/>
      <c r="N13" s="344"/>
    </row>
    <row r="14" spans="1:14" s="338" customFormat="1" ht="18.75" customHeight="1">
      <c r="A14" s="342" t="s">
        <v>60</v>
      </c>
      <c r="B14" s="343" t="s">
        <v>197</v>
      </c>
      <c r="C14" s="344">
        <f>C17+C32+C39+C58+C59+C60+C61+C63+C64+C65+C66+C67+C68+C69+C70+C71+C73+C74+C75</f>
        <v>3761800</v>
      </c>
      <c r="D14" s="344">
        <f t="shared" ref="D14:N14" si="1">D17+D32+D39+D58+D59+D60+D61+D63+D64+D65+D66+D67+D68+D69+D70+D71+D73+D74+D75</f>
        <v>3182200</v>
      </c>
      <c r="E14" s="344">
        <f t="shared" si="1"/>
        <v>579600</v>
      </c>
      <c r="F14" s="344">
        <f t="shared" si="1"/>
        <v>195900</v>
      </c>
      <c r="G14" s="344">
        <f t="shared" si="1"/>
        <v>68000</v>
      </c>
      <c r="H14" s="344">
        <f t="shared" si="1"/>
        <v>51000</v>
      </c>
      <c r="I14" s="344">
        <f t="shared" si="1"/>
        <v>42200</v>
      </c>
      <c r="J14" s="344">
        <f t="shared" si="1"/>
        <v>62500</v>
      </c>
      <c r="K14" s="344">
        <f t="shared" si="1"/>
        <v>27400</v>
      </c>
      <c r="L14" s="344">
        <f t="shared" si="1"/>
        <v>43500</v>
      </c>
      <c r="M14" s="344">
        <f t="shared" si="1"/>
        <v>31900</v>
      </c>
      <c r="N14" s="344">
        <f t="shared" si="1"/>
        <v>57200</v>
      </c>
    </row>
    <row r="15" spans="1:14" s="338" customFormat="1" ht="18.75" customHeight="1">
      <c r="A15" s="342"/>
      <c r="B15" s="343" t="s">
        <v>128</v>
      </c>
      <c r="C15" s="344"/>
      <c r="D15" s="344"/>
      <c r="E15" s="344"/>
      <c r="F15" s="344"/>
      <c r="G15" s="344"/>
      <c r="H15" s="344"/>
      <c r="I15" s="344"/>
      <c r="J15" s="344"/>
      <c r="K15" s="344"/>
      <c r="L15" s="344"/>
      <c r="M15" s="344"/>
      <c r="N15" s="344"/>
    </row>
    <row r="16" spans="1:14" s="338" customFormat="1" ht="18.75" customHeight="1">
      <c r="A16" s="342"/>
      <c r="B16" s="343" t="s">
        <v>198</v>
      </c>
      <c r="C16" s="344">
        <f t="shared" ref="C16:N16" si="2">C14-C66-C68-C74</f>
        <v>2670000</v>
      </c>
      <c r="D16" s="344">
        <f>D14-D66-D68-D74</f>
        <v>2143200</v>
      </c>
      <c r="E16" s="344">
        <f t="shared" si="2"/>
        <v>526800</v>
      </c>
      <c r="F16" s="344">
        <f t="shared" si="2"/>
        <v>165900</v>
      </c>
      <c r="G16" s="344">
        <f t="shared" si="2"/>
        <v>64500</v>
      </c>
      <c r="H16" s="344">
        <f t="shared" si="2"/>
        <v>48500</v>
      </c>
      <c r="I16" s="344">
        <f t="shared" si="2"/>
        <v>40500</v>
      </c>
      <c r="J16" s="344">
        <f t="shared" si="2"/>
        <v>58000</v>
      </c>
      <c r="K16" s="344">
        <f t="shared" si="2"/>
        <v>26800</v>
      </c>
      <c r="L16" s="344">
        <f t="shared" si="2"/>
        <v>40000</v>
      </c>
      <c r="M16" s="344">
        <f t="shared" si="2"/>
        <v>29400</v>
      </c>
      <c r="N16" s="344">
        <f t="shared" si="2"/>
        <v>53200</v>
      </c>
    </row>
    <row r="17" spans="1:14" s="348" customFormat="1" ht="18.75" customHeight="1">
      <c r="A17" s="345">
        <v>1</v>
      </c>
      <c r="B17" s="346" t="s">
        <v>199</v>
      </c>
      <c r="C17" s="347">
        <f t="shared" ref="C17:N17" si="3">C18+C25</f>
        <v>993800</v>
      </c>
      <c r="D17" s="347">
        <f t="shared" si="3"/>
        <v>993800</v>
      </c>
      <c r="E17" s="347">
        <f t="shared" si="3"/>
        <v>0</v>
      </c>
      <c r="F17" s="347">
        <f t="shared" si="3"/>
        <v>0</v>
      </c>
      <c r="G17" s="347">
        <f t="shared" si="3"/>
        <v>0</v>
      </c>
      <c r="H17" s="347">
        <f t="shared" si="3"/>
        <v>0</v>
      </c>
      <c r="I17" s="347">
        <f t="shared" si="3"/>
        <v>0</v>
      </c>
      <c r="J17" s="347">
        <f t="shared" si="3"/>
        <v>0</v>
      </c>
      <c r="K17" s="347">
        <f t="shared" si="3"/>
        <v>0</v>
      </c>
      <c r="L17" s="347">
        <f t="shared" si="3"/>
        <v>0</v>
      </c>
      <c r="M17" s="347">
        <f t="shared" si="3"/>
        <v>0</v>
      </c>
      <c r="N17" s="347">
        <f t="shared" si="3"/>
        <v>0</v>
      </c>
    </row>
    <row r="18" spans="1:14" s="352" customFormat="1" ht="18.75" customHeight="1">
      <c r="A18" s="349" t="s">
        <v>200</v>
      </c>
      <c r="B18" s="350" t="s">
        <v>201</v>
      </c>
      <c r="C18" s="351">
        <f t="shared" ref="C18:N18" si="4">C19+C20+C21+C22+C23+C24</f>
        <v>925800</v>
      </c>
      <c r="D18" s="351">
        <v>925800</v>
      </c>
      <c r="E18" s="351">
        <f t="shared" si="4"/>
        <v>0</v>
      </c>
      <c r="F18" s="351">
        <f t="shared" si="4"/>
        <v>0</v>
      </c>
      <c r="G18" s="351">
        <f t="shared" si="4"/>
        <v>0</v>
      </c>
      <c r="H18" s="351">
        <f t="shared" si="4"/>
        <v>0</v>
      </c>
      <c r="I18" s="351">
        <f t="shared" si="4"/>
        <v>0</v>
      </c>
      <c r="J18" s="351">
        <f t="shared" si="4"/>
        <v>0</v>
      </c>
      <c r="K18" s="351">
        <f t="shared" si="4"/>
        <v>0</v>
      </c>
      <c r="L18" s="351">
        <f t="shared" si="4"/>
        <v>0</v>
      </c>
      <c r="M18" s="351">
        <f t="shared" si="4"/>
        <v>0</v>
      </c>
      <c r="N18" s="351">
        <f t="shared" si="4"/>
        <v>0</v>
      </c>
    </row>
    <row r="19" spans="1:14" s="338" customFormat="1" ht="18.75" customHeight="1">
      <c r="A19" s="353"/>
      <c r="B19" s="354" t="s">
        <v>202</v>
      </c>
      <c r="C19" s="355">
        <v>735500</v>
      </c>
      <c r="D19" s="355">
        <v>735500</v>
      </c>
      <c r="E19" s="355"/>
      <c r="F19" s="355"/>
      <c r="G19" s="355"/>
      <c r="H19" s="355"/>
      <c r="I19" s="355"/>
      <c r="J19" s="355"/>
      <c r="K19" s="355"/>
      <c r="L19" s="355"/>
      <c r="M19" s="355"/>
      <c r="N19" s="355"/>
    </row>
    <row r="20" spans="1:14" s="338" customFormat="1" ht="18.75" customHeight="1">
      <c r="A20" s="353"/>
      <c r="B20" s="354" t="s">
        <v>203</v>
      </c>
      <c r="C20" s="355">
        <v>0</v>
      </c>
      <c r="D20" s="355">
        <v>0</v>
      </c>
      <c r="E20" s="355"/>
      <c r="F20" s="355"/>
      <c r="G20" s="355"/>
      <c r="H20" s="355"/>
      <c r="I20" s="355"/>
      <c r="J20" s="355"/>
      <c r="K20" s="355"/>
      <c r="L20" s="355"/>
      <c r="M20" s="355"/>
      <c r="N20" s="355"/>
    </row>
    <row r="21" spans="1:14" s="338" customFormat="1" ht="18.75" customHeight="1">
      <c r="A21" s="353"/>
      <c r="B21" s="354" t="s">
        <v>204</v>
      </c>
      <c r="C21" s="355">
        <v>189800</v>
      </c>
      <c r="D21" s="355">
        <v>189800</v>
      </c>
      <c r="E21" s="355"/>
      <c r="F21" s="355"/>
      <c r="G21" s="355"/>
      <c r="H21" s="355"/>
      <c r="I21" s="355"/>
      <c r="J21" s="355"/>
      <c r="K21" s="355"/>
      <c r="L21" s="355"/>
      <c r="M21" s="355"/>
      <c r="N21" s="355"/>
    </row>
    <row r="22" spans="1:14" s="338" customFormat="1" ht="18.75" customHeight="1">
      <c r="A22" s="353"/>
      <c r="B22" s="354" t="s">
        <v>205</v>
      </c>
      <c r="C22" s="355">
        <v>500</v>
      </c>
      <c r="D22" s="355">
        <v>500</v>
      </c>
      <c r="E22" s="355"/>
      <c r="F22" s="355"/>
      <c r="G22" s="355"/>
      <c r="H22" s="355"/>
      <c r="I22" s="355"/>
      <c r="J22" s="355"/>
      <c r="K22" s="355"/>
      <c r="L22" s="355"/>
      <c r="M22" s="355"/>
      <c r="N22" s="355"/>
    </row>
    <row r="23" spans="1:14" s="338" customFormat="1" ht="18.75" customHeight="1">
      <c r="A23" s="353"/>
      <c r="B23" s="354" t="s">
        <v>206</v>
      </c>
      <c r="C23" s="355">
        <v>0</v>
      </c>
      <c r="D23" s="355">
        <v>0</v>
      </c>
      <c r="E23" s="355"/>
      <c r="F23" s="355"/>
      <c r="G23" s="355"/>
      <c r="H23" s="355"/>
      <c r="I23" s="355"/>
      <c r="J23" s="355"/>
      <c r="K23" s="355"/>
      <c r="L23" s="355"/>
      <c r="M23" s="355"/>
      <c r="N23" s="355"/>
    </row>
    <row r="24" spans="1:14" s="338" customFormat="1" ht="18.75" customHeight="1">
      <c r="A24" s="353"/>
      <c r="B24" s="354" t="s">
        <v>207</v>
      </c>
      <c r="C24" s="355">
        <v>0</v>
      </c>
      <c r="D24" s="355">
        <v>0</v>
      </c>
      <c r="E24" s="355"/>
      <c r="F24" s="355"/>
      <c r="G24" s="355"/>
      <c r="H24" s="355"/>
      <c r="I24" s="355"/>
      <c r="J24" s="355"/>
      <c r="K24" s="355"/>
      <c r="L24" s="355"/>
      <c r="M24" s="355"/>
      <c r="N24" s="355"/>
    </row>
    <row r="25" spans="1:14" s="352" customFormat="1" ht="18.75" customHeight="1">
      <c r="A25" s="349" t="s">
        <v>208</v>
      </c>
      <c r="B25" s="350" t="s">
        <v>209</v>
      </c>
      <c r="C25" s="351">
        <f t="shared" ref="C25:N25" si="5">C26+C27+C28+C29+C30+C31</f>
        <v>68000</v>
      </c>
      <c r="D25" s="351">
        <f t="shared" si="5"/>
        <v>68000</v>
      </c>
      <c r="E25" s="351">
        <f t="shared" si="5"/>
        <v>0</v>
      </c>
      <c r="F25" s="351">
        <f t="shared" si="5"/>
        <v>0</v>
      </c>
      <c r="G25" s="351">
        <f t="shared" si="5"/>
        <v>0</v>
      </c>
      <c r="H25" s="351">
        <f t="shared" si="5"/>
        <v>0</v>
      </c>
      <c r="I25" s="351">
        <f t="shared" si="5"/>
        <v>0</v>
      </c>
      <c r="J25" s="351">
        <f t="shared" si="5"/>
        <v>0</v>
      </c>
      <c r="K25" s="351">
        <f t="shared" si="5"/>
        <v>0</v>
      </c>
      <c r="L25" s="351">
        <f t="shared" si="5"/>
        <v>0</v>
      </c>
      <c r="M25" s="351">
        <f t="shared" si="5"/>
        <v>0</v>
      </c>
      <c r="N25" s="351">
        <f t="shared" si="5"/>
        <v>0</v>
      </c>
    </row>
    <row r="26" spans="1:14" s="338" customFormat="1" ht="18.75" customHeight="1">
      <c r="A26" s="353"/>
      <c r="B26" s="354" t="s">
        <v>202</v>
      </c>
      <c r="C26" s="356">
        <v>36390</v>
      </c>
      <c r="D26" s="356">
        <v>36390</v>
      </c>
      <c r="E26" s="357"/>
      <c r="F26" s="357"/>
      <c r="G26" s="357"/>
      <c r="H26" s="357"/>
      <c r="I26" s="357"/>
      <c r="J26" s="357"/>
      <c r="K26" s="357"/>
      <c r="L26" s="357"/>
      <c r="M26" s="357"/>
      <c r="N26" s="357"/>
    </row>
    <row r="27" spans="1:14" s="338" customFormat="1" ht="18.75" customHeight="1">
      <c r="A27" s="353"/>
      <c r="B27" s="354" t="s">
        <v>203</v>
      </c>
      <c r="C27" s="356">
        <v>110</v>
      </c>
      <c r="D27" s="356">
        <v>110</v>
      </c>
      <c r="E27" s="357"/>
      <c r="F27" s="357"/>
      <c r="G27" s="357"/>
      <c r="H27" s="357"/>
      <c r="I27" s="357"/>
      <c r="J27" s="357"/>
      <c r="K27" s="357"/>
      <c r="L27" s="357"/>
      <c r="M27" s="357"/>
      <c r="N27" s="357"/>
    </row>
    <row r="28" spans="1:14" s="338" customFormat="1" ht="18.75" customHeight="1">
      <c r="A28" s="353"/>
      <c r="B28" s="354" t="s">
        <v>204</v>
      </c>
      <c r="C28" s="356">
        <v>25800</v>
      </c>
      <c r="D28" s="356">
        <v>25800</v>
      </c>
      <c r="E28" s="357"/>
      <c r="F28" s="357"/>
      <c r="G28" s="357"/>
      <c r="H28" s="357"/>
      <c r="I28" s="357"/>
      <c r="J28" s="357"/>
      <c r="K28" s="357"/>
      <c r="L28" s="357"/>
      <c r="M28" s="357"/>
      <c r="N28" s="357"/>
    </row>
    <row r="29" spans="1:14" s="338" customFormat="1" ht="18.75" customHeight="1">
      <c r="A29" s="353"/>
      <c r="B29" s="354" t="s">
        <v>205</v>
      </c>
      <c r="C29" s="356">
        <v>5700</v>
      </c>
      <c r="D29" s="356">
        <v>5700</v>
      </c>
      <c r="E29" s="357"/>
      <c r="F29" s="357"/>
      <c r="G29" s="357"/>
      <c r="H29" s="357"/>
      <c r="I29" s="357"/>
      <c r="J29" s="357"/>
      <c r="K29" s="357"/>
      <c r="L29" s="357"/>
      <c r="M29" s="357"/>
      <c r="N29" s="357"/>
    </row>
    <row r="30" spans="1:14" s="338" customFormat="1" ht="18.75" customHeight="1">
      <c r="A30" s="353"/>
      <c r="B30" s="354" t="s">
        <v>206</v>
      </c>
      <c r="C30" s="358">
        <v>0</v>
      </c>
      <c r="D30" s="358">
        <v>0</v>
      </c>
      <c r="E30" s="357"/>
      <c r="F30" s="357"/>
      <c r="G30" s="357"/>
      <c r="H30" s="357"/>
      <c r="I30" s="357"/>
      <c r="J30" s="357"/>
      <c r="K30" s="357"/>
      <c r="L30" s="357"/>
      <c r="M30" s="357"/>
      <c r="N30" s="357"/>
    </row>
    <row r="31" spans="1:14" s="338" customFormat="1" ht="18.75" customHeight="1">
      <c r="A31" s="353"/>
      <c r="B31" s="354" t="s">
        <v>207</v>
      </c>
      <c r="C31" s="358">
        <v>0</v>
      </c>
      <c r="D31" s="358">
        <v>0</v>
      </c>
      <c r="E31" s="357"/>
      <c r="F31" s="357"/>
      <c r="G31" s="357"/>
      <c r="H31" s="357"/>
      <c r="I31" s="357"/>
      <c r="J31" s="357"/>
      <c r="K31" s="357"/>
      <c r="L31" s="357"/>
      <c r="M31" s="357"/>
      <c r="N31" s="357"/>
    </row>
    <row r="32" spans="1:14" s="352" customFormat="1" ht="18.75" customHeight="1">
      <c r="A32" s="349">
        <v>2</v>
      </c>
      <c r="B32" s="350" t="s">
        <v>210</v>
      </c>
      <c r="C32" s="351">
        <f>C33+C34+C35+C36+C37+C38</f>
        <v>232000</v>
      </c>
      <c r="D32" s="351">
        <f t="shared" ref="D32:N32" si="6">D33+D34+D35+D36+D37+D38</f>
        <v>232000</v>
      </c>
      <c r="E32" s="351">
        <f t="shared" si="6"/>
        <v>0</v>
      </c>
      <c r="F32" s="351">
        <f t="shared" si="6"/>
        <v>0</v>
      </c>
      <c r="G32" s="351">
        <f t="shared" si="6"/>
        <v>0</v>
      </c>
      <c r="H32" s="351">
        <f t="shared" si="6"/>
        <v>0</v>
      </c>
      <c r="I32" s="351">
        <f t="shared" si="6"/>
        <v>0</v>
      </c>
      <c r="J32" s="351">
        <f t="shared" si="6"/>
        <v>0</v>
      </c>
      <c r="K32" s="351">
        <f t="shared" si="6"/>
        <v>0</v>
      </c>
      <c r="L32" s="351">
        <f t="shared" si="6"/>
        <v>0</v>
      </c>
      <c r="M32" s="351">
        <f t="shared" si="6"/>
        <v>0</v>
      </c>
      <c r="N32" s="351">
        <f t="shared" si="6"/>
        <v>0</v>
      </c>
    </row>
    <row r="33" spans="1:14" s="338" customFormat="1" ht="18.75" customHeight="1">
      <c r="A33" s="353"/>
      <c r="B33" s="354" t="s">
        <v>202</v>
      </c>
      <c r="C33" s="355">
        <v>104800</v>
      </c>
      <c r="D33" s="355">
        <v>104800</v>
      </c>
      <c r="E33" s="357"/>
      <c r="F33" s="357"/>
      <c r="G33" s="357"/>
      <c r="H33" s="357"/>
      <c r="I33" s="357"/>
      <c r="J33" s="357"/>
      <c r="K33" s="357"/>
      <c r="L33" s="357"/>
      <c r="M33" s="357"/>
      <c r="N33" s="357"/>
    </row>
    <row r="34" spans="1:14" s="338" customFormat="1" ht="18.75" customHeight="1">
      <c r="A34" s="353"/>
      <c r="B34" s="354" t="s">
        <v>203</v>
      </c>
      <c r="C34" s="355">
        <v>0</v>
      </c>
      <c r="D34" s="355">
        <v>0</v>
      </c>
      <c r="E34" s="357"/>
      <c r="F34" s="357"/>
      <c r="G34" s="357"/>
      <c r="H34" s="357"/>
      <c r="I34" s="357"/>
      <c r="J34" s="357"/>
      <c r="K34" s="357"/>
      <c r="L34" s="357"/>
      <c r="M34" s="357"/>
      <c r="N34" s="357"/>
    </row>
    <row r="35" spans="1:14" s="338" customFormat="1" ht="18.75" customHeight="1">
      <c r="A35" s="353"/>
      <c r="B35" s="354" t="s">
        <v>204</v>
      </c>
      <c r="C35" s="355">
        <v>127000</v>
      </c>
      <c r="D35" s="355">
        <v>127000</v>
      </c>
      <c r="E35" s="357"/>
      <c r="F35" s="357"/>
      <c r="G35" s="357"/>
      <c r="H35" s="357"/>
      <c r="I35" s="357"/>
      <c r="J35" s="357"/>
      <c r="K35" s="357"/>
      <c r="L35" s="357"/>
      <c r="M35" s="357"/>
      <c r="N35" s="357"/>
    </row>
    <row r="36" spans="1:14" s="338" customFormat="1" ht="18.75" customHeight="1">
      <c r="A36" s="353"/>
      <c r="B36" s="354" t="s">
        <v>205</v>
      </c>
      <c r="C36" s="355">
        <v>200</v>
      </c>
      <c r="D36" s="355">
        <v>200</v>
      </c>
      <c r="E36" s="357"/>
      <c r="F36" s="357"/>
      <c r="G36" s="357"/>
      <c r="H36" s="357"/>
      <c r="I36" s="357"/>
      <c r="J36" s="357"/>
      <c r="K36" s="357"/>
      <c r="L36" s="357"/>
      <c r="M36" s="357"/>
      <c r="N36" s="357"/>
    </row>
    <row r="37" spans="1:14" s="338" customFormat="1" ht="18.75" customHeight="1">
      <c r="A37" s="353"/>
      <c r="B37" s="354" t="s">
        <v>206</v>
      </c>
      <c r="C37" s="355">
        <v>0</v>
      </c>
      <c r="D37" s="355">
        <v>0</v>
      </c>
      <c r="E37" s="357"/>
      <c r="F37" s="357"/>
      <c r="G37" s="357"/>
      <c r="H37" s="357"/>
      <c r="I37" s="357"/>
      <c r="J37" s="357"/>
      <c r="K37" s="357"/>
      <c r="L37" s="357"/>
      <c r="M37" s="357"/>
      <c r="N37" s="357"/>
    </row>
    <row r="38" spans="1:14" ht="18.75" customHeight="1">
      <c r="A38" s="353"/>
      <c r="B38" s="354" t="s">
        <v>207</v>
      </c>
      <c r="C38" s="355">
        <v>0</v>
      </c>
      <c r="D38" s="355">
        <v>0</v>
      </c>
      <c r="E38" s="357"/>
      <c r="F38" s="357"/>
      <c r="G38" s="357"/>
      <c r="H38" s="357"/>
      <c r="I38" s="357"/>
      <c r="J38" s="357"/>
      <c r="K38" s="357"/>
      <c r="L38" s="357"/>
      <c r="M38" s="357"/>
      <c r="N38" s="357"/>
    </row>
    <row r="39" spans="1:14" s="348" customFormat="1" ht="18.75" customHeight="1">
      <c r="A39" s="345">
        <v>3</v>
      </c>
      <c r="B39" s="346" t="s">
        <v>211</v>
      </c>
      <c r="C39" s="347">
        <f>SUM(C40:C45)</f>
        <v>350000</v>
      </c>
      <c r="D39" s="347">
        <f>SUM(D40:D45)</f>
        <v>112710</v>
      </c>
      <c r="E39" s="347">
        <f>SUM(F39:N39)</f>
        <v>237290</v>
      </c>
      <c r="F39" s="347">
        <f t="shared" ref="F39:N39" si="7">SUM(F40:F45)</f>
        <v>78500</v>
      </c>
      <c r="G39" s="347">
        <f t="shared" si="7"/>
        <v>41700</v>
      </c>
      <c r="H39" s="347">
        <f t="shared" si="7"/>
        <v>21000</v>
      </c>
      <c r="I39" s="347">
        <f t="shared" si="7"/>
        <v>15500</v>
      </c>
      <c r="J39" s="347">
        <f t="shared" si="7"/>
        <v>25000</v>
      </c>
      <c r="K39" s="347">
        <f t="shared" si="7"/>
        <v>11490</v>
      </c>
      <c r="L39" s="347">
        <f t="shared" si="7"/>
        <v>15500</v>
      </c>
      <c r="M39" s="347">
        <f t="shared" si="7"/>
        <v>8900</v>
      </c>
      <c r="N39" s="347">
        <f t="shared" si="7"/>
        <v>19700</v>
      </c>
    </row>
    <row r="40" spans="1:14" ht="18.75" customHeight="1">
      <c r="A40" s="353"/>
      <c r="B40" s="354" t="s">
        <v>202</v>
      </c>
      <c r="C40" s="359">
        <f>C47+C54</f>
        <v>266700</v>
      </c>
      <c r="D40" s="359">
        <f>D47+D54</f>
        <v>54812</v>
      </c>
      <c r="E40" s="355">
        <f t="shared" ref="E40:E74" si="8">SUM(F40:N40)</f>
        <v>211888</v>
      </c>
      <c r="F40" s="359">
        <f t="shared" ref="F40:N41" si="9">F47+F54</f>
        <v>68400</v>
      </c>
      <c r="G40" s="359">
        <f t="shared" si="9"/>
        <v>39635</v>
      </c>
      <c r="H40" s="359">
        <f t="shared" si="9"/>
        <v>19470</v>
      </c>
      <c r="I40" s="359">
        <f t="shared" si="9"/>
        <v>13785</v>
      </c>
      <c r="J40" s="359">
        <f t="shared" si="9"/>
        <v>21100</v>
      </c>
      <c r="K40" s="359">
        <f t="shared" si="9"/>
        <v>11028</v>
      </c>
      <c r="L40" s="359">
        <f t="shared" si="9"/>
        <v>13770</v>
      </c>
      <c r="M40" s="359">
        <f t="shared" si="9"/>
        <v>7600</v>
      </c>
      <c r="N40" s="359">
        <f t="shared" si="9"/>
        <v>17100</v>
      </c>
    </row>
    <row r="41" spans="1:14" ht="18.75" customHeight="1">
      <c r="A41" s="353"/>
      <c r="B41" s="354" t="s">
        <v>203</v>
      </c>
      <c r="C41" s="359">
        <f>C48+C55</f>
        <v>4000</v>
      </c>
      <c r="D41" s="359">
        <f>D48+D55</f>
        <v>880</v>
      </c>
      <c r="E41" s="355">
        <f>SUM(F41:N41)</f>
        <v>3120</v>
      </c>
      <c r="F41" s="359">
        <f t="shared" si="9"/>
        <v>750</v>
      </c>
      <c r="G41" s="359">
        <f t="shared" si="9"/>
        <v>340</v>
      </c>
      <c r="H41" s="359">
        <f t="shared" si="9"/>
        <v>30</v>
      </c>
      <c r="I41" s="359">
        <f t="shared" si="9"/>
        <v>60</v>
      </c>
      <c r="J41" s="359">
        <f t="shared" si="9"/>
        <v>1700</v>
      </c>
      <c r="K41" s="359">
        <f t="shared" si="9"/>
        <v>0</v>
      </c>
      <c r="L41" s="359">
        <f t="shared" si="9"/>
        <v>90</v>
      </c>
      <c r="M41" s="359">
        <f t="shared" si="9"/>
        <v>80</v>
      </c>
      <c r="N41" s="359">
        <f t="shared" si="9"/>
        <v>70</v>
      </c>
    </row>
    <row r="42" spans="1:14" ht="18.75" customHeight="1">
      <c r="A42" s="353"/>
      <c r="B42" s="354" t="s">
        <v>204</v>
      </c>
      <c r="C42" s="359">
        <f>C49</f>
        <v>75000</v>
      </c>
      <c r="D42" s="359">
        <f>D49</f>
        <v>54125</v>
      </c>
      <c r="E42" s="355">
        <f t="shared" si="8"/>
        <v>20875</v>
      </c>
      <c r="F42" s="359">
        <f t="shared" ref="F42:N42" si="10">F49</f>
        <v>8650</v>
      </c>
      <c r="G42" s="359">
        <f t="shared" si="10"/>
        <v>1200</v>
      </c>
      <c r="H42" s="359">
        <f t="shared" si="10"/>
        <v>1490</v>
      </c>
      <c r="I42" s="359">
        <f t="shared" si="10"/>
        <v>1600</v>
      </c>
      <c r="J42" s="359">
        <f t="shared" si="10"/>
        <v>2200</v>
      </c>
      <c r="K42" s="359">
        <f t="shared" si="10"/>
        <v>445</v>
      </c>
      <c r="L42" s="359">
        <f t="shared" si="10"/>
        <v>1600</v>
      </c>
      <c r="M42" s="359">
        <f t="shared" si="10"/>
        <v>1190</v>
      </c>
      <c r="N42" s="359">
        <f t="shared" si="10"/>
        <v>2500</v>
      </c>
    </row>
    <row r="43" spans="1:14" ht="18.75" customHeight="1">
      <c r="A43" s="353"/>
      <c r="B43" s="354" t="s">
        <v>205</v>
      </c>
      <c r="C43" s="359">
        <f>C50+C56</f>
        <v>4300</v>
      </c>
      <c r="D43" s="359">
        <f>D50+D56</f>
        <v>2893</v>
      </c>
      <c r="E43" s="355">
        <f t="shared" si="8"/>
        <v>1407</v>
      </c>
      <c r="F43" s="359">
        <f t="shared" ref="F43:N43" si="11">F50+F56</f>
        <v>700</v>
      </c>
      <c r="G43" s="359">
        <f t="shared" si="11"/>
        <v>525</v>
      </c>
      <c r="H43" s="359">
        <f t="shared" si="11"/>
        <v>10</v>
      </c>
      <c r="I43" s="359">
        <f t="shared" si="11"/>
        <v>55</v>
      </c>
      <c r="J43" s="359">
        <f t="shared" si="11"/>
        <v>0</v>
      </c>
      <c r="K43" s="359">
        <f t="shared" si="11"/>
        <v>17</v>
      </c>
      <c r="L43" s="359">
        <f t="shared" si="11"/>
        <v>40</v>
      </c>
      <c r="M43" s="359">
        <f t="shared" si="11"/>
        <v>30</v>
      </c>
      <c r="N43" s="359">
        <f t="shared" si="11"/>
        <v>30</v>
      </c>
    </row>
    <row r="44" spans="1:14" ht="18.75" customHeight="1">
      <c r="A44" s="353"/>
      <c r="B44" s="360" t="s">
        <v>206</v>
      </c>
      <c r="C44" s="359">
        <f>C51</f>
        <v>0</v>
      </c>
      <c r="D44" s="359">
        <f>D51</f>
        <v>0</v>
      </c>
      <c r="E44" s="355">
        <f t="shared" si="8"/>
        <v>0</v>
      </c>
      <c r="F44" s="359">
        <f t="shared" ref="F44:N44" si="12">F51</f>
        <v>0</v>
      </c>
      <c r="G44" s="359">
        <f t="shared" si="12"/>
        <v>0</v>
      </c>
      <c r="H44" s="359">
        <f t="shared" si="12"/>
        <v>0</v>
      </c>
      <c r="I44" s="359">
        <f t="shared" si="12"/>
        <v>0</v>
      </c>
      <c r="J44" s="359">
        <f t="shared" si="12"/>
        <v>0</v>
      </c>
      <c r="K44" s="359">
        <f t="shared" si="12"/>
        <v>0</v>
      </c>
      <c r="L44" s="359">
        <f t="shared" si="12"/>
        <v>0</v>
      </c>
      <c r="M44" s="359">
        <f t="shared" si="12"/>
        <v>0</v>
      </c>
      <c r="N44" s="359">
        <f t="shared" si="12"/>
        <v>0</v>
      </c>
    </row>
    <row r="45" spans="1:14" s="361" customFormat="1" ht="18.75" customHeight="1">
      <c r="A45" s="353"/>
      <c r="B45" s="354" t="s">
        <v>207</v>
      </c>
      <c r="C45" s="359">
        <f>C52+C57</f>
        <v>0</v>
      </c>
      <c r="D45" s="359">
        <f>D52+D57</f>
        <v>0</v>
      </c>
      <c r="E45" s="355">
        <f t="shared" si="8"/>
        <v>0</v>
      </c>
      <c r="F45" s="359">
        <f t="shared" ref="F45:N45" si="13">F52+F57</f>
        <v>0</v>
      </c>
      <c r="G45" s="359">
        <f t="shared" si="13"/>
        <v>0</v>
      </c>
      <c r="H45" s="359">
        <f t="shared" si="13"/>
        <v>0</v>
      </c>
      <c r="I45" s="359">
        <f t="shared" si="13"/>
        <v>0</v>
      </c>
      <c r="J45" s="359">
        <f t="shared" si="13"/>
        <v>0</v>
      </c>
      <c r="K45" s="359">
        <f t="shared" si="13"/>
        <v>0</v>
      </c>
      <c r="L45" s="359">
        <f t="shared" si="13"/>
        <v>0</v>
      </c>
      <c r="M45" s="359">
        <f t="shared" si="13"/>
        <v>0</v>
      </c>
      <c r="N45" s="359">
        <f t="shared" si="13"/>
        <v>0</v>
      </c>
    </row>
    <row r="46" spans="1:14" s="352" customFormat="1" ht="18.75" customHeight="1">
      <c r="A46" s="349" t="s">
        <v>212</v>
      </c>
      <c r="B46" s="350" t="s">
        <v>213</v>
      </c>
      <c r="C46" s="351">
        <f>SUM(C47:C52)</f>
        <v>282400</v>
      </c>
      <c r="D46" s="351">
        <f t="shared" ref="D46:N46" si="14">SUM(D47:D52)</f>
        <v>112710</v>
      </c>
      <c r="E46" s="351">
        <f t="shared" si="14"/>
        <v>169690</v>
      </c>
      <c r="F46" s="351">
        <f t="shared" si="14"/>
        <v>52500</v>
      </c>
      <c r="G46" s="351">
        <f t="shared" si="14"/>
        <v>36300</v>
      </c>
      <c r="H46" s="351">
        <f t="shared" si="14"/>
        <v>14600</v>
      </c>
      <c r="I46" s="351">
        <f t="shared" si="14"/>
        <v>11300</v>
      </c>
      <c r="J46" s="351">
        <f t="shared" si="14"/>
        <v>18500</v>
      </c>
      <c r="K46" s="351">
        <f t="shared" si="14"/>
        <v>8790</v>
      </c>
      <c r="L46" s="351">
        <f t="shared" si="14"/>
        <v>9800</v>
      </c>
      <c r="M46" s="351">
        <f t="shared" si="14"/>
        <v>4800</v>
      </c>
      <c r="N46" s="351">
        <f t="shared" si="14"/>
        <v>13100</v>
      </c>
    </row>
    <row r="47" spans="1:14" ht="18.75" customHeight="1">
      <c r="A47" s="353"/>
      <c r="B47" s="354" t="s">
        <v>202</v>
      </c>
      <c r="C47" s="362">
        <f>201807-1350</f>
        <v>200457</v>
      </c>
      <c r="D47" s="355">
        <f t="shared" ref="D47:D52" si="15">C47-E47</f>
        <v>54812</v>
      </c>
      <c r="E47" s="355">
        <f t="shared" si="8"/>
        <v>145645</v>
      </c>
      <c r="F47" s="355">
        <v>42950</v>
      </c>
      <c r="G47" s="355">
        <v>34585</v>
      </c>
      <c r="H47" s="355">
        <v>13100</v>
      </c>
      <c r="I47" s="355">
        <v>9670</v>
      </c>
      <c r="J47" s="355">
        <v>14600</v>
      </c>
      <c r="K47" s="355">
        <v>8340</v>
      </c>
      <c r="L47" s="355">
        <v>8200</v>
      </c>
      <c r="M47" s="355">
        <v>3600</v>
      </c>
      <c r="N47" s="355">
        <v>10600</v>
      </c>
    </row>
    <row r="48" spans="1:14" ht="18.75" customHeight="1">
      <c r="A48" s="353"/>
      <c r="B48" s="354" t="s">
        <v>203</v>
      </c>
      <c r="C48" s="355">
        <v>2795</v>
      </c>
      <c r="D48" s="355">
        <f t="shared" si="15"/>
        <v>880</v>
      </c>
      <c r="E48" s="355">
        <f t="shared" si="8"/>
        <v>1915</v>
      </c>
      <c r="F48" s="355">
        <v>200</v>
      </c>
      <c r="G48" s="355">
        <v>15</v>
      </c>
      <c r="H48" s="355">
        <v>0</v>
      </c>
      <c r="I48" s="355">
        <v>0</v>
      </c>
      <c r="J48" s="355">
        <v>1700</v>
      </c>
      <c r="K48" s="355">
        <v>0</v>
      </c>
      <c r="L48" s="355">
        <v>0</v>
      </c>
      <c r="M48" s="355">
        <v>0</v>
      </c>
      <c r="N48" s="355">
        <v>0</v>
      </c>
    </row>
    <row r="49" spans="1:14" ht="18.75" customHeight="1">
      <c r="A49" s="353"/>
      <c r="B49" s="354" t="s">
        <v>204</v>
      </c>
      <c r="C49" s="355">
        <v>75000</v>
      </c>
      <c r="D49" s="355">
        <f t="shared" si="15"/>
        <v>54125</v>
      </c>
      <c r="E49" s="355">
        <f>SUM(F49:N49)</f>
        <v>20875</v>
      </c>
      <c r="F49" s="355">
        <v>8650</v>
      </c>
      <c r="G49" s="355">
        <v>1200</v>
      </c>
      <c r="H49" s="355">
        <v>1490</v>
      </c>
      <c r="I49" s="355">
        <v>1600</v>
      </c>
      <c r="J49" s="355">
        <v>2200</v>
      </c>
      <c r="K49" s="355">
        <v>445</v>
      </c>
      <c r="L49" s="355">
        <v>1600</v>
      </c>
      <c r="M49" s="355">
        <v>1190</v>
      </c>
      <c r="N49" s="355">
        <v>2500</v>
      </c>
    </row>
    <row r="50" spans="1:14" ht="18.75" customHeight="1">
      <c r="A50" s="353"/>
      <c r="B50" s="354" t="s">
        <v>205</v>
      </c>
      <c r="C50" s="355">
        <v>4148</v>
      </c>
      <c r="D50" s="355">
        <f t="shared" si="15"/>
        <v>2893</v>
      </c>
      <c r="E50" s="355">
        <f t="shared" si="8"/>
        <v>1255</v>
      </c>
      <c r="F50" s="355">
        <v>700</v>
      </c>
      <c r="G50" s="355">
        <v>500</v>
      </c>
      <c r="H50" s="355">
        <v>10</v>
      </c>
      <c r="I50" s="355">
        <v>30</v>
      </c>
      <c r="J50" s="355">
        <v>0</v>
      </c>
      <c r="K50" s="355">
        <v>5</v>
      </c>
      <c r="L50" s="355">
        <v>0</v>
      </c>
      <c r="M50" s="355">
        <v>10</v>
      </c>
      <c r="N50" s="355">
        <v>0</v>
      </c>
    </row>
    <row r="51" spans="1:14" ht="18.75" customHeight="1">
      <c r="A51" s="353"/>
      <c r="B51" s="354" t="s">
        <v>206</v>
      </c>
      <c r="C51" s="355">
        <v>0</v>
      </c>
      <c r="D51" s="355">
        <f t="shared" si="15"/>
        <v>0</v>
      </c>
      <c r="E51" s="355">
        <f t="shared" si="8"/>
        <v>0</v>
      </c>
      <c r="F51" s="355">
        <v>0</v>
      </c>
      <c r="G51" s="355">
        <v>0</v>
      </c>
      <c r="H51" s="355">
        <v>0</v>
      </c>
      <c r="I51" s="355">
        <v>0</v>
      </c>
      <c r="J51" s="355">
        <v>0</v>
      </c>
      <c r="K51" s="355">
        <v>0</v>
      </c>
      <c r="L51" s="355">
        <v>0</v>
      </c>
      <c r="M51" s="355">
        <v>0</v>
      </c>
      <c r="N51" s="355">
        <v>0</v>
      </c>
    </row>
    <row r="52" spans="1:14" s="361" customFormat="1" ht="18.75" customHeight="1">
      <c r="A52" s="353"/>
      <c r="B52" s="354" t="s">
        <v>207</v>
      </c>
      <c r="C52" s="355">
        <v>0</v>
      </c>
      <c r="D52" s="355">
        <f t="shared" si="15"/>
        <v>0</v>
      </c>
      <c r="E52" s="355">
        <f t="shared" si="8"/>
        <v>0</v>
      </c>
      <c r="F52" s="355">
        <v>0</v>
      </c>
      <c r="G52" s="355">
        <v>0</v>
      </c>
      <c r="H52" s="355">
        <v>0</v>
      </c>
      <c r="I52" s="355">
        <v>0</v>
      </c>
      <c r="J52" s="355">
        <v>0</v>
      </c>
      <c r="K52" s="355">
        <v>0</v>
      </c>
      <c r="L52" s="355">
        <v>0</v>
      </c>
      <c r="M52" s="355">
        <v>0</v>
      </c>
      <c r="N52" s="355">
        <v>0</v>
      </c>
    </row>
    <row r="53" spans="1:14" s="352" customFormat="1" ht="18.75" customHeight="1">
      <c r="A53" s="349" t="s">
        <v>214</v>
      </c>
      <c r="B53" s="350" t="s">
        <v>215</v>
      </c>
      <c r="C53" s="351">
        <f>SUM(C54:C57)</f>
        <v>67600</v>
      </c>
      <c r="D53" s="351">
        <f t="shared" ref="D53:N53" si="16">SUM(D54:D57)</f>
        <v>0</v>
      </c>
      <c r="E53" s="351">
        <f t="shared" si="16"/>
        <v>67600</v>
      </c>
      <c r="F53" s="351">
        <f t="shared" si="16"/>
        <v>26000</v>
      </c>
      <c r="G53" s="351">
        <f t="shared" si="16"/>
        <v>5400</v>
      </c>
      <c r="H53" s="351">
        <f t="shared" si="16"/>
        <v>6400</v>
      </c>
      <c r="I53" s="351">
        <f t="shared" si="16"/>
        <v>4200</v>
      </c>
      <c r="J53" s="351">
        <f t="shared" si="16"/>
        <v>6500</v>
      </c>
      <c r="K53" s="351">
        <f t="shared" si="16"/>
        <v>2700</v>
      </c>
      <c r="L53" s="351">
        <f t="shared" si="16"/>
        <v>5700</v>
      </c>
      <c r="M53" s="351">
        <f t="shared" si="16"/>
        <v>4100</v>
      </c>
      <c r="N53" s="351">
        <f t="shared" si="16"/>
        <v>6600</v>
      </c>
    </row>
    <row r="54" spans="1:14" ht="18.75" customHeight="1">
      <c r="A54" s="353"/>
      <c r="B54" s="354" t="s">
        <v>202</v>
      </c>
      <c r="C54" s="362">
        <v>66243</v>
      </c>
      <c r="D54" s="355">
        <f>C54-E54</f>
        <v>0</v>
      </c>
      <c r="E54" s="355">
        <f>SUM(F54:N54)</f>
        <v>66243</v>
      </c>
      <c r="F54" s="355">
        <v>25450</v>
      </c>
      <c r="G54" s="355">
        <v>5050</v>
      </c>
      <c r="H54" s="355">
        <v>6370</v>
      </c>
      <c r="I54" s="355">
        <v>4115</v>
      </c>
      <c r="J54" s="355">
        <v>6500</v>
      </c>
      <c r="K54" s="355">
        <v>2688</v>
      </c>
      <c r="L54" s="355">
        <v>5570</v>
      </c>
      <c r="M54" s="355">
        <v>4000</v>
      </c>
      <c r="N54" s="355">
        <v>6500</v>
      </c>
    </row>
    <row r="55" spans="1:14" ht="18.75" customHeight="1">
      <c r="A55" s="353"/>
      <c r="B55" s="354" t="s">
        <v>203</v>
      </c>
      <c r="C55" s="355">
        <v>1205</v>
      </c>
      <c r="D55" s="355">
        <f t="shared" ref="D55:D73" si="17">C55-E55</f>
        <v>0</v>
      </c>
      <c r="E55" s="355">
        <f t="shared" si="8"/>
        <v>1205</v>
      </c>
      <c r="F55" s="355">
        <v>550</v>
      </c>
      <c r="G55" s="355">
        <v>325</v>
      </c>
      <c r="H55" s="355">
        <v>30</v>
      </c>
      <c r="I55" s="355">
        <v>60</v>
      </c>
      <c r="J55" s="355">
        <v>0</v>
      </c>
      <c r="K55" s="355">
        <v>0</v>
      </c>
      <c r="L55" s="355">
        <v>90</v>
      </c>
      <c r="M55" s="355">
        <v>80</v>
      </c>
      <c r="N55" s="355">
        <v>70</v>
      </c>
    </row>
    <row r="56" spans="1:14" ht="18.75" customHeight="1">
      <c r="A56" s="353"/>
      <c r="B56" s="354" t="s">
        <v>205</v>
      </c>
      <c r="C56" s="355">
        <v>152</v>
      </c>
      <c r="D56" s="355">
        <f t="shared" si="17"/>
        <v>0</v>
      </c>
      <c r="E56" s="355">
        <f t="shared" si="8"/>
        <v>152</v>
      </c>
      <c r="F56" s="355">
        <v>0</v>
      </c>
      <c r="G56" s="355">
        <v>25</v>
      </c>
      <c r="H56" s="355">
        <v>0</v>
      </c>
      <c r="I56" s="355">
        <v>25</v>
      </c>
      <c r="J56" s="355">
        <v>0</v>
      </c>
      <c r="K56" s="355">
        <v>12</v>
      </c>
      <c r="L56" s="355">
        <v>40</v>
      </c>
      <c r="M56" s="355">
        <v>20</v>
      </c>
      <c r="N56" s="355">
        <v>30</v>
      </c>
    </row>
    <row r="57" spans="1:14" s="363" customFormat="1" ht="18.75" customHeight="1">
      <c r="A57" s="353"/>
      <c r="B57" s="354" t="s">
        <v>207</v>
      </c>
      <c r="C57" s="355">
        <v>0</v>
      </c>
      <c r="D57" s="355">
        <f t="shared" si="17"/>
        <v>0</v>
      </c>
      <c r="E57" s="355">
        <f t="shared" si="8"/>
        <v>0</v>
      </c>
      <c r="F57" s="355">
        <v>0</v>
      </c>
      <c r="G57" s="355">
        <v>0</v>
      </c>
      <c r="H57" s="355">
        <v>0</v>
      </c>
      <c r="I57" s="355">
        <v>0</v>
      </c>
      <c r="J57" s="355">
        <v>0</v>
      </c>
      <c r="K57" s="355">
        <v>0</v>
      </c>
      <c r="L57" s="355">
        <v>0</v>
      </c>
      <c r="M57" s="355">
        <v>0</v>
      </c>
      <c r="N57" s="355">
        <v>0</v>
      </c>
    </row>
    <row r="58" spans="1:14" s="348" customFormat="1" ht="18.75" customHeight="1">
      <c r="A58" s="345">
        <v>4</v>
      </c>
      <c r="B58" s="346" t="s">
        <v>216</v>
      </c>
      <c r="C58" s="347">
        <v>335000</v>
      </c>
      <c r="D58" s="347">
        <f t="shared" si="17"/>
        <v>232200</v>
      </c>
      <c r="E58" s="347">
        <f t="shared" si="8"/>
        <v>102800</v>
      </c>
      <c r="F58" s="347">
        <v>35000</v>
      </c>
      <c r="G58" s="347">
        <v>7500</v>
      </c>
      <c r="H58" s="347">
        <v>9700</v>
      </c>
      <c r="I58" s="347">
        <v>8400</v>
      </c>
      <c r="J58" s="347">
        <v>13100</v>
      </c>
      <c r="K58" s="347">
        <v>5000</v>
      </c>
      <c r="L58" s="347">
        <v>8400</v>
      </c>
      <c r="M58" s="347">
        <v>6500</v>
      </c>
      <c r="N58" s="347">
        <v>9200</v>
      </c>
    </row>
    <row r="59" spans="1:14" s="348" customFormat="1" ht="18.75" customHeight="1">
      <c r="A59" s="345">
        <v>5</v>
      </c>
      <c r="B59" s="346" t="s">
        <v>217</v>
      </c>
      <c r="C59" s="347">
        <v>366000</v>
      </c>
      <c r="D59" s="347">
        <f t="shared" si="17"/>
        <v>366000</v>
      </c>
      <c r="E59" s="347">
        <f t="shared" si="8"/>
        <v>0</v>
      </c>
      <c r="F59" s="347">
        <v>0</v>
      </c>
      <c r="G59" s="347">
        <v>0</v>
      </c>
      <c r="H59" s="347">
        <v>0</v>
      </c>
      <c r="I59" s="347">
        <v>0</v>
      </c>
      <c r="J59" s="347">
        <v>0</v>
      </c>
      <c r="K59" s="347">
        <v>0</v>
      </c>
      <c r="L59" s="347">
        <v>0</v>
      </c>
      <c r="M59" s="347">
        <v>0</v>
      </c>
      <c r="N59" s="347">
        <v>0</v>
      </c>
    </row>
    <row r="60" spans="1:14" s="348" customFormat="1" ht="18.75" customHeight="1">
      <c r="A60" s="345">
        <v>6</v>
      </c>
      <c r="B60" s="346" t="s">
        <v>218</v>
      </c>
      <c r="C60" s="347">
        <v>115000</v>
      </c>
      <c r="D60" s="347">
        <f>C60-E60</f>
        <v>0</v>
      </c>
      <c r="E60" s="347">
        <f t="shared" si="8"/>
        <v>115000</v>
      </c>
      <c r="F60" s="347">
        <v>34400</v>
      </c>
      <c r="G60" s="347">
        <v>8200</v>
      </c>
      <c r="H60" s="347">
        <v>11500</v>
      </c>
      <c r="I60" s="347">
        <v>11500</v>
      </c>
      <c r="J60" s="347">
        <v>13000</v>
      </c>
      <c r="K60" s="347">
        <v>6800</v>
      </c>
      <c r="L60" s="347">
        <v>8100</v>
      </c>
      <c r="M60" s="347">
        <v>8500</v>
      </c>
      <c r="N60" s="347">
        <v>13000</v>
      </c>
    </row>
    <row r="61" spans="1:14" s="348" customFormat="1" ht="18.75" customHeight="1">
      <c r="A61" s="345">
        <v>7</v>
      </c>
      <c r="B61" s="346" t="s">
        <v>219</v>
      </c>
      <c r="C61" s="347">
        <v>85000</v>
      </c>
      <c r="D61" s="347">
        <f t="shared" si="17"/>
        <v>58500</v>
      </c>
      <c r="E61" s="347">
        <f t="shared" si="8"/>
        <v>26500</v>
      </c>
      <c r="F61" s="347">
        <v>7500</v>
      </c>
      <c r="G61" s="347">
        <v>2910</v>
      </c>
      <c r="H61" s="347">
        <v>2600</v>
      </c>
      <c r="I61" s="347">
        <v>2000</v>
      </c>
      <c r="J61" s="347">
        <v>2700</v>
      </c>
      <c r="K61" s="347">
        <v>1000</v>
      </c>
      <c r="L61" s="347">
        <v>2590</v>
      </c>
      <c r="M61" s="347">
        <v>1700</v>
      </c>
      <c r="N61" s="347">
        <v>3500</v>
      </c>
    </row>
    <row r="62" spans="1:14" s="338" customFormat="1" ht="18.75" customHeight="1">
      <c r="A62" s="364"/>
      <c r="B62" s="365" t="s">
        <v>220</v>
      </c>
      <c r="C62" s="366">
        <v>11000</v>
      </c>
      <c r="D62" s="366">
        <v>1410</v>
      </c>
      <c r="E62" s="366">
        <f t="shared" si="8"/>
        <v>9590</v>
      </c>
      <c r="F62" s="366">
        <v>3000</v>
      </c>
      <c r="G62" s="366">
        <v>780</v>
      </c>
      <c r="H62" s="366">
        <v>1050</v>
      </c>
      <c r="I62" s="366">
        <v>680</v>
      </c>
      <c r="J62" s="366">
        <v>1100</v>
      </c>
      <c r="K62" s="366">
        <v>430</v>
      </c>
      <c r="L62" s="366">
        <v>820</v>
      </c>
      <c r="M62" s="366">
        <v>710</v>
      </c>
      <c r="N62" s="366">
        <v>1020</v>
      </c>
    </row>
    <row r="63" spans="1:14" s="348" customFormat="1" ht="18.75" customHeight="1">
      <c r="A63" s="345">
        <v>8</v>
      </c>
      <c r="B63" s="346" t="s">
        <v>221</v>
      </c>
      <c r="C63" s="347">
        <v>0</v>
      </c>
      <c r="D63" s="347">
        <f t="shared" si="17"/>
        <v>0</v>
      </c>
      <c r="E63" s="347">
        <f t="shared" si="8"/>
        <v>0</v>
      </c>
      <c r="F63" s="347">
        <v>0</v>
      </c>
      <c r="G63" s="347">
        <v>0</v>
      </c>
      <c r="H63" s="347">
        <v>0</v>
      </c>
      <c r="I63" s="347">
        <v>0</v>
      </c>
      <c r="J63" s="347">
        <v>0</v>
      </c>
      <c r="K63" s="347">
        <v>0</v>
      </c>
      <c r="L63" s="347">
        <v>0</v>
      </c>
      <c r="M63" s="347">
        <v>0</v>
      </c>
      <c r="N63" s="347">
        <v>0</v>
      </c>
    </row>
    <row r="64" spans="1:14" s="348" customFormat="1" ht="18.75" customHeight="1">
      <c r="A64" s="345">
        <v>9</v>
      </c>
      <c r="B64" s="346" t="s">
        <v>222</v>
      </c>
      <c r="C64" s="347">
        <v>5100</v>
      </c>
      <c r="D64" s="347">
        <f t="shared" si="17"/>
        <v>0</v>
      </c>
      <c r="E64" s="347">
        <f t="shared" si="8"/>
        <v>5100</v>
      </c>
      <c r="F64" s="347">
        <v>2900</v>
      </c>
      <c r="G64" s="347">
        <v>300</v>
      </c>
      <c r="H64" s="347">
        <v>250</v>
      </c>
      <c r="I64" s="347">
        <v>50</v>
      </c>
      <c r="J64" s="347">
        <v>300</v>
      </c>
      <c r="K64" s="347">
        <v>130</v>
      </c>
      <c r="L64" s="347">
        <v>400</v>
      </c>
      <c r="M64" s="347">
        <v>250</v>
      </c>
      <c r="N64" s="347">
        <v>520</v>
      </c>
    </row>
    <row r="65" spans="1:14" s="348" customFormat="1" ht="18.75" customHeight="1">
      <c r="A65" s="345">
        <v>10</v>
      </c>
      <c r="B65" s="346" t="s">
        <v>223</v>
      </c>
      <c r="C65" s="347">
        <v>28000</v>
      </c>
      <c r="D65" s="347">
        <f t="shared" si="17"/>
        <v>27380</v>
      </c>
      <c r="E65" s="347">
        <f t="shared" si="8"/>
        <v>620</v>
      </c>
      <c r="F65" s="347">
        <v>0</v>
      </c>
      <c r="G65" s="347">
        <v>0</v>
      </c>
      <c r="H65" s="347">
        <v>20</v>
      </c>
      <c r="I65" s="347">
        <v>0</v>
      </c>
      <c r="J65" s="347">
        <v>500</v>
      </c>
      <c r="K65" s="347">
        <v>0</v>
      </c>
      <c r="L65" s="347">
        <v>0</v>
      </c>
      <c r="M65" s="347">
        <v>40</v>
      </c>
      <c r="N65" s="347">
        <v>60</v>
      </c>
    </row>
    <row r="66" spans="1:14" s="348" customFormat="1" ht="18.75" customHeight="1">
      <c r="A66" s="345">
        <v>11</v>
      </c>
      <c r="B66" s="346" t="s">
        <v>224</v>
      </c>
      <c r="C66" s="347">
        <v>140000</v>
      </c>
      <c r="D66" s="367">
        <f t="shared" si="17"/>
        <v>87200</v>
      </c>
      <c r="E66" s="367">
        <f t="shared" si="8"/>
        <v>52800</v>
      </c>
      <c r="F66" s="347">
        <v>30000</v>
      </c>
      <c r="G66" s="347">
        <v>3500</v>
      </c>
      <c r="H66" s="402">
        <v>2500</v>
      </c>
      <c r="I66" s="347">
        <v>1700</v>
      </c>
      <c r="J66" s="403">
        <v>4500</v>
      </c>
      <c r="K66" s="347">
        <v>600</v>
      </c>
      <c r="L66" s="347">
        <v>3500</v>
      </c>
      <c r="M66" s="347">
        <v>2500</v>
      </c>
      <c r="N66" s="402">
        <v>4000</v>
      </c>
    </row>
    <row r="67" spans="1:14" s="348" customFormat="1" ht="18.75" customHeight="1">
      <c r="A67" s="345">
        <v>12</v>
      </c>
      <c r="B67" s="346" t="s">
        <v>225</v>
      </c>
      <c r="C67" s="347">
        <v>500</v>
      </c>
      <c r="D67" s="347">
        <f t="shared" si="17"/>
        <v>120</v>
      </c>
      <c r="E67" s="347">
        <f t="shared" si="8"/>
        <v>380</v>
      </c>
      <c r="F67" s="347">
        <v>0</v>
      </c>
      <c r="G67" s="347">
        <v>380</v>
      </c>
      <c r="H67" s="347">
        <v>0</v>
      </c>
      <c r="I67" s="347">
        <v>0</v>
      </c>
      <c r="J67" s="347">
        <v>0</v>
      </c>
      <c r="K67" s="347">
        <v>0</v>
      </c>
      <c r="L67" s="347">
        <v>0</v>
      </c>
      <c r="M67" s="347">
        <v>0</v>
      </c>
      <c r="N67" s="347">
        <v>0</v>
      </c>
    </row>
    <row r="68" spans="1:14" s="348" customFormat="1" ht="18.75" customHeight="1">
      <c r="A68" s="345">
        <v>13</v>
      </c>
      <c r="B68" s="346" t="s">
        <v>226</v>
      </c>
      <c r="C68" s="347">
        <v>950000</v>
      </c>
      <c r="D68" s="347">
        <f t="shared" si="17"/>
        <v>950000</v>
      </c>
      <c r="E68" s="347">
        <f t="shared" si="8"/>
        <v>0</v>
      </c>
      <c r="F68" s="347">
        <v>0</v>
      </c>
      <c r="G68" s="347">
        <v>0</v>
      </c>
      <c r="H68" s="347">
        <v>0</v>
      </c>
      <c r="I68" s="347">
        <v>0</v>
      </c>
      <c r="J68" s="347">
        <v>0</v>
      </c>
      <c r="K68" s="347">
        <v>0</v>
      </c>
      <c r="L68" s="347">
        <v>0</v>
      </c>
      <c r="M68" s="347">
        <v>0</v>
      </c>
      <c r="N68" s="347">
        <v>0</v>
      </c>
    </row>
    <row r="69" spans="1:14" s="348" customFormat="1" ht="18.75" customHeight="1">
      <c r="A69" s="345">
        <v>14</v>
      </c>
      <c r="B69" s="346" t="s">
        <v>227</v>
      </c>
      <c r="C69" s="347">
        <v>4500</v>
      </c>
      <c r="D69" s="347">
        <f t="shared" si="17"/>
        <v>4490</v>
      </c>
      <c r="E69" s="347">
        <f t="shared" si="8"/>
        <v>10</v>
      </c>
      <c r="F69" s="347">
        <v>0</v>
      </c>
      <c r="G69" s="347">
        <v>0</v>
      </c>
      <c r="H69" s="347">
        <v>10</v>
      </c>
      <c r="I69" s="347">
        <v>0</v>
      </c>
      <c r="J69" s="347">
        <v>0</v>
      </c>
      <c r="K69" s="347">
        <v>0</v>
      </c>
      <c r="L69" s="347">
        <v>0</v>
      </c>
      <c r="M69" s="347">
        <v>0</v>
      </c>
      <c r="N69" s="347">
        <v>0</v>
      </c>
    </row>
    <row r="70" spans="1:14" s="348" customFormat="1" ht="18.75" customHeight="1">
      <c r="A70" s="345">
        <v>15</v>
      </c>
      <c r="B70" s="346" t="s">
        <v>228</v>
      </c>
      <c r="C70" s="347">
        <v>0</v>
      </c>
      <c r="D70" s="347">
        <f t="shared" si="17"/>
        <v>0</v>
      </c>
      <c r="E70" s="347">
        <f t="shared" si="8"/>
        <v>0</v>
      </c>
      <c r="F70" s="347">
        <v>0</v>
      </c>
      <c r="G70" s="347">
        <v>0</v>
      </c>
      <c r="H70" s="347">
        <v>0</v>
      </c>
      <c r="I70" s="347">
        <v>0</v>
      </c>
      <c r="J70" s="347">
        <v>0</v>
      </c>
      <c r="K70" s="347">
        <v>0</v>
      </c>
      <c r="L70" s="347">
        <v>0</v>
      </c>
      <c r="M70" s="347">
        <v>0</v>
      </c>
      <c r="N70" s="347">
        <v>0</v>
      </c>
    </row>
    <row r="71" spans="1:14" s="348" customFormat="1" ht="18.75" customHeight="1">
      <c r="A71" s="345">
        <v>16</v>
      </c>
      <c r="B71" s="346" t="s">
        <v>229</v>
      </c>
      <c r="C71" s="347">
        <v>155000</v>
      </c>
      <c r="D71" s="347">
        <f t="shared" si="17"/>
        <v>116000</v>
      </c>
      <c r="E71" s="347">
        <f t="shared" si="8"/>
        <v>39000</v>
      </c>
      <c r="F71" s="347">
        <v>7600</v>
      </c>
      <c r="G71" s="347">
        <v>3500</v>
      </c>
      <c r="H71" s="347">
        <v>3410</v>
      </c>
      <c r="I71" s="347">
        <v>3030</v>
      </c>
      <c r="J71" s="347">
        <v>3390</v>
      </c>
      <c r="K71" s="347">
        <v>2370</v>
      </c>
      <c r="L71" s="347">
        <v>5000</v>
      </c>
      <c r="M71" s="347">
        <v>3500</v>
      </c>
      <c r="N71" s="347">
        <v>7200</v>
      </c>
    </row>
    <row r="72" spans="1:14" s="338" customFormat="1" ht="18.75" customHeight="1">
      <c r="A72" s="364"/>
      <c r="B72" s="365" t="s">
        <v>230</v>
      </c>
      <c r="C72" s="366">
        <v>38500</v>
      </c>
      <c r="D72" s="366">
        <f t="shared" si="17"/>
        <v>21100</v>
      </c>
      <c r="E72" s="366">
        <f t="shared" si="8"/>
        <v>17400</v>
      </c>
      <c r="F72" s="366">
        <v>4000</v>
      </c>
      <c r="G72" s="366">
        <v>2100</v>
      </c>
      <c r="H72" s="366">
        <v>800</v>
      </c>
      <c r="I72" s="366">
        <v>1200</v>
      </c>
      <c r="J72" s="366">
        <v>1300</v>
      </c>
      <c r="K72" s="366">
        <v>1400</v>
      </c>
      <c r="L72" s="366">
        <v>2600</v>
      </c>
      <c r="M72" s="366">
        <v>1500</v>
      </c>
      <c r="N72" s="366">
        <v>2500</v>
      </c>
    </row>
    <row r="73" spans="1:14" s="348" customFormat="1" ht="18.75" customHeight="1">
      <c r="A73" s="345">
        <v>17</v>
      </c>
      <c r="B73" s="346" t="s">
        <v>231</v>
      </c>
      <c r="C73" s="347">
        <v>100</v>
      </c>
      <c r="D73" s="347">
        <f t="shared" si="17"/>
        <v>0</v>
      </c>
      <c r="E73" s="347">
        <f t="shared" si="8"/>
        <v>100</v>
      </c>
      <c r="F73" s="347">
        <v>0</v>
      </c>
      <c r="G73" s="347">
        <v>10</v>
      </c>
      <c r="H73" s="347">
        <v>10</v>
      </c>
      <c r="I73" s="347">
        <v>20</v>
      </c>
      <c r="J73" s="347">
        <v>10</v>
      </c>
      <c r="K73" s="347">
        <v>10</v>
      </c>
      <c r="L73" s="347">
        <v>10</v>
      </c>
      <c r="M73" s="347">
        <v>10</v>
      </c>
      <c r="N73" s="347">
        <v>20</v>
      </c>
    </row>
    <row r="74" spans="1:14" s="363" customFormat="1" ht="18.75" customHeight="1">
      <c r="A74" s="345">
        <v>18</v>
      </c>
      <c r="B74" s="346" t="s">
        <v>232</v>
      </c>
      <c r="C74" s="347">
        <v>1800</v>
      </c>
      <c r="D74" s="347">
        <f>C74-E74</f>
        <v>1800</v>
      </c>
      <c r="E74" s="347">
        <f t="shared" si="8"/>
        <v>0</v>
      </c>
      <c r="F74" s="347">
        <v>0</v>
      </c>
      <c r="G74" s="347">
        <v>0</v>
      </c>
      <c r="H74" s="347">
        <v>0</v>
      </c>
      <c r="I74" s="347">
        <v>0</v>
      </c>
      <c r="J74" s="347">
        <v>0</v>
      </c>
      <c r="K74" s="347">
        <v>0</v>
      </c>
      <c r="L74" s="347">
        <v>0</v>
      </c>
      <c r="M74" s="347">
        <v>0</v>
      </c>
      <c r="N74" s="347">
        <v>0</v>
      </c>
    </row>
    <row r="75" spans="1:14" s="363" customFormat="1" ht="18.75" customHeight="1">
      <c r="A75" s="345">
        <v>19</v>
      </c>
      <c r="B75" s="346" t="s">
        <v>233</v>
      </c>
      <c r="C75" s="368">
        <v>0</v>
      </c>
      <c r="D75" s="368"/>
      <c r="E75" s="368"/>
      <c r="F75" s="368"/>
      <c r="G75" s="368"/>
      <c r="H75" s="368"/>
      <c r="I75" s="368"/>
      <c r="J75" s="368"/>
      <c r="K75" s="368"/>
      <c r="L75" s="368"/>
      <c r="M75" s="368"/>
      <c r="N75" s="368"/>
    </row>
    <row r="76" spans="1:14" s="363" customFormat="1" ht="15.75" customHeight="1">
      <c r="A76" s="369"/>
      <c r="B76" s="370"/>
      <c r="C76" s="371"/>
      <c r="D76" s="371"/>
      <c r="E76" s="371"/>
      <c r="F76" s="371"/>
      <c r="G76" s="371"/>
      <c r="H76" s="371"/>
      <c r="I76" s="371"/>
      <c r="J76" s="371"/>
      <c r="K76" s="371"/>
      <c r="L76" s="371"/>
      <c r="M76" s="371"/>
      <c r="N76" s="371"/>
    </row>
    <row r="77" spans="1:14" s="328" customFormat="1" ht="9.75" customHeight="1">
      <c r="A77" s="372"/>
      <c r="B77" s="373"/>
      <c r="C77" s="374"/>
      <c r="D77" s="375"/>
      <c r="E77" s="375"/>
      <c r="F77" s="375"/>
      <c r="G77" s="376"/>
      <c r="H77" s="376"/>
      <c r="I77" s="376"/>
      <c r="J77" s="377"/>
      <c r="K77" s="377"/>
      <c r="L77" s="377"/>
      <c r="M77" s="377"/>
    </row>
    <row r="78" spans="1:14" ht="16.8">
      <c r="C78" s="322"/>
      <c r="D78" s="378"/>
      <c r="E78" s="378"/>
      <c r="F78" s="378"/>
      <c r="G78" s="379"/>
      <c r="H78" s="379"/>
      <c r="I78" s="379"/>
      <c r="J78" s="379"/>
      <c r="K78" s="380"/>
      <c r="L78" s="381" t="s">
        <v>234</v>
      </c>
      <c r="M78" s="380"/>
    </row>
    <row r="79" spans="1:14">
      <c r="L79" s="382" t="s">
        <v>174</v>
      </c>
    </row>
  </sheetData>
  <mergeCells count="14">
    <mergeCell ref="A7:A10"/>
    <mergeCell ref="B7:B10"/>
    <mergeCell ref="C7:C10"/>
    <mergeCell ref="D7:N7"/>
    <mergeCell ref="D8:D10"/>
    <mergeCell ref="E8:N8"/>
    <mergeCell ref="E9:E10"/>
    <mergeCell ref="F9:N9"/>
    <mergeCell ref="J1:M1"/>
    <mergeCell ref="J2:M2"/>
    <mergeCell ref="A4:N4"/>
    <mergeCell ref="A5:N5"/>
    <mergeCell ref="C6:H6"/>
    <mergeCell ref="L6:N6"/>
  </mergeCells>
  <printOptions horizontalCentered="1"/>
  <pageMargins left="0.5" right="0.5" top="0.5" bottom="0.25" header="0.3" footer="0.3"/>
  <pageSetup paperSize="9" scale="70"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C66"/>
  <sheetViews>
    <sheetView showZeros="0" zoomScale="85" zoomScaleNormal="85" workbookViewId="0">
      <selection activeCell="B140" sqref="B140"/>
    </sheetView>
  </sheetViews>
  <sheetFormatPr defaultRowHeight="15.6"/>
  <cols>
    <col min="1" max="1" width="51.6640625" style="186" customWidth="1"/>
    <col min="2" max="2" width="13.109375" style="283" customWidth="1"/>
    <col min="3" max="3" width="10" style="186" hidden="1" customWidth="1"/>
    <col min="4" max="4" width="10.44140625" style="186" hidden="1" customWidth="1"/>
    <col min="5" max="5" width="11.6640625" style="186" hidden="1" customWidth="1"/>
    <col min="6" max="6" width="11.109375" style="186" hidden="1" customWidth="1"/>
    <col min="7" max="7" width="11" style="186" hidden="1" customWidth="1"/>
    <col min="8" max="8" width="13.5546875" style="186" customWidth="1"/>
    <col min="9" max="9" width="13.33203125" style="186" customWidth="1"/>
    <col min="10" max="11" width="12.33203125" style="186" customWidth="1"/>
    <col min="12" max="12" width="11.6640625" style="186" customWidth="1"/>
    <col min="13" max="13" width="13.33203125" style="186" hidden="1" customWidth="1"/>
    <col min="14" max="22" width="11.6640625" style="186" hidden="1" customWidth="1"/>
    <col min="23" max="23" width="12.5546875" style="186" hidden="1" customWidth="1"/>
    <col min="24" max="24" width="11.6640625" style="186" hidden="1" customWidth="1"/>
    <col min="25" max="25" width="11.44140625" style="186" hidden="1" customWidth="1"/>
    <col min="26" max="26" width="10.33203125" style="186" hidden="1" customWidth="1"/>
    <col min="27" max="27" width="13.88671875" style="186" hidden="1" customWidth="1"/>
    <col min="28" max="28" width="8.88671875" style="186"/>
    <col min="29" max="29" width="10.33203125" style="186" bestFit="1" customWidth="1"/>
    <col min="30" max="270" width="8.88671875" style="186"/>
    <col min="271" max="271" width="56.6640625" style="186" customWidth="1"/>
    <col min="272" max="272" width="15.33203125" style="186" customWidth="1"/>
    <col min="273" max="273" width="10" style="186" customWidth="1"/>
    <col min="274" max="274" width="10.44140625" style="186" customWidth="1"/>
    <col min="275" max="275" width="13.5546875" style="186" customWidth="1"/>
    <col min="276" max="276" width="11.88671875" style="186" customWidth="1"/>
    <col min="277" max="277" width="11.6640625" style="186" customWidth="1"/>
    <col min="278" max="279" width="12.5546875" style="186" customWidth="1"/>
    <col min="280" max="280" width="11.6640625" style="186" bestFit="1" customWidth="1"/>
    <col min="281" max="281" width="11.44140625" style="186" bestFit="1" customWidth="1"/>
    <col min="282" max="282" width="10.33203125" style="186" bestFit="1" customWidth="1"/>
    <col min="283" max="283" width="13.88671875" style="186" bestFit="1" customWidth="1"/>
    <col min="284" max="526" width="8.88671875" style="186"/>
    <col min="527" max="527" width="56.6640625" style="186" customWidth="1"/>
    <col min="528" max="528" width="15.33203125" style="186" customWidth="1"/>
    <col min="529" max="529" width="10" style="186" customWidth="1"/>
    <col min="530" max="530" width="10.44140625" style="186" customWidth="1"/>
    <col min="531" max="531" width="13.5546875" style="186" customWidth="1"/>
    <col min="532" max="532" width="11.88671875" style="186" customWidth="1"/>
    <col min="533" max="533" width="11.6640625" style="186" customWidth="1"/>
    <col min="534" max="535" width="12.5546875" style="186" customWidth="1"/>
    <col min="536" max="536" width="11.6640625" style="186" bestFit="1" customWidth="1"/>
    <col min="537" max="537" width="11.44140625" style="186" bestFit="1" customWidth="1"/>
    <col min="538" max="538" width="10.33203125" style="186" bestFit="1" customWidth="1"/>
    <col min="539" max="539" width="13.88671875" style="186" bestFit="1" customWidth="1"/>
    <col min="540" max="782" width="8.88671875" style="186"/>
    <col min="783" max="783" width="56.6640625" style="186" customWidth="1"/>
    <col min="784" max="784" width="15.33203125" style="186" customWidth="1"/>
    <col min="785" max="785" width="10" style="186" customWidth="1"/>
    <col min="786" max="786" width="10.44140625" style="186" customWidth="1"/>
    <col min="787" max="787" width="13.5546875" style="186" customWidth="1"/>
    <col min="788" max="788" width="11.88671875" style="186" customWidth="1"/>
    <col min="789" max="789" width="11.6640625" style="186" customWidth="1"/>
    <col min="790" max="791" width="12.5546875" style="186" customWidth="1"/>
    <col min="792" max="792" width="11.6640625" style="186" bestFit="1" customWidth="1"/>
    <col min="793" max="793" width="11.44140625" style="186" bestFit="1" customWidth="1"/>
    <col min="794" max="794" width="10.33203125" style="186" bestFit="1" customWidth="1"/>
    <col min="795" max="795" width="13.88671875" style="186" bestFit="1" customWidth="1"/>
    <col min="796" max="1038" width="8.88671875" style="186"/>
    <col min="1039" max="1039" width="56.6640625" style="186" customWidth="1"/>
    <col min="1040" max="1040" width="15.33203125" style="186" customWidth="1"/>
    <col min="1041" max="1041" width="10" style="186" customWidth="1"/>
    <col min="1042" max="1042" width="10.44140625" style="186" customWidth="1"/>
    <col min="1043" max="1043" width="13.5546875" style="186" customWidth="1"/>
    <col min="1044" max="1044" width="11.88671875" style="186" customWidth="1"/>
    <col min="1045" max="1045" width="11.6640625" style="186" customWidth="1"/>
    <col min="1046" max="1047" width="12.5546875" style="186" customWidth="1"/>
    <col min="1048" max="1048" width="11.6640625" style="186" bestFit="1" customWidth="1"/>
    <col min="1049" max="1049" width="11.44140625" style="186" bestFit="1" customWidth="1"/>
    <col min="1050" max="1050" width="10.33203125" style="186" bestFit="1" customWidth="1"/>
    <col min="1051" max="1051" width="13.88671875" style="186" bestFit="1" customWidth="1"/>
    <col min="1052" max="1294" width="8.88671875" style="186"/>
    <col min="1295" max="1295" width="56.6640625" style="186" customWidth="1"/>
    <col min="1296" max="1296" width="15.33203125" style="186" customWidth="1"/>
    <col min="1297" max="1297" width="10" style="186" customWidth="1"/>
    <col min="1298" max="1298" width="10.44140625" style="186" customWidth="1"/>
    <col min="1299" max="1299" width="13.5546875" style="186" customWidth="1"/>
    <col min="1300" max="1300" width="11.88671875" style="186" customWidth="1"/>
    <col min="1301" max="1301" width="11.6640625" style="186" customWidth="1"/>
    <col min="1302" max="1303" width="12.5546875" style="186" customWidth="1"/>
    <col min="1304" max="1304" width="11.6640625" style="186" bestFit="1" customWidth="1"/>
    <col min="1305" max="1305" width="11.44140625" style="186" bestFit="1" customWidth="1"/>
    <col min="1306" max="1306" width="10.33203125" style="186" bestFit="1" customWidth="1"/>
    <col min="1307" max="1307" width="13.88671875" style="186" bestFit="1" customWidth="1"/>
    <col min="1308" max="1550" width="8.88671875" style="186"/>
    <col min="1551" max="1551" width="56.6640625" style="186" customWidth="1"/>
    <col min="1552" max="1552" width="15.33203125" style="186" customWidth="1"/>
    <col min="1553" max="1553" width="10" style="186" customWidth="1"/>
    <col min="1554" max="1554" width="10.44140625" style="186" customWidth="1"/>
    <col min="1555" max="1555" width="13.5546875" style="186" customWidth="1"/>
    <col min="1556" max="1556" width="11.88671875" style="186" customWidth="1"/>
    <col min="1557" max="1557" width="11.6640625" style="186" customWidth="1"/>
    <col min="1558" max="1559" width="12.5546875" style="186" customWidth="1"/>
    <col min="1560" max="1560" width="11.6640625" style="186" bestFit="1" customWidth="1"/>
    <col min="1561" max="1561" width="11.44140625" style="186" bestFit="1" customWidth="1"/>
    <col min="1562" max="1562" width="10.33203125" style="186" bestFit="1" customWidth="1"/>
    <col min="1563" max="1563" width="13.88671875" style="186" bestFit="1" customWidth="1"/>
    <col min="1564" max="1806" width="8.88671875" style="186"/>
    <col min="1807" max="1807" width="56.6640625" style="186" customWidth="1"/>
    <col min="1808" max="1808" width="15.33203125" style="186" customWidth="1"/>
    <col min="1809" max="1809" width="10" style="186" customWidth="1"/>
    <col min="1810" max="1810" width="10.44140625" style="186" customWidth="1"/>
    <col min="1811" max="1811" width="13.5546875" style="186" customWidth="1"/>
    <col min="1812" max="1812" width="11.88671875" style="186" customWidth="1"/>
    <col min="1813" max="1813" width="11.6640625" style="186" customWidth="1"/>
    <col min="1814" max="1815" width="12.5546875" style="186" customWidth="1"/>
    <col min="1816" max="1816" width="11.6640625" style="186" bestFit="1" customWidth="1"/>
    <col min="1817" max="1817" width="11.44140625" style="186" bestFit="1" customWidth="1"/>
    <col min="1818" max="1818" width="10.33203125" style="186" bestFit="1" customWidth="1"/>
    <col min="1819" max="1819" width="13.88671875" style="186" bestFit="1" customWidth="1"/>
    <col min="1820" max="2062" width="8.88671875" style="186"/>
    <col min="2063" max="2063" width="56.6640625" style="186" customWidth="1"/>
    <col min="2064" max="2064" width="15.33203125" style="186" customWidth="1"/>
    <col min="2065" max="2065" width="10" style="186" customWidth="1"/>
    <col min="2066" max="2066" width="10.44140625" style="186" customWidth="1"/>
    <col min="2067" max="2067" width="13.5546875" style="186" customWidth="1"/>
    <col min="2068" max="2068" width="11.88671875" style="186" customWidth="1"/>
    <col min="2069" max="2069" width="11.6640625" style="186" customWidth="1"/>
    <col min="2070" max="2071" width="12.5546875" style="186" customWidth="1"/>
    <col min="2072" max="2072" width="11.6640625" style="186" bestFit="1" customWidth="1"/>
    <col min="2073" max="2073" width="11.44140625" style="186" bestFit="1" customWidth="1"/>
    <col min="2074" max="2074" width="10.33203125" style="186" bestFit="1" customWidth="1"/>
    <col min="2075" max="2075" width="13.88671875" style="186" bestFit="1" customWidth="1"/>
    <col min="2076" max="2318" width="8.88671875" style="186"/>
    <col min="2319" max="2319" width="56.6640625" style="186" customWidth="1"/>
    <col min="2320" max="2320" width="15.33203125" style="186" customWidth="1"/>
    <col min="2321" max="2321" width="10" style="186" customWidth="1"/>
    <col min="2322" max="2322" width="10.44140625" style="186" customWidth="1"/>
    <col min="2323" max="2323" width="13.5546875" style="186" customWidth="1"/>
    <col min="2324" max="2324" width="11.88671875" style="186" customWidth="1"/>
    <col min="2325" max="2325" width="11.6640625" style="186" customWidth="1"/>
    <col min="2326" max="2327" width="12.5546875" style="186" customWidth="1"/>
    <col min="2328" max="2328" width="11.6640625" style="186" bestFit="1" customWidth="1"/>
    <col min="2329" max="2329" width="11.44140625" style="186" bestFit="1" customWidth="1"/>
    <col min="2330" max="2330" width="10.33203125" style="186" bestFit="1" customWidth="1"/>
    <col min="2331" max="2331" width="13.88671875" style="186" bestFit="1" customWidth="1"/>
    <col min="2332" max="2574" width="8.88671875" style="186"/>
    <col min="2575" max="2575" width="56.6640625" style="186" customWidth="1"/>
    <col min="2576" max="2576" width="15.33203125" style="186" customWidth="1"/>
    <col min="2577" max="2577" width="10" style="186" customWidth="1"/>
    <col min="2578" max="2578" width="10.44140625" style="186" customWidth="1"/>
    <col min="2579" max="2579" width="13.5546875" style="186" customWidth="1"/>
    <col min="2580" max="2580" width="11.88671875" style="186" customWidth="1"/>
    <col min="2581" max="2581" width="11.6640625" style="186" customWidth="1"/>
    <col min="2582" max="2583" width="12.5546875" style="186" customWidth="1"/>
    <col min="2584" max="2584" width="11.6640625" style="186" bestFit="1" customWidth="1"/>
    <col min="2585" max="2585" width="11.44140625" style="186" bestFit="1" customWidth="1"/>
    <col min="2586" max="2586" width="10.33203125" style="186" bestFit="1" customWidth="1"/>
    <col min="2587" max="2587" width="13.88671875" style="186" bestFit="1" customWidth="1"/>
    <col min="2588" max="2830" width="8.88671875" style="186"/>
    <col min="2831" max="2831" width="56.6640625" style="186" customWidth="1"/>
    <col min="2832" max="2832" width="15.33203125" style="186" customWidth="1"/>
    <col min="2833" max="2833" width="10" style="186" customWidth="1"/>
    <col min="2834" max="2834" width="10.44140625" style="186" customWidth="1"/>
    <col min="2835" max="2835" width="13.5546875" style="186" customWidth="1"/>
    <col min="2836" max="2836" width="11.88671875" style="186" customWidth="1"/>
    <col min="2837" max="2837" width="11.6640625" style="186" customWidth="1"/>
    <col min="2838" max="2839" width="12.5546875" style="186" customWidth="1"/>
    <col min="2840" max="2840" width="11.6640625" style="186" bestFit="1" customWidth="1"/>
    <col min="2841" max="2841" width="11.44140625" style="186" bestFit="1" customWidth="1"/>
    <col min="2842" max="2842" width="10.33203125" style="186" bestFit="1" customWidth="1"/>
    <col min="2843" max="2843" width="13.88671875" style="186" bestFit="1" customWidth="1"/>
    <col min="2844" max="3086" width="8.88671875" style="186"/>
    <col min="3087" max="3087" width="56.6640625" style="186" customWidth="1"/>
    <col min="3088" max="3088" width="15.33203125" style="186" customWidth="1"/>
    <col min="3089" max="3089" width="10" style="186" customWidth="1"/>
    <col min="3090" max="3090" width="10.44140625" style="186" customWidth="1"/>
    <col min="3091" max="3091" width="13.5546875" style="186" customWidth="1"/>
    <col min="3092" max="3092" width="11.88671875" style="186" customWidth="1"/>
    <col min="3093" max="3093" width="11.6640625" style="186" customWidth="1"/>
    <col min="3094" max="3095" width="12.5546875" style="186" customWidth="1"/>
    <col min="3096" max="3096" width="11.6640625" style="186" bestFit="1" customWidth="1"/>
    <col min="3097" max="3097" width="11.44140625" style="186" bestFit="1" customWidth="1"/>
    <col min="3098" max="3098" width="10.33203125" style="186" bestFit="1" customWidth="1"/>
    <col min="3099" max="3099" width="13.88671875" style="186" bestFit="1" customWidth="1"/>
    <col min="3100" max="3342" width="8.88671875" style="186"/>
    <col min="3343" max="3343" width="56.6640625" style="186" customWidth="1"/>
    <col min="3344" max="3344" width="15.33203125" style="186" customWidth="1"/>
    <col min="3345" max="3345" width="10" style="186" customWidth="1"/>
    <col min="3346" max="3346" width="10.44140625" style="186" customWidth="1"/>
    <col min="3347" max="3347" width="13.5546875" style="186" customWidth="1"/>
    <col min="3348" max="3348" width="11.88671875" style="186" customWidth="1"/>
    <col min="3349" max="3349" width="11.6640625" style="186" customWidth="1"/>
    <col min="3350" max="3351" width="12.5546875" style="186" customWidth="1"/>
    <col min="3352" max="3352" width="11.6640625" style="186" bestFit="1" customWidth="1"/>
    <col min="3353" max="3353" width="11.44140625" style="186" bestFit="1" customWidth="1"/>
    <col min="3354" max="3354" width="10.33203125" style="186" bestFit="1" customWidth="1"/>
    <col min="3355" max="3355" width="13.88671875" style="186" bestFit="1" customWidth="1"/>
    <col min="3356" max="3598" width="8.88671875" style="186"/>
    <col min="3599" max="3599" width="56.6640625" style="186" customWidth="1"/>
    <col min="3600" max="3600" width="15.33203125" style="186" customWidth="1"/>
    <col min="3601" max="3601" width="10" style="186" customWidth="1"/>
    <col min="3602" max="3602" width="10.44140625" style="186" customWidth="1"/>
    <col min="3603" max="3603" width="13.5546875" style="186" customWidth="1"/>
    <col min="3604" max="3604" width="11.88671875" style="186" customWidth="1"/>
    <col min="3605" max="3605" width="11.6640625" style="186" customWidth="1"/>
    <col min="3606" max="3607" width="12.5546875" style="186" customWidth="1"/>
    <col min="3608" max="3608" width="11.6640625" style="186" bestFit="1" customWidth="1"/>
    <col min="3609" max="3609" width="11.44140625" style="186" bestFit="1" customWidth="1"/>
    <col min="3610" max="3610" width="10.33203125" style="186" bestFit="1" customWidth="1"/>
    <col min="3611" max="3611" width="13.88671875" style="186" bestFit="1" customWidth="1"/>
    <col min="3612" max="3854" width="8.88671875" style="186"/>
    <col min="3855" max="3855" width="56.6640625" style="186" customWidth="1"/>
    <col min="3856" max="3856" width="15.33203125" style="186" customWidth="1"/>
    <col min="3857" max="3857" width="10" style="186" customWidth="1"/>
    <col min="3858" max="3858" width="10.44140625" style="186" customWidth="1"/>
    <col min="3859" max="3859" width="13.5546875" style="186" customWidth="1"/>
    <col min="3860" max="3860" width="11.88671875" style="186" customWidth="1"/>
    <col min="3861" max="3861" width="11.6640625" style="186" customWidth="1"/>
    <col min="3862" max="3863" width="12.5546875" style="186" customWidth="1"/>
    <col min="3864" max="3864" width="11.6640625" style="186" bestFit="1" customWidth="1"/>
    <col min="3865" max="3865" width="11.44140625" style="186" bestFit="1" customWidth="1"/>
    <col min="3866" max="3866" width="10.33203125" style="186" bestFit="1" customWidth="1"/>
    <col min="3867" max="3867" width="13.88671875" style="186" bestFit="1" customWidth="1"/>
    <col min="3868" max="4110" width="8.88671875" style="186"/>
    <col min="4111" max="4111" width="56.6640625" style="186" customWidth="1"/>
    <col min="4112" max="4112" width="15.33203125" style="186" customWidth="1"/>
    <col min="4113" max="4113" width="10" style="186" customWidth="1"/>
    <col min="4114" max="4114" width="10.44140625" style="186" customWidth="1"/>
    <col min="4115" max="4115" width="13.5546875" style="186" customWidth="1"/>
    <col min="4116" max="4116" width="11.88671875" style="186" customWidth="1"/>
    <col min="4117" max="4117" width="11.6640625" style="186" customWidth="1"/>
    <col min="4118" max="4119" width="12.5546875" style="186" customWidth="1"/>
    <col min="4120" max="4120" width="11.6640625" style="186" bestFit="1" customWidth="1"/>
    <col min="4121" max="4121" width="11.44140625" style="186" bestFit="1" customWidth="1"/>
    <col min="4122" max="4122" width="10.33203125" style="186" bestFit="1" customWidth="1"/>
    <col min="4123" max="4123" width="13.88671875" style="186" bestFit="1" customWidth="1"/>
    <col min="4124" max="4366" width="8.88671875" style="186"/>
    <col min="4367" max="4367" width="56.6640625" style="186" customWidth="1"/>
    <col min="4368" max="4368" width="15.33203125" style="186" customWidth="1"/>
    <col min="4369" max="4369" width="10" style="186" customWidth="1"/>
    <col min="4370" max="4370" width="10.44140625" style="186" customWidth="1"/>
    <col min="4371" max="4371" width="13.5546875" style="186" customWidth="1"/>
    <col min="4372" max="4372" width="11.88671875" style="186" customWidth="1"/>
    <col min="4373" max="4373" width="11.6640625" style="186" customWidth="1"/>
    <col min="4374" max="4375" width="12.5546875" style="186" customWidth="1"/>
    <col min="4376" max="4376" width="11.6640625" style="186" bestFit="1" customWidth="1"/>
    <col min="4377" max="4377" width="11.44140625" style="186" bestFit="1" customWidth="1"/>
    <col min="4378" max="4378" width="10.33203125" style="186" bestFit="1" customWidth="1"/>
    <col min="4379" max="4379" width="13.88671875" style="186" bestFit="1" customWidth="1"/>
    <col min="4380" max="4622" width="8.88671875" style="186"/>
    <col min="4623" max="4623" width="56.6640625" style="186" customWidth="1"/>
    <col min="4624" max="4624" width="15.33203125" style="186" customWidth="1"/>
    <col min="4625" max="4625" width="10" style="186" customWidth="1"/>
    <col min="4626" max="4626" width="10.44140625" style="186" customWidth="1"/>
    <col min="4627" max="4627" width="13.5546875" style="186" customWidth="1"/>
    <col min="4628" max="4628" width="11.88671875" style="186" customWidth="1"/>
    <col min="4629" max="4629" width="11.6640625" style="186" customWidth="1"/>
    <col min="4630" max="4631" width="12.5546875" style="186" customWidth="1"/>
    <col min="4632" max="4632" width="11.6640625" style="186" bestFit="1" customWidth="1"/>
    <col min="4633" max="4633" width="11.44140625" style="186" bestFit="1" customWidth="1"/>
    <col min="4634" max="4634" width="10.33203125" style="186" bestFit="1" customWidth="1"/>
    <col min="4635" max="4635" width="13.88671875" style="186" bestFit="1" customWidth="1"/>
    <col min="4636" max="4878" width="8.88671875" style="186"/>
    <col min="4879" max="4879" width="56.6640625" style="186" customWidth="1"/>
    <col min="4880" max="4880" width="15.33203125" style="186" customWidth="1"/>
    <col min="4881" max="4881" width="10" style="186" customWidth="1"/>
    <col min="4882" max="4882" width="10.44140625" style="186" customWidth="1"/>
    <col min="4883" max="4883" width="13.5546875" style="186" customWidth="1"/>
    <col min="4884" max="4884" width="11.88671875" style="186" customWidth="1"/>
    <col min="4885" max="4885" width="11.6640625" style="186" customWidth="1"/>
    <col min="4886" max="4887" width="12.5546875" style="186" customWidth="1"/>
    <col min="4888" max="4888" width="11.6640625" style="186" bestFit="1" customWidth="1"/>
    <col min="4889" max="4889" width="11.44140625" style="186" bestFit="1" customWidth="1"/>
    <col min="4890" max="4890" width="10.33203125" style="186" bestFit="1" customWidth="1"/>
    <col min="4891" max="4891" width="13.88671875" style="186" bestFit="1" customWidth="1"/>
    <col min="4892" max="5134" width="8.88671875" style="186"/>
    <col min="5135" max="5135" width="56.6640625" style="186" customWidth="1"/>
    <col min="5136" max="5136" width="15.33203125" style="186" customWidth="1"/>
    <col min="5137" max="5137" width="10" style="186" customWidth="1"/>
    <col min="5138" max="5138" width="10.44140625" style="186" customWidth="1"/>
    <col min="5139" max="5139" width="13.5546875" style="186" customWidth="1"/>
    <col min="5140" max="5140" width="11.88671875" style="186" customWidth="1"/>
    <col min="5141" max="5141" width="11.6640625" style="186" customWidth="1"/>
    <col min="5142" max="5143" width="12.5546875" style="186" customWidth="1"/>
    <col min="5144" max="5144" width="11.6640625" style="186" bestFit="1" customWidth="1"/>
    <col min="5145" max="5145" width="11.44140625" style="186" bestFit="1" customWidth="1"/>
    <col min="5146" max="5146" width="10.33203125" style="186" bestFit="1" customWidth="1"/>
    <col min="5147" max="5147" width="13.88671875" style="186" bestFit="1" customWidth="1"/>
    <col min="5148" max="5390" width="8.88671875" style="186"/>
    <col min="5391" max="5391" width="56.6640625" style="186" customWidth="1"/>
    <col min="5392" max="5392" width="15.33203125" style="186" customWidth="1"/>
    <col min="5393" max="5393" width="10" style="186" customWidth="1"/>
    <col min="5394" max="5394" width="10.44140625" style="186" customWidth="1"/>
    <col min="5395" max="5395" width="13.5546875" style="186" customWidth="1"/>
    <col min="5396" max="5396" width="11.88671875" style="186" customWidth="1"/>
    <col min="5397" max="5397" width="11.6640625" style="186" customWidth="1"/>
    <col min="5398" max="5399" width="12.5546875" style="186" customWidth="1"/>
    <col min="5400" max="5400" width="11.6640625" style="186" bestFit="1" customWidth="1"/>
    <col min="5401" max="5401" width="11.44140625" style="186" bestFit="1" customWidth="1"/>
    <col min="5402" max="5402" width="10.33203125" style="186" bestFit="1" customWidth="1"/>
    <col min="5403" max="5403" width="13.88671875" style="186" bestFit="1" customWidth="1"/>
    <col min="5404" max="5646" width="8.88671875" style="186"/>
    <col min="5647" max="5647" width="56.6640625" style="186" customWidth="1"/>
    <col min="5648" max="5648" width="15.33203125" style="186" customWidth="1"/>
    <col min="5649" max="5649" width="10" style="186" customWidth="1"/>
    <col min="5650" max="5650" width="10.44140625" style="186" customWidth="1"/>
    <col min="5651" max="5651" width="13.5546875" style="186" customWidth="1"/>
    <col min="5652" max="5652" width="11.88671875" style="186" customWidth="1"/>
    <col min="5653" max="5653" width="11.6640625" style="186" customWidth="1"/>
    <col min="5654" max="5655" width="12.5546875" style="186" customWidth="1"/>
    <col min="5656" max="5656" width="11.6640625" style="186" bestFit="1" customWidth="1"/>
    <col min="5657" max="5657" width="11.44140625" style="186" bestFit="1" customWidth="1"/>
    <col min="5658" max="5658" width="10.33203125" style="186" bestFit="1" customWidth="1"/>
    <col min="5659" max="5659" width="13.88671875" style="186" bestFit="1" customWidth="1"/>
    <col min="5660" max="5902" width="8.88671875" style="186"/>
    <col min="5903" max="5903" width="56.6640625" style="186" customWidth="1"/>
    <col min="5904" max="5904" width="15.33203125" style="186" customWidth="1"/>
    <col min="5905" max="5905" width="10" style="186" customWidth="1"/>
    <col min="5906" max="5906" width="10.44140625" style="186" customWidth="1"/>
    <col min="5907" max="5907" width="13.5546875" style="186" customWidth="1"/>
    <col min="5908" max="5908" width="11.88671875" style="186" customWidth="1"/>
    <col min="5909" max="5909" width="11.6640625" style="186" customWidth="1"/>
    <col min="5910" max="5911" width="12.5546875" style="186" customWidth="1"/>
    <col min="5912" max="5912" width="11.6640625" style="186" bestFit="1" customWidth="1"/>
    <col min="5913" max="5913" width="11.44140625" style="186" bestFit="1" customWidth="1"/>
    <col min="5914" max="5914" width="10.33203125" style="186" bestFit="1" customWidth="1"/>
    <col min="5915" max="5915" width="13.88671875" style="186" bestFit="1" customWidth="1"/>
    <col min="5916" max="6158" width="8.88671875" style="186"/>
    <col min="6159" max="6159" width="56.6640625" style="186" customWidth="1"/>
    <col min="6160" max="6160" width="15.33203125" style="186" customWidth="1"/>
    <col min="6161" max="6161" width="10" style="186" customWidth="1"/>
    <col min="6162" max="6162" width="10.44140625" style="186" customWidth="1"/>
    <col min="6163" max="6163" width="13.5546875" style="186" customWidth="1"/>
    <col min="6164" max="6164" width="11.88671875" style="186" customWidth="1"/>
    <col min="6165" max="6165" width="11.6640625" style="186" customWidth="1"/>
    <col min="6166" max="6167" width="12.5546875" style="186" customWidth="1"/>
    <col min="6168" max="6168" width="11.6640625" style="186" bestFit="1" customWidth="1"/>
    <col min="6169" max="6169" width="11.44140625" style="186" bestFit="1" customWidth="1"/>
    <col min="6170" max="6170" width="10.33203125" style="186" bestFit="1" customWidth="1"/>
    <col min="6171" max="6171" width="13.88671875" style="186" bestFit="1" customWidth="1"/>
    <col min="6172" max="6414" width="8.88671875" style="186"/>
    <col min="6415" max="6415" width="56.6640625" style="186" customWidth="1"/>
    <col min="6416" max="6416" width="15.33203125" style="186" customWidth="1"/>
    <col min="6417" max="6417" width="10" style="186" customWidth="1"/>
    <col min="6418" max="6418" width="10.44140625" style="186" customWidth="1"/>
    <col min="6419" max="6419" width="13.5546875" style="186" customWidth="1"/>
    <col min="6420" max="6420" width="11.88671875" style="186" customWidth="1"/>
    <col min="6421" max="6421" width="11.6640625" style="186" customWidth="1"/>
    <col min="6422" max="6423" width="12.5546875" style="186" customWidth="1"/>
    <col min="6424" max="6424" width="11.6640625" style="186" bestFit="1" customWidth="1"/>
    <col min="6425" max="6425" width="11.44140625" style="186" bestFit="1" customWidth="1"/>
    <col min="6426" max="6426" width="10.33203125" style="186" bestFit="1" customWidth="1"/>
    <col min="6427" max="6427" width="13.88671875" style="186" bestFit="1" customWidth="1"/>
    <col min="6428" max="6670" width="8.88671875" style="186"/>
    <col min="6671" max="6671" width="56.6640625" style="186" customWidth="1"/>
    <col min="6672" max="6672" width="15.33203125" style="186" customWidth="1"/>
    <col min="6673" max="6673" width="10" style="186" customWidth="1"/>
    <col min="6674" max="6674" width="10.44140625" style="186" customWidth="1"/>
    <col min="6675" max="6675" width="13.5546875" style="186" customWidth="1"/>
    <col min="6676" max="6676" width="11.88671875" style="186" customWidth="1"/>
    <col min="6677" max="6677" width="11.6640625" style="186" customWidth="1"/>
    <col min="6678" max="6679" width="12.5546875" style="186" customWidth="1"/>
    <col min="6680" max="6680" width="11.6640625" style="186" bestFit="1" customWidth="1"/>
    <col min="6681" max="6681" width="11.44140625" style="186" bestFit="1" customWidth="1"/>
    <col min="6682" max="6682" width="10.33203125" style="186" bestFit="1" customWidth="1"/>
    <col min="6683" max="6683" width="13.88671875" style="186" bestFit="1" customWidth="1"/>
    <col min="6684" max="6926" width="8.88671875" style="186"/>
    <col min="6927" max="6927" width="56.6640625" style="186" customWidth="1"/>
    <col min="6928" max="6928" width="15.33203125" style="186" customWidth="1"/>
    <col min="6929" max="6929" width="10" style="186" customWidth="1"/>
    <col min="6930" max="6930" width="10.44140625" style="186" customWidth="1"/>
    <col min="6931" max="6931" width="13.5546875" style="186" customWidth="1"/>
    <col min="6932" max="6932" width="11.88671875" style="186" customWidth="1"/>
    <col min="6933" max="6933" width="11.6640625" style="186" customWidth="1"/>
    <col min="6934" max="6935" width="12.5546875" style="186" customWidth="1"/>
    <col min="6936" max="6936" width="11.6640625" style="186" bestFit="1" customWidth="1"/>
    <col min="6937" max="6937" width="11.44140625" style="186" bestFit="1" customWidth="1"/>
    <col min="6938" max="6938" width="10.33203125" style="186" bestFit="1" customWidth="1"/>
    <col min="6939" max="6939" width="13.88671875" style="186" bestFit="1" customWidth="1"/>
    <col min="6940" max="7182" width="8.88671875" style="186"/>
    <col min="7183" max="7183" width="56.6640625" style="186" customWidth="1"/>
    <col min="7184" max="7184" width="15.33203125" style="186" customWidth="1"/>
    <col min="7185" max="7185" width="10" style="186" customWidth="1"/>
    <col min="7186" max="7186" width="10.44140625" style="186" customWidth="1"/>
    <col min="7187" max="7187" width="13.5546875" style="186" customWidth="1"/>
    <col min="7188" max="7188" width="11.88671875" style="186" customWidth="1"/>
    <col min="7189" max="7189" width="11.6640625" style="186" customWidth="1"/>
    <col min="7190" max="7191" width="12.5546875" style="186" customWidth="1"/>
    <col min="7192" max="7192" width="11.6640625" style="186" bestFit="1" customWidth="1"/>
    <col min="7193" max="7193" width="11.44140625" style="186" bestFit="1" customWidth="1"/>
    <col min="7194" max="7194" width="10.33203125" style="186" bestFit="1" customWidth="1"/>
    <col min="7195" max="7195" width="13.88671875" style="186" bestFit="1" customWidth="1"/>
    <col min="7196" max="7438" width="8.88671875" style="186"/>
    <col min="7439" max="7439" width="56.6640625" style="186" customWidth="1"/>
    <col min="7440" max="7440" width="15.33203125" style="186" customWidth="1"/>
    <col min="7441" max="7441" width="10" style="186" customWidth="1"/>
    <col min="7442" max="7442" width="10.44140625" style="186" customWidth="1"/>
    <col min="7443" max="7443" width="13.5546875" style="186" customWidth="1"/>
    <col min="7444" max="7444" width="11.88671875" style="186" customWidth="1"/>
    <col min="7445" max="7445" width="11.6640625" style="186" customWidth="1"/>
    <col min="7446" max="7447" width="12.5546875" style="186" customWidth="1"/>
    <col min="7448" max="7448" width="11.6640625" style="186" bestFit="1" customWidth="1"/>
    <col min="7449" max="7449" width="11.44140625" style="186" bestFit="1" customWidth="1"/>
    <col min="7450" max="7450" width="10.33203125" style="186" bestFit="1" customWidth="1"/>
    <col min="7451" max="7451" width="13.88671875" style="186" bestFit="1" customWidth="1"/>
    <col min="7452" max="7694" width="8.88671875" style="186"/>
    <col min="7695" max="7695" width="56.6640625" style="186" customWidth="1"/>
    <col min="7696" max="7696" width="15.33203125" style="186" customWidth="1"/>
    <col min="7697" max="7697" width="10" style="186" customWidth="1"/>
    <col min="7698" max="7698" width="10.44140625" style="186" customWidth="1"/>
    <col min="7699" max="7699" width="13.5546875" style="186" customWidth="1"/>
    <col min="7700" max="7700" width="11.88671875" style="186" customWidth="1"/>
    <col min="7701" max="7701" width="11.6640625" style="186" customWidth="1"/>
    <col min="7702" max="7703" width="12.5546875" style="186" customWidth="1"/>
    <col min="7704" max="7704" width="11.6640625" style="186" bestFit="1" customWidth="1"/>
    <col min="7705" max="7705" width="11.44140625" style="186" bestFit="1" customWidth="1"/>
    <col min="7706" max="7706" width="10.33203125" style="186" bestFit="1" customWidth="1"/>
    <col min="7707" max="7707" width="13.88671875" style="186" bestFit="1" customWidth="1"/>
    <col min="7708" max="7950" width="8.88671875" style="186"/>
    <col min="7951" max="7951" width="56.6640625" style="186" customWidth="1"/>
    <col min="7952" max="7952" width="15.33203125" style="186" customWidth="1"/>
    <col min="7953" max="7953" width="10" style="186" customWidth="1"/>
    <col min="7954" max="7954" width="10.44140625" style="186" customWidth="1"/>
    <col min="7955" max="7955" width="13.5546875" style="186" customWidth="1"/>
    <col min="7956" max="7956" width="11.88671875" style="186" customWidth="1"/>
    <col min="7957" max="7957" width="11.6640625" style="186" customWidth="1"/>
    <col min="7958" max="7959" width="12.5546875" style="186" customWidth="1"/>
    <col min="7960" max="7960" width="11.6640625" style="186" bestFit="1" customWidth="1"/>
    <col min="7961" max="7961" width="11.44140625" style="186" bestFit="1" customWidth="1"/>
    <col min="7962" max="7962" width="10.33203125" style="186" bestFit="1" customWidth="1"/>
    <col min="7963" max="7963" width="13.88671875" style="186" bestFit="1" customWidth="1"/>
    <col min="7964" max="8206" width="8.88671875" style="186"/>
    <col min="8207" max="8207" width="56.6640625" style="186" customWidth="1"/>
    <col min="8208" max="8208" width="15.33203125" style="186" customWidth="1"/>
    <col min="8209" max="8209" width="10" style="186" customWidth="1"/>
    <col min="8210" max="8210" width="10.44140625" style="186" customWidth="1"/>
    <col min="8211" max="8211" width="13.5546875" style="186" customWidth="1"/>
    <col min="8212" max="8212" width="11.88671875" style="186" customWidth="1"/>
    <col min="8213" max="8213" width="11.6640625" style="186" customWidth="1"/>
    <col min="8214" max="8215" width="12.5546875" style="186" customWidth="1"/>
    <col min="8216" max="8216" width="11.6640625" style="186" bestFit="1" customWidth="1"/>
    <col min="8217" max="8217" width="11.44140625" style="186" bestFit="1" customWidth="1"/>
    <col min="8218" max="8218" width="10.33203125" style="186" bestFit="1" customWidth="1"/>
    <col min="8219" max="8219" width="13.88671875" style="186" bestFit="1" customWidth="1"/>
    <col min="8220" max="8462" width="8.88671875" style="186"/>
    <col min="8463" max="8463" width="56.6640625" style="186" customWidth="1"/>
    <col min="8464" max="8464" width="15.33203125" style="186" customWidth="1"/>
    <col min="8465" max="8465" width="10" style="186" customWidth="1"/>
    <col min="8466" max="8466" width="10.44140625" style="186" customWidth="1"/>
    <col min="8467" max="8467" width="13.5546875" style="186" customWidth="1"/>
    <col min="8468" max="8468" width="11.88671875" style="186" customWidth="1"/>
    <col min="8469" max="8469" width="11.6640625" style="186" customWidth="1"/>
    <col min="8470" max="8471" width="12.5546875" style="186" customWidth="1"/>
    <col min="8472" max="8472" width="11.6640625" style="186" bestFit="1" customWidth="1"/>
    <col min="8473" max="8473" width="11.44140625" style="186" bestFit="1" customWidth="1"/>
    <col min="8474" max="8474" width="10.33203125" style="186" bestFit="1" customWidth="1"/>
    <col min="8475" max="8475" width="13.88671875" style="186" bestFit="1" customWidth="1"/>
    <col min="8476" max="8718" width="8.88671875" style="186"/>
    <col min="8719" max="8719" width="56.6640625" style="186" customWidth="1"/>
    <col min="8720" max="8720" width="15.33203125" style="186" customWidth="1"/>
    <col min="8721" max="8721" width="10" style="186" customWidth="1"/>
    <col min="8722" max="8722" width="10.44140625" style="186" customWidth="1"/>
    <col min="8723" max="8723" width="13.5546875" style="186" customWidth="1"/>
    <col min="8724" max="8724" width="11.88671875" style="186" customWidth="1"/>
    <col min="8725" max="8725" width="11.6640625" style="186" customWidth="1"/>
    <col min="8726" max="8727" width="12.5546875" style="186" customWidth="1"/>
    <col min="8728" max="8728" width="11.6640625" style="186" bestFit="1" customWidth="1"/>
    <col min="8729" max="8729" width="11.44140625" style="186" bestFit="1" customWidth="1"/>
    <col min="8730" max="8730" width="10.33203125" style="186" bestFit="1" customWidth="1"/>
    <col min="8731" max="8731" width="13.88671875" style="186" bestFit="1" customWidth="1"/>
    <col min="8732" max="8974" width="8.88671875" style="186"/>
    <col min="8975" max="8975" width="56.6640625" style="186" customWidth="1"/>
    <col min="8976" max="8976" width="15.33203125" style="186" customWidth="1"/>
    <col min="8977" max="8977" width="10" style="186" customWidth="1"/>
    <col min="8978" max="8978" width="10.44140625" style="186" customWidth="1"/>
    <col min="8979" max="8979" width="13.5546875" style="186" customWidth="1"/>
    <col min="8980" max="8980" width="11.88671875" style="186" customWidth="1"/>
    <col min="8981" max="8981" width="11.6640625" style="186" customWidth="1"/>
    <col min="8982" max="8983" width="12.5546875" style="186" customWidth="1"/>
    <col min="8984" max="8984" width="11.6640625" style="186" bestFit="1" customWidth="1"/>
    <col min="8985" max="8985" width="11.44140625" style="186" bestFit="1" customWidth="1"/>
    <col min="8986" max="8986" width="10.33203125" style="186" bestFit="1" customWidth="1"/>
    <col min="8987" max="8987" width="13.88671875" style="186" bestFit="1" customWidth="1"/>
    <col min="8988" max="9230" width="8.88671875" style="186"/>
    <col min="9231" max="9231" width="56.6640625" style="186" customWidth="1"/>
    <col min="9232" max="9232" width="15.33203125" style="186" customWidth="1"/>
    <col min="9233" max="9233" width="10" style="186" customWidth="1"/>
    <col min="9234" max="9234" width="10.44140625" style="186" customWidth="1"/>
    <col min="9235" max="9235" width="13.5546875" style="186" customWidth="1"/>
    <col min="9236" max="9236" width="11.88671875" style="186" customWidth="1"/>
    <col min="9237" max="9237" width="11.6640625" style="186" customWidth="1"/>
    <col min="9238" max="9239" width="12.5546875" style="186" customWidth="1"/>
    <col min="9240" max="9240" width="11.6640625" style="186" bestFit="1" customWidth="1"/>
    <col min="9241" max="9241" width="11.44140625" style="186" bestFit="1" customWidth="1"/>
    <col min="9242" max="9242" width="10.33203125" style="186" bestFit="1" customWidth="1"/>
    <col min="9243" max="9243" width="13.88671875" style="186" bestFit="1" customWidth="1"/>
    <col min="9244" max="9486" width="8.88671875" style="186"/>
    <col min="9487" max="9487" width="56.6640625" style="186" customWidth="1"/>
    <col min="9488" max="9488" width="15.33203125" style="186" customWidth="1"/>
    <col min="9489" max="9489" width="10" style="186" customWidth="1"/>
    <col min="9490" max="9490" width="10.44140625" style="186" customWidth="1"/>
    <col min="9491" max="9491" width="13.5546875" style="186" customWidth="1"/>
    <col min="9492" max="9492" width="11.88671875" style="186" customWidth="1"/>
    <col min="9493" max="9493" width="11.6640625" style="186" customWidth="1"/>
    <col min="9494" max="9495" width="12.5546875" style="186" customWidth="1"/>
    <col min="9496" max="9496" width="11.6640625" style="186" bestFit="1" customWidth="1"/>
    <col min="9497" max="9497" width="11.44140625" style="186" bestFit="1" customWidth="1"/>
    <col min="9498" max="9498" width="10.33203125" style="186" bestFit="1" customWidth="1"/>
    <col min="9499" max="9499" width="13.88671875" style="186" bestFit="1" customWidth="1"/>
    <col min="9500" max="9742" width="8.88671875" style="186"/>
    <col min="9743" max="9743" width="56.6640625" style="186" customWidth="1"/>
    <col min="9744" max="9744" width="15.33203125" style="186" customWidth="1"/>
    <col min="9745" max="9745" width="10" style="186" customWidth="1"/>
    <col min="9746" max="9746" width="10.44140625" style="186" customWidth="1"/>
    <col min="9747" max="9747" width="13.5546875" style="186" customWidth="1"/>
    <col min="9748" max="9748" width="11.88671875" style="186" customWidth="1"/>
    <col min="9749" max="9749" width="11.6640625" style="186" customWidth="1"/>
    <col min="9750" max="9751" width="12.5546875" style="186" customWidth="1"/>
    <col min="9752" max="9752" width="11.6640625" style="186" bestFit="1" customWidth="1"/>
    <col min="9753" max="9753" width="11.44140625" style="186" bestFit="1" customWidth="1"/>
    <col min="9754" max="9754" width="10.33203125" style="186" bestFit="1" customWidth="1"/>
    <col min="9755" max="9755" width="13.88671875" style="186" bestFit="1" customWidth="1"/>
    <col min="9756" max="9998" width="8.88671875" style="186"/>
    <col min="9999" max="9999" width="56.6640625" style="186" customWidth="1"/>
    <col min="10000" max="10000" width="15.33203125" style="186" customWidth="1"/>
    <col min="10001" max="10001" width="10" style="186" customWidth="1"/>
    <col min="10002" max="10002" width="10.44140625" style="186" customWidth="1"/>
    <col min="10003" max="10003" width="13.5546875" style="186" customWidth="1"/>
    <col min="10004" max="10004" width="11.88671875" style="186" customWidth="1"/>
    <col min="10005" max="10005" width="11.6640625" style="186" customWidth="1"/>
    <col min="10006" max="10007" width="12.5546875" style="186" customWidth="1"/>
    <col min="10008" max="10008" width="11.6640625" style="186" bestFit="1" customWidth="1"/>
    <col min="10009" max="10009" width="11.44140625" style="186" bestFit="1" customWidth="1"/>
    <col min="10010" max="10010" width="10.33203125" style="186" bestFit="1" customWidth="1"/>
    <col min="10011" max="10011" width="13.88671875" style="186" bestFit="1" customWidth="1"/>
    <col min="10012" max="10254" width="8.88671875" style="186"/>
    <col min="10255" max="10255" width="56.6640625" style="186" customWidth="1"/>
    <col min="10256" max="10256" width="15.33203125" style="186" customWidth="1"/>
    <col min="10257" max="10257" width="10" style="186" customWidth="1"/>
    <col min="10258" max="10258" width="10.44140625" style="186" customWidth="1"/>
    <col min="10259" max="10259" width="13.5546875" style="186" customWidth="1"/>
    <col min="10260" max="10260" width="11.88671875" style="186" customWidth="1"/>
    <col min="10261" max="10261" width="11.6640625" style="186" customWidth="1"/>
    <col min="10262" max="10263" width="12.5546875" style="186" customWidth="1"/>
    <col min="10264" max="10264" width="11.6640625" style="186" bestFit="1" customWidth="1"/>
    <col min="10265" max="10265" width="11.44140625" style="186" bestFit="1" customWidth="1"/>
    <col min="10266" max="10266" width="10.33203125" style="186" bestFit="1" customWidth="1"/>
    <col min="10267" max="10267" width="13.88671875" style="186" bestFit="1" customWidth="1"/>
    <col min="10268" max="10510" width="8.88671875" style="186"/>
    <col min="10511" max="10511" width="56.6640625" style="186" customWidth="1"/>
    <col min="10512" max="10512" width="15.33203125" style="186" customWidth="1"/>
    <col min="10513" max="10513" width="10" style="186" customWidth="1"/>
    <col min="10514" max="10514" width="10.44140625" style="186" customWidth="1"/>
    <col min="10515" max="10515" width="13.5546875" style="186" customWidth="1"/>
    <col min="10516" max="10516" width="11.88671875" style="186" customWidth="1"/>
    <col min="10517" max="10517" width="11.6640625" style="186" customWidth="1"/>
    <col min="10518" max="10519" width="12.5546875" style="186" customWidth="1"/>
    <col min="10520" max="10520" width="11.6640625" style="186" bestFit="1" customWidth="1"/>
    <col min="10521" max="10521" width="11.44140625" style="186" bestFit="1" customWidth="1"/>
    <col min="10522" max="10522" width="10.33203125" style="186" bestFit="1" customWidth="1"/>
    <col min="10523" max="10523" width="13.88671875" style="186" bestFit="1" customWidth="1"/>
    <col min="10524" max="10766" width="8.88671875" style="186"/>
    <col min="10767" max="10767" width="56.6640625" style="186" customWidth="1"/>
    <col min="10768" max="10768" width="15.33203125" style="186" customWidth="1"/>
    <col min="10769" max="10769" width="10" style="186" customWidth="1"/>
    <col min="10770" max="10770" width="10.44140625" style="186" customWidth="1"/>
    <col min="10771" max="10771" width="13.5546875" style="186" customWidth="1"/>
    <col min="10772" max="10772" width="11.88671875" style="186" customWidth="1"/>
    <col min="10773" max="10773" width="11.6640625" style="186" customWidth="1"/>
    <col min="10774" max="10775" width="12.5546875" style="186" customWidth="1"/>
    <col min="10776" max="10776" width="11.6640625" style="186" bestFit="1" customWidth="1"/>
    <col min="10777" max="10777" width="11.44140625" style="186" bestFit="1" customWidth="1"/>
    <col min="10778" max="10778" width="10.33203125" style="186" bestFit="1" customWidth="1"/>
    <col min="10779" max="10779" width="13.88671875" style="186" bestFit="1" customWidth="1"/>
    <col min="10780" max="11022" width="8.88671875" style="186"/>
    <col min="11023" max="11023" width="56.6640625" style="186" customWidth="1"/>
    <col min="11024" max="11024" width="15.33203125" style="186" customWidth="1"/>
    <col min="11025" max="11025" width="10" style="186" customWidth="1"/>
    <col min="11026" max="11026" width="10.44140625" style="186" customWidth="1"/>
    <col min="11027" max="11027" width="13.5546875" style="186" customWidth="1"/>
    <col min="11028" max="11028" width="11.88671875" style="186" customWidth="1"/>
    <col min="11029" max="11029" width="11.6640625" style="186" customWidth="1"/>
    <col min="11030" max="11031" width="12.5546875" style="186" customWidth="1"/>
    <col min="11032" max="11032" width="11.6640625" style="186" bestFit="1" customWidth="1"/>
    <col min="11033" max="11033" width="11.44140625" style="186" bestFit="1" customWidth="1"/>
    <col min="11034" max="11034" width="10.33203125" style="186" bestFit="1" customWidth="1"/>
    <col min="11035" max="11035" width="13.88671875" style="186" bestFit="1" customWidth="1"/>
    <col min="11036" max="11278" width="8.88671875" style="186"/>
    <col min="11279" max="11279" width="56.6640625" style="186" customWidth="1"/>
    <col min="11280" max="11280" width="15.33203125" style="186" customWidth="1"/>
    <col min="11281" max="11281" width="10" style="186" customWidth="1"/>
    <col min="11282" max="11282" width="10.44140625" style="186" customWidth="1"/>
    <col min="11283" max="11283" width="13.5546875" style="186" customWidth="1"/>
    <col min="11284" max="11284" width="11.88671875" style="186" customWidth="1"/>
    <col min="11285" max="11285" width="11.6640625" style="186" customWidth="1"/>
    <col min="11286" max="11287" width="12.5546875" style="186" customWidth="1"/>
    <col min="11288" max="11288" width="11.6640625" style="186" bestFit="1" customWidth="1"/>
    <col min="11289" max="11289" width="11.44140625" style="186" bestFit="1" customWidth="1"/>
    <col min="11290" max="11290" width="10.33203125" style="186" bestFit="1" customWidth="1"/>
    <col min="11291" max="11291" width="13.88671875" style="186" bestFit="1" customWidth="1"/>
    <col min="11292" max="11534" width="8.88671875" style="186"/>
    <col min="11535" max="11535" width="56.6640625" style="186" customWidth="1"/>
    <col min="11536" max="11536" width="15.33203125" style="186" customWidth="1"/>
    <col min="11537" max="11537" width="10" style="186" customWidth="1"/>
    <col min="11538" max="11538" width="10.44140625" style="186" customWidth="1"/>
    <col min="11539" max="11539" width="13.5546875" style="186" customWidth="1"/>
    <col min="11540" max="11540" width="11.88671875" style="186" customWidth="1"/>
    <col min="11541" max="11541" width="11.6640625" style="186" customWidth="1"/>
    <col min="11542" max="11543" width="12.5546875" style="186" customWidth="1"/>
    <col min="11544" max="11544" width="11.6640625" style="186" bestFit="1" customWidth="1"/>
    <col min="11545" max="11545" width="11.44140625" style="186" bestFit="1" customWidth="1"/>
    <col min="11546" max="11546" width="10.33203125" style="186" bestFit="1" customWidth="1"/>
    <col min="11547" max="11547" width="13.88671875" style="186" bestFit="1" customWidth="1"/>
    <col min="11548" max="11790" width="8.88671875" style="186"/>
    <col min="11791" max="11791" width="56.6640625" style="186" customWidth="1"/>
    <col min="11792" max="11792" width="15.33203125" style="186" customWidth="1"/>
    <col min="11793" max="11793" width="10" style="186" customWidth="1"/>
    <col min="11794" max="11794" width="10.44140625" style="186" customWidth="1"/>
    <col min="11795" max="11795" width="13.5546875" style="186" customWidth="1"/>
    <col min="11796" max="11796" width="11.88671875" style="186" customWidth="1"/>
    <col min="11797" max="11797" width="11.6640625" style="186" customWidth="1"/>
    <col min="11798" max="11799" width="12.5546875" style="186" customWidth="1"/>
    <col min="11800" max="11800" width="11.6640625" style="186" bestFit="1" customWidth="1"/>
    <col min="11801" max="11801" width="11.44140625" style="186" bestFit="1" customWidth="1"/>
    <col min="11802" max="11802" width="10.33203125" style="186" bestFit="1" customWidth="1"/>
    <col min="11803" max="11803" width="13.88671875" style="186" bestFit="1" customWidth="1"/>
    <col min="11804" max="12046" width="8.88671875" style="186"/>
    <col min="12047" max="12047" width="56.6640625" style="186" customWidth="1"/>
    <col min="12048" max="12048" width="15.33203125" style="186" customWidth="1"/>
    <col min="12049" max="12049" width="10" style="186" customWidth="1"/>
    <col min="12050" max="12050" width="10.44140625" style="186" customWidth="1"/>
    <col min="12051" max="12051" width="13.5546875" style="186" customWidth="1"/>
    <col min="12052" max="12052" width="11.88671875" style="186" customWidth="1"/>
    <col min="12053" max="12053" width="11.6640625" style="186" customWidth="1"/>
    <col min="12054" max="12055" width="12.5546875" style="186" customWidth="1"/>
    <col min="12056" max="12056" width="11.6640625" style="186" bestFit="1" customWidth="1"/>
    <col min="12057" max="12057" width="11.44140625" style="186" bestFit="1" customWidth="1"/>
    <col min="12058" max="12058" width="10.33203125" style="186" bestFit="1" customWidth="1"/>
    <col min="12059" max="12059" width="13.88671875" style="186" bestFit="1" customWidth="1"/>
    <col min="12060" max="12302" width="8.88671875" style="186"/>
    <col min="12303" max="12303" width="56.6640625" style="186" customWidth="1"/>
    <col min="12304" max="12304" width="15.33203125" style="186" customWidth="1"/>
    <col min="12305" max="12305" width="10" style="186" customWidth="1"/>
    <col min="12306" max="12306" width="10.44140625" style="186" customWidth="1"/>
    <col min="12307" max="12307" width="13.5546875" style="186" customWidth="1"/>
    <col min="12308" max="12308" width="11.88671875" style="186" customWidth="1"/>
    <col min="12309" max="12309" width="11.6640625" style="186" customWidth="1"/>
    <col min="12310" max="12311" width="12.5546875" style="186" customWidth="1"/>
    <col min="12312" max="12312" width="11.6640625" style="186" bestFit="1" customWidth="1"/>
    <col min="12313" max="12313" width="11.44140625" style="186" bestFit="1" customWidth="1"/>
    <col min="12314" max="12314" width="10.33203125" style="186" bestFit="1" customWidth="1"/>
    <col min="12315" max="12315" width="13.88671875" style="186" bestFit="1" customWidth="1"/>
    <col min="12316" max="12558" width="8.88671875" style="186"/>
    <col min="12559" max="12559" width="56.6640625" style="186" customWidth="1"/>
    <col min="12560" max="12560" width="15.33203125" style="186" customWidth="1"/>
    <col min="12561" max="12561" width="10" style="186" customWidth="1"/>
    <col min="12562" max="12562" width="10.44140625" style="186" customWidth="1"/>
    <col min="12563" max="12563" width="13.5546875" style="186" customWidth="1"/>
    <col min="12564" max="12564" width="11.88671875" style="186" customWidth="1"/>
    <col min="12565" max="12565" width="11.6640625" style="186" customWidth="1"/>
    <col min="12566" max="12567" width="12.5546875" style="186" customWidth="1"/>
    <col min="12568" max="12568" width="11.6640625" style="186" bestFit="1" customWidth="1"/>
    <col min="12569" max="12569" width="11.44140625" style="186" bestFit="1" customWidth="1"/>
    <col min="12570" max="12570" width="10.33203125" style="186" bestFit="1" customWidth="1"/>
    <col min="12571" max="12571" width="13.88671875" style="186" bestFit="1" customWidth="1"/>
    <col min="12572" max="12814" width="8.88671875" style="186"/>
    <col min="12815" max="12815" width="56.6640625" style="186" customWidth="1"/>
    <col min="12816" max="12816" width="15.33203125" style="186" customWidth="1"/>
    <col min="12817" max="12817" width="10" style="186" customWidth="1"/>
    <col min="12818" max="12818" width="10.44140625" style="186" customWidth="1"/>
    <col min="12819" max="12819" width="13.5546875" style="186" customWidth="1"/>
    <col min="12820" max="12820" width="11.88671875" style="186" customWidth="1"/>
    <col min="12821" max="12821" width="11.6640625" style="186" customWidth="1"/>
    <col min="12822" max="12823" width="12.5546875" style="186" customWidth="1"/>
    <col min="12824" max="12824" width="11.6640625" style="186" bestFit="1" customWidth="1"/>
    <col min="12825" max="12825" width="11.44140625" style="186" bestFit="1" customWidth="1"/>
    <col min="12826" max="12826" width="10.33203125" style="186" bestFit="1" customWidth="1"/>
    <col min="12827" max="12827" width="13.88671875" style="186" bestFit="1" customWidth="1"/>
    <col min="12828" max="13070" width="8.88671875" style="186"/>
    <col min="13071" max="13071" width="56.6640625" style="186" customWidth="1"/>
    <col min="13072" max="13072" width="15.33203125" style="186" customWidth="1"/>
    <col min="13073" max="13073" width="10" style="186" customWidth="1"/>
    <col min="13074" max="13074" width="10.44140625" style="186" customWidth="1"/>
    <col min="13075" max="13075" width="13.5546875" style="186" customWidth="1"/>
    <col min="13076" max="13076" width="11.88671875" style="186" customWidth="1"/>
    <col min="13077" max="13077" width="11.6640625" style="186" customWidth="1"/>
    <col min="13078" max="13079" width="12.5546875" style="186" customWidth="1"/>
    <col min="13080" max="13080" width="11.6640625" style="186" bestFit="1" customWidth="1"/>
    <col min="13081" max="13081" width="11.44140625" style="186" bestFit="1" customWidth="1"/>
    <col min="13082" max="13082" width="10.33203125" style="186" bestFit="1" customWidth="1"/>
    <col min="13083" max="13083" width="13.88671875" style="186" bestFit="1" customWidth="1"/>
    <col min="13084" max="13326" width="8.88671875" style="186"/>
    <col min="13327" max="13327" width="56.6640625" style="186" customWidth="1"/>
    <col min="13328" max="13328" width="15.33203125" style="186" customWidth="1"/>
    <col min="13329" max="13329" width="10" style="186" customWidth="1"/>
    <col min="13330" max="13330" width="10.44140625" style="186" customWidth="1"/>
    <col min="13331" max="13331" width="13.5546875" style="186" customWidth="1"/>
    <col min="13332" max="13332" width="11.88671875" style="186" customWidth="1"/>
    <col min="13333" max="13333" width="11.6640625" style="186" customWidth="1"/>
    <col min="13334" max="13335" width="12.5546875" style="186" customWidth="1"/>
    <col min="13336" max="13336" width="11.6640625" style="186" bestFit="1" customWidth="1"/>
    <col min="13337" max="13337" width="11.44140625" style="186" bestFit="1" customWidth="1"/>
    <col min="13338" max="13338" width="10.33203125" style="186" bestFit="1" customWidth="1"/>
    <col min="13339" max="13339" width="13.88671875" style="186" bestFit="1" customWidth="1"/>
    <col min="13340" max="13582" width="8.88671875" style="186"/>
    <col min="13583" max="13583" width="56.6640625" style="186" customWidth="1"/>
    <col min="13584" max="13584" width="15.33203125" style="186" customWidth="1"/>
    <col min="13585" max="13585" width="10" style="186" customWidth="1"/>
    <col min="13586" max="13586" width="10.44140625" style="186" customWidth="1"/>
    <col min="13587" max="13587" width="13.5546875" style="186" customWidth="1"/>
    <col min="13588" max="13588" width="11.88671875" style="186" customWidth="1"/>
    <col min="13589" max="13589" width="11.6640625" style="186" customWidth="1"/>
    <col min="13590" max="13591" width="12.5546875" style="186" customWidth="1"/>
    <col min="13592" max="13592" width="11.6640625" style="186" bestFit="1" customWidth="1"/>
    <col min="13593" max="13593" width="11.44140625" style="186" bestFit="1" customWidth="1"/>
    <col min="13594" max="13594" width="10.33203125" style="186" bestFit="1" customWidth="1"/>
    <col min="13595" max="13595" width="13.88671875" style="186" bestFit="1" customWidth="1"/>
    <col min="13596" max="13838" width="8.88671875" style="186"/>
    <col min="13839" max="13839" width="56.6640625" style="186" customWidth="1"/>
    <col min="13840" max="13840" width="15.33203125" style="186" customWidth="1"/>
    <col min="13841" max="13841" width="10" style="186" customWidth="1"/>
    <col min="13842" max="13842" width="10.44140625" style="186" customWidth="1"/>
    <col min="13843" max="13843" width="13.5546875" style="186" customWidth="1"/>
    <col min="13844" max="13844" width="11.88671875" style="186" customWidth="1"/>
    <col min="13845" max="13845" width="11.6640625" style="186" customWidth="1"/>
    <col min="13846" max="13847" width="12.5546875" style="186" customWidth="1"/>
    <col min="13848" max="13848" width="11.6640625" style="186" bestFit="1" customWidth="1"/>
    <col min="13849" max="13849" width="11.44140625" style="186" bestFit="1" customWidth="1"/>
    <col min="13850" max="13850" width="10.33203125" style="186" bestFit="1" customWidth="1"/>
    <col min="13851" max="13851" width="13.88671875" style="186" bestFit="1" customWidth="1"/>
    <col min="13852" max="14094" width="8.88671875" style="186"/>
    <col min="14095" max="14095" width="56.6640625" style="186" customWidth="1"/>
    <col min="14096" max="14096" width="15.33203125" style="186" customWidth="1"/>
    <col min="14097" max="14097" width="10" style="186" customWidth="1"/>
    <col min="14098" max="14098" width="10.44140625" style="186" customWidth="1"/>
    <col min="14099" max="14099" width="13.5546875" style="186" customWidth="1"/>
    <col min="14100" max="14100" width="11.88671875" style="186" customWidth="1"/>
    <col min="14101" max="14101" width="11.6640625" style="186" customWidth="1"/>
    <col min="14102" max="14103" width="12.5546875" style="186" customWidth="1"/>
    <col min="14104" max="14104" width="11.6640625" style="186" bestFit="1" customWidth="1"/>
    <col min="14105" max="14105" width="11.44140625" style="186" bestFit="1" customWidth="1"/>
    <col min="14106" max="14106" width="10.33203125" style="186" bestFit="1" customWidth="1"/>
    <col min="14107" max="14107" width="13.88671875" style="186" bestFit="1" customWidth="1"/>
    <col min="14108" max="14350" width="8.88671875" style="186"/>
    <col min="14351" max="14351" width="56.6640625" style="186" customWidth="1"/>
    <col min="14352" max="14352" width="15.33203125" style="186" customWidth="1"/>
    <col min="14353" max="14353" width="10" style="186" customWidth="1"/>
    <col min="14354" max="14354" width="10.44140625" style="186" customWidth="1"/>
    <col min="14355" max="14355" width="13.5546875" style="186" customWidth="1"/>
    <col min="14356" max="14356" width="11.88671875" style="186" customWidth="1"/>
    <col min="14357" max="14357" width="11.6640625" style="186" customWidth="1"/>
    <col min="14358" max="14359" width="12.5546875" style="186" customWidth="1"/>
    <col min="14360" max="14360" width="11.6640625" style="186" bestFit="1" customWidth="1"/>
    <col min="14361" max="14361" width="11.44140625" style="186" bestFit="1" customWidth="1"/>
    <col min="14362" max="14362" width="10.33203125" style="186" bestFit="1" customWidth="1"/>
    <col min="14363" max="14363" width="13.88671875" style="186" bestFit="1" customWidth="1"/>
    <col min="14364" max="14606" width="8.88671875" style="186"/>
    <col min="14607" max="14607" width="56.6640625" style="186" customWidth="1"/>
    <col min="14608" max="14608" width="15.33203125" style="186" customWidth="1"/>
    <col min="14609" max="14609" width="10" style="186" customWidth="1"/>
    <col min="14610" max="14610" width="10.44140625" style="186" customWidth="1"/>
    <col min="14611" max="14611" width="13.5546875" style="186" customWidth="1"/>
    <col min="14612" max="14612" width="11.88671875" style="186" customWidth="1"/>
    <col min="14613" max="14613" width="11.6640625" style="186" customWidth="1"/>
    <col min="14614" max="14615" width="12.5546875" style="186" customWidth="1"/>
    <col min="14616" max="14616" width="11.6640625" style="186" bestFit="1" customWidth="1"/>
    <col min="14617" max="14617" width="11.44140625" style="186" bestFit="1" customWidth="1"/>
    <col min="14618" max="14618" width="10.33203125" style="186" bestFit="1" customWidth="1"/>
    <col min="14619" max="14619" width="13.88671875" style="186" bestFit="1" customWidth="1"/>
    <col min="14620" max="14862" width="8.88671875" style="186"/>
    <col min="14863" max="14863" width="56.6640625" style="186" customWidth="1"/>
    <col min="14864" max="14864" width="15.33203125" style="186" customWidth="1"/>
    <col min="14865" max="14865" width="10" style="186" customWidth="1"/>
    <col min="14866" max="14866" width="10.44140625" style="186" customWidth="1"/>
    <col min="14867" max="14867" width="13.5546875" style="186" customWidth="1"/>
    <col min="14868" max="14868" width="11.88671875" style="186" customWidth="1"/>
    <col min="14869" max="14869" width="11.6640625" style="186" customWidth="1"/>
    <col min="14870" max="14871" width="12.5546875" style="186" customWidth="1"/>
    <col min="14872" max="14872" width="11.6640625" style="186" bestFit="1" customWidth="1"/>
    <col min="14873" max="14873" width="11.44140625" style="186" bestFit="1" customWidth="1"/>
    <col min="14874" max="14874" width="10.33203125" style="186" bestFit="1" customWidth="1"/>
    <col min="14875" max="14875" width="13.88671875" style="186" bestFit="1" customWidth="1"/>
    <col min="14876" max="15118" width="8.88671875" style="186"/>
    <col min="15119" max="15119" width="56.6640625" style="186" customWidth="1"/>
    <col min="15120" max="15120" width="15.33203125" style="186" customWidth="1"/>
    <col min="15121" max="15121" width="10" style="186" customWidth="1"/>
    <col min="15122" max="15122" width="10.44140625" style="186" customWidth="1"/>
    <col min="15123" max="15123" width="13.5546875" style="186" customWidth="1"/>
    <col min="15124" max="15124" width="11.88671875" style="186" customWidth="1"/>
    <col min="15125" max="15125" width="11.6640625" style="186" customWidth="1"/>
    <col min="15126" max="15127" width="12.5546875" style="186" customWidth="1"/>
    <col min="15128" max="15128" width="11.6640625" style="186" bestFit="1" customWidth="1"/>
    <col min="15129" max="15129" width="11.44140625" style="186" bestFit="1" customWidth="1"/>
    <col min="15130" max="15130" width="10.33203125" style="186" bestFit="1" customWidth="1"/>
    <col min="15131" max="15131" width="13.88671875" style="186" bestFit="1" customWidth="1"/>
    <col min="15132" max="15374" width="8.88671875" style="186"/>
    <col min="15375" max="15375" width="56.6640625" style="186" customWidth="1"/>
    <col min="15376" max="15376" width="15.33203125" style="186" customWidth="1"/>
    <col min="15377" max="15377" width="10" style="186" customWidth="1"/>
    <col min="15378" max="15378" width="10.44140625" style="186" customWidth="1"/>
    <col min="15379" max="15379" width="13.5546875" style="186" customWidth="1"/>
    <col min="15380" max="15380" width="11.88671875" style="186" customWidth="1"/>
    <col min="15381" max="15381" width="11.6640625" style="186" customWidth="1"/>
    <col min="15382" max="15383" width="12.5546875" style="186" customWidth="1"/>
    <col min="15384" max="15384" width="11.6640625" style="186" bestFit="1" customWidth="1"/>
    <col min="15385" max="15385" width="11.44140625" style="186" bestFit="1" customWidth="1"/>
    <col min="15386" max="15386" width="10.33203125" style="186" bestFit="1" customWidth="1"/>
    <col min="15387" max="15387" width="13.88671875" style="186" bestFit="1" customWidth="1"/>
    <col min="15388" max="15630" width="8.88671875" style="186"/>
    <col min="15631" max="15631" width="56.6640625" style="186" customWidth="1"/>
    <col min="15632" max="15632" width="15.33203125" style="186" customWidth="1"/>
    <col min="15633" max="15633" width="10" style="186" customWidth="1"/>
    <col min="15634" max="15634" width="10.44140625" style="186" customWidth="1"/>
    <col min="15635" max="15635" width="13.5546875" style="186" customWidth="1"/>
    <col min="15636" max="15636" width="11.88671875" style="186" customWidth="1"/>
    <col min="15637" max="15637" width="11.6640625" style="186" customWidth="1"/>
    <col min="15638" max="15639" width="12.5546875" style="186" customWidth="1"/>
    <col min="15640" max="15640" width="11.6640625" style="186" bestFit="1" customWidth="1"/>
    <col min="15641" max="15641" width="11.44140625" style="186" bestFit="1" customWidth="1"/>
    <col min="15642" max="15642" width="10.33203125" style="186" bestFit="1" customWidth="1"/>
    <col min="15643" max="15643" width="13.88671875" style="186" bestFit="1" customWidth="1"/>
    <col min="15644" max="15886" width="8.88671875" style="186"/>
    <col min="15887" max="15887" width="56.6640625" style="186" customWidth="1"/>
    <col min="15888" max="15888" width="15.33203125" style="186" customWidth="1"/>
    <col min="15889" max="15889" width="10" style="186" customWidth="1"/>
    <col min="15890" max="15890" width="10.44140625" style="186" customWidth="1"/>
    <col min="15891" max="15891" width="13.5546875" style="186" customWidth="1"/>
    <col min="15892" max="15892" width="11.88671875" style="186" customWidth="1"/>
    <col min="15893" max="15893" width="11.6640625" style="186" customWidth="1"/>
    <col min="15894" max="15895" width="12.5546875" style="186" customWidth="1"/>
    <col min="15896" max="15896" width="11.6640625" style="186" bestFit="1" customWidth="1"/>
    <col min="15897" max="15897" width="11.44140625" style="186" bestFit="1" customWidth="1"/>
    <col min="15898" max="15898" width="10.33203125" style="186" bestFit="1" customWidth="1"/>
    <col min="15899" max="15899" width="13.88671875" style="186" bestFit="1" customWidth="1"/>
    <col min="15900" max="16142" width="8.88671875" style="186"/>
    <col min="16143" max="16143" width="56.6640625" style="186" customWidth="1"/>
    <col min="16144" max="16144" width="15.33203125" style="186" customWidth="1"/>
    <col min="16145" max="16145" width="10" style="186" customWidth="1"/>
    <col min="16146" max="16146" width="10.44140625" style="186" customWidth="1"/>
    <col min="16147" max="16147" width="13.5546875" style="186" customWidth="1"/>
    <col min="16148" max="16148" width="11.88671875" style="186" customWidth="1"/>
    <col min="16149" max="16149" width="11.6640625" style="186" customWidth="1"/>
    <col min="16150" max="16151" width="12.5546875" style="186" customWidth="1"/>
    <col min="16152" max="16152" width="11.6640625" style="186" bestFit="1" customWidth="1"/>
    <col min="16153" max="16153" width="11.44140625" style="186" bestFit="1" customWidth="1"/>
    <col min="16154" max="16154" width="10.33203125" style="186" bestFit="1" customWidth="1"/>
    <col min="16155" max="16155" width="13.88671875" style="186" bestFit="1" customWidth="1"/>
    <col min="16156" max="16384" width="8.88671875" style="186"/>
  </cols>
  <sheetData>
    <row r="1" spans="1:28">
      <c r="A1" s="260" t="s">
        <v>69</v>
      </c>
      <c r="L1" s="260" t="s">
        <v>971</v>
      </c>
      <c r="O1" s="3073" t="s">
        <v>92</v>
      </c>
      <c r="P1" s="3073"/>
    </row>
    <row r="2" spans="1:28">
      <c r="L2" s="260"/>
      <c r="O2" s="1544"/>
      <c r="P2" s="1544"/>
    </row>
    <row r="3" spans="1:28">
      <c r="A3" s="3073" t="s">
        <v>906</v>
      </c>
      <c r="B3" s="3073"/>
      <c r="C3" s="3073"/>
      <c r="D3" s="3073"/>
      <c r="E3" s="3073"/>
      <c r="F3" s="3073"/>
      <c r="G3" s="3073"/>
      <c r="H3" s="3073"/>
      <c r="I3" s="3073"/>
      <c r="J3" s="3073"/>
      <c r="K3" s="3073"/>
      <c r="L3" s="3073"/>
      <c r="M3" s="3073"/>
      <c r="N3" s="3073"/>
      <c r="O3" s="3073"/>
      <c r="P3" s="3073"/>
      <c r="Q3" s="185"/>
      <c r="R3" s="185"/>
      <c r="S3" s="185"/>
      <c r="T3" s="185"/>
      <c r="U3" s="185"/>
      <c r="V3" s="185"/>
    </row>
    <row r="4" spans="1:28">
      <c r="A4" s="3073" t="s">
        <v>115</v>
      </c>
      <c r="B4" s="3073"/>
      <c r="C4" s="3073"/>
      <c r="D4" s="3073"/>
      <c r="E4" s="3073"/>
      <c r="F4" s="3073"/>
      <c r="G4" s="3073"/>
      <c r="H4" s="3073"/>
      <c r="I4" s="3073"/>
      <c r="J4" s="3073"/>
      <c r="K4" s="3073"/>
      <c r="L4" s="3073"/>
      <c r="M4" s="3073"/>
      <c r="N4" s="3073"/>
      <c r="O4" s="3073"/>
      <c r="P4" s="3073"/>
      <c r="Q4" s="185"/>
      <c r="R4" s="185"/>
      <c r="S4" s="185"/>
      <c r="T4" s="185"/>
      <c r="U4" s="185"/>
      <c r="V4" s="185"/>
    </row>
    <row r="5" spans="1:28">
      <c r="A5" s="3073"/>
      <c r="B5" s="3073"/>
      <c r="C5" s="3073"/>
      <c r="D5" s="3073"/>
      <c r="E5" s="3073"/>
      <c r="F5" s="3073"/>
      <c r="G5" s="3073"/>
      <c r="H5" s="3073"/>
      <c r="I5" s="3073"/>
      <c r="J5" s="3073"/>
      <c r="K5" s="3073"/>
      <c r="L5" s="3073"/>
      <c r="M5" s="3073"/>
      <c r="N5" s="3073"/>
      <c r="O5" s="3073"/>
      <c r="P5" s="3073"/>
      <c r="Q5" s="185"/>
      <c r="R5" s="185"/>
      <c r="S5" s="185"/>
      <c r="T5" s="185"/>
      <c r="U5" s="185"/>
      <c r="V5" s="185"/>
    </row>
    <row r="6" spans="1:28" ht="18" customHeight="1">
      <c r="A6" s="187"/>
      <c r="B6" s="188"/>
      <c r="C6" s="187"/>
      <c r="D6" s="187"/>
      <c r="E6" s="284"/>
      <c r="F6" s="284"/>
      <c r="G6" s="284"/>
      <c r="H6" s="189"/>
      <c r="I6" s="189"/>
      <c r="J6" s="189"/>
      <c r="K6" s="189"/>
      <c r="L6" s="189"/>
      <c r="M6" s="189"/>
      <c r="N6" s="189"/>
      <c r="O6" s="189"/>
      <c r="P6" s="189"/>
      <c r="Q6" s="189"/>
      <c r="R6" s="189"/>
      <c r="S6" s="189"/>
      <c r="T6" s="189"/>
      <c r="U6" s="189"/>
      <c r="V6" s="189"/>
    </row>
    <row r="7" spans="1:28" ht="18" customHeight="1">
      <c r="A7" s="187"/>
      <c r="B7" s="188"/>
      <c r="C7" s="190">
        <f>B6-B7</f>
        <v>0</v>
      </c>
      <c r="D7" s="191" t="e">
        <f>B7/B6%</f>
        <v>#DIV/0!</v>
      </c>
      <c r="E7" s="189"/>
      <c r="F7" s="189"/>
      <c r="G7" s="189"/>
      <c r="H7" s="189"/>
      <c r="I7" s="189"/>
      <c r="J7" s="189"/>
      <c r="K7" s="3081" t="s">
        <v>167</v>
      </c>
      <c r="L7" s="3081"/>
      <c r="M7" s="3081"/>
      <c r="N7" s="3081"/>
      <c r="O7" s="3081"/>
      <c r="P7" s="3081"/>
      <c r="Q7" s="3081"/>
      <c r="R7" s="3081"/>
      <c r="S7" s="3081"/>
      <c r="T7" s="3081"/>
      <c r="U7" s="3081"/>
      <c r="V7" s="3081"/>
      <c r="W7" s="3081"/>
      <c r="X7" s="3081"/>
      <c r="Y7" s="3081"/>
      <c r="Z7" s="3081"/>
      <c r="AA7" s="3081"/>
      <c r="AB7" s="3081"/>
    </row>
    <row r="8" spans="1:28" ht="30.6" customHeight="1">
      <c r="A8" s="3080" t="s">
        <v>116</v>
      </c>
      <c r="B8" s="3067" t="s">
        <v>910</v>
      </c>
      <c r="C8" s="3068"/>
      <c r="D8" s="3068"/>
      <c r="E8" s="3068"/>
      <c r="F8" s="3068"/>
      <c r="G8" s="3069"/>
      <c r="H8" s="3083" t="s">
        <v>909</v>
      </c>
      <c r="I8" s="3083"/>
      <c r="J8" s="3083"/>
      <c r="K8" s="3083"/>
      <c r="L8" s="3083"/>
      <c r="M8" s="1441"/>
      <c r="N8" s="1441"/>
      <c r="O8" s="1441"/>
      <c r="P8" s="1441"/>
      <c r="Q8" s="189"/>
      <c r="R8" s="189"/>
      <c r="S8" s="189"/>
      <c r="T8" s="189"/>
      <c r="U8" s="189"/>
      <c r="V8" s="189"/>
      <c r="AB8" s="3079" t="s">
        <v>948</v>
      </c>
    </row>
    <row r="9" spans="1:28" ht="25.5" customHeight="1">
      <c r="A9" s="3066"/>
      <c r="B9" s="3070"/>
      <c r="C9" s="3071"/>
      <c r="D9" s="3071"/>
      <c r="E9" s="3071"/>
      <c r="F9" s="3071"/>
      <c r="G9" s="3072"/>
      <c r="H9" s="3074" t="s">
        <v>117</v>
      </c>
      <c r="I9" s="3077" t="s">
        <v>118</v>
      </c>
      <c r="J9" s="3077"/>
      <c r="K9" s="3077" t="s">
        <v>119</v>
      </c>
      <c r="L9" s="3077"/>
      <c r="M9" s="3077"/>
      <c r="N9" s="3077"/>
      <c r="O9" s="3077"/>
      <c r="P9" s="3077"/>
      <c r="Q9" s="192"/>
      <c r="R9" s="192"/>
      <c r="S9" s="192"/>
      <c r="T9" s="192"/>
      <c r="U9" s="192"/>
      <c r="V9" s="192"/>
      <c r="AB9" s="3082"/>
    </row>
    <row r="10" spans="1:28" ht="18" customHeight="1">
      <c r="A10" s="3066"/>
      <c r="B10" s="3070"/>
      <c r="C10" s="3071"/>
      <c r="D10" s="3071"/>
      <c r="E10" s="3071"/>
      <c r="F10" s="3071"/>
      <c r="G10" s="3072"/>
      <c r="H10" s="3075"/>
      <c r="I10" s="3065" t="s">
        <v>104</v>
      </c>
      <c r="J10" s="3065" t="s">
        <v>106</v>
      </c>
      <c r="K10" s="3077" t="s">
        <v>120</v>
      </c>
      <c r="L10" s="3078" t="s">
        <v>121</v>
      </c>
      <c r="M10" s="3078" t="s">
        <v>104</v>
      </c>
      <c r="N10" s="3078"/>
      <c r="O10" s="3078" t="s">
        <v>106</v>
      </c>
      <c r="P10" s="3078"/>
      <c r="Q10" s="192"/>
      <c r="R10" s="192"/>
      <c r="S10" s="192"/>
      <c r="T10" s="192"/>
      <c r="U10" s="192"/>
      <c r="V10" s="192"/>
      <c r="Y10" s="193">
        <f>B16+B17+B18+B19+B24+B25+B28+B29+B33+B34+B35+B40+B41+B30</f>
        <v>2597000</v>
      </c>
      <c r="AB10" s="3082"/>
    </row>
    <row r="11" spans="1:28" ht="28.2" customHeight="1">
      <c r="A11" s="3066"/>
      <c r="B11" s="3070"/>
      <c r="C11" s="3071"/>
      <c r="D11" s="3071"/>
      <c r="E11" s="3071"/>
      <c r="F11" s="3071"/>
      <c r="G11" s="3072"/>
      <c r="H11" s="3076"/>
      <c r="I11" s="3066"/>
      <c r="J11" s="3066"/>
      <c r="K11" s="3065"/>
      <c r="L11" s="3079"/>
      <c r="M11" s="1682" t="s">
        <v>120</v>
      </c>
      <c r="N11" s="1682" t="s">
        <v>122</v>
      </c>
      <c r="O11" s="1682" t="s">
        <v>120</v>
      </c>
      <c r="P11" s="1682" t="s">
        <v>122</v>
      </c>
      <c r="Q11" s="192"/>
      <c r="R11" s="192"/>
      <c r="S11" s="192"/>
      <c r="T11" s="192"/>
      <c r="U11" s="192"/>
      <c r="V11" s="192"/>
      <c r="AB11" s="3082"/>
    </row>
    <row r="12" spans="1:28" s="194" customFormat="1" ht="18" customHeight="1">
      <c r="A12" s="1681">
        <v>1</v>
      </c>
      <c r="B12" s="1684">
        <v>2</v>
      </c>
      <c r="C12" s="1681">
        <v>3</v>
      </c>
      <c r="D12" s="1681">
        <v>4</v>
      </c>
      <c r="E12" s="1681">
        <v>3</v>
      </c>
      <c r="F12" s="1681">
        <v>4</v>
      </c>
      <c r="G12" s="1681">
        <v>5</v>
      </c>
      <c r="H12" s="1681">
        <v>3</v>
      </c>
      <c r="I12" s="1681">
        <v>4</v>
      </c>
      <c r="J12" s="1681">
        <v>5</v>
      </c>
      <c r="K12" s="1681" t="s">
        <v>908</v>
      </c>
      <c r="L12" s="1681" t="s">
        <v>907</v>
      </c>
      <c r="M12" s="1681" t="s">
        <v>123</v>
      </c>
      <c r="N12" s="1681" t="s">
        <v>124</v>
      </c>
      <c r="O12" s="1681" t="s">
        <v>125</v>
      </c>
      <c r="P12" s="1681" t="s">
        <v>126</v>
      </c>
      <c r="Q12" s="1681"/>
      <c r="R12" s="1681"/>
      <c r="S12" s="1681"/>
      <c r="T12" s="1681"/>
      <c r="U12" s="1681"/>
      <c r="V12" s="1681"/>
      <c r="W12" s="1685"/>
      <c r="X12" s="1685"/>
      <c r="Y12" s="1685"/>
      <c r="Z12" s="1685"/>
      <c r="AA12" s="1685"/>
      <c r="AB12" s="1685">
        <v>8</v>
      </c>
    </row>
    <row r="13" spans="1:28" ht="25.5" customHeight="1">
      <c r="A13" s="1442" t="s">
        <v>127</v>
      </c>
      <c r="B13" s="1443">
        <f>E13+F13</f>
        <v>3447000</v>
      </c>
      <c r="C13" s="1444"/>
      <c r="D13" s="1444"/>
      <c r="E13" s="1443">
        <f>E16+E17+E18+E19+E24+E25+E28+E29+E30+E33+E34+E35+E40+E41+E42+E43+E46</f>
        <v>2902000</v>
      </c>
      <c r="F13" s="1443">
        <f>F16+F17+F18+F19+F24+F25+F28+F29+F30+F33+F34+F35+F40+F41+F42+F43+F46</f>
        <v>545000</v>
      </c>
      <c r="G13" s="1445">
        <f>B13/W13*100</f>
        <v>119.68749999999999</v>
      </c>
      <c r="H13" s="1686">
        <f>I13+J13</f>
        <v>3771800</v>
      </c>
      <c r="I13" s="1443">
        <f>I16+I17+I18+I19+I24+I25+I28+I29+I30+I33+I34+I35+I40+I41+I42+I43+I46</f>
        <v>3192200</v>
      </c>
      <c r="J13" s="1446">
        <f>J16+J17+J18+J19+J24+J25+J28+J29+J30+J33+J34+J35+J40+J41+J42+J43+J46</f>
        <v>579600</v>
      </c>
      <c r="K13" s="1443">
        <f>H13-B13</f>
        <v>324800</v>
      </c>
      <c r="L13" s="1445">
        <f t="shared" ref="L13:L42" si="0">H13/B13%</f>
        <v>109.42268639396576</v>
      </c>
      <c r="M13" s="1687">
        <f>I13-E13</f>
        <v>290200</v>
      </c>
      <c r="N13" s="195">
        <f>I13/E13%</f>
        <v>110</v>
      </c>
      <c r="O13" s="1687">
        <f>J13-F13</f>
        <v>34600</v>
      </c>
      <c r="P13" s="195">
        <f>J13/F13%</f>
        <v>106.34862385321101</v>
      </c>
      <c r="Q13" s="1688"/>
      <c r="R13" s="195"/>
      <c r="S13" s="195"/>
      <c r="T13" s="195"/>
      <c r="U13" s="195"/>
      <c r="V13" s="195"/>
      <c r="W13" s="1689">
        <f>W16+W17+W19+W24+W25+W28+W29+W30+W33+W34+W35+W40+W41+W18+W42</f>
        <v>2880000</v>
      </c>
      <c r="X13" s="1690"/>
      <c r="Y13" s="1691">
        <f>W13-1057000</f>
        <v>1823000</v>
      </c>
      <c r="Z13" s="1690"/>
      <c r="AA13" s="1690"/>
      <c r="AB13" s="1692"/>
    </row>
    <row r="14" spans="1:28" ht="25.5" customHeight="1">
      <c r="A14" s="200" t="s">
        <v>128</v>
      </c>
      <c r="B14" s="199">
        <f>E14+F14</f>
        <v>3211800</v>
      </c>
      <c r="C14" s="201"/>
      <c r="D14" s="201"/>
      <c r="E14" s="199">
        <f>E13-E54</f>
        <v>2684000</v>
      </c>
      <c r="F14" s="199">
        <f>F13-F54</f>
        <v>527800</v>
      </c>
      <c r="G14" s="198"/>
      <c r="H14" s="196">
        <f>I14+J14</f>
        <v>3456722</v>
      </c>
      <c r="I14" s="199">
        <f>I13-I54</f>
        <v>2894522</v>
      </c>
      <c r="J14" s="199">
        <f>J13-J54</f>
        <v>562200</v>
      </c>
      <c r="K14" s="199">
        <f t="shared" ref="K14:K54" si="1">H14-B14</f>
        <v>244922</v>
      </c>
      <c r="L14" s="198">
        <f t="shared" si="0"/>
        <v>107.62569275795504</v>
      </c>
      <c r="M14" s="196">
        <f t="shared" ref="M14:M46" si="2">I14-E14</f>
        <v>210522</v>
      </c>
      <c r="N14" s="198">
        <f t="shared" ref="N14:N49" si="3">I14/E14%</f>
        <v>107.84359165424739</v>
      </c>
      <c r="O14" s="196">
        <f t="shared" ref="O14:O46" si="4">J14-F14</f>
        <v>34400</v>
      </c>
      <c r="P14" s="198">
        <f t="shared" ref="P14:P41" si="5">J14/F14%</f>
        <v>106.51762031072376</v>
      </c>
      <c r="Q14" s="197"/>
      <c r="R14" s="197"/>
      <c r="S14" s="197"/>
      <c r="T14" s="197"/>
      <c r="U14" s="197"/>
      <c r="V14" s="197"/>
      <c r="W14" s="202"/>
      <c r="Y14" s="193"/>
      <c r="AB14" s="1683"/>
    </row>
    <row r="15" spans="1:28" ht="25.5" customHeight="1">
      <c r="A15" s="203" t="s">
        <v>129</v>
      </c>
      <c r="B15" s="204">
        <f>E15+F15</f>
        <v>2246800</v>
      </c>
      <c r="C15" s="205"/>
      <c r="D15" s="205"/>
      <c r="E15" s="204">
        <f>E14-E40-E42</f>
        <v>1758000</v>
      </c>
      <c r="F15" s="204">
        <f>F14-F40-F42</f>
        <v>488800</v>
      </c>
      <c r="G15" s="195"/>
      <c r="H15" s="206">
        <f>I15+J15</f>
        <v>2356722</v>
      </c>
      <c r="I15" s="204">
        <f>I14-I40-I42</f>
        <v>1847322</v>
      </c>
      <c r="J15" s="204">
        <f>J14-J40-J42</f>
        <v>509400</v>
      </c>
      <c r="K15" s="199">
        <f t="shared" si="1"/>
        <v>109922</v>
      </c>
      <c r="L15" s="198">
        <f t="shared" si="0"/>
        <v>104.89238027416771</v>
      </c>
      <c r="M15" s="196">
        <f t="shared" si="2"/>
        <v>89322</v>
      </c>
      <c r="N15" s="198">
        <f t="shared" si="3"/>
        <v>105.08088737201365</v>
      </c>
      <c r="O15" s="196">
        <f t="shared" si="4"/>
        <v>20600</v>
      </c>
      <c r="P15" s="198">
        <f t="shared" si="5"/>
        <v>104.21440261865794</v>
      </c>
      <c r="Q15" s="197"/>
      <c r="R15" s="197"/>
      <c r="S15" s="197"/>
      <c r="T15" s="197"/>
      <c r="U15" s="197"/>
      <c r="V15" s="197"/>
      <c r="W15" s="202"/>
      <c r="Y15" s="193"/>
      <c r="AB15" s="218"/>
    </row>
    <row r="16" spans="1:28" s="260" customFormat="1" ht="31.5" customHeight="1">
      <c r="A16" s="586" t="s">
        <v>130</v>
      </c>
      <c r="B16" s="584">
        <f t="shared" ref="B16:B42" si="6">E16+F16</f>
        <v>900000</v>
      </c>
      <c r="C16" s="254">
        <f t="shared" ref="C16:C51" si="7">E16/B16</f>
        <v>1</v>
      </c>
      <c r="D16" s="254">
        <f>F16/B16</f>
        <v>0</v>
      </c>
      <c r="E16" s="255">
        <v>900000</v>
      </c>
      <c r="F16" s="255"/>
      <c r="G16" s="256">
        <f t="shared" ref="G16:G25" si="8">B16/W16*100</f>
        <v>123.62637362637363</v>
      </c>
      <c r="H16" s="257">
        <f>I16+J16</f>
        <v>925800</v>
      </c>
      <c r="I16" s="257">
        <f>'Bieu so 02'!D18</f>
        <v>925800</v>
      </c>
      <c r="J16" s="257">
        <v>0</v>
      </c>
      <c r="K16" s="199">
        <f t="shared" si="1"/>
        <v>25800</v>
      </c>
      <c r="L16" s="198">
        <f t="shared" si="0"/>
        <v>102.86666666666666</v>
      </c>
      <c r="M16" s="196">
        <f t="shared" si="2"/>
        <v>25800</v>
      </c>
      <c r="N16" s="198">
        <f t="shared" si="3"/>
        <v>102.86666666666666</v>
      </c>
      <c r="O16" s="196">
        <f t="shared" si="4"/>
        <v>0</v>
      </c>
      <c r="P16" s="198"/>
      <c r="Q16" s="197"/>
      <c r="R16" s="197"/>
      <c r="S16" s="197"/>
      <c r="T16" s="197"/>
      <c r="U16" s="197"/>
      <c r="V16" s="258"/>
      <c r="W16" s="585">
        <v>728000</v>
      </c>
      <c r="Y16" s="260">
        <f>1780000-1800000</f>
        <v>-20000</v>
      </c>
      <c r="AA16" s="587">
        <f>E13-897140</f>
        <v>2004860</v>
      </c>
      <c r="AB16" s="1534">
        <f>H16/$H$13%</f>
        <v>24.545309931597647</v>
      </c>
    </row>
    <row r="17" spans="1:28" s="260" customFormat="1" ht="31.5" customHeight="1">
      <c r="A17" s="586" t="s">
        <v>131</v>
      </c>
      <c r="B17" s="584">
        <f t="shared" si="6"/>
        <v>58000</v>
      </c>
      <c r="C17" s="254">
        <f t="shared" si="7"/>
        <v>1</v>
      </c>
      <c r="D17" s="254">
        <f t="shared" ref="D17:D51" si="9">F17/B17</f>
        <v>0</v>
      </c>
      <c r="E17" s="255">
        <v>58000</v>
      </c>
      <c r="F17" s="255"/>
      <c r="G17" s="256">
        <f t="shared" si="8"/>
        <v>115.99999999999999</v>
      </c>
      <c r="H17" s="257">
        <f t="shared" ref="H17:H50" si="10">I17+J17</f>
        <v>68000</v>
      </c>
      <c r="I17" s="257">
        <f>'Bieu so 02'!D25</f>
        <v>68000</v>
      </c>
      <c r="J17" s="257">
        <v>0</v>
      </c>
      <c r="K17" s="199">
        <f t="shared" si="1"/>
        <v>10000</v>
      </c>
      <c r="L17" s="198">
        <f t="shared" si="0"/>
        <v>117.24137931034483</v>
      </c>
      <c r="M17" s="196">
        <f t="shared" si="2"/>
        <v>10000</v>
      </c>
      <c r="N17" s="198">
        <f t="shared" si="3"/>
        <v>117.24137931034483</v>
      </c>
      <c r="O17" s="196">
        <f t="shared" si="4"/>
        <v>0</v>
      </c>
      <c r="P17" s="198"/>
      <c r="Q17" s="197"/>
      <c r="R17" s="197"/>
      <c r="S17" s="197"/>
      <c r="T17" s="197"/>
      <c r="U17" s="197"/>
      <c r="V17" s="258"/>
      <c r="W17" s="585">
        <v>50000</v>
      </c>
      <c r="AB17" s="1534">
        <f t="shared" ref="AB17:AB19" si="11">H17/$H$13%</f>
        <v>1.8028527493504427</v>
      </c>
    </row>
    <row r="18" spans="1:28" s="260" customFormat="1" ht="31.5" customHeight="1">
      <c r="A18" s="586" t="s">
        <v>132</v>
      </c>
      <c r="B18" s="584">
        <f t="shared" si="6"/>
        <v>155000</v>
      </c>
      <c r="C18" s="254">
        <f t="shared" si="7"/>
        <v>1</v>
      </c>
      <c r="D18" s="254">
        <f t="shared" si="9"/>
        <v>0</v>
      </c>
      <c r="E18" s="255">
        <v>155000</v>
      </c>
      <c r="F18" s="255"/>
      <c r="G18" s="256">
        <f t="shared" si="8"/>
        <v>111.51079136690647</v>
      </c>
      <c r="H18" s="257">
        <f t="shared" si="10"/>
        <v>232000</v>
      </c>
      <c r="I18" s="257">
        <f>'Bieu so 02'!D32</f>
        <v>232000</v>
      </c>
      <c r="J18" s="257">
        <v>0</v>
      </c>
      <c r="K18" s="199">
        <f t="shared" si="1"/>
        <v>77000</v>
      </c>
      <c r="L18" s="198">
        <f t="shared" si="0"/>
        <v>149.67741935483872</v>
      </c>
      <c r="M18" s="196">
        <f t="shared" si="2"/>
        <v>77000</v>
      </c>
      <c r="N18" s="198">
        <f t="shared" si="3"/>
        <v>149.67741935483872</v>
      </c>
      <c r="O18" s="196">
        <f t="shared" si="4"/>
        <v>0</v>
      </c>
      <c r="P18" s="198"/>
      <c r="Q18" s="197"/>
      <c r="R18" s="197"/>
      <c r="S18" s="197"/>
      <c r="T18" s="197"/>
      <c r="U18" s="197"/>
      <c r="V18" s="258"/>
      <c r="W18" s="585">
        <v>139000</v>
      </c>
      <c r="AB18" s="1534">
        <f t="shared" si="11"/>
        <v>6.1509093801368051</v>
      </c>
    </row>
    <row r="19" spans="1:28" s="260" customFormat="1" ht="31.5" customHeight="1">
      <c r="A19" s="252" t="s">
        <v>133</v>
      </c>
      <c r="B19" s="584">
        <f t="shared" si="6"/>
        <v>395000</v>
      </c>
      <c r="C19" s="254">
        <f t="shared" si="7"/>
        <v>0.47399999999999998</v>
      </c>
      <c r="D19" s="254">
        <f t="shared" si="9"/>
        <v>0.52600000000000002</v>
      </c>
      <c r="E19" s="255">
        <v>187230</v>
      </c>
      <c r="F19" s="255">
        <f>'[5]THU HUYEN'!B13</f>
        <v>207770</v>
      </c>
      <c r="G19" s="256">
        <f t="shared" si="8"/>
        <v>98.75</v>
      </c>
      <c r="H19" s="257">
        <f t="shared" si="10"/>
        <v>350000</v>
      </c>
      <c r="I19" s="257">
        <f>SUM(I20:I23)</f>
        <v>112710</v>
      </c>
      <c r="J19" s="257">
        <f>SUM(J20:J23)</f>
        <v>237290</v>
      </c>
      <c r="K19" s="199">
        <f t="shared" si="1"/>
        <v>-45000</v>
      </c>
      <c r="L19" s="198">
        <f t="shared" si="0"/>
        <v>88.607594936708864</v>
      </c>
      <c r="M19" s="196">
        <f t="shared" si="2"/>
        <v>-74520</v>
      </c>
      <c r="N19" s="198">
        <f t="shared" si="3"/>
        <v>60.198686107995513</v>
      </c>
      <c r="O19" s="196">
        <f t="shared" si="4"/>
        <v>29520</v>
      </c>
      <c r="P19" s="198">
        <f t="shared" si="5"/>
        <v>114.20801848197527</v>
      </c>
      <c r="Q19" s="197"/>
      <c r="R19" s="197"/>
      <c r="S19" s="197"/>
      <c r="T19" s="197"/>
      <c r="U19" s="197"/>
      <c r="V19" s="258"/>
      <c r="W19" s="585">
        <v>400000</v>
      </c>
      <c r="AB19" s="1534">
        <f t="shared" si="11"/>
        <v>9.2793891510684556</v>
      </c>
    </row>
    <row r="20" spans="1:28" s="227" customFormat="1" ht="19.5" customHeight="1">
      <c r="A20" s="219" t="s">
        <v>134</v>
      </c>
      <c r="B20" s="220">
        <f t="shared" si="6"/>
        <v>80000</v>
      </c>
      <c r="C20" s="221">
        <f t="shared" si="7"/>
        <v>0.73562499999999997</v>
      </c>
      <c r="D20" s="221">
        <f t="shared" si="9"/>
        <v>0.26437500000000003</v>
      </c>
      <c r="E20" s="222">
        <v>58850</v>
      </c>
      <c r="F20" s="222">
        <f>'[5]THU HUYEN'!B14</f>
        <v>21150</v>
      </c>
      <c r="G20" s="223">
        <f t="shared" si="8"/>
        <v>117.13030746705711</v>
      </c>
      <c r="H20" s="211">
        <f t="shared" si="10"/>
        <v>75000</v>
      </c>
      <c r="I20" s="224">
        <f>'Bieu so 02'!D42</f>
        <v>54125</v>
      </c>
      <c r="J20" s="224">
        <f>'Bieu so 02'!E42</f>
        <v>20875</v>
      </c>
      <c r="K20" s="212">
        <f t="shared" si="1"/>
        <v>-5000</v>
      </c>
      <c r="L20" s="213">
        <f t="shared" si="0"/>
        <v>93.75</v>
      </c>
      <c r="M20" s="214">
        <f t="shared" si="2"/>
        <v>-4725</v>
      </c>
      <c r="N20" s="213">
        <f t="shared" si="3"/>
        <v>91.971112999150378</v>
      </c>
      <c r="O20" s="214">
        <f t="shared" si="4"/>
        <v>-275</v>
      </c>
      <c r="P20" s="213">
        <f t="shared" si="5"/>
        <v>98.699763593380609</v>
      </c>
      <c r="Q20" s="215"/>
      <c r="R20" s="215"/>
      <c r="S20" s="215"/>
      <c r="T20" s="215"/>
      <c r="U20" s="215"/>
      <c r="V20" s="225"/>
      <c r="W20" s="226">
        <v>68300</v>
      </c>
      <c r="AB20" s="1532"/>
    </row>
    <row r="21" spans="1:28" s="227" customFormat="1" ht="19.5" customHeight="1">
      <c r="A21" s="219" t="s">
        <v>135</v>
      </c>
      <c r="B21" s="220">
        <f t="shared" si="6"/>
        <v>3000</v>
      </c>
      <c r="C21" s="221">
        <f t="shared" si="7"/>
        <v>0.88666666666666671</v>
      </c>
      <c r="D21" s="221">
        <f t="shared" si="9"/>
        <v>0.11333333333333333</v>
      </c>
      <c r="E21" s="222">
        <v>2660</v>
      </c>
      <c r="F21" s="222">
        <f>'[5]THU HUYEN'!B15</f>
        <v>340</v>
      </c>
      <c r="G21" s="223">
        <f t="shared" si="8"/>
        <v>81.081081081081081</v>
      </c>
      <c r="H21" s="211">
        <f t="shared" si="10"/>
        <v>4300</v>
      </c>
      <c r="I21" s="224">
        <f>'Bieu so 02'!D43</f>
        <v>2893</v>
      </c>
      <c r="J21" s="224">
        <f>'Bieu so 02'!E43</f>
        <v>1407</v>
      </c>
      <c r="K21" s="212">
        <f t="shared" si="1"/>
        <v>1300</v>
      </c>
      <c r="L21" s="213">
        <f t="shared" si="0"/>
        <v>143.33333333333334</v>
      </c>
      <c r="M21" s="214">
        <f t="shared" si="2"/>
        <v>233</v>
      </c>
      <c r="N21" s="213">
        <f t="shared" si="3"/>
        <v>108.75939849624059</v>
      </c>
      <c r="O21" s="214">
        <f t="shared" si="4"/>
        <v>1067</v>
      </c>
      <c r="P21" s="213">
        <f t="shared" si="5"/>
        <v>413.8235294117647</v>
      </c>
      <c r="Q21" s="215"/>
      <c r="R21" s="215"/>
      <c r="S21" s="215"/>
      <c r="T21" s="215"/>
      <c r="U21" s="215"/>
      <c r="V21" s="225"/>
      <c r="W21" s="226">
        <v>3700</v>
      </c>
      <c r="AB21" s="1532"/>
    </row>
    <row r="22" spans="1:28" s="227" customFormat="1" ht="19.5" customHeight="1">
      <c r="A22" s="219" t="s">
        <v>136</v>
      </c>
      <c r="B22" s="220">
        <f t="shared" si="6"/>
        <v>308000</v>
      </c>
      <c r="C22" s="221">
        <f t="shared" si="7"/>
        <v>0.40574675324675324</v>
      </c>
      <c r="D22" s="221">
        <f t="shared" si="9"/>
        <v>0.59425324675324676</v>
      </c>
      <c r="E22" s="222">
        <v>124970</v>
      </c>
      <c r="F22" s="222">
        <f>'[5]THU HUYEN'!B16</f>
        <v>183030</v>
      </c>
      <c r="G22" s="223">
        <f t="shared" si="8"/>
        <v>95.950155763239877</v>
      </c>
      <c r="H22" s="211">
        <f t="shared" si="10"/>
        <v>266700</v>
      </c>
      <c r="I22" s="224">
        <f>'Bieu so 02'!D40</f>
        <v>54812</v>
      </c>
      <c r="J22" s="224">
        <f>'Bieu so 02'!E40</f>
        <v>211888</v>
      </c>
      <c r="K22" s="212">
        <f t="shared" si="1"/>
        <v>-41300</v>
      </c>
      <c r="L22" s="213">
        <f t="shared" si="0"/>
        <v>86.590909090909093</v>
      </c>
      <c r="M22" s="214">
        <f t="shared" si="2"/>
        <v>-70158</v>
      </c>
      <c r="N22" s="213">
        <f t="shared" si="3"/>
        <v>43.860126430343279</v>
      </c>
      <c r="O22" s="214">
        <f t="shared" si="4"/>
        <v>28858</v>
      </c>
      <c r="P22" s="213">
        <f t="shared" si="5"/>
        <v>115.76681418346719</v>
      </c>
      <c r="Q22" s="215"/>
      <c r="R22" s="215"/>
      <c r="S22" s="215"/>
      <c r="T22" s="215"/>
      <c r="U22" s="215"/>
      <c r="V22" s="225"/>
      <c r="W22" s="226">
        <v>321000</v>
      </c>
      <c r="AB22" s="1532"/>
    </row>
    <row r="23" spans="1:28" s="227" customFormat="1" ht="19.5" customHeight="1">
      <c r="A23" s="219" t="s">
        <v>137</v>
      </c>
      <c r="B23" s="220">
        <f t="shared" si="6"/>
        <v>4000</v>
      </c>
      <c r="C23" s="221">
        <f t="shared" si="7"/>
        <v>0.1875</v>
      </c>
      <c r="D23" s="221">
        <f t="shared" si="9"/>
        <v>0.8125</v>
      </c>
      <c r="E23" s="222">
        <v>750</v>
      </c>
      <c r="F23" s="222">
        <f>'[5]THU HUYEN'!B17</f>
        <v>3250</v>
      </c>
      <c r="G23" s="223">
        <f t="shared" si="8"/>
        <v>80</v>
      </c>
      <c r="H23" s="211">
        <f t="shared" si="10"/>
        <v>4000</v>
      </c>
      <c r="I23" s="224">
        <f>'Bieu so 02'!D41</f>
        <v>880</v>
      </c>
      <c r="J23" s="224">
        <f>'Bieu so 02'!E41</f>
        <v>3120</v>
      </c>
      <c r="K23" s="212">
        <f t="shared" si="1"/>
        <v>0</v>
      </c>
      <c r="L23" s="213">
        <f t="shared" si="0"/>
        <v>100</v>
      </c>
      <c r="M23" s="214">
        <f t="shared" si="2"/>
        <v>130</v>
      </c>
      <c r="N23" s="213">
        <f t="shared" si="3"/>
        <v>117.33333333333333</v>
      </c>
      <c r="O23" s="214">
        <f t="shared" si="4"/>
        <v>-130</v>
      </c>
      <c r="P23" s="213">
        <f t="shared" si="5"/>
        <v>96</v>
      </c>
      <c r="Q23" s="215"/>
      <c r="R23" s="215"/>
      <c r="S23" s="215"/>
      <c r="T23" s="215"/>
      <c r="U23" s="215"/>
      <c r="V23" s="225"/>
      <c r="W23" s="226">
        <v>5000</v>
      </c>
      <c r="AB23" s="1532"/>
    </row>
    <row r="24" spans="1:28" s="260" customFormat="1" ht="31.5" customHeight="1">
      <c r="A24" s="252" t="s">
        <v>138</v>
      </c>
      <c r="B24" s="584">
        <f t="shared" si="6"/>
        <v>125000</v>
      </c>
      <c r="C24" s="254">
        <f t="shared" si="7"/>
        <v>0</v>
      </c>
      <c r="D24" s="254">
        <f t="shared" si="9"/>
        <v>1</v>
      </c>
      <c r="E24" s="255"/>
      <c r="F24" s="255">
        <f>'[5]THU HUYEN'!B18</f>
        <v>125000</v>
      </c>
      <c r="G24" s="256">
        <f t="shared" si="8"/>
        <v>131.57894736842107</v>
      </c>
      <c r="H24" s="257">
        <f t="shared" si="10"/>
        <v>115000</v>
      </c>
      <c r="I24" s="258">
        <f>'Bieu so 02'!D62</f>
        <v>0</v>
      </c>
      <c r="J24" s="257">
        <f>'Bieu so 02'!E62</f>
        <v>115000</v>
      </c>
      <c r="K24" s="199">
        <f t="shared" si="1"/>
        <v>-10000</v>
      </c>
      <c r="L24" s="198">
        <f t="shared" si="0"/>
        <v>92</v>
      </c>
      <c r="M24" s="196">
        <f t="shared" si="2"/>
        <v>0</v>
      </c>
      <c r="N24" s="198"/>
      <c r="O24" s="196">
        <f t="shared" si="4"/>
        <v>-10000</v>
      </c>
      <c r="P24" s="198">
        <f t="shared" si="5"/>
        <v>92</v>
      </c>
      <c r="Q24" s="197"/>
      <c r="R24" s="197"/>
      <c r="S24" s="197"/>
      <c r="T24" s="197"/>
      <c r="U24" s="197"/>
      <c r="V24" s="258"/>
      <c r="W24" s="585">
        <v>95000</v>
      </c>
      <c r="Z24" s="260">
        <f>1780000+3975963+31000+952204</f>
        <v>6739167</v>
      </c>
      <c r="AB24" s="1534">
        <f t="shared" ref="AB24:AB25" si="12">H24/$H$13%</f>
        <v>3.0489421496367783</v>
      </c>
    </row>
    <row r="25" spans="1:28" s="260" customFormat="1" ht="31.5" customHeight="1">
      <c r="A25" s="252" t="s">
        <v>139</v>
      </c>
      <c r="B25" s="584">
        <f t="shared" si="6"/>
        <v>270000</v>
      </c>
      <c r="C25" s="254">
        <f t="shared" si="7"/>
        <v>1</v>
      </c>
      <c r="D25" s="254">
        <f t="shared" si="9"/>
        <v>0</v>
      </c>
      <c r="E25" s="255">
        <v>270000</v>
      </c>
      <c r="F25" s="255">
        <f>'[5]THU HUYEN'!B25</f>
        <v>0</v>
      </c>
      <c r="G25" s="256">
        <f t="shared" si="8"/>
        <v>117.39130434782609</v>
      </c>
      <c r="H25" s="257">
        <f t="shared" si="10"/>
        <v>366000</v>
      </c>
      <c r="I25" s="257">
        <f>SUM(I26:I27)</f>
        <v>366000</v>
      </c>
      <c r="J25" s="257">
        <f>SUM(J26:J27)</f>
        <v>0</v>
      </c>
      <c r="K25" s="199">
        <f t="shared" si="1"/>
        <v>96000</v>
      </c>
      <c r="L25" s="198">
        <f t="shared" si="0"/>
        <v>135.55555555555554</v>
      </c>
      <c r="M25" s="196">
        <f t="shared" si="2"/>
        <v>96000</v>
      </c>
      <c r="N25" s="198">
        <f t="shared" si="3"/>
        <v>135.55555555555554</v>
      </c>
      <c r="O25" s="196">
        <f t="shared" si="4"/>
        <v>0</v>
      </c>
      <c r="P25" s="198"/>
      <c r="Q25" s="197"/>
      <c r="R25" s="197"/>
      <c r="S25" s="197"/>
      <c r="T25" s="197"/>
      <c r="U25" s="197"/>
      <c r="V25" s="258"/>
      <c r="W25" s="585">
        <v>230000</v>
      </c>
      <c r="AB25" s="1534">
        <f t="shared" si="12"/>
        <v>9.7035897979744412</v>
      </c>
    </row>
    <row r="26" spans="1:28" ht="31.5" customHeight="1">
      <c r="A26" s="228" t="s">
        <v>140</v>
      </c>
      <c r="B26" s="229">
        <f t="shared" si="6"/>
        <v>169600</v>
      </c>
      <c r="C26" s="230"/>
      <c r="D26" s="230"/>
      <c r="E26" s="231">
        <v>169600</v>
      </c>
      <c r="F26" s="231"/>
      <c r="G26" s="232"/>
      <c r="H26" s="233">
        <f t="shared" si="10"/>
        <v>229800</v>
      </c>
      <c r="I26" s="233">
        <f>'Bieu so 02'!D60</f>
        <v>229800</v>
      </c>
      <c r="J26" s="233">
        <f>'Bieu so 02'!E60</f>
        <v>0</v>
      </c>
      <c r="K26" s="212">
        <f t="shared" si="1"/>
        <v>60200</v>
      </c>
      <c r="L26" s="213">
        <f t="shared" si="0"/>
        <v>135.49528301886792</v>
      </c>
      <c r="M26" s="214">
        <f t="shared" si="2"/>
        <v>60200</v>
      </c>
      <c r="N26" s="213">
        <f t="shared" si="3"/>
        <v>135.49528301886792</v>
      </c>
      <c r="O26" s="214">
        <f t="shared" si="4"/>
        <v>0</v>
      </c>
      <c r="P26" s="213"/>
      <c r="Q26" s="215"/>
      <c r="R26" s="215"/>
      <c r="S26" s="215"/>
      <c r="T26" s="215"/>
      <c r="U26" s="215"/>
      <c r="V26" s="216"/>
      <c r="W26" s="217"/>
      <c r="AB26" s="218"/>
    </row>
    <row r="27" spans="1:28" ht="31.5" customHeight="1">
      <c r="A27" s="234" t="s">
        <v>141</v>
      </c>
      <c r="B27" s="207">
        <f t="shared" si="6"/>
        <v>100400</v>
      </c>
      <c r="C27" s="208"/>
      <c r="D27" s="208"/>
      <c r="E27" s="209">
        <v>100400</v>
      </c>
      <c r="F27" s="209"/>
      <c r="G27" s="210"/>
      <c r="H27" s="211">
        <f t="shared" si="10"/>
        <v>136200</v>
      </c>
      <c r="I27" s="211">
        <f>'Bieu so 02'!D61</f>
        <v>136200</v>
      </c>
      <c r="J27" s="211">
        <f>'Bieu so 02'!E61</f>
        <v>0</v>
      </c>
      <c r="K27" s="212">
        <f t="shared" si="1"/>
        <v>35800</v>
      </c>
      <c r="L27" s="213">
        <f t="shared" si="0"/>
        <v>135.65737051792829</v>
      </c>
      <c r="M27" s="214">
        <f t="shared" si="2"/>
        <v>35800</v>
      </c>
      <c r="N27" s="213">
        <f t="shared" si="3"/>
        <v>135.65737051792829</v>
      </c>
      <c r="O27" s="214">
        <f t="shared" si="4"/>
        <v>0</v>
      </c>
      <c r="P27" s="213"/>
      <c r="Q27" s="215"/>
      <c r="R27" s="215"/>
      <c r="S27" s="215"/>
      <c r="T27" s="215"/>
      <c r="U27" s="215"/>
      <c r="V27" s="216"/>
      <c r="W27" s="217"/>
      <c r="AB27" s="218"/>
    </row>
    <row r="28" spans="1:28" ht="31.5" customHeight="1">
      <c r="A28" s="218" t="s">
        <v>142</v>
      </c>
      <c r="B28" s="207">
        <f t="shared" si="6"/>
        <v>6000</v>
      </c>
      <c r="C28" s="208">
        <f t="shared" si="7"/>
        <v>0</v>
      </c>
      <c r="D28" s="208">
        <f t="shared" si="9"/>
        <v>1</v>
      </c>
      <c r="E28" s="209"/>
      <c r="F28" s="209">
        <f>'[5]THU HUYEN'!B20</f>
        <v>6000</v>
      </c>
      <c r="G28" s="210">
        <f t="shared" ref="G28:G35" si="13">B28/W28*100</f>
        <v>100</v>
      </c>
      <c r="H28" s="211">
        <f t="shared" si="10"/>
        <v>5100</v>
      </c>
      <c r="I28" s="216">
        <f>'Bieu so 02'!D68</f>
        <v>0</v>
      </c>
      <c r="J28" s="211">
        <f>'Bieu so 02'!E68</f>
        <v>5100</v>
      </c>
      <c r="K28" s="212">
        <f t="shared" si="1"/>
        <v>-900</v>
      </c>
      <c r="L28" s="213">
        <f t="shared" si="0"/>
        <v>85</v>
      </c>
      <c r="M28" s="214">
        <f t="shared" si="2"/>
        <v>0</v>
      </c>
      <c r="N28" s="213" t="e">
        <f t="shared" si="3"/>
        <v>#DIV/0!</v>
      </c>
      <c r="O28" s="214">
        <f t="shared" si="4"/>
        <v>-900</v>
      </c>
      <c r="P28" s="213">
        <f t="shared" si="5"/>
        <v>85</v>
      </c>
      <c r="Q28" s="215"/>
      <c r="R28" s="215"/>
      <c r="S28" s="215"/>
      <c r="T28" s="215"/>
      <c r="U28" s="215"/>
      <c r="V28" s="216"/>
      <c r="W28" s="235">
        <v>6000</v>
      </c>
      <c r="AB28" s="1838">
        <f t="shared" ref="AB28:AB30" si="14">H28/$H$13%</f>
        <v>0.13521395620128321</v>
      </c>
    </row>
    <row r="29" spans="1:28" ht="31.5" customHeight="1">
      <c r="A29" s="218" t="s">
        <v>143</v>
      </c>
      <c r="B29" s="207">
        <f t="shared" si="6"/>
        <v>270000</v>
      </c>
      <c r="C29" s="208">
        <f t="shared" si="7"/>
        <v>0.6468518518518519</v>
      </c>
      <c r="D29" s="208">
        <f t="shared" si="9"/>
        <v>0.35314814814814816</v>
      </c>
      <c r="E29" s="209">
        <v>174650</v>
      </c>
      <c r="F29" s="209">
        <f>'[5]THU HUYEN'!B21</f>
        <v>95350</v>
      </c>
      <c r="G29" s="210">
        <f t="shared" si="13"/>
        <v>135</v>
      </c>
      <c r="H29" s="211">
        <f t="shared" si="10"/>
        <v>335000</v>
      </c>
      <c r="I29" s="211">
        <f>'Bieu so 02'!D58</f>
        <v>232200</v>
      </c>
      <c r="J29" s="211">
        <f>'Bieu so 02'!E58</f>
        <v>102800</v>
      </c>
      <c r="K29" s="212">
        <f t="shared" si="1"/>
        <v>65000</v>
      </c>
      <c r="L29" s="213">
        <f t="shared" si="0"/>
        <v>124.07407407407408</v>
      </c>
      <c r="M29" s="214">
        <f t="shared" si="2"/>
        <v>57550</v>
      </c>
      <c r="N29" s="213">
        <f t="shared" si="3"/>
        <v>132.9516175207558</v>
      </c>
      <c r="O29" s="214">
        <f t="shared" si="4"/>
        <v>7450</v>
      </c>
      <c r="P29" s="213">
        <f t="shared" si="5"/>
        <v>107.81331934976403</v>
      </c>
      <c r="Q29" s="215"/>
      <c r="R29" s="215"/>
      <c r="S29" s="215"/>
      <c r="T29" s="215"/>
      <c r="U29" s="215"/>
      <c r="V29" s="216"/>
      <c r="W29" s="235">
        <v>200000</v>
      </c>
      <c r="AB29" s="1838">
        <f t="shared" si="14"/>
        <v>8.8817010445940934</v>
      </c>
    </row>
    <row r="30" spans="1:28" ht="34.5" customHeight="1">
      <c r="A30" s="218" t="s">
        <v>144</v>
      </c>
      <c r="B30" s="207">
        <f t="shared" si="6"/>
        <v>90000</v>
      </c>
      <c r="C30" s="208">
        <f t="shared" si="7"/>
        <v>0.72555555555555551</v>
      </c>
      <c r="D30" s="208">
        <f t="shared" si="9"/>
        <v>0.27444444444444444</v>
      </c>
      <c r="E30" s="209">
        <v>65300</v>
      </c>
      <c r="F30" s="209">
        <f>'[5]THU HUYEN'!B22</f>
        <v>24700</v>
      </c>
      <c r="G30" s="210">
        <f t="shared" si="13"/>
        <v>180</v>
      </c>
      <c r="H30" s="211">
        <f t="shared" si="10"/>
        <v>85000</v>
      </c>
      <c r="I30" s="211">
        <f>SUM(I31:I32)</f>
        <v>58500</v>
      </c>
      <c r="J30" s="211">
        <f>SUM(J31:J32)</f>
        <v>26500</v>
      </c>
      <c r="K30" s="212">
        <f t="shared" si="1"/>
        <v>-5000</v>
      </c>
      <c r="L30" s="213">
        <f t="shared" si="0"/>
        <v>94.444444444444443</v>
      </c>
      <c r="M30" s="214">
        <f t="shared" si="2"/>
        <v>-6800</v>
      </c>
      <c r="N30" s="213">
        <f t="shared" si="3"/>
        <v>89.586523736600313</v>
      </c>
      <c r="O30" s="214">
        <f t="shared" si="4"/>
        <v>1800</v>
      </c>
      <c r="P30" s="213">
        <f t="shared" si="5"/>
        <v>107.28744939271255</v>
      </c>
      <c r="Q30" s="215"/>
      <c r="R30" s="215"/>
      <c r="S30" s="215"/>
      <c r="T30" s="215"/>
      <c r="U30" s="215"/>
      <c r="V30" s="216"/>
      <c r="W30" s="217">
        <v>50000</v>
      </c>
      <c r="AB30" s="1838">
        <f t="shared" si="14"/>
        <v>2.2535659366880534</v>
      </c>
    </row>
    <row r="31" spans="1:28" s="227" customFormat="1" ht="34.5" customHeight="1">
      <c r="A31" s="590" t="s">
        <v>145</v>
      </c>
      <c r="B31" s="237">
        <v>22000</v>
      </c>
      <c r="C31" s="238"/>
      <c r="D31" s="238">
        <f t="shared" si="9"/>
        <v>0</v>
      </c>
      <c r="E31" s="239">
        <v>22000</v>
      </c>
      <c r="F31" s="239"/>
      <c r="G31" s="240">
        <f t="shared" si="13"/>
        <v>146.66666666666666</v>
      </c>
      <c r="H31" s="233">
        <f t="shared" si="10"/>
        <v>34000</v>
      </c>
      <c r="I31" s="241">
        <f>'Bieu so 02'!D65</f>
        <v>34000</v>
      </c>
      <c r="J31" s="241">
        <f>'Bieu so 02'!E65</f>
        <v>0</v>
      </c>
      <c r="K31" s="212">
        <f t="shared" si="1"/>
        <v>12000</v>
      </c>
      <c r="L31" s="213">
        <f t="shared" si="0"/>
        <v>154.54545454545453</v>
      </c>
      <c r="M31" s="214">
        <f t="shared" si="2"/>
        <v>12000</v>
      </c>
      <c r="N31" s="213">
        <f t="shared" si="3"/>
        <v>154.54545454545453</v>
      </c>
      <c r="O31" s="214">
        <f t="shared" si="4"/>
        <v>0</v>
      </c>
      <c r="P31" s="213"/>
      <c r="Q31" s="215"/>
      <c r="R31" s="215"/>
      <c r="S31" s="215"/>
      <c r="T31" s="215"/>
      <c r="U31" s="215"/>
      <c r="V31" s="225"/>
      <c r="W31" s="242">
        <v>15000</v>
      </c>
      <c r="AA31" s="243">
        <f>1780000-1728850</f>
        <v>51150</v>
      </c>
      <c r="AB31" s="1532"/>
    </row>
    <row r="32" spans="1:28" s="227" customFormat="1" ht="34.5" customHeight="1">
      <c r="A32" s="236" t="s">
        <v>146</v>
      </c>
      <c r="B32" s="220">
        <v>68000</v>
      </c>
      <c r="C32" s="221">
        <f t="shared" si="7"/>
        <v>0.6367647058823529</v>
      </c>
      <c r="D32" s="221">
        <f t="shared" si="9"/>
        <v>0.36323529411764705</v>
      </c>
      <c r="E32" s="222">
        <v>43300</v>
      </c>
      <c r="F32" s="222">
        <v>24700</v>
      </c>
      <c r="G32" s="223">
        <f t="shared" si="13"/>
        <v>194.28571428571428</v>
      </c>
      <c r="H32" s="211">
        <f t="shared" si="10"/>
        <v>51000</v>
      </c>
      <c r="I32" s="224">
        <f>'Bieu so 02'!D66</f>
        <v>24500</v>
      </c>
      <c r="J32" s="224">
        <f>'Bieu so 02'!E66</f>
        <v>26500</v>
      </c>
      <c r="K32" s="212">
        <f t="shared" si="1"/>
        <v>-17000</v>
      </c>
      <c r="L32" s="213">
        <f t="shared" si="0"/>
        <v>75</v>
      </c>
      <c r="M32" s="214">
        <f t="shared" si="2"/>
        <v>-18800</v>
      </c>
      <c r="N32" s="213">
        <f t="shared" si="3"/>
        <v>56.581986143187066</v>
      </c>
      <c r="O32" s="214">
        <f t="shared" si="4"/>
        <v>1800</v>
      </c>
      <c r="P32" s="213">
        <f t="shared" si="5"/>
        <v>107.28744939271255</v>
      </c>
      <c r="Q32" s="215"/>
      <c r="R32" s="215"/>
      <c r="S32" s="215"/>
      <c r="T32" s="215"/>
      <c r="U32" s="215"/>
      <c r="V32" s="225"/>
      <c r="W32" s="242">
        <v>35000</v>
      </c>
      <c r="AB32" s="1532"/>
    </row>
    <row r="33" spans="1:28" ht="34.5" customHeight="1">
      <c r="A33" s="218" t="s">
        <v>147</v>
      </c>
      <c r="B33" s="207">
        <f t="shared" si="6"/>
        <v>23000</v>
      </c>
      <c r="C33" s="208">
        <f t="shared" si="7"/>
        <v>0.99130434782608701</v>
      </c>
      <c r="D33" s="208">
        <f t="shared" si="9"/>
        <v>8.6956521739130436E-3</v>
      </c>
      <c r="E33" s="209">
        <v>22800</v>
      </c>
      <c r="F33" s="209">
        <f>'[5]THU HUYEN'!B26</f>
        <v>200</v>
      </c>
      <c r="G33" s="210">
        <f t="shared" si="13"/>
        <v>127.77777777777777</v>
      </c>
      <c r="H33" s="211">
        <f t="shared" si="10"/>
        <v>28000</v>
      </c>
      <c r="I33" s="211">
        <f>'Bieu so 02'!D69</f>
        <v>27380</v>
      </c>
      <c r="J33" s="211">
        <f>'Bieu so 02'!E69</f>
        <v>620</v>
      </c>
      <c r="K33" s="212">
        <f t="shared" si="1"/>
        <v>5000</v>
      </c>
      <c r="L33" s="213">
        <f t="shared" si="0"/>
        <v>121.73913043478261</v>
      </c>
      <c r="M33" s="214">
        <f t="shared" si="2"/>
        <v>4580</v>
      </c>
      <c r="N33" s="213">
        <f t="shared" si="3"/>
        <v>120.08771929824562</v>
      </c>
      <c r="O33" s="214">
        <f t="shared" si="4"/>
        <v>420</v>
      </c>
      <c r="P33" s="213">
        <f t="shared" si="5"/>
        <v>310</v>
      </c>
      <c r="Q33" s="215"/>
      <c r="R33" s="215"/>
      <c r="S33" s="215"/>
      <c r="T33" s="215"/>
      <c r="U33" s="215"/>
      <c r="V33" s="216"/>
      <c r="W33" s="217">
        <v>18000</v>
      </c>
      <c r="AA33" s="244">
        <f>B61</f>
        <v>0</v>
      </c>
      <c r="AB33" s="1838">
        <f t="shared" ref="AB33:AB35" si="15">H33/$H$13%</f>
        <v>0.74235113208547643</v>
      </c>
    </row>
    <row r="34" spans="1:28" ht="34.5" customHeight="1">
      <c r="A34" s="218" t="s">
        <v>148</v>
      </c>
      <c r="B34" s="207">
        <f t="shared" si="6"/>
        <v>1000</v>
      </c>
      <c r="C34" s="208">
        <f t="shared" si="7"/>
        <v>0.62</v>
      </c>
      <c r="D34" s="208">
        <f t="shared" si="9"/>
        <v>0.38</v>
      </c>
      <c r="E34" s="209">
        <v>620</v>
      </c>
      <c r="F34" s="209">
        <f>'[5]THU HUYEN'!B27</f>
        <v>380</v>
      </c>
      <c r="G34" s="210">
        <f t="shared" si="13"/>
        <v>200</v>
      </c>
      <c r="H34" s="211">
        <f t="shared" si="10"/>
        <v>500</v>
      </c>
      <c r="I34" s="211">
        <f>'Bieu so 02'!D71</f>
        <v>120</v>
      </c>
      <c r="J34" s="211">
        <f>'Bieu so 02'!E71</f>
        <v>380</v>
      </c>
      <c r="K34" s="212">
        <f t="shared" si="1"/>
        <v>-500</v>
      </c>
      <c r="L34" s="213">
        <f t="shared" si="0"/>
        <v>50</v>
      </c>
      <c r="M34" s="214">
        <f t="shared" si="2"/>
        <v>-500</v>
      </c>
      <c r="N34" s="213">
        <f t="shared" si="3"/>
        <v>19.35483870967742</v>
      </c>
      <c r="O34" s="214">
        <f t="shared" si="4"/>
        <v>0</v>
      </c>
      <c r="P34" s="213">
        <f t="shared" si="5"/>
        <v>100</v>
      </c>
      <c r="Q34" s="215"/>
      <c r="R34" s="215"/>
      <c r="S34" s="215"/>
      <c r="T34" s="215"/>
      <c r="U34" s="215"/>
      <c r="V34" s="216"/>
      <c r="W34" s="217">
        <v>500</v>
      </c>
      <c r="AA34" s="245">
        <f>AA31-AA33</f>
        <v>51150</v>
      </c>
      <c r="AB34" s="1838">
        <f t="shared" si="15"/>
        <v>1.3256270215812079E-2</v>
      </c>
    </row>
    <row r="35" spans="1:28" ht="34.5" customHeight="1">
      <c r="A35" s="218" t="s">
        <v>149</v>
      </c>
      <c r="B35" s="207">
        <f t="shared" si="6"/>
        <v>185000</v>
      </c>
      <c r="C35" s="208">
        <f t="shared" si="7"/>
        <v>0.76972972972972975</v>
      </c>
      <c r="D35" s="208">
        <f t="shared" si="9"/>
        <v>0.23027027027027028</v>
      </c>
      <c r="E35" s="209">
        <v>142400</v>
      </c>
      <c r="F35" s="209">
        <f>'[5]THU HUYEN'!B28</f>
        <v>42600</v>
      </c>
      <c r="G35" s="210">
        <f t="shared" si="13"/>
        <v>123.33333333333334</v>
      </c>
      <c r="H35" s="211">
        <f t="shared" si="10"/>
        <v>155000</v>
      </c>
      <c r="I35" s="211">
        <f>SUM(I36:I39)</f>
        <v>116000</v>
      </c>
      <c r="J35" s="211">
        <f>SUM(J36:J39)</f>
        <v>39000</v>
      </c>
      <c r="K35" s="212">
        <f t="shared" si="1"/>
        <v>-30000</v>
      </c>
      <c r="L35" s="213">
        <f t="shared" si="0"/>
        <v>83.78378378378379</v>
      </c>
      <c r="M35" s="214">
        <f t="shared" si="2"/>
        <v>-26400</v>
      </c>
      <c r="N35" s="213">
        <f t="shared" si="3"/>
        <v>81.460674157303373</v>
      </c>
      <c r="O35" s="214">
        <f t="shared" si="4"/>
        <v>-3600</v>
      </c>
      <c r="P35" s="213">
        <f t="shared" si="5"/>
        <v>91.549295774647888</v>
      </c>
      <c r="Q35" s="215"/>
      <c r="R35" s="215"/>
      <c r="S35" s="215"/>
      <c r="T35" s="215"/>
      <c r="U35" s="215"/>
      <c r="V35" s="216"/>
      <c r="W35" s="217">
        <v>150000</v>
      </c>
      <c r="AB35" s="1838">
        <f t="shared" si="15"/>
        <v>4.1094437669017445</v>
      </c>
    </row>
    <row r="36" spans="1:28" ht="34.5" customHeight="1">
      <c r="A36" s="246" t="s">
        <v>150</v>
      </c>
      <c r="B36" s="207">
        <v>141400</v>
      </c>
      <c r="C36" s="208"/>
      <c r="D36" s="208"/>
      <c r="E36" s="209">
        <v>116000</v>
      </c>
      <c r="F36" s="209">
        <v>25400</v>
      </c>
      <c r="G36" s="210"/>
      <c r="H36" s="211">
        <f t="shared" si="10"/>
        <v>104222</v>
      </c>
      <c r="I36" s="211">
        <f>'Bieu so 02'!D78</f>
        <v>82622</v>
      </c>
      <c r="J36" s="211">
        <f>'Bieu so 02'!E78</f>
        <v>21600</v>
      </c>
      <c r="K36" s="212">
        <f t="shared" si="1"/>
        <v>-37178</v>
      </c>
      <c r="L36" s="213">
        <f t="shared" si="0"/>
        <v>73.707213578500713</v>
      </c>
      <c r="M36" s="214">
        <f t="shared" si="2"/>
        <v>-33378</v>
      </c>
      <c r="N36" s="213">
        <f t="shared" si="3"/>
        <v>71.225862068965512</v>
      </c>
      <c r="O36" s="214">
        <f t="shared" si="4"/>
        <v>-3800</v>
      </c>
      <c r="P36" s="213">
        <f t="shared" si="5"/>
        <v>85.039370078740163</v>
      </c>
      <c r="Q36" s="215"/>
      <c r="R36" s="215"/>
      <c r="S36" s="215"/>
      <c r="T36" s="215"/>
      <c r="U36" s="215"/>
      <c r="V36" s="216"/>
      <c r="W36" s="217"/>
      <c r="AB36" s="218"/>
    </row>
    <row r="37" spans="1:28" s="250" customFormat="1" ht="34.5" customHeight="1">
      <c r="A37" s="247" t="s">
        <v>151</v>
      </c>
      <c r="B37" s="229">
        <v>40000</v>
      </c>
      <c r="C37" s="230"/>
      <c r="D37" s="230"/>
      <c r="E37" s="231">
        <v>22800</v>
      </c>
      <c r="F37" s="231">
        <v>17200</v>
      </c>
      <c r="G37" s="232"/>
      <c r="H37" s="233">
        <f t="shared" si="10"/>
        <v>38500</v>
      </c>
      <c r="I37" s="589">
        <f>'Bieu so 02'!D79</f>
        <v>21100</v>
      </c>
      <c r="J37" s="589">
        <f>'Bieu so 02'!E79</f>
        <v>17400</v>
      </c>
      <c r="K37" s="212">
        <f t="shared" si="1"/>
        <v>-1500</v>
      </c>
      <c r="L37" s="213">
        <f t="shared" si="0"/>
        <v>96.25</v>
      </c>
      <c r="M37" s="214">
        <f t="shared" si="2"/>
        <v>-1700</v>
      </c>
      <c r="N37" s="213">
        <f t="shared" si="3"/>
        <v>92.543859649122808</v>
      </c>
      <c r="O37" s="214">
        <f t="shared" si="4"/>
        <v>200</v>
      </c>
      <c r="P37" s="213">
        <f t="shared" si="5"/>
        <v>101.16279069767442</v>
      </c>
      <c r="Q37" s="215"/>
      <c r="R37" s="215"/>
      <c r="S37" s="215"/>
      <c r="T37" s="215"/>
      <c r="U37" s="215"/>
      <c r="V37" s="248"/>
      <c r="W37" s="249"/>
      <c r="AB37" s="1533"/>
    </row>
    <row r="38" spans="1:28" s="250" customFormat="1" ht="34.5" customHeight="1">
      <c r="A38" s="247" t="s">
        <v>898</v>
      </c>
      <c r="B38" s="229"/>
      <c r="C38" s="230"/>
      <c r="D38" s="230"/>
      <c r="E38" s="231"/>
      <c r="F38" s="231"/>
      <c r="G38" s="232"/>
      <c r="H38" s="233">
        <f t="shared" si="10"/>
        <v>7500</v>
      </c>
      <c r="I38" s="589">
        <f>'Bieu so 02'!D80</f>
        <v>7500</v>
      </c>
      <c r="J38" s="589"/>
      <c r="K38" s="212"/>
      <c r="L38" s="213"/>
      <c r="M38" s="214"/>
      <c r="N38" s="213"/>
      <c r="O38" s="214"/>
      <c r="P38" s="213"/>
      <c r="Q38" s="215"/>
      <c r="R38" s="215"/>
      <c r="S38" s="215"/>
      <c r="T38" s="215"/>
      <c r="U38" s="215"/>
      <c r="V38" s="248"/>
      <c r="W38" s="249"/>
      <c r="AB38" s="1533"/>
    </row>
    <row r="39" spans="1:28" s="250" customFormat="1" ht="34.5" customHeight="1">
      <c r="A39" s="247" t="s">
        <v>152</v>
      </c>
      <c r="B39" s="229">
        <v>3600</v>
      </c>
      <c r="C39" s="230"/>
      <c r="D39" s="230"/>
      <c r="E39" s="231">
        <v>3600</v>
      </c>
      <c r="F39" s="231"/>
      <c r="G39" s="232"/>
      <c r="H39" s="233">
        <f t="shared" si="10"/>
        <v>4778</v>
      </c>
      <c r="I39" s="589">
        <f>'Bieu so 02'!D81</f>
        <v>4778</v>
      </c>
      <c r="J39" s="211">
        <f>'Bieu so 02'!E81</f>
        <v>0</v>
      </c>
      <c r="K39" s="212">
        <f t="shared" si="1"/>
        <v>1178</v>
      </c>
      <c r="L39" s="213">
        <f t="shared" si="0"/>
        <v>132.72222222222223</v>
      </c>
      <c r="M39" s="214">
        <f t="shared" si="2"/>
        <v>1178</v>
      </c>
      <c r="N39" s="213">
        <f t="shared" si="3"/>
        <v>132.72222222222223</v>
      </c>
      <c r="O39" s="214">
        <f t="shared" si="4"/>
        <v>0</v>
      </c>
      <c r="P39" s="213"/>
      <c r="Q39" s="215"/>
      <c r="R39" s="215"/>
      <c r="S39" s="215"/>
      <c r="T39" s="215"/>
      <c r="U39" s="215"/>
      <c r="V39" s="248"/>
      <c r="W39" s="249"/>
      <c r="AB39" s="1533"/>
    </row>
    <row r="40" spans="1:28" ht="34.5" customHeight="1">
      <c r="A40" s="218" t="s">
        <v>153</v>
      </c>
      <c r="B40" s="207">
        <f t="shared" si="6"/>
        <v>115000</v>
      </c>
      <c r="C40" s="208">
        <f t="shared" si="7"/>
        <v>0.66086956521739126</v>
      </c>
      <c r="D40" s="208">
        <f t="shared" si="9"/>
        <v>0.33913043478260868</v>
      </c>
      <c r="E40" s="209">
        <v>76000</v>
      </c>
      <c r="F40" s="209">
        <f>'[5]THU HUYEN'!B29</f>
        <v>39000</v>
      </c>
      <c r="G40" s="210">
        <f>B40/W40*100</f>
        <v>104.54545454545455</v>
      </c>
      <c r="H40" s="211">
        <f t="shared" si="10"/>
        <v>140000</v>
      </c>
      <c r="I40" s="211">
        <f>'Bieu so 02'!D70</f>
        <v>87200</v>
      </c>
      <c r="J40" s="211">
        <f>'Bieu so 02'!E70</f>
        <v>52800</v>
      </c>
      <c r="K40" s="212">
        <f t="shared" si="1"/>
        <v>25000</v>
      </c>
      <c r="L40" s="213">
        <f t="shared" si="0"/>
        <v>121.73913043478261</v>
      </c>
      <c r="M40" s="214">
        <f t="shared" si="2"/>
        <v>11200</v>
      </c>
      <c r="N40" s="213">
        <f t="shared" si="3"/>
        <v>114.73684210526316</v>
      </c>
      <c r="O40" s="214">
        <f t="shared" si="4"/>
        <v>13800</v>
      </c>
      <c r="P40" s="213">
        <f t="shared" si="5"/>
        <v>135.38461538461539</v>
      </c>
      <c r="Q40" s="215"/>
      <c r="R40" s="215"/>
      <c r="S40" s="215"/>
      <c r="T40" s="215"/>
      <c r="U40" s="215"/>
      <c r="V40" s="216"/>
      <c r="W40" s="217">
        <v>110000</v>
      </c>
      <c r="Z40" s="193">
        <f>E19-2250</f>
        <v>184980</v>
      </c>
      <c r="AB40" s="1838">
        <f t="shared" ref="AB40:AB43" si="16">H40/$H$13%</f>
        <v>3.7117556604273823</v>
      </c>
    </row>
    <row r="41" spans="1:28" ht="34.5" customHeight="1">
      <c r="A41" s="218" t="s">
        <v>154</v>
      </c>
      <c r="B41" s="207">
        <f t="shared" si="6"/>
        <v>4000</v>
      </c>
      <c r="C41" s="208">
        <f t="shared" si="7"/>
        <v>0</v>
      </c>
      <c r="D41" s="208">
        <f t="shared" si="9"/>
        <v>1</v>
      </c>
      <c r="E41" s="209"/>
      <c r="F41" s="209">
        <f>'[5]THU HUYEN'!B30</f>
        <v>4000</v>
      </c>
      <c r="G41" s="210">
        <f>B41/W41*100</f>
        <v>114.28571428571428</v>
      </c>
      <c r="H41" s="211">
        <f t="shared" si="10"/>
        <v>100</v>
      </c>
      <c r="I41" s="216">
        <f>'Bieu so 02'!D82</f>
        <v>0</v>
      </c>
      <c r="J41" s="211">
        <f>'Bieu so 02'!E82</f>
        <v>100</v>
      </c>
      <c r="K41" s="212">
        <f t="shared" si="1"/>
        <v>-3900</v>
      </c>
      <c r="L41" s="213">
        <f t="shared" si="0"/>
        <v>2.5</v>
      </c>
      <c r="M41" s="214">
        <f t="shared" si="2"/>
        <v>0</v>
      </c>
      <c r="N41" s="213"/>
      <c r="O41" s="214">
        <f t="shared" si="4"/>
        <v>-3900</v>
      </c>
      <c r="P41" s="213">
        <f t="shared" si="5"/>
        <v>2.5</v>
      </c>
      <c r="Q41" s="215"/>
      <c r="R41" s="215"/>
      <c r="S41" s="215"/>
      <c r="T41" s="215"/>
      <c r="U41" s="215"/>
      <c r="V41" s="216"/>
      <c r="W41" s="217">
        <v>3500</v>
      </c>
      <c r="AB41" s="1838">
        <f t="shared" si="16"/>
        <v>2.6512540431624159E-3</v>
      </c>
    </row>
    <row r="42" spans="1:28" ht="34.5" customHeight="1">
      <c r="A42" s="218" t="s">
        <v>155</v>
      </c>
      <c r="B42" s="207">
        <f t="shared" si="6"/>
        <v>850000</v>
      </c>
      <c r="C42" s="208">
        <f t="shared" si="7"/>
        <v>1</v>
      </c>
      <c r="D42" s="208">
        <f t="shared" si="9"/>
        <v>0</v>
      </c>
      <c r="E42" s="209">
        <v>850000</v>
      </c>
      <c r="F42" s="209"/>
      <c r="G42" s="210"/>
      <c r="H42" s="211">
        <f t="shared" si="10"/>
        <v>960000</v>
      </c>
      <c r="I42" s="211">
        <f>'Bieu so 02'!D72</f>
        <v>960000</v>
      </c>
      <c r="J42" s="211">
        <f>'Bieu so 02'!E72</f>
        <v>0</v>
      </c>
      <c r="K42" s="212">
        <f t="shared" si="1"/>
        <v>110000</v>
      </c>
      <c r="L42" s="213">
        <f t="shared" si="0"/>
        <v>112.94117647058823</v>
      </c>
      <c r="M42" s="214">
        <f t="shared" si="2"/>
        <v>110000</v>
      </c>
      <c r="N42" s="213">
        <f t="shared" si="3"/>
        <v>112.94117647058823</v>
      </c>
      <c r="O42" s="214">
        <f t="shared" si="4"/>
        <v>0</v>
      </c>
      <c r="P42" s="213"/>
      <c r="Q42" s="215"/>
      <c r="R42" s="215"/>
      <c r="S42" s="215"/>
      <c r="T42" s="215"/>
      <c r="U42" s="215"/>
      <c r="V42" s="216"/>
      <c r="W42" s="217">
        <v>700000</v>
      </c>
      <c r="AB42" s="1838">
        <f t="shared" si="16"/>
        <v>25.452038814359192</v>
      </c>
    </row>
    <row r="43" spans="1:28" ht="34.5" customHeight="1">
      <c r="A43" s="251" t="s">
        <v>156</v>
      </c>
      <c r="B43" s="207"/>
      <c r="C43" s="208"/>
      <c r="D43" s="208"/>
      <c r="E43" s="209"/>
      <c r="F43" s="209"/>
      <c r="G43" s="210"/>
      <c r="H43" s="211">
        <f t="shared" si="10"/>
        <v>4500</v>
      </c>
      <c r="I43" s="211">
        <f>SUM(I44:I45)</f>
        <v>4490</v>
      </c>
      <c r="J43" s="211">
        <f>SUM(J44:J45)</f>
        <v>10</v>
      </c>
      <c r="K43" s="212">
        <f t="shared" si="1"/>
        <v>4500</v>
      </c>
      <c r="L43" s="213"/>
      <c r="M43" s="214">
        <f t="shared" si="2"/>
        <v>4490</v>
      </c>
      <c r="N43" s="213"/>
      <c r="O43" s="214">
        <f t="shared" si="4"/>
        <v>10</v>
      </c>
      <c r="P43" s="213"/>
      <c r="Q43" s="215"/>
      <c r="R43" s="215"/>
      <c r="S43" s="215"/>
      <c r="T43" s="215"/>
      <c r="U43" s="215"/>
      <c r="V43" s="216"/>
      <c r="W43" s="217"/>
      <c r="AB43" s="1838">
        <f t="shared" si="16"/>
        <v>0.11930643194230871</v>
      </c>
    </row>
    <row r="44" spans="1:28" s="250" customFormat="1" ht="34.5" customHeight="1">
      <c r="A44" s="228" t="s">
        <v>157</v>
      </c>
      <c r="B44" s="229"/>
      <c r="C44" s="230"/>
      <c r="D44" s="230"/>
      <c r="E44" s="231"/>
      <c r="F44" s="231"/>
      <c r="G44" s="232"/>
      <c r="H44" s="233">
        <f t="shared" si="10"/>
        <v>500</v>
      </c>
      <c r="I44" s="233">
        <f>'Bieu so 02'!D74</f>
        <v>500</v>
      </c>
      <c r="J44" s="233">
        <f>'Bieu so 02'!E74</f>
        <v>0</v>
      </c>
      <c r="K44" s="212">
        <f t="shared" si="1"/>
        <v>500</v>
      </c>
      <c r="L44" s="213"/>
      <c r="M44" s="214">
        <f t="shared" si="2"/>
        <v>500</v>
      </c>
      <c r="N44" s="213"/>
      <c r="O44" s="214">
        <f t="shared" si="4"/>
        <v>0</v>
      </c>
      <c r="P44" s="213"/>
      <c r="Q44" s="215"/>
      <c r="R44" s="215"/>
      <c r="S44" s="215"/>
      <c r="T44" s="215"/>
      <c r="U44" s="215"/>
      <c r="V44" s="248"/>
      <c r="W44" s="249"/>
      <c r="AB44" s="1533"/>
    </row>
    <row r="45" spans="1:28" ht="34.5" customHeight="1">
      <c r="A45" s="234" t="s">
        <v>158</v>
      </c>
      <c r="B45" s="207"/>
      <c r="C45" s="208"/>
      <c r="D45" s="208"/>
      <c r="E45" s="209"/>
      <c r="F45" s="209"/>
      <c r="G45" s="210"/>
      <c r="H45" s="211">
        <f t="shared" si="10"/>
        <v>4000</v>
      </c>
      <c r="I45" s="211">
        <f>'Bieu so 02'!D75</f>
        <v>3990</v>
      </c>
      <c r="J45" s="233">
        <f>'Bieu so 02'!E75</f>
        <v>10</v>
      </c>
      <c r="K45" s="212">
        <f t="shared" si="1"/>
        <v>4000</v>
      </c>
      <c r="L45" s="213"/>
      <c r="M45" s="214">
        <f t="shared" si="2"/>
        <v>3990</v>
      </c>
      <c r="N45" s="213"/>
      <c r="O45" s="214">
        <f t="shared" si="4"/>
        <v>10</v>
      </c>
      <c r="P45" s="213"/>
      <c r="Q45" s="215"/>
      <c r="R45" s="215"/>
      <c r="S45" s="215"/>
      <c r="T45" s="215"/>
      <c r="U45" s="215"/>
      <c r="V45" s="216"/>
      <c r="W45" s="217"/>
      <c r="AB45" s="218"/>
    </row>
    <row r="46" spans="1:28" ht="34.200000000000003" customHeight="1">
      <c r="A46" s="251" t="s">
        <v>159</v>
      </c>
      <c r="B46" s="207"/>
      <c r="C46" s="208"/>
      <c r="D46" s="208"/>
      <c r="E46" s="209"/>
      <c r="F46" s="209"/>
      <c r="G46" s="210"/>
      <c r="H46" s="211">
        <f t="shared" si="10"/>
        <v>1800</v>
      </c>
      <c r="I46" s="211">
        <f>'Bieu so 02'!D83</f>
        <v>1800</v>
      </c>
      <c r="J46" s="211">
        <f>'Bieu so 02'!E83</f>
        <v>0</v>
      </c>
      <c r="K46" s="212">
        <f t="shared" si="1"/>
        <v>1800</v>
      </c>
      <c r="L46" s="213"/>
      <c r="M46" s="214">
        <f t="shared" si="2"/>
        <v>1800</v>
      </c>
      <c r="N46" s="213"/>
      <c r="O46" s="214">
        <f t="shared" si="4"/>
        <v>0</v>
      </c>
      <c r="P46" s="213"/>
      <c r="Q46" s="215"/>
      <c r="R46" s="215"/>
      <c r="S46" s="215"/>
      <c r="T46" s="215"/>
      <c r="U46" s="215"/>
      <c r="V46" s="216"/>
      <c r="W46" s="217"/>
      <c r="AB46" s="1838">
        <f t="shared" ref="AB46" si="17">H46/$H$13%</f>
        <v>4.7722572776923482E-2</v>
      </c>
    </row>
    <row r="47" spans="1:28" s="260" customFormat="1" ht="24.75" customHeight="1">
      <c r="A47" s="252" t="s">
        <v>160</v>
      </c>
      <c r="B47" s="253">
        <f>SUM(B48:B49)</f>
        <v>5577424</v>
      </c>
      <c r="C47" s="254">
        <f t="shared" si="7"/>
        <v>0.39867293574955032</v>
      </c>
      <c r="D47" s="254">
        <f t="shared" si="9"/>
        <v>0.60132706425044968</v>
      </c>
      <c r="E47" s="255">
        <f>SUM(E48:E49)</f>
        <v>2223568</v>
      </c>
      <c r="F47" s="255">
        <f>SUM(F48:F49)</f>
        <v>3353856</v>
      </c>
      <c r="G47" s="256">
        <f t="shared" ref="G47:G52" si="18">B47/W47*100</f>
        <v>112.7313246975212</v>
      </c>
      <c r="H47" s="257">
        <f t="shared" si="10"/>
        <v>5555726</v>
      </c>
      <c r="I47" s="257">
        <f>SUM(I48:I49)</f>
        <v>1812921</v>
      </c>
      <c r="J47" s="257">
        <f>SUM(J48:J49)</f>
        <v>3742805</v>
      </c>
      <c r="K47" s="199">
        <f t="shared" si="1"/>
        <v>-21698</v>
      </c>
      <c r="L47" s="198">
        <f t="shared" ref="L47:L50" si="19">H47/B47%</f>
        <v>99.610967356973404</v>
      </c>
      <c r="M47" s="196"/>
      <c r="N47" s="198"/>
      <c r="O47" s="196"/>
      <c r="P47" s="198"/>
      <c r="Q47" s="197"/>
      <c r="R47" s="197"/>
      <c r="S47" s="197"/>
      <c r="T47" s="197"/>
      <c r="U47" s="197"/>
      <c r="V47" s="258"/>
      <c r="W47" s="259">
        <f>W48+W49</f>
        <v>4947537</v>
      </c>
      <c r="AB47" s="1534"/>
    </row>
    <row r="48" spans="1:28" ht="24.75" customHeight="1">
      <c r="A48" s="261" t="s">
        <v>161</v>
      </c>
      <c r="B48" s="262">
        <v>3682602</v>
      </c>
      <c r="C48" s="208">
        <f t="shared" si="7"/>
        <v>0.16864108584093529</v>
      </c>
      <c r="D48" s="208">
        <f t="shared" si="9"/>
        <v>0.83135891415906471</v>
      </c>
      <c r="E48" s="209">
        <f>B48-F48</f>
        <v>621038</v>
      </c>
      <c r="F48" s="209">
        <f>'[5]THU HUYEN'!B33+'[5]THU HUYEN'!B34+'[5]THU HUYEN'!B35</f>
        <v>3061564</v>
      </c>
      <c r="G48" s="210">
        <f t="shared" si="18"/>
        <v>100</v>
      </c>
      <c r="H48" s="211">
        <f t="shared" si="10"/>
        <v>3808100</v>
      </c>
      <c r="I48" s="211">
        <f>'Bieu so 02'!D86</f>
        <v>526802</v>
      </c>
      <c r="J48" s="211">
        <f>'Bieu so 02'!E86</f>
        <v>3281298</v>
      </c>
      <c r="K48" s="212">
        <f t="shared" si="1"/>
        <v>125498</v>
      </c>
      <c r="L48" s="213">
        <f t="shared" si="19"/>
        <v>103.40786215833262</v>
      </c>
      <c r="M48" s="214"/>
      <c r="N48" s="213"/>
      <c r="O48" s="214"/>
      <c r="P48" s="213"/>
      <c r="Q48" s="215"/>
      <c r="R48" s="215"/>
      <c r="S48" s="215"/>
      <c r="T48" s="215"/>
      <c r="U48" s="215"/>
      <c r="V48" s="216"/>
      <c r="W48" s="249">
        <v>3682602</v>
      </c>
      <c r="Y48" s="186">
        <v>509048</v>
      </c>
      <c r="AB48" s="218"/>
    </row>
    <row r="49" spans="1:29" ht="24.75" customHeight="1">
      <c r="A49" s="261" t="s">
        <v>162</v>
      </c>
      <c r="B49" s="262">
        <v>1894822</v>
      </c>
      <c r="C49" s="208">
        <f t="shared" si="7"/>
        <v>0.84574171083088545</v>
      </c>
      <c r="D49" s="208">
        <f t="shared" si="9"/>
        <v>0.15425828916911458</v>
      </c>
      <c r="E49" s="209">
        <v>1602530</v>
      </c>
      <c r="F49" s="209">
        <v>292292</v>
      </c>
      <c r="G49" s="210">
        <f t="shared" si="18"/>
        <v>149.79599742279248</v>
      </c>
      <c r="H49" s="211">
        <f t="shared" si="10"/>
        <v>1747626</v>
      </c>
      <c r="I49" s="211">
        <f>'Bieu so 02'!D92</f>
        <v>1286119</v>
      </c>
      <c r="J49" s="211">
        <f>'Bieu so 02'!E92</f>
        <v>461507</v>
      </c>
      <c r="K49" s="212">
        <f t="shared" si="1"/>
        <v>-147196</v>
      </c>
      <c r="L49" s="198">
        <f t="shared" si="19"/>
        <v>92.231671365436952</v>
      </c>
      <c r="M49" s="214"/>
      <c r="N49" s="213">
        <f t="shared" si="3"/>
        <v>80.255533437751552</v>
      </c>
      <c r="O49" s="214"/>
      <c r="P49" s="213"/>
      <c r="Q49" s="215"/>
      <c r="R49" s="215"/>
      <c r="S49" s="215"/>
      <c r="T49" s="215"/>
      <c r="U49" s="215"/>
      <c r="V49" s="216"/>
      <c r="W49" s="249">
        <v>1264935</v>
      </c>
      <c r="Y49" s="193"/>
      <c r="AB49" s="218"/>
      <c r="AC49" s="244">
        <f>J49+J50</f>
        <v>498307</v>
      </c>
    </row>
    <row r="50" spans="1:29" ht="39.6" customHeight="1">
      <c r="A50" s="263" t="s">
        <v>984</v>
      </c>
      <c r="B50" s="253">
        <v>75799</v>
      </c>
      <c r="C50" s="208"/>
      <c r="D50" s="208"/>
      <c r="E50" s="209"/>
      <c r="F50" s="209"/>
      <c r="G50" s="210"/>
      <c r="H50" s="257">
        <f t="shared" si="10"/>
        <v>154000</v>
      </c>
      <c r="I50" s="257">
        <f>'Bieu so 02'!D98</f>
        <v>117200</v>
      </c>
      <c r="J50" s="257">
        <f>'Bieu so 02'!E98</f>
        <v>36800</v>
      </c>
      <c r="K50" s="1618">
        <f t="shared" si="1"/>
        <v>78201</v>
      </c>
      <c r="L50" s="198">
        <f t="shared" si="19"/>
        <v>203.16890724152034</v>
      </c>
      <c r="M50" s="196"/>
      <c r="N50" s="198"/>
      <c r="O50" s="196"/>
      <c r="P50" s="198"/>
      <c r="Q50" s="197"/>
      <c r="R50" s="197"/>
      <c r="S50" s="197"/>
      <c r="T50" s="197"/>
      <c r="U50" s="197"/>
      <c r="V50" s="258"/>
      <c r="W50" s="259"/>
      <c r="X50" s="260"/>
      <c r="Y50" s="587"/>
      <c r="Z50" s="260"/>
      <c r="AA50" s="260"/>
      <c r="AB50" s="252"/>
    </row>
    <row r="51" spans="1:29" s="269" customFormat="1" ht="24.75" customHeight="1">
      <c r="A51" s="264" t="s">
        <v>163</v>
      </c>
      <c r="B51" s="265">
        <f>B13+B47+B50</f>
        <v>9100223</v>
      </c>
      <c r="C51" s="1693" t="e">
        <f t="shared" si="7"/>
        <v>#REF!</v>
      </c>
      <c r="D51" s="1693" t="e">
        <f t="shared" si="9"/>
        <v>#REF!</v>
      </c>
      <c r="E51" s="265" t="e">
        <f>E13+E47+#REF!</f>
        <v>#REF!</v>
      </c>
      <c r="F51" s="265" t="e">
        <f>F13+F47+#REF!</f>
        <v>#REF!</v>
      </c>
      <c r="G51" s="266" t="e">
        <f t="shared" si="18"/>
        <v>#REF!</v>
      </c>
      <c r="H51" s="265">
        <f>H13+H47+H50</f>
        <v>9481526</v>
      </c>
      <c r="I51" s="265">
        <f>I13+I47+I50</f>
        <v>5122321</v>
      </c>
      <c r="J51" s="265">
        <f>J13+J47+J50</f>
        <v>4359205</v>
      </c>
      <c r="K51" s="1694">
        <f t="shared" si="1"/>
        <v>381303</v>
      </c>
      <c r="L51" s="267">
        <f t="shared" ref="L51:L52" si="20">H51/B51%</f>
        <v>104.1900401781363</v>
      </c>
      <c r="M51" s="1695"/>
      <c r="N51" s="267"/>
      <c r="O51" s="1695"/>
      <c r="P51" s="267"/>
      <c r="Q51" s="267"/>
      <c r="R51" s="267"/>
      <c r="S51" s="267"/>
      <c r="T51" s="267"/>
      <c r="U51" s="267"/>
      <c r="V51" s="266"/>
      <c r="W51" s="265" t="e">
        <f>#REF!+W47+W13</f>
        <v>#REF!</v>
      </c>
      <c r="X51" s="268">
        <f>W47+W13</f>
        <v>7827537</v>
      </c>
      <c r="Y51" s="268">
        <f>B52-6805517</f>
        <v>2059506</v>
      </c>
      <c r="AB51" s="1696"/>
    </row>
    <row r="52" spans="1:29" s="269" customFormat="1" ht="21.75" customHeight="1">
      <c r="A52" s="1697" t="s">
        <v>164</v>
      </c>
      <c r="B52" s="1698">
        <f>B51-40000-22000-169600-3600</f>
        <v>8865023</v>
      </c>
      <c r="C52" s="1698"/>
      <c r="D52" s="1698"/>
      <c r="E52" s="1698" t="e">
        <f>E51-E54</f>
        <v>#REF!</v>
      </c>
      <c r="F52" s="1698" t="e">
        <f>F51-F54</f>
        <v>#REF!</v>
      </c>
      <c r="G52" s="1699">
        <f t="shared" si="18"/>
        <v>114.96538014277458</v>
      </c>
      <c r="H52" s="1698">
        <f>I52+J52</f>
        <v>9166448</v>
      </c>
      <c r="I52" s="1698">
        <f>I51-I54</f>
        <v>4824643</v>
      </c>
      <c r="J52" s="1698">
        <f>J51-J54</f>
        <v>4341805</v>
      </c>
      <c r="K52" s="1700">
        <f t="shared" si="1"/>
        <v>301425</v>
      </c>
      <c r="L52" s="1699">
        <f t="shared" si="20"/>
        <v>103.40016038311464</v>
      </c>
      <c r="M52" s="1701"/>
      <c r="N52" s="1699"/>
      <c r="O52" s="1701"/>
      <c r="P52" s="1699"/>
      <c r="Q52" s="1699"/>
      <c r="R52" s="1699"/>
      <c r="S52" s="1699"/>
      <c r="T52" s="1699"/>
      <c r="U52" s="1699"/>
      <c r="V52" s="1699"/>
      <c r="W52" s="1702">
        <v>7711037</v>
      </c>
      <c r="X52" s="1703"/>
      <c r="Y52" s="1703"/>
      <c r="Z52" s="1703"/>
      <c r="AA52" s="1703"/>
      <c r="AB52" s="1703"/>
    </row>
    <row r="53" spans="1:29" s="269" customFormat="1" ht="8.25" hidden="1" customHeight="1">
      <c r="A53" s="1697"/>
      <c r="B53" s="1698"/>
      <c r="C53" s="1698"/>
      <c r="D53" s="1698"/>
      <c r="E53" s="1698"/>
      <c r="F53" s="1698"/>
      <c r="G53" s="1699"/>
      <c r="H53" s="1699"/>
      <c r="I53" s="1699"/>
      <c r="J53" s="1699"/>
      <c r="K53" s="1704">
        <f t="shared" si="1"/>
        <v>0</v>
      </c>
      <c r="L53" s="1699"/>
      <c r="M53" s="1699"/>
      <c r="N53" s="1699"/>
      <c r="O53" s="1699"/>
      <c r="P53" s="1699"/>
      <c r="Q53" s="1699"/>
      <c r="R53" s="1699"/>
      <c r="S53" s="1699"/>
      <c r="T53" s="1699"/>
      <c r="U53" s="1699"/>
      <c r="V53" s="1699"/>
      <c r="W53" s="1705"/>
      <c r="X53" s="1703"/>
      <c r="Y53" s="1703"/>
      <c r="Z53" s="1703"/>
      <c r="AA53" s="1703"/>
      <c r="AB53" s="1703"/>
    </row>
    <row r="54" spans="1:29" s="269" customFormat="1" ht="25.2" customHeight="1">
      <c r="A54" s="1706" t="s">
        <v>165</v>
      </c>
      <c r="B54" s="1707">
        <f>E54+F54</f>
        <v>235200</v>
      </c>
      <c r="C54" s="1707"/>
      <c r="D54" s="1707"/>
      <c r="E54" s="1708">
        <f>SUM(E26,E31,E37,E39,E44)</f>
        <v>218000</v>
      </c>
      <c r="F54" s="1708">
        <f>SUM(F31,F37,F39,F44)</f>
        <v>17200</v>
      </c>
      <c r="G54" s="1709"/>
      <c r="H54" s="1708">
        <f>I54+J54</f>
        <v>315078</v>
      </c>
      <c r="I54" s="1708">
        <f>SUM(I26,I31,I37,I38,I39,I44)</f>
        <v>297678</v>
      </c>
      <c r="J54" s="1708">
        <f>SUM(J31,J37,J39,J44)</f>
        <v>17400</v>
      </c>
      <c r="K54" s="1710">
        <f t="shared" si="1"/>
        <v>79878</v>
      </c>
      <c r="L54" s="1709">
        <f t="shared" ref="L54" si="21">H54/B54%</f>
        <v>133.96173469387756</v>
      </c>
      <c r="M54" s="1699"/>
      <c r="N54" s="1699"/>
      <c r="O54" s="1699"/>
      <c r="P54" s="1699"/>
      <c r="Q54" s="1699"/>
      <c r="R54" s="1699"/>
      <c r="S54" s="1699"/>
      <c r="T54" s="1699"/>
      <c r="U54" s="1699"/>
      <c r="V54" s="1699"/>
      <c r="W54" s="1705"/>
      <c r="X54" s="1703"/>
      <c r="Y54" s="1703"/>
      <c r="Z54" s="1703"/>
      <c r="AA54" s="1703"/>
      <c r="AB54" s="1703"/>
    </row>
    <row r="55" spans="1:29" s="275" customFormat="1" ht="51.75" customHeight="1">
      <c r="A55" s="270"/>
      <c r="B55" s="271"/>
      <c r="C55" s="272"/>
      <c r="D55" s="273"/>
      <c r="E55" s="272"/>
      <c r="F55" s="272"/>
      <c r="G55" s="269"/>
      <c r="H55" s="274"/>
      <c r="I55" s="274"/>
      <c r="J55" s="274"/>
      <c r="K55" s="269"/>
      <c r="L55" s="269"/>
      <c r="M55" s="269"/>
      <c r="N55" s="269"/>
      <c r="O55" s="269"/>
      <c r="P55" s="269"/>
      <c r="Q55" s="269"/>
      <c r="R55" s="269"/>
      <c r="S55" s="269"/>
      <c r="T55" s="269"/>
      <c r="U55" s="269"/>
      <c r="V55" s="269"/>
      <c r="Y55" s="272"/>
    </row>
    <row r="56" spans="1:29" s="275" customFormat="1" ht="51.75" customHeight="1">
      <c r="A56" s="276"/>
      <c r="B56" s="276"/>
      <c r="C56" s="276"/>
      <c r="D56" s="276"/>
      <c r="F56" s="277"/>
      <c r="G56" s="269"/>
      <c r="H56" s="274"/>
      <c r="I56" s="268"/>
      <c r="J56" s="269"/>
      <c r="K56" s="269"/>
      <c r="L56" s="269"/>
      <c r="M56" s="269"/>
      <c r="N56" s="269"/>
      <c r="O56" s="269"/>
      <c r="P56" s="269"/>
      <c r="Q56" s="269"/>
      <c r="R56" s="269"/>
      <c r="S56" s="269"/>
      <c r="T56" s="269"/>
      <c r="U56" s="269"/>
      <c r="V56" s="269"/>
      <c r="Y56" s="272"/>
    </row>
    <row r="57" spans="1:29" s="275" customFormat="1" ht="51.75" customHeight="1">
      <c r="A57" s="276"/>
      <c r="B57" s="276"/>
      <c r="C57" s="276"/>
      <c r="D57" s="276"/>
      <c r="G57" s="269"/>
      <c r="H57" s="269"/>
      <c r="I57" s="269"/>
      <c r="J57" s="269"/>
      <c r="K57" s="269"/>
      <c r="L57" s="269"/>
      <c r="M57" s="269"/>
      <c r="N57" s="269"/>
      <c r="O57" s="269"/>
      <c r="P57" s="269"/>
      <c r="Q57" s="269"/>
      <c r="R57" s="269"/>
      <c r="S57" s="269"/>
      <c r="T57" s="269"/>
      <c r="U57" s="269"/>
      <c r="V57" s="269"/>
      <c r="Y57" s="272"/>
    </row>
    <row r="58" spans="1:29" s="275" customFormat="1" ht="51.75" customHeight="1">
      <c r="A58" s="276"/>
      <c r="B58" s="276"/>
      <c r="C58" s="276"/>
      <c r="D58" s="276"/>
      <c r="G58" s="269"/>
      <c r="H58" s="269"/>
      <c r="I58" s="269"/>
      <c r="J58" s="269"/>
      <c r="K58" s="269"/>
      <c r="L58" s="269"/>
      <c r="M58" s="269"/>
      <c r="N58" s="269"/>
      <c r="O58" s="269"/>
      <c r="P58" s="269"/>
      <c r="Q58" s="269"/>
      <c r="R58" s="269"/>
      <c r="S58" s="269"/>
      <c r="T58" s="269"/>
      <c r="U58" s="269"/>
      <c r="V58" s="269"/>
      <c r="Y58" s="272"/>
    </row>
    <row r="59" spans="1:29" s="278" customFormat="1" ht="20.100000000000001" customHeight="1">
      <c r="A59" s="278" t="s">
        <v>166</v>
      </c>
      <c r="D59" s="275"/>
      <c r="E59" s="279"/>
      <c r="F59" s="279"/>
    </row>
    <row r="60" spans="1:29" s="278" customFormat="1" ht="20.100000000000001" customHeight="1">
      <c r="B60" s="279"/>
      <c r="C60" s="279"/>
      <c r="F60" s="280"/>
    </row>
    <row r="61" spans="1:29">
      <c r="B61" s="281"/>
      <c r="E61" s="193"/>
    </row>
    <row r="63" spans="1:29">
      <c r="B63" s="282"/>
    </row>
    <row r="66" spans="2:2">
      <c r="B66" s="282"/>
    </row>
  </sheetData>
  <mergeCells count="17">
    <mergeCell ref="H8:L8"/>
    <mergeCell ref="I10:I11"/>
    <mergeCell ref="J10:J11"/>
    <mergeCell ref="B8:G11"/>
    <mergeCell ref="O1:P1"/>
    <mergeCell ref="H9:H11"/>
    <mergeCell ref="I9:J9"/>
    <mergeCell ref="K9:P9"/>
    <mergeCell ref="K10:K11"/>
    <mergeCell ref="L10:L11"/>
    <mergeCell ref="M10:N10"/>
    <mergeCell ref="O10:P10"/>
    <mergeCell ref="A3:P3"/>
    <mergeCell ref="A4:P5"/>
    <mergeCell ref="A8:A11"/>
    <mergeCell ref="K7:AB7"/>
    <mergeCell ref="AB8:AB11"/>
  </mergeCells>
  <pageMargins left="0.47" right="0.196850393700787" top="0.38" bottom="0.23622047244094499" header="0.196850393700787" footer="0.196850393700787"/>
  <pageSetup paperSize="9" scale="70" orientation="portrait" blackAndWhite="1"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107"/>
  <sheetViews>
    <sheetView topLeftCell="A7" zoomScale="85" zoomScaleNormal="85" workbookViewId="0">
      <pane xSplit="2" ySplit="7" topLeftCell="C35" activePane="bottomRight" state="frozen"/>
      <selection activeCell="B140" sqref="B140"/>
      <selection pane="topRight" activeCell="B140" sqref="B140"/>
      <selection pane="bottomLeft" activeCell="B140" sqref="B140"/>
      <selection pane="bottomRight" activeCell="B140" sqref="B140"/>
    </sheetView>
  </sheetViews>
  <sheetFormatPr defaultRowHeight="15.6"/>
  <cols>
    <col min="1" max="1" width="5.6640625" style="324" customWidth="1"/>
    <col min="2" max="2" width="47.33203125" style="532" customWidth="1"/>
    <col min="3" max="3" width="12.6640625" style="324" customWidth="1"/>
    <col min="4" max="5" width="12.44140625" style="324" customWidth="1"/>
    <col min="6" max="6" width="10.6640625" style="324" customWidth="1"/>
    <col min="7" max="7" width="11.44140625" style="324" customWidth="1"/>
    <col min="8" max="14" width="10.6640625" style="324" customWidth="1"/>
    <col min="15" max="234" width="8.88671875" style="324"/>
    <col min="235" max="235" width="5.6640625" style="324" customWidth="1"/>
    <col min="236" max="236" width="39.33203125" style="324" customWidth="1"/>
    <col min="237" max="237" width="11.88671875" style="324" customWidth="1"/>
    <col min="238" max="238" width="11.109375" style="324" customWidth="1"/>
    <col min="239" max="239" width="11.5546875" style="324" customWidth="1"/>
    <col min="240" max="240" width="12.44140625" style="324" customWidth="1"/>
    <col min="241" max="241" width="11.6640625" style="324" customWidth="1"/>
    <col min="242" max="243" width="11.88671875" style="324" customWidth="1"/>
    <col min="244" max="244" width="11.44140625" style="324" customWidth="1"/>
    <col min="245" max="245" width="12" style="324" customWidth="1"/>
    <col min="246" max="246" width="13.33203125" style="324" customWidth="1"/>
    <col min="247" max="247" width="13.5546875" style="324" customWidth="1"/>
    <col min="248" max="249" width="14.5546875" style="324" customWidth="1"/>
    <col min="250" max="490" width="8.88671875" style="324"/>
    <col min="491" max="491" width="5.6640625" style="324" customWidth="1"/>
    <col min="492" max="492" width="39.33203125" style="324" customWidth="1"/>
    <col min="493" max="493" width="11.88671875" style="324" customWidth="1"/>
    <col min="494" max="494" width="11.109375" style="324" customWidth="1"/>
    <col min="495" max="495" width="11.5546875" style="324" customWidth="1"/>
    <col min="496" max="496" width="12.44140625" style="324" customWidth="1"/>
    <col min="497" max="497" width="11.6640625" style="324" customWidth="1"/>
    <col min="498" max="499" width="11.88671875" style="324" customWidth="1"/>
    <col min="500" max="500" width="11.44140625" style="324" customWidth="1"/>
    <col min="501" max="501" width="12" style="324" customWidth="1"/>
    <col min="502" max="502" width="13.33203125" style="324" customWidth="1"/>
    <col min="503" max="503" width="13.5546875" style="324" customWidth="1"/>
    <col min="504" max="505" width="14.5546875" style="324" customWidth="1"/>
    <col min="506" max="746" width="8.88671875" style="324"/>
    <col min="747" max="747" width="5.6640625" style="324" customWidth="1"/>
    <col min="748" max="748" width="39.33203125" style="324" customWidth="1"/>
    <col min="749" max="749" width="11.88671875" style="324" customWidth="1"/>
    <col min="750" max="750" width="11.109375" style="324" customWidth="1"/>
    <col min="751" max="751" width="11.5546875" style="324" customWidth="1"/>
    <col min="752" max="752" width="12.44140625" style="324" customWidth="1"/>
    <col min="753" max="753" width="11.6640625" style="324" customWidth="1"/>
    <col min="754" max="755" width="11.88671875" style="324" customWidth="1"/>
    <col min="756" max="756" width="11.44140625" style="324" customWidth="1"/>
    <col min="757" max="757" width="12" style="324" customWidth="1"/>
    <col min="758" max="758" width="13.33203125" style="324" customWidth="1"/>
    <col min="759" max="759" width="13.5546875" style="324" customWidth="1"/>
    <col min="760" max="761" width="14.5546875" style="324" customWidth="1"/>
    <col min="762" max="1002" width="8.88671875" style="324"/>
    <col min="1003" max="1003" width="5.6640625" style="324" customWidth="1"/>
    <col min="1004" max="1004" width="39.33203125" style="324" customWidth="1"/>
    <col min="1005" max="1005" width="11.88671875" style="324" customWidth="1"/>
    <col min="1006" max="1006" width="11.109375" style="324" customWidth="1"/>
    <col min="1007" max="1007" width="11.5546875" style="324" customWidth="1"/>
    <col min="1008" max="1008" width="12.44140625" style="324" customWidth="1"/>
    <col min="1009" max="1009" width="11.6640625" style="324" customWidth="1"/>
    <col min="1010" max="1011" width="11.88671875" style="324" customWidth="1"/>
    <col min="1012" max="1012" width="11.44140625" style="324" customWidth="1"/>
    <col min="1013" max="1013" width="12" style="324" customWidth="1"/>
    <col min="1014" max="1014" width="13.33203125" style="324" customWidth="1"/>
    <col min="1015" max="1015" width="13.5546875" style="324" customWidth="1"/>
    <col min="1016" max="1017" width="14.5546875" style="324" customWidth="1"/>
    <col min="1018" max="1258" width="8.88671875" style="324"/>
    <col min="1259" max="1259" width="5.6640625" style="324" customWidth="1"/>
    <col min="1260" max="1260" width="39.33203125" style="324" customWidth="1"/>
    <col min="1261" max="1261" width="11.88671875" style="324" customWidth="1"/>
    <col min="1262" max="1262" width="11.109375" style="324" customWidth="1"/>
    <col min="1263" max="1263" width="11.5546875" style="324" customWidth="1"/>
    <col min="1264" max="1264" width="12.44140625" style="324" customWidth="1"/>
    <col min="1265" max="1265" width="11.6640625" style="324" customWidth="1"/>
    <col min="1266" max="1267" width="11.88671875" style="324" customWidth="1"/>
    <col min="1268" max="1268" width="11.44140625" style="324" customWidth="1"/>
    <col min="1269" max="1269" width="12" style="324" customWidth="1"/>
    <col min="1270" max="1270" width="13.33203125" style="324" customWidth="1"/>
    <col min="1271" max="1271" width="13.5546875" style="324" customWidth="1"/>
    <col min="1272" max="1273" width="14.5546875" style="324" customWidth="1"/>
    <col min="1274" max="1514" width="8.88671875" style="324"/>
    <col min="1515" max="1515" width="5.6640625" style="324" customWidth="1"/>
    <col min="1516" max="1516" width="39.33203125" style="324" customWidth="1"/>
    <col min="1517" max="1517" width="11.88671875" style="324" customWidth="1"/>
    <col min="1518" max="1518" width="11.109375" style="324" customWidth="1"/>
    <col min="1519" max="1519" width="11.5546875" style="324" customWidth="1"/>
    <col min="1520" max="1520" width="12.44140625" style="324" customWidth="1"/>
    <col min="1521" max="1521" width="11.6640625" style="324" customWidth="1"/>
    <col min="1522" max="1523" width="11.88671875" style="324" customWidth="1"/>
    <col min="1524" max="1524" width="11.44140625" style="324" customWidth="1"/>
    <col min="1525" max="1525" width="12" style="324" customWidth="1"/>
    <col min="1526" max="1526" width="13.33203125" style="324" customWidth="1"/>
    <col min="1527" max="1527" width="13.5546875" style="324" customWidth="1"/>
    <col min="1528" max="1529" width="14.5546875" style="324" customWidth="1"/>
    <col min="1530" max="1770" width="8.88671875" style="324"/>
    <col min="1771" max="1771" width="5.6640625" style="324" customWidth="1"/>
    <col min="1772" max="1772" width="39.33203125" style="324" customWidth="1"/>
    <col min="1773" max="1773" width="11.88671875" style="324" customWidth="1"/>
    <col min="1774" max="1774" width="11.109375" style="324" customWidth="1"/>
    <col min="1775" max="1775" width="11.5546875" style="324" customWidth="1"/>
    <col min="1776" max="1776" width="12.44140625" style="324" customWidth="1"/>
    <col min="1777" max="1777" width="11.6640625" style="324" customWidth="1"/>
    <col min="1778" max="1779" width="11.88671875" style="324" customWidth="1"/>
    <col min="1780" max="1780" width="11.44140625" style="324" customWidth="1"/>
    <col min="1781" max="1781" width="12" style="324" customWidth="1"/>
    <col min="1782" max="1782" width="13.33203125" style="324" customWidth="1"/>
    <col min="1783" max="1783" width="13.5546875" style="324" customWidth="1"/>
    <col min="1784" max="1785" width="14.5546875" style="324" customWidth="1"/>
    <col min="1786" max="2026" width="8.88671875" style="324"/>
    <col min="2027" max="2027" width="5.6640625" style="324" customWidth="1"/>
    <col min="2028" max="2028" width="39.33203125" style="324" customWidth="1"/>
    <col min="2029" max="2029" width="11.88671875" style="324" customWidth="1"/>
    <col min="2030" max="2030" width="11.109375" style="324" customWidth="1"/>
    <col min="2031" max="2031" width="11.5546875" style="324" customWidth="1"/>
    <col min="2032" max="2032" width="12.44140625" style="324" customWidth="1"/>
    <col min="2033" max="2033" width="11.6640625" style="324" customWidth="1"/>
    <col min="2034" max="2035" width="11.88671875" style="324" customWidth="1"/>
    <col min="2036" max="2036" width="11.44140625" style="324" customWidth="1"/>
    <col min="2037" max="2037" width="12" style="324" customWidth="1"/>
    <col min="2038" max="2038" width="13.33203125" style="324" customWidth="1"/>
    <col min="2039" max="2039" width="13.5546875" style="324" customWidth="1"/>
    <col min="2040" max="2041" width="14.5546875" style="324" customWidth="1"/>
    <col min="2042" max="2282" width="8.88671875" style="324"/>
    <col min="2283" max="2283" width="5.6640625" style="324" customWidth="1"/>
    <col min="2284" max="2284" width="39.33203125" style="324" customWidth="1"/>
    <col min="2285" max="2285" width="11.88671875" style="324" customWidth="1"/>
    <col min="2286" max="2286" width="11.109375" style="324" customWidth="1"/>
    <col min="2287" max="2287" width="11.5546875" style="324" customWidth="1"/>
    <col min="2288" max="2288" width="12.44140625" style="324" customWidth="1"/>
    <col min="2289" max="2289" width="11.6640625" style="324" customWidth="1"/>
    <col min="2290" max="2291" width="11.88671875" style="324" customWidth="1"/>
    <col min="2292" max="2292" width="11.44140625" style="324" customWidth="1"/>
    <col min="2293" max="2293" width="12" style="324" customWidth="1"/>
    <col min="2294" max="2294" width="13.33203125" style="324" customWidth="1"/>
    <col min="2295" max="2295" width="13.5546875" style="324" customWidth="1"/>
    <col min="2296" max="2297" width="14.5546875" style="324" customWidth="1"/>
    <col min="2298" max="2538" width="8.88671875" style="324"/>
    <col min="2539" max="2539" width="5.6640625" style="324" customWidth="1"/>
    <col min="2540" max="2540" width="39.33203125" style="324" customWidth="1"/>
    <col min="2541" max="2541" width="11.88671875" style="324" customWidth="1"/>
    <col min="2542" max="2542" width="11.109375" style="324" customWidth="1"/>
    <col min="2543" max="2543" width="11.5546875" style="324" customWidth="1"/>
    <col min="2544" max="2544" width="12.44140625" style="324" customWidth="1"/>
    <col min="2545" max="2545" width="11.6640625" style="324" customWidth="1"/>
    <col min="2546" max="2547" width="11.88671875" style="324" customWidth="1"/>
    <col min="2548" max="2548" width="11.44140625" style="324" customWidth="1"/>
    <col min="2549" max="2549" width="12" style="324" customWidth="1"/>
    <col min="2550" max="2550" width="13.33203125" style="324" customWidth="1"/>
    <col min="2551" max="2551" width="13.5546875" style="324" customWidth="1"/>
    <col min="2552" max="2553" width="14.5546875" style="324" customWidth="1"/>
    <col min="2554" max="2794" width="8.88671875" style="324"/>
    <col min="2795" max="2795" width="5.6640625" style="324" customWidth="1"/>
    <col min="2796" max="2796" width="39.33203125" style="324" customWidth="1"/>
    <col min="2797" max="2797" width="11.88671875" style="324" customWidth="1"/>
    <col min="2798" max="2798" width="11.109375" style="324" customWidth="1"/>
    <col min="2799" max="2799" width="11.5546875" style="324" customWidth="1"/>
    <col min="2800" max="2800" width="12.44140625" style="324" customWidth="1"/>
    <col min="2801" max="2801" width="11.6640625" style="324" customWidth="1"/>
    <col min="2802" max="2803" width="11.88671875" style="324" customWidth="1"/>
    <col min="2804" max="2804" width="11.44140625" style="324" customWidth="1"/>
    <col min="2805" max="2805" width="12" style="324" customWidth="1"/>
    <col min="2806" max="2806" width="13.33203125" style="324" customWidth="1"/>
    <col min="2807" max="2807" width="13.5546875" style="324" customWidth="1"/>
    <col min="2808" max="2809" width="14.5546875" style="324" customWidth="1"/>
    <col min="2810" max="3050" width="8.88671875" style="324"/>
    <col min="3051" max="3051" width="5.6640625" style="324" customWidth="1"/>
    <col min="3052" max="3052" width="39.33203125" style="324" customWidth="1"/>
    <col min="3053" max="3053" width="11.88671875" style="324" customWidth="1"/>
    <col min="3054" max="3054" width="11.109375" style="324" customWidth="1"/>
    <col min="3055" max="3055" width="11.5546875" style="324" customWidth="1"/>
    <col min="3056" max="3056" width="12.44140625" style="324" customWidth="1"/>
    <col min="3057" max="3057" width="11.6640625" style="324" customWidth="1"/>
    <col min="3058" max="3059" width="11.88671875" style="324" customWidth="1"/>
    <col min="3060" max="3060" width="11.44140625" style="324" customWidth="1"/>
    <col min="3061" max="3061" width="12" style="324" customWidth="1"/>
    <col min="3062" max="3062" width="13.33203125" style="324" customWidth="1"/>
    <col min="3063" max="3063" width="13.5546875" style="324" customWidth="1"/>
    <col min="3064" max="3065" width="14.5546875" style="324" customWidth="1"/>
    <col min="3066" max="3306" width="8.88671875" style="324"/>
    <col min="3307" max="3307" width="5.6640625" style="324" customWidth="1"/>
    <col min="3308" max="3308" width="39.33203125" style="324" customWidth="1"/>
    <col min="3309" max="3309" width="11.88671875" style="324" customWidth="1"/>
    <col min="3310" max="3310" width="11.109375" style="324" customWidth="1"/>
    <col min="3311" max="3311" width="11.5546875" style="324" customWidth="1"/>
    <col min="3312" max="3312" width="12.44140625" style="324" customWidth="1"/>
    <col min="3313" max="3313" width="11.6640625" style="324" customWidth="1"/>
    <col min="3314" max="3315" width="11.88671875" style="324" customWidth="1"/>
    <col min="3316" max="3316" width="11.44140625" style="324" customWidth="1"/>
    <col min="3317" max="3317" width="12" style="324" customWidth="1"/>
    <col min="3318" max="3318" width="13.33203125" style="324" customWidth="1"/>
    <col min="3319" max="3319" width="13.5546875" style="324" customWidth="1"/>
    <col min="3320" max="3321" width="14.5546875" style="324" customWidth="1"/>
    <col min="3322" max="3562" width="8.88671875" style="324"/>
    <col min="3563" max="3563" width="5.6640625" style="324" customWidth="1"/>
    <col min="3564" max="3564" width="39.33203125" style="324" customWidth="1"/>
    <col min="3565" max="3565" width="11.88671875" style="324" customWidth="1"/>
    <col min="3566" max="3566" width="11.109375" style="324" customWidth="1"/>
    <col min="3567" max="3567" width="11.5546875" style="324" customWidth="1"/>
    <col min="3568" max="3568" width="12.44140625" style="324" customWidth="1"/>
    <col min="3569" max="3569" width="11.6640625" style="324" customWidth="1"/>
    <col min="3570" max="3571" width="11.88671875" style="324" customWidth="1"/>
    <col min="3572" max="3572" width="11.44140625" style="324" customWidth="1"/>
    <col min="3573" max="3573" width="12" style="324" customWidth="1"/>
    <col min="3574" max="3574" width="13.33203125" style="324" customWidth="1"/>
    <col min="3575" max="3575" width="13.5546875" style="324" customWidth="1"/>
    <col min="3576" max="3577" width="14.5546875" style="324" customWidth="1"/>
    <col min="3578" max="3818" width="8.88671875" style="324"/>
    <col min="3819" max="3819" width="5.6640625" style="324" customWidth="1"/>
    <col min="3820" max="3820" width="39.33203125" style="324" customWidth="1"/>
    <col min="3821" max="3821" width="11.88671875" style="324" customWidth="1"/>
    <col min="3822" max="3822" width="11.109375" style="324" customWidth="1"/>
    <col min="3823" max="3823" width="11.5546875" style="324" customWidth="1"/>
    <col min="3824" max="3824" width="12.44140625" style="324" customWidth="1"/>
    <col min="3825" max="3825" width="11.6640625" style="324" customWidth="1"/>
    <col min="3826" max="3827" width="11.88671875" style="324" customWidth="1"/>
    <col min="3828" max="3828" width="11.44140625" style="324" customWidth="1"/>
    <col min="3829" max="3829" width="12" style="324" customWidth="1"/>
    <col min="3830" max="3830" width="13.33203125" style="324" customWidth="1"/>
    <col min="3831" max="3831" width="13.5546875" style="324" customWidth="1"/>
    <col min="3832" max="3833" width="14.5546875" style="324" customWidth="1"/>
    <col min="3834" max="4074" width="8.88671875" style="324"/>
    <col min="4075" max="4075" width="5.6640625" style="324" customWidth="1"/>
    <col min="4076" max="4076" width="39.33203125" style="324" customWidth="1"/>
    <col min="4077" max="4077" width="11.88671875" style="324" customWidth="1"/>
    <col min="4078" max="4078" width="11.109375" style="324" customWidth="1"/>
    <col min="4079" max="4079" width="11.5546875" style="324" customWidth="1"/>
    <col min="4080" max="4080" width="12.44140625" style="324" customWidth="1"/>
    <col min="4081" max="4081" width="11.6640625" style="324" customWidth="1"/>
    <col min="4082" max="4083" width="11.88671875" style="324" customWidth="1"/>
    <col min="4084" max="4084" width="11.44140625" style="324" customWidth="1"/>
    <col min="4085" max="4085" width="12" style="324" customWidth="1"/>
    <col min="4086" max="4086" width="13.33203125" style="324" customWidth="1"/>
    <col min="4087" max="4087" width="13.5546875" style="324" customWidth="1"/>
    <col min="4088" max="4089" width="14.5546875" style="324" customWidth="1"/>
    <col min="4090" max="4330" width="8.88671875" style="324"/>
    <col min="4331" max="4331" width="5.6640625" style="324" customWidth="1"/>
    <col min="4332" max="4332" width="39.33203125" style="324" customWidth="1"/>
    <col min="4333" max="4333" width="11.88671875" style="324" customWidth="1"/>
    <col min="4334" max="4334" width="11.109375" style="324" customWidth="1"/>
    <col min="4335" max="4335" width="11.5546875" style="324" customWidth="1"/>
    <col min="4336" max="4336" width="12.44140625" style="324" customWidth="1"/>
    <col min="4337" max="4337" width="11.6640625" style="324" customWidth="1"/>
    <col min="4338" max="4339" width="11.88671875" style="324" customWidth="1"/>
    <col min="4340" max="4340" width="11.44140625" style="324" customWidth="1"/>
    <col min="4341" max="4341" width="12" style="324" customWidth="1"/>
    <col min="4342" max="4342" width="13.33203125" style="324" customWidth="1"/>
    <col min="4343" max="4343" width="13.5546875" style="324" customWidth="1"/>
    <col min="4344" max="4345" width="14.5546875" style="324" customWidth="1"/>
    <col min="4346" max="4586" width="8.88671875" style="324"/>
    <col min="4587" max="4587" width="5.6640625" style="324" customWidth="1"/>
    <col min="4588" max="4588" width="39.33203125" style="324" customWidth="1"/>
    <col min="4589" max="4589" width="11.88671875" style="324" customWidth="1"/>
    <col min="4590" max="4590" width="11.109375" style="324" customWidth="1"/>
    <col min="4591" max="4591" width="11.5546875" style="324" customWidth="1"/>
    <col min="4592" max="4592" width="12.44140625" style="324" customWidth="1"/>
    <col min="4593" max="4593" width="11.6640625" style="324" customWidth="1"/>
    <col min="4594" max="4595" width="11.88671875" style="324" customWidth="1"/>
    <col min="4596" max="4596" width="11.44140625" style="324" customWidth="1"/>
    <col min="4597" max="4597" width="12" style="324" customWidth="1"/>
    <col min="4598" max="4598" width="13.33203125" style="324" customWidth="1"/>
    <col min="4599" max="4599" width="13.5546875" style="324" customWidth="1"/>
    <col min="4600" max="4601" width="14.5546875" style="324" customWidth="1"/>
    <col min="4602" max="4842" width="8.88671875" style="324"/>
    <col min="4843" max="4843" width="5.6640625" style="324" customWidth="1"/>
    <col min="4844" max="4844" width="39.33203125" style="324" customWidth="1"/>
    <col min="4845" max="4845" width="11.88671875" style="324" customWidth="1"/>
    <col min="4846" max="4846" width="11.109375" style="324" customWidth="1"/>
    <col min="4847" max="4847" width="11.5546875" style="324" customWidth="1"/>
    <col min="4848" max="4848" width="12.44140625" style="324" customWidth="1"/>
    <col min="4849" max="4849" width="11.6640625" style="324" customWidth="1"/>
    <col min="4850" max="4851" width="11.88671875" style="324" customWidth="1"/>
    <col min="4852" max="4852" width="11.44140625" style="324" customWidth="1"/>
    <col min="4853" max="4853" width="12" style="324" customWidth="1"/>
    <col min="4854" max="4854" width="13.33203125" style="324" customWidth="1"/>
    <col min="4855" max="4855" width="13.5546875" style="324" customWidth="1"/>
    <col min="4856" max="4857" width="14.5546875" style="324" customWidth="1"/>
    <col min="4858" max="5098" width="8.88671875" style="324"/>
    <col min="5099" max="5099" width="5.6640625" style="324" customWidth="1"/>
    <col min="5100" max="5100" width="39.33203125" style="324" customWidth="1"/>
    <col min="5101" max="5101" width="11.88671875" style="324" customWidth="1"/>
    <col min="5102" max="5102" width="11.109375" style="324" customWidth="1"/>
    <col min="5103" max="5103" width="11.5546875" style="324" customWidth="1"/>
    <col min="5104" max="5104" width="12.44140625" style="324" customWidth="1"/>
    <col min="5105" max="5105" width="11.6640625" style="324" customWidth="1"/>
    <col min="5106" max="5107" width="11.88671875" style="324" customWidth="1"/>
    <col min="5108" max="5108" width="11.44140625" style="324" customWidth="1"/>
    <col min="5109" max="5109" width="12" style="324" customWidth="1"/>
    <col min="5110" max="5110" width="13.33203125" style="324" customWidth="1"/>
    <col min="5111" max="5111" width="13.5546875" style="324" customWidth="1"/>
    <col min="5112" max="5113" width="14.5546875" style="324" customWidth="1"/>
    <col min="5114" max="5354" width="8.88671875" style="324"/>
    <col min="5355" max="5355" width="5.6640625" style="324" customWidth="1"/>
    <col min="5356" max="5356" width="39.33203125" style="324" customWidth="1"/>
    <col min="5357" max="5357" width="11.88671875" style="324" customWidth="1"/>
    <col min="5358" max="5358" width="11.109375" style="324" customWidth="1"/>
    <col min="5359" max="5359" width="11.5546875" style="324" customWidth="1"/>
    <col min="5360" max="5360" width="12.44140625" style="324" customWidth="1"/>
    <col min="5361" max="5361" width="11.6640625" style="324" customWidth="1"/>
    <col min="5362" max="5363" width="11.88671875" style="324" customWidth="1"/>
    <col min="5364" max="5364" width="11.44140625" style="324" customWidth="1"/>
    <col min="5365" max="5365" width="12" style="324" customWidth="1"/>
    <col min="5366" max="5366" width="13.33203125" style="324" customWidth="1"/>
    <col min="5367" max="5367" width="13.5546875" style="324" customWidth="1"/>
    <col min="5368" max="5369" width="14.5546875" style="324" customWidth="1"/>
    <col min="5370" max="5610" width="8.88671875" style="324"/>
    <col min="5611" max="5611" width="5.6640625" style="324" customWidth="1"/>
    <col min="5612" max="5612" width="39.33203125" style="324" customWidth="1"/>
    <col min="5613" max="5613" width="11.88671875" style="324" customWidth="1"/>
    <col min="5614" max="5614" width="11.109375" style="324" customWidth="1"/>
    <col min="5615" max="5615" width="11.5546875" style="324" customWidth="1"/>
    <col min="5616" max="5616" width="12.44140625" style="324" customWidth="1"/>
    <col min="5617" max="5617" width="11.6640625" style="324" customWidth="1"/>
    <col min="5618" max="5619" width="11.88671875" style="324" customWidth="1"/>
    <col min="5620" max="5620" width="11.44140625" style="324" customWidth="1"/>
    <col min="5621" max="5621" width="12" style="324" customWidth="1"/>
    <col min="5622" max="5622" width="13.33203125" style="324" customWidth="1"/>
    <col min="5623" max="5623" width="13.5546875" style="324" customWidth="1"/>
    <col min="5624" max="5625" width="14.5546875" style="324" customWidth="1"/>
    <col min="5626" max="5866" width="8.88671875" style="324"/>
    <col min="5867" max="5867" width="5.6640625" style="324" customWidth="1"/>
    <col min="5868" max="5868" width="39.33203125" style="324" customWidth="1"/>
    <col min="5869" max="5869" width="11.88671875" style="324" customWidth="1"/>
    <col min="5870" max="5870" width="11.109375" style="324" customWidth="1"/>
    <col min="5871" max="5871" width="11.5546875" style="324" customWidth="1"/>
    <col min="5872" max="5872" width="12.44140625" style="324" customWidth="1"/>
    <col min="5873" max="5873" width="11.6640625" style="324" customWidth="1"/>
    <col min="5874" max="5875" width="11.88671875" style="324" customWidth="1"/>
    <col min="5876" max="5876" width="11.44140625" style="324" customWidth="1"/>
    <col min="5877" max="5877" width="12" style="324" customWidth="1"/>
    <col min="5878" max="5878" width="13.33203125" style="324" customWidth="1"/>
    <col min="5879" max="5879" width="13.5546875" style="324" customWidth="1"/>
    <col min="5880" max="5881" width="14.5546875" style="324" customWidth="1"/>
    <col min="5882" max="6122" width="8.88671875" style="324"/>
    <col min="6123" max="6123" width="5.6640625" style="324" customWidth="1"/>
    <col min="6124" max="6124" width="39.33203125" style="324" customWidth="1"/>
    <col min="6125" max="6125" width="11.88671875" style="324" customWidth="1"/>
    <col min="6126" max="6126" width="11.109375" style="324" customWidth="1"/>
    <col min="6127" max="6127" width="11.5546875" style="324" customWidth="1"/>
    <col min="6128" max="6128" width="12.44140625" style="324" customWidth="1"/>
    <col min="6129" max="6129" width="11.6640625" style="324" customWidth="1"/>
    <col min="6130" max="6131" width="11.88671875" style="324" customWidth="1"/>
    <col min="6132" max="6132" width="11.44140625" style="324" customWidth="1"/>
    <col min="6133" max="6133" width="12" style="324" customWidth="1"/>
    <col min="6134" max="6134" width="13.33203125" style="324" customWidth="1"/>
    <col min="6135" max="6135" width="13.5546875" style="324" customWidth="1"/>
    <col min="6136" max="6137" width="14.5546875" style="324" customWidth="1"/>
    <col min="6138" max="6378" width="8.88671875" style="324"/>
    <col min="6379" max="6379" width="5.6640625" style="324" customWidth="1"/>
    <col min="6380" max="6380" width="39.33203125" style="324" customWidth="1"/>
    <col min="6381" max="6381" width="11.88671875" style="324" customWidth="1"/>
    <col min="6382" max="6382" width="11.109375" style="324" customWidth="1"/>
    <col min="6383" max="6383" width="11.5546875" style="324" customWidth="1"/>
    <col min="6384" max="6384" width="12.44140625" style="324" customWidth="1"/>
    <col min="6385" max="6385" width="11.6640625" style="324" customWidth="1"/>
    <col min="6386" max="6387" width="11.88671875" style="324" customWidth="1"/>
    <col min="6388" max="6388" width="11.44140625" style="324" customWidth="1"/>
    <col min="6389" max="6389" width="12" style="324" customWidth="1"/>
    <col min="6390" max="6390" width="13.33203125" style="324" customWidth="1"/>
    <col min="6391" max="6391" width="13.5546875" style="324" customWidth="1"/>
    <col min="6392" max="6393" width="14.5546875" style="324" customWidth="1"/>
    <col min="6394" max="6634" width="8.88671875" style="324"/>
    <col min="6635" max="6635" width="5.6640625" style="324" customWidth="1"/>
    <col min="6636" max="6636" width="39.33203125" style="324" customWidth="1"/>
    <col min="6637" max="6637" width="11.88671875" style="324" customWidth="1"/>
    <col min="6638" max="6638" width="11.109375" style="324" customWidth="1"/>
    <col min="6639" max="6639" width="11.5546875" style="324" customWidth="1"/>
    <col min="6640" max="6640" width="12.44140625" style="324" customWidth="1"/>
    <col min="6641" max="6641" width="11.6640625" style="324" customWidth="1"/>
    <col min="6642" max="6643" width="11.88671875" style="324" customWidth="1"/>
    <col min="6644" max="6644" width="11.44140625" style="324" customWidth="1"/>
    <col min="6645" max="6645" width="12" style="324" customWidth="1"/>
    <col min="6646" max="6646" width="13.33203125" style="324" customWidth="1"/>
    <col min="6647" max="6647" width="13.5546875" style="324" customWidth="1"/>
    <col min="6648" max="6649" width="14.5546875" style="324" customWidth="1"/>
    <col min="6650" max="6890" width="8.88671875" style="324"/>
    <col min="6891" max="6891" width="5.6640625" style="324" customWidth="1"/>
    <col min="6892" max="6892" width="39.33203125" style="324" customWidth="1"/>
    <col min="6893" max="6893" width="11.88671875" style="324" customWidth="1"/>
    <col min="6894" max="6894" width="11.109375" style="324" customWidth="1"/>
    <col min="6895" max="6895" width="11.5546875" style="324" customWidth="1"/>
    <col min="6896" max="6896" width="12.44140625" style="324" customWidth="1"/>
    <col min="6897" max="6897" width="11.6640625" style="324" customWidth="1"/>
    <col min="6898" max="6899" width="11.88671875" style="324" customWidth="1"/>
    <col min="6900" max="6900" width="11.44140625" style="324" customWidth="1"/>
    <col min="6901" max="6901" width="12" style="324" customWidth="1"/>
    <col min="6902" max="6902" width="13.33203125" style="324" customWidth="1"/>
    <col min="6903" max="6903" width="13.5546875" style="324" customWidth="1"/>
    <col min="6904" max="6905" width="14.5546875" style="324" customWidth="1"/>
    <col min="6906" max="7146" width="8.88671875" style="324"/>
    <col min="7147" max="7147" width="5.6640625" style="324" customWidth="1"/>
    <col min="7148" max="7148" width="39.33203125" style="324" customWidth="1"/>
    <col min="7149" max="7149" width="11.88671875" style="324" customWidth="1"/>
    <col min="7150" max="7150" width="11.109375" style="324" customWidth="1"/>
    <col min="7151" max="7151" width="11.5546875" style="324" customWidth="1"/>
    <col min="7152" max="7152" width="12.44140625" style="324" customWidth="1"/>
    <col min="7153" max="7153" width="11.6640625" style="324" customWidth="1"/>
    <col min="7154" max="7155" width="11.88671875" style="324" customWidth="1"/>
    <col min="7156" max="7156" width="11.44140625" style="324" customWidth="1"/>
    <col min="7157" max="7157" width="12" style="324" customWidth="1"/>
    <col min="7158" max="7158" width="13.33203125" style="324" customWidth="1"/>
    <col min="7159" max="7159" width="13.5546875" style="324" customWidth="1"/>
    <col min="7160" max="7161" width="14.5546875" style="324" customWidth="1"/>
    <col min="7162" max="7402" width="8.88671875" style="324"/>
    <col min="7403" max="7403" width="5.6640625" style="324" customWidth="1"/>
    <col min="7404" max="7404" width="39.33203125" style="324" customWidth="1"/>
    <col min="7405" max="7405" width="11.88671875" style="324" customWidth="1"/>
    <col min="7406" max="7406" width="11.109375" style="324" customWidth="1"/>
    <col min="7407" max="7407" width="11.5546875" style="324" customWidth="1"/>
    <col min="7408" max="7408" width="12.44140625" style="324" customWidth="1"/>
    <col min="7409" max="7409" width="11.6640625" style="324" customWidth="1"/>
    <col min="7410" max="7411" width="11.88671875" style="324" customWidth="1"/>
    <col min="7412" max="7412" width="11.44140625" style="324" customWidth="1"/>
    <col min="7413" max="7413" width="12" style="324" customWidth="1"/>
    <col min="7414" max="7414" width="13.33203125" style="324" customWidth="1"/>
    <col min="7415" max="7415" width="13.5546875" style="324" customWidth="1"/>
    <col min="7416" max="7417" width="14.5546875" style="324" customWidth="1"/>
    <col min="7418" max="7658" width="8.88671875" style="324"/>
    <col min="7659" max="7659" width="5.6640625" style="324" customWidth="1"/>
    <col min="7660" max="7660" width="39.33203125" style="324" customWidth="1"/>
    <col min="7661" max="7661" width="11.88671875" style="324" customWidth="1"/>
    <col min="7662" max="7662" width="11.109375" style="324" customWidth="1"/>
    <col min="7663" max="7663" width="11.5546875" style="324" customWidth="1"/>
    <col min="7664" max="7664" width="12.44140625" style="324" customWidth="1"/>
    <col min="7665" max="7665" width="11.6640625" style="324" customWidth="1"/>
    <col min="7666" max="7667" width="11.88671875" style="324" customWidth="1"/>
    <col min="7668" max="7668" width="11.44140625" style="324" customWidth="1"/>
    <col min="7669" max="7669" width="12" style="324" customWidth="1"/>
    <col min="7670" max="7670" width="13.33203125" style="324" customWidth="1"/>
    <col min="7671" max="7671" width="13.5546875" style="324" customWidth="1"/>
    <col min="7672" max="7673" width="14.5546875" style="324" customWidth="1"/>
    <col min="7674" max="7914" width="8.88671875" style="324"/>
    <col min="7915" max="7915" width="5.6640625" style="324" customWidth="1"/>
    <col min="7916" max="7916" width="39.33203125" style="324" customWidth="1"/>
    <col min="7917" max="7917" width="11.88671875" style="324" customWidth="1"/>
    <col min="7918" max="7918" width="11.109375" style="324" customWidth="1"/>
    <col min="7919" max="7919" width="11.5546875" style="324" customWidth="1"/>
    <col min="7920" max="7920" width="12.44140625" style="324" customWidth="1"/>
    <col min="7921" max="7921" width="11.6640625" style="324" customWidth="1"/>
    <col min="7922" max="7923" width="11.88671875" style="324" customWidth="1"/>
    <col min="7924" max="7924" width="11.44140625" style="324" customWidth="1"/>
    <col min="7925" max="7925" width="12" style="324" customWidth="1"/>
    <col min="7926" max="7926" width="13.33203125" style="324" customWidth="1"/>
    <col min="7927" max="7927" width="13.5546875" style="324" customWidth="1"/>
    <col min="7928" max="7929" width="14.5546875" style="324" customWidth="1"/>
    <col min="7930" max="8170" width="8.88671875" style="324"/>
    <col min="8171" max="8171" width="5.6640625" style="324" customWidth="1"/>
    <col min="8172" max="8172" width="39.33203125" style="324" customWidth="1"/>
    <col min="8173" max="8173" width="11.88671875" style="324" customWidth="1"/>
    <col min="8174" max="8174" width="11.109375" style="324" customWidth="1"/>
    <col min="8175" max="8175" width="11.5546875" style="324" customWidth="1"/>
    <col min="8176" max="8176" width="12.44140625" style="324" customWidth="1"/>
    <col min="8177" max="8177" width="11.6640625" style="324" customWidth="1"/>
    <col min="8178" max="8179" width="11.88671875" style="324" customWidth="1"/>
    <col min="8180" max="8180" width="11.44140625" style="324" customWidth="1"/>
    <col min="8181" max="8181" width="12" style="324" customWidth="1"/>
    <col min="8182" max="8182" width="13.33203125" style="324" customWidth="1"/>
    <col min="8183" max="8183" width="13.5546875" style="324" customWidth="1"/>
    <col min="8184" max="8185" width="14.5546875" style="324" customWidth="1"/>
    <col min="8186" max="8426" width="8.88671875" style="324"/>
    <col min="8427" max="8427" width="5.6640625" style="324" customWidth="1"/>
    <col min="8428" max="8428" width="39.33203125" style="324" customWidth="1"/>
    <col min="8429" max="8429" width="11.88671875" style="324" customWidth="1"/>
    <col min="8430" max="8430" width="11.109375" style="324" customWidth="1"/>
    <col min="8431" max="8431" width="11.5546875" style="324" customWidth="1"/>
    <col min="8432" max="8432" width="12.44140625" style="324" customWidth="1"/>
    <col min="8433" max="8433" width="11.6640625" style="324" customWidth="1"/>
    <col min="8434" max="8435" width="11.88671875" style="324" customWidth="1"/>
    <col min="8436" max="8436" width="11.44140625" style="324" customWidth="1"/>
    <col min="8437" max="8437" width="12" style="324" customWidth="1"/>
    <col min="8438" max="8438" width="13.33203125" style="324" customWidth="1"/>
    <col min="8439" max="8439" width="13.5546875" style="324" customWidth="1"/>
    <col min="8440" max="8441" width="14.5546875" style="324" customWidth="1"/>
    <col min="8442" max="8682" width="8.88671875" style="324"/>
    <col min="8683" max="8683" width="5.6640625" style="324" customWidth="1"/>
    <col min="8684" max="8684" width="39.33203125" style="324" customWidth="1"/>
    <col min="8685" max="8685" width="11.88671875" style="324" customWidth="1"/>
    <col min="8686" max="8686" width="11.109375" style="324" customWidth="1"/>
    <col min="8687" max="8687" width="11.5546875" style="324" customWidth="1"/>
    <col min="8688" max="8688" width="12.44140625" style="324" customWidth="1"/>
    <col min="8689" max="8689" width="11.6640625" style="324" customWidth="1"/>
    <col min="8690" max="8691" width="11.88671875" style="324" customWidth="1"/>
    <col min="8692" max="8692" width="11.44140625" style="324" customWidth="1"/>
    <col min="8693" max="8693" width="12" style="324" customWidth="1"/>
    <col min="8694" max="8694" width="13.33203125" style="324" customWidth="1"/>
    <col min="8695" max="8695" width="13.5546875" style="324" customWidth="1"/>
    <col min="8696" max="8697" width="14.5546875" style="324" customWidth="1"/>
    <col min="8698" max="8938" width="8.88671875" style="324"/>
    <col min="8939" max="8939" width="5.6640625" style="324" customWidth="1"/>
    <col min="8940" max="8940" width="39.33203125" style="324" customWidth="1"/>
    <col min="8941" max="8941" width="11.88671875" style="324" customWidth="1"/>
    <col min="8942" max="8942" width="11.109375" style="324" customWidth="1"/>
    <col min="8943" max="8943" width="11.5546875" style="324" customWidth="1"/>
    <col min="8944" max="8944" width="12.44140625" style="324" customWidth="1"/>
    <col min="8945" max="8945" width="11.6640625" style="324" customWidth="1"/>
    <col min="8946" max="8947" width="11.88671875" style="324" customWidth="1"/>
    <col min="8948" max="8948" width="11.44140625" style="324" customWidth="1"/>
    <col min="8949" max="8949" width="12" style="324" customWidth="1"/>
    <col min="8950" max="8950" width="13.33203125" style="324" customWidth="1"/>
    <col min="8951" max="8951" width="13.5546875" style="324" customWidth="1"/>
    <col min="8952" max="8953" width="14.5546875" style="324" customWidth="1"/>
    <col min="8954" max="9194" width="8.88671875" style="324"/>
    <col min="9195" max="9195" width="5.6640625" style="324" customWidth="1"/>
    <col min="9196" max="9196" width="39.33203125" style="324" customWidth="1"/>
    <col min="9197" max="9197" width="11.88671875" style="324" customWidth="1"/>
    <col min="9198" max="9198" width="11.109375" style="324" customWidth="1"/>
    <col min="9199" max="9199" width="11.5546875" style="324" customWidth="1"/>
    <col min="9200" max="9200" width="12.44140625" style="324" customWidth="1"/>
    <col min="9201" max="9201" width="11.6640625" style="324" customWidth="1"/>
    <col min="9202" max="9203" width="11.88671875" style="324" customWidth="1"/>
    <col min="9204" max="9204" width="11.44140625" style="324" customWidth="1"/>
    <col min="9205" max="9205" width="12" style="324" customWidth="1"/>
    <col min="9206" max="9206" width="13.33203125" style="324" customWidth="1"/>
    <col min="9207" max="9207" width="13.5546875" style="324" customWidth="1"/>
    <col min="9208" max="9209" width="14.5546875" style="324" customWidth="1"/>
    <col min="9210" max="9450" width="8.88671875" style="324"/>
    <col min="9451" max="9451" width="5.6640625" style="324" customWidth="1"/>
    <col min="9452" max="9452" width="39.33203125" style="324" customWidth="1"/>
    <col min="9453" max="9453" width="11.88671875" style="324" customWidth="1"/>
    <col min="9454" max="9454" width="11.109375" style="324" customWidth="1"/>
    <col min="9455" max="9455" width="11.5546875" style="324" customWidth="1"/>
    <col min="9456" max="9456" width="12.44140625" style="324" customWidth="1"/>
    <col min="9457" max="9457" width="11.6640625" style="324" customWidth="1"/>
    <col min="9458" max="9459" width="11.88671875" style="324" customWidth="1"/>
    <col min="9460" max="9460" width="11.44140625" style="324" customWidth="1"/>
    <col min="9461" max="9461" width="12" style="324" customWidth="1"/>
    <col min="9462" max="9462" width="13.33203125" style="324" customWidth="1"/>
    <col min="9463" max="9463" width="13.5546875" style="324" customWidth="1"/>
    <col min="9464" max="9465" width="14.5546875" style="324" customWidth="1"/>
    <col min="9466" max="9706" width="8.88671875" style="324"/>
    <col min="9707" max="9707" width="5.6640625" style="324" customWidth="1"/>
    <col min="9708" max="9708" width="39.33203125" style="324" customWidth="1"/>
    <col min="9709" max="9709" width="11.88671875" style="324" customWidth="1"/>
    <col min="9710" max="9710" width="11.109375" style="324" customWidth="1"/>
    <col min="9711" max="9711" width="11.5546875" style="324" customWidth="1"/>
    <col min="9712" max="9712" width="12.44140625" style="324" customWidth="1"/>
    <col min="9713" max="9713" width="11.6640625" style="324" customWidth="1"/>
    <col min="9714" max="9715" width="11.88671875" style="324" customWidth="1"/>
    <col min="9716" max="9716" width="11.44140625" style="324" customWidth="1"/>
    <col min="9717" max="9717" width="12" style="324" customWidth="1"/>
    <col min="9718" max="9718" width="13.33203125" style="324" customWidth="1"/>
    <col min="9719" max="9719" width="13.5546875" style="324" customWidth="1"/>
    <col min="9720" max="9721" width="14.5546875" style="324" customWidth="1"/>
    <col min="9722" max="9962" width="8.88671875" style="324"/>
    <col min="9963" max="9963" width="5.6640625" style="324" customWidth="1"/>
    <col min="9964" max="9964" width="39.33203125" style="324" customWidth="1"/>
    <col min="9965" max="9965" width="11.88671875" style="324" customWidth="1"/>
    <col min="9966" max="9966" width="11.109375" style="324" customWidth="1"/>
    <col min="9967" max="9967" width="11.5546875" style="324" customWidth="1"/>
    <col min="9968" max="9968" width="12.44140625" style="324" customWidth="1"/>
    <col min="9969" max="9969" width="11.6640625" style="324" customWidth="1"/>
    <col min="9970" max="9971" width="11.88671875" style="324" customWidth="1"/>
    <col min="9972" max="9972" width="11.44140625" style="324" customWidth="1"/>
    <col min="9973" max="9973" width="12" style="324" customWidth="1"/>
    <col min="9974" max="9974" width="13.33203125" style="324" customWidth="1"/>
    <col min="9975" max="9975" width="13.5546875" style="324" customWidth="1"/>
    <col min="9976" max="9977" width="14.5546875" style="324" customWidth="1"/>
    <col min="9978" max="10218" width="8.88671875" style="324"/>
    <col min="10219" max="10219" width="5.6640625" style="324" customWidth="1"/>
    <col min="10220" max="10220" width="39.33203125" style="324" customWidth="1"/>
    <col min="10221" max="10221" width="11.88671875" style="324" customWidth="1"/>
    <col min="10222" max="10222" width="11.109375" style="324" customWidth="1"/>
    <col min="10223" max="10223" width="11.5546875" style="324" customWidth="1"/>
    <col min="10224" max="10224" width="12.44140625" style="324" customWidth="1"/>
    <col min="10225" max="10225" width="11.6640625" style="324" customWidth="1"/>
    <col min="10226" max="10227" width="11.88671875" style="324" customWidth="1"/>
    <col min="10228" max="10228" width="11.44140625" style="324" customWidth="1"/>
    <col min="10229" max="10229" width="12" style="324" customWidth="1"/>
    <col min="10230" max="10230" width="13.33203125" style="324" customWidth="1"/>
    <col min="10231" max="10231" width="13.5546875" style="324" customWidth="1"/>
    <col min="10232" max="10233" width="14.5546875" style="324" customWidth="1"/>
    <col min="10234" max="10474" width="8.88671875" style="324"/>
    <col min="10475" max="10475" width="5.6640625" style="324" customWidth="1"/>
    <col min="10476" max="10476" width="39.33203125" style="324" customWidth="1"/>
    <col min="10477" max="10477" width="11.88671875" style="324" customWidth="1"/>
    <col min="10478" max="10478" width="11.109375" style="324" customWidth="1"/>
    <col min="10479" max="10479" width="11.5546875" style="324" customWidth="1"/>
    <col min="10480" max="10480" width="12.44140625" style="324" customWidth="1"/>
    <col min="10481" max="10481" width="11.6640625" style="324" customWidth="1"/>
    <col min="10482" max="10483" width="11.88671875" style="324" customWidth="1"/>
    <col min="10484" max="10484" width="11.44140625" style="324" customWidth="1"/>
    <col min="10485" max="10485" width="12" style="324" customWidth="1"/>
    <col min="10486" max="10486" width="13.33203125" style="324" customWidth="1"/>
    <col min="10487" max="10487" width="13.5546875" style="324" customWidth="1"/>
    <col min="10488" max="10489" width="14.5546875" style="324" customWidth="1"/>
    <col min="10490" max="10730" width="8.88671875" style="324"/>
    <col min="10731" max="10731" width="5.6640625" style="324" customWidth="1"/>
    <col min="10732" max="10732" width="39.33203125" style="324" customWidth="1"/>
    <col min="10733" max="10733" width="11.88671875" style="324" customWidth="1"/>
    <col min="10734" max="10734" width="11.109375" style="324" customWidth="1"/>
    <col min="10735" max="10735" width="11.5546875" style="324" customWidth="1"/>
    <col min="10736" max="10736" width="12.44140625" style="324" customWidth="1"/>
    <col min="10737" max="10737" width="11.6640625" style="324" customWidth="1"/>
    <col min="10738" max="10739" width="11.88671875" style="324" customWidth="1"/>
    <col min="10740" max="10740" width="11.44140625" style="324" customWidth="1"/>
    <col min="10741" max="10741" width="12" style="324" customWidth="1"/>
    <col min="10742" max="10742" width="13.33203125" style="324" customWidth="1"/>
    <col min="10743" max="10743" width="13.5546875" style="324" customWidth="1"/>
    <col min="10744" max="10745" width="14.5546875" style="324" customWidth="1"/>
    <col min="10746" max="10986" width="8.88671875" style="324"/>
    <col min="10987" max="10987" width="5.6640625" style="324" customWidth="1"/>
    <col min="10988" max="10988" width="39.33203125" style="324" customWidth="1"/>
    <col min="10989" max="10989" width="11.88671875" style="324" customWidth="1"/>
    <col min="10990" max="10990" width="11.109375" style="324" customWidth="1"/>
    <col min="10991" max="10991" width="11.5546875" style="324" customWidth="1"/>
    <col min="10992" max="10992" width="12.44140625" style="324" customWidth="1"/>
    <col min="10993" max="10993" width="11.6640625" style="324" customWidth="1"/>
    <col min="10994" max="10995" width="11.88671875" style="324" customWidth="1"/>
    <col min="10996" max="10996" width="11.44140625" style="324" customWidth="1"/>
    <col min="10997" max="10997" width="12" style="324" customWidth="1"/>
    <col min="10998" max="10998" width="13.33203125" style="324" customWidth="1"/>
    <col min="10999" max="10999" width="13.5546875" style="324" customWidth="1"/>
    <col min="11000" max="11001" width="14.5546875" style="324" customWidth="1"/>
    <col min="11002" max="11242" width="8.88671875" style="324"/>
    <col min="11243" max="11243" width="5.6640625" style="324" customWidth="1"/>
    <col min="11244" max="11244" width="39.33203125" style="324" customWidth="1"/>
    <col min="11245" max="11245" width="11.88671875" style="324" customWidth="1"/>
    <col min="11246" max="11246" width="11.109375" style="324" customWidth="1"/>
    <col min="11247" max="11247" width="11.5546875" style="324" customWidth="1"/>
    <col min="11248" max="11248" width="12.44140625" style="324" customWidth="1"/>
    <col min="11249" max="11249" width="11.6640625" style="324" customWidth="1"/>
    <col min="11250" max="11251" width="11.88671875" style="324" customWidth="1"/>
    <col min="11252" max="11252" width="11.44140625" style="324" customWidth="1"/>
    <col min="11253" max="11253" width="12" style="324" customWidth="1"/>
    <col min="11254" max="11254" width="13.33203125" style="324" customWidth="1"/>
    <col min="11255" max="11255" width="13.5546875" style="324" customWidth="1"/>
    <col min="11256" max="11257" width="14.5546875" style="324" customWidth="1"/>
    <col min="11258" max="11498" width="8.88671875" style="324"/>
    <col min="11499" max="11499" width="5.6640625" style="324" customWidth="1"/>
    <col min="11500" max="11500" width="39.33203125" style="324" customWidth="1"/>
    <col min="11501" max="11501" width="11.88671875" style="324" customWidth="1"/>
    <col min="11502" max="11502" width="11.109375" style="324" customWidth="1"/>
    <col min="11503" max="11503" width="11.5546875" style="324" customWidth="1"/>
    <col min="11504" max="11504" width="12.44140625" style="324" customWidth="1"/>
    <col min="11505" max="11505" width="11.6640625" style="324" customWidth="1"/>
    <col min="11506" max="11507" width="11.88671875" style="324" customWidth="1"/>
    <col min="11508" max="11508" width="11.44140625" style="324" customWidth="1"/>
    <col min="11509" max="11509" width="12" style="324" customWidth="1"/>
    <col min="11510" max="11510" width="13.33203125" style="324" customWidth="1"/>
    <col min="11511" max="11511" width="13.5546875" style="324" customWidth="1"/>
    <col min="11512" max="11513" width="14.5546875" style="324" customWidth="1"/>
    <col min="11514" max="11754" width="8.88671875" style="324"/>
    <col min="11755" max="11755" width="5.6640625" style="324" customWidth="1"/>
    <col min="11756" max="11756" width="39.33203125" style="324" customWidth="1"/>
    <col min="11757" max="11757" width="11.88671875" style="324" customWidth="1"/>
    <col min="11758" max="11758" width="11.109375" style="324" customWidth="1"/>
    <col min="11759" max="11759" width="11.5546875" style="324" customWidth="1"/>
    <col min="11760" max="11760" width="12.44140625" style="324" customWidth="1"/>
    <col min="11761" max="11761" width="11.6640625" style="324" customWidth="1"/>
    <col min="11762" max="11763" width="11.88671875" style="324" customWidth="1"/>
    <col min="11764" max="11764" width="11.44140625" style="324" customWidth="1"/>
    <col min="11765" max="11765" width="12" style="324" customWidth="1"/>
    <col min="11766" max="11766" width="13.33203125" style="324" customWidth="1"/>
    <col min="11767" max="11767" width="13.5546875" style="324" customWidth="1"/>
    <col min="11768" max="11769" width="14.5546875" style="324" customWidth="1"/>
    <col min="11770" max="12010" width="8.88671875" style="324"/>
    <col min="12011" max="12011" width="5.6640625" style="324" customWidth="1"/>
    <col min="12012" max="12012" width="39.33203125" style="324" customWidth="1"/>
    <col min="12013" max="12013" width="11.88671875" style="324" customWidth="1"/>
    <col min="12014" max="12014" width="11.109375" style="324" customWidth="1"/>
    <col min="12015" max="12015" width="11.5546875" style="324" customWidth="1"/>
    <col min="12016" max="12016" width="12.44140625" style="324" customWidth="1"/>
    <col min="12017" max="12017" width="11.6640625" style="324" customWidth="1"/>
    <col min="12018" max="12019" width="11.88671875" style="324" customWidth="1"/>
    <col min="12020" max="12020" width="11.44140625" style="324" customWidth="1"/>
    <col min="12021" max="12021" width="12" style="324" customWidth="1"/>
    <col min="12022" max="12022" width="13.33203125" style="324" customWidth="1"/>
    <col min="12023" max="12023" width="13.5546875" style="324" customWidth="1"/>
    <col min="12024" max="12025" width="14.5546875" style="324" customWidth="1"/>
    <col min="12026" max="12266" width="8.88671875" style="324"/>
    <col min="12267" max="12267" width="5.6640625" style="324" customWidth="1"/>
    <col min="12268" max="12268" width="39.33203125" style="324" customWidth="1"/>
    <col min="12269" max="12269" width="11.88671875" style="324" customWidth="1"/>
    <col min="12270" max="12270" width="11.109375" style="324" customWidth="1"/>
    <col min="12271" max="12271" width="11.5546875" style="324" customWidth="1"/>
    <col min="12272" max="12272" width="12.44140625" style="324" customWidth="1"/>
    <col min="12273" max="12273" width="11.6640625" style="324" customWidth="1"/>
    <col min="12274" max="12275" width="11.88671875" style="324" customWidth="1"/>
    <col min="12276" max="12276" width="11.44140625" style="324" customWidth="1"/>
    <col min="12277" max="12277" width="12" style="324" customWidth="1"/>
    <col min="12278" max="12278" width="13.33203125" style="324" customWidth="1"/>
    <col min="12279" max="12279" width="13.5546875" style="324" customWidth="1"/>
    <col min="12280" max="12281" width="14.5546875" style="324" customWidth="1"/>
    <col min="12282" max="12522" width="8.88671875" style="324"/>
    <col min="12523" max="12523" width="5.6640625" style="324" customWidth="1"/>
    <col min="12524" max="12524" width="39.33203125" style="324" customWidth="1"/>
    <col min="12525" max="12525" width="11.88671875" style="324" customWidth="1"/>
    <col min="12526" max="12526" width="11.109375" style="324" customWidth="1"/>
    <col min="12527" max="12527" width="11.5546875" style="324" customWidth="1"/>
    <col min="12528" max="12528" width="12.44140625" style="324" customWidth="1"/>
    <col min="12529" max="12529" width="11.6640625" style="324" customWidth="1"/>
    <col min="12530" max="12531" width="11.88671875" style="324" customWidth="1"/>
    <col min="12532" max="12532" width="11.44140625" style="324" customWidth="1"/>
    <col min="12533" max="12533" width="12" style="324" customWidth="1"/>
    <col min="12534" max="12534" width="13.33203125" style="324" customWidth="1"/>
    <col min="12535" max="12535" width="13.5546875" style="324" customWidth="1"/>
    <col min="12536" max="12537" width="14.5546875" style="324" customWidth="1"/>
    <col min="12538" max="12778" width="8.88671875" style="324"/>
    <col min="12779" max="12779" width="5.6640625" style="324" customWidth="1"/>
    <col min="12780" max="12780" width="39.33203125" style="324" customWidth="1"/>
    <col min="12781" max="12781" width="11.88671875" style="324" customWidth="1"/>
    <col min="12782" max="12782" width="11.109375" style="324" customWidth="1"/>
    <col min="12783" max="12783" width="11.5546875" style="324" customWidth="1"/>
    <col min="12784" max="12784" width="12.44140625" style="324" customWidth="1"/>
    <col min="12785" max="12785" width="11.6640625" style="324" customWidth="1"/>
    <col min="12786" max="12787" width="11.88671875" style="324" customWidth="1"/>
    <col min="12788" max="12788" width="11.44140625" style="324" customWidth="1"/>
    <col min="12789" max="12789" width="12" style="324" customWidth="1"/>
    <col min="12790" max="12790" width="13.33203125" style="324" customWidth="1"/>
    <col min="12791" max="12791" width="13.5546875" style="324" customWidth="1"/>
    <col min="12792" max="12793" width="14.5546875" style="324" customWidth="1"/>
    <col min="12794" max="13034" width="8.88671875" style="324"/>
    <col min="13035" max="13035" width="5.6640625" style="324" customWidth="1"/>
    <col min="13036" max="13036" width="39.33203125" style="324" customWidth="1"/>
    <col min="13037" max="13037" width="11.88671875" style="324" customWidth="1"/>
    <col min="13038" max="13038" width="11.109375" style="324" customWidth="1"/>
    <col min="13039" max="13039" width="11.5546875" style="324" customWidth="1"/>
    <col min="13040" max="13040" width="12.44140625" style="324" customWidth="1"/>
    <col min="13041" max="13041" width="11.6640625" style="324" customWidth="1"/>
    <col min="13042" max="13043" width="11.88671875" style="324" customWidth="1"/>
    <col min="13044" max="13044" width="11.44140625" style="324" customWidth="1"/>
    <col min="13045" max="13045" width="12" style="324" customWidth="1"/>
    <col min="13046" max="13046" width="13.33203125" style="324" customWidth="1"/>
    <col min="13047" max="13047" width="13.5546875" style="324" customWidth="1"/>
    <col min="13048" max="13049" width="14.5546875" style="324" customWidth="1"/>
    <col min="13050" max="13290" width="8.88671875" style="324"/>
    <col min="13291" max="13291" width="5.6640625" style="324" customWidth="1"/>
    <col min="13292" max="13292" width="39.33203125" style="324" customWidth="1"/>
    <col min="13293" max="13293" width="11.88671875" style="324" customWidth="1"/>
    <col min="13294" max="13294" width="11.109375" style="324" customWidth="1"/>
    <col min="13295" max="13295" width="11.5546875" style="324" customWidth="1"/>
    <col min="13296" max="13296" width="12.44140625" style="324" customWidth="1"/>
    <col min="13297" max="13297" width="11.6640625" style="324" customWidth="1"/>
    <col min="13298" max="13299" width="11.88671875" style="324" customWidth="1"/>
    <col min="13300" max="13300" width="11.44140625" style="324" customWidth="1"/>
    <col min="13301" max="13301" width="12" style="324" customWidth="1"/>
    <col min="13302" max="13302" width="13.33203125" style="324" customWidth="1"/>
    <col min="13303" max="13303" width="13.5546875" style="324" customWidth="1"/>
    <col min="13304" max="13305" width="14.5546875" style="324" customWidth="1"/>
    <col min="13306" max="13546" width="8.88671875" style="324"/>
    <col min="13547" max="13547" width="5.6640625" style="324" customWidth="1"/>
    <col min="13548" max="13548" width="39.33203125" style="324" customWidth="1"/>
    <col min="13549" max="13549" width="11.88671875" style="324" customWidth="1"/>
    <col min="13550" max="13550" width="11.109375" style="324" customWidth="1"/>
    <col min="13551" max="13551" width="11.5546875" style="324" customWidth="1"/>
    <col min="13552" max="13552" width="12.44140625" style="324" customWidth="1"/>
    <col min="13553" max="13553" width="11.6640625" style="324" customWidth="1"/>
    <col min="13554" max="13555" width="11.88671875" style="324" customWidth="1"/>
    <col min="13556" max="13556" width="11.44140625" style="324" customWidth="1"/>
    <col min="13557" max="13557" width="12" style="324" customWidth="1"/>
    <col min="13558" max="13558" width="13.33203125" style="324" customWidth="1"/>
    <col min="13559" max="13559" width="13.5546875" style="324" customWidth="1"/>
    <col min="13560" max="13561" width="14.5546875" style="324" customWidth="1"/>
    <col min="13562" max="13802" width="8.88671875" style="324"/>
    <col min="13803" max="13803" width="5.6640625" style="324" customWidth="1"/>
    <col min="13804" max="13804" width="39.33203125" style="324" customWidth="1"/>
    <col min="13805" max="13805" width="11.88671875" style="324" customWidth="1"/>
    <col min="13806" max="13806" width="11.109375" style="324" customWidth="1"/>
    <col min="13807" max="13807" width="11.5546875" style="324" customWidth="1"/>
    <col min="13808" max="13808" width="12.44140625" style="324" customWidth="1"/>
    <col min="13809" max="13809" width="11.6640625" style="324" customWidth="1"/>
    <col min="13810" max="13811" width="11.88671875" style="324" customWidth="1"/>
    <col min="13812" max="13812" width="11.44140625" style="324" customWidth="1"/>
    <col min="13813" max="13813" width="12" style="324" customWidth="1"/>
    <col min="13814" max="13814" width="13.33203125" style="324" customWidth="1"/>
    <col min="13815" max="13815" width="13.5546875" style="324" customWidth="1"/>
    <col min="13816" max="13817" width="14.5546875" style="324" customWidth="1"/>
    <col min="13818" max="14058" width="8.88671875" style="324"/>
    <col min="14059" max="14059" width="5.6640625" style="324" customWidth="1"/>
    <col min="14060" max="14060" width="39.33203125" style="324" customWidth="1"/>
    <col min="14061" max="14061" width="11.88671875" style="324" customWidth="1"/>
    <col min="14062" max="14062" width="11.109375" style="324" customWidth="1"/>
    <col min="14063" max="14063" width="11.5546875" style="324" customWidth="1"/>
    <col min="14064" max="14064" width="12.44140625" style="324" customWidth="1"/>
    <col min="14065" max="14065" width="11.6640625" style="324" customWidth="1"/>
    <col min="14066" max="14067" width="11.88671875" style="324" customWidth="1"/>
    <col min="14068" max="14068" width="11.44140625" style="324" customWidth="1"/>
    <col min="14069" max="14069" width="12" style="324" customWidth="1"/>
    <col min="14070" max="14070" width="13.33203125" style="324" customWidth="1"/>
    <col min="14071" max="14071" width="13.5546875" style="324" customWidth="1"/>
    <col min="14072" max="14073" width="14.5546875" style="324" customWidth="1"/>
    <col min="14074" max="14314" width="8.88671875" style="324"/>
    <col min="14315" max="14315" width="5.6640625" style="324" customWidth="1"/>
    <col min="14316" max="14316" width="39.33203125" style="324" customWidth="1"/>
    <col min="14317" max="14317" width="11.88671875" style="324" customWidth="1"/>
    <col min="14318" max="14318" width="11.109375" style="324" customWidth="1"/>
    <col min="14319" max="14319" width="11.5546875" style="324" customWidth="1"/>
    <col min="14320" max="14320" width="12.44140625" style="324" customWidth="1"/>
    <col min="14321" max="14321" width="11.6640625" style="324" customWidth="1"/>
    <col min="14322" max="14323" width="11.88671875" style="324" customWidth="1"/>
    <col min="14324" max="14324" width="11.44140625" style="324" customWidth="1"/>
    <col min="14325" max="14325" width="12" style="324" customWidth="1"/>
    <col min="14326" max="14326" width="13.33203125" style="324" customWidth="1"/>
    <col min="14327" max="14327" width="13.5546875" style="324" customWidth="1"/>
    <col min="14328" max="14329" width="14.5546875" style="324" customWidth="1"/>
    <col min="14330" max="14570" width="8.88671875" style="324"/>
    <col min="14571" max="14571" width="5.6640625" style="324" customWidth="1"/>
    <col min="14572" max="14572" width="39.33203125" style="324" customWidth="1"/>
    <col min="14573" max="14573" width="11.88671875" style="324" customWidth="1"/>
    <col min="14574" max="14574" width="11.109375" style="324" customWidth="1"/>
    <col min="14575" max="14575" width="11.5546875" style="324" customWidth="1"/>
    <col min="14576" max="14576" width="12.44140625" style="324" customWidth="1"/>
    <col min="14577" max="14577" width="11.6640625" style="324" customWidth="1"/>
    <col min="14578" max="14579" width="11.88671875" style="324" customWidth="1"/>
    <col min="14580" max="14580" width="11.44140625" style="324" customWidth="1"/>
    <col min="14581" max="14581" width="12" style="324" customWidth="1"/>
    <col min="14582" max="14582" width="13.33203125" style="324" customWidth="1"/>
    <col min="14583" max="14583" width="13.5546875" style="324" customWidth="1"/>
    <col min="14584" max="14585" width="14.5546875" style="324" customWidth="1"/>
    <col min="14586" max="14826" width="8.88671875" style="324"/>
    <col min="14827" max="14827" width="5.6640625" style="324" customWidth="1"/>
    <col min="14828" max="14828" width="39.33203125" style="324" customWidth="1"/>
    <col min="14829" max="14829" width="11.88671875" style="324" customWidth="1"/>
    <col min="14830" max="14830" width="11.109375" style="324" customWidth="1"/>
    <col min="14831" max="14831" width="11.5546875" style="324" customWidth="1"/>
    <col min="14832" max="14832" width="12.44140625" style="324" customWidth="1"/>
    <col min="14833" max="14833" width="11.6640625" style="324" customWidth="1"/>
    <col min="14834" max="14835" width="11.88671875" style="324" customWidth="1"/>
    <col min="14836" max="14836" width="11.44140625" style="324" customWidth="1"/>
    <col min="14837" max="14837" width="12" style="324" customWidth="1"/>
    <col min="14838" max="14838" width="13.33203125" style="324" customWidth="1"/>
    <col min="14839" max="14839" width="13.5546875" style="324" customWidth="1"/>
    <col min="14840" max="14841" width="14.5546875" style="324" customWidth="1"/>
    <col min="14842" max="15082" width="8.88671875" style="324"/>
    <col min="15083" max="15083" width="5.6640625" style="324" customWidth="1"/>
    <col min="15084" max="15084" width="39.33203125" style="324" customWidth="1"/>
    <col min="15085" max="15085" width="11.88671875" style="324" customWidth="1"/>
    <col min="15086" max="15086" width="11.109375" style="324" customWidth="1"/>
    <col min="15087" max="15087" width="11.5546875" style="324" customWidth="1"/>
    <col min="15088" max="15088" width="12.44140625" style="324" customWidth="1"/>
    <col min="15089" max="15089" width="11.6640625" style="324" customWidth="1"/>
    <col min="15090" max="15091" width="11.88671875" style="324" customWidth="1"/>
    <col min="15092" max="15092" width="11.44140625" style="324" customWidth="1"/>
    <col min="15093" max="15093" width="12" style="324" customWidth="1"/>
    <col min="15094" max="15094" width="13.33203125" style="324" customWidth="1"/>
    <col min="15095" max="15095" width="13.5546875" style="324" customWidth="1"/>
    <col min="15096" max="15097" width="14.5546875" style="324" customWidth="1"/>
    <col min="15098" max="15338" width="8.88671875" style="324"/>
    <col min="15339" max="15339" width="5.6640625" style="324" customWidth="1"/>
    <col min="15340" max="15340" width="39.33203125" style="324" customWidth="1"/>
    <col min="15341" max="15341" width="11.88671875" style="324" customWidth="1"/>
    <col min="15342" max="15342" width="11.109375" style="324" customWidth="1"/>
    <col min="15343" max="15343" width="11.5546875" style="324" customWidth="1"/>
    <col min="15344" max="15344" width="12.44140625" style="324" customWidth="1"/>
    <col min="15345" max="15345" width="11.6640625" style="324" customWidth="1"/>
    <col min="15346" max="15347" width="11.88671875" style="324" customWidth="1"/>
    <col min="15348" max="15348" width="11.44140625" style="324" customWidth="1"/>
    <col min="15349" max="15349" width="12" style="324" customWidth="1"/>
    <col min="15350" max="15350" width="13.33203125" style="324" customWidth="1"/>
    <col min="15351" max="15351" width="13.5546875" style="324" customWidth="1"/>
    <col min="15352" max="15353" width="14.5546875" style="324" customWidth="1"/>
    <col min="15354" max="15594" width="8.88671875" style="324"/>
    <col min="15595" max="15595" width="5.6640625" style="324" customWidth="1"/>
    <col min="15596" max="15596" width="39.33203125" style="324" customWidth="1"/>
    <col min="15597" max="15597" width="11.88671875" style="324" customWidth="1"/>
    <col min="15598" max="15598" width="11.109375" style="324" customWidth="1"/>
    <col min="15599" max="15599" width="11.5546875" style="324" customWidth="1"/>
    <col min="15600" max="15600" width="12.44140625" style="324" customWidth="1"/>
    <col min="15601" max="15601" width="11.6640625" style="324" customWidth="1"/>
    <col min="15602" max="15603" width="11.88671875" style="324" customWidth="1"/>
    <col min="15604" max="15604" width="11.44140625" style="324" customWidth="1"/>
    <col min="15605" max="15605" width="12" style="324" customWidth="1"/>
    <col min="15606" max="15606" width="13.33203125" style="324" customWidth="1"/>
    <col min="15607" max="15607" width="13.5546875" style="324" customWidth="1"/>
    <col min="15608" max="15609" width="14.5546875" style="324" customWidth="1"/>
    <col min="15610" max="15850" width="8.88671875" style="324"/>
    <col min="15851" max="15851" width="5.6640625" style="324" customWidth="1"/>
    <col min="15852" max="15852" width="39.33203125" style="324" customWidth="1"/>
    <col min="15853" max="15853" width="11.88671875" style="324" customWidth="1"/>
    <col min="15854" max="15854" width="11.109375" style="324" customWidth="1"/>
    <col min="15855" max="15855" width="11.5546875" style="324" customWidth="1"/>
    <col min="15856" max="15856" width="12.44140625" style="324" customWidth="1"/>
    <col min="15857" max="15857" width="11.6640625" style="324" customWidth="1"/>
    <col min="15858" max="15859" width="11.88671875" style="324" customWidth="1"/>
    <col min="15860" max="15860" width="11.44140625" style="324" customWidth="1"/>
    <col min="15861" max="15861" width="12" style="324" customWidth="1"/>
    <col min="15862" max="15862" width="13.33203125" style="324" customWidth="1"/>
    <col min="15863" max="15863" width="13.5546875" style="324" customWidth="1"/>
    <col min="15864" max="15865" width="14.5546875" style="324" customWidth="1"/>
    <col min="15866" max="16106" width="8.88671875" style="324"/>
    <col min="16107" max="16107" width="5.6640625" style="324" customWidth="1"/>
    <col min="16108" max="16108" width="39.33203125" style="324" customWidth="1"/>
    <col min="16109" max="16109" width="11.88671875" style="324" customWidth="1"/>
    <col min="16110" max="16110" width="11.109375" style="324" customWidth="1"/>
    <col min="16111" max="16111" width="11.5546875" style="324" customWidth="1"/>
    <col min="16112" max="16112" width="12.44140625" style="324" customWidth="1"/>
    <col min="16113" max="16113" width="11.6640625" style="324" customWidth="1"/>
    <col min="16114" max="16115" width="11.88671875" style="324" customWidth="1"/>
    <col min="16116" max="16116" width="11.44140625" style="324" customWidth="1"/>
    <col min="16117" max="16117" width="12" style="324" customWidth="1"/>
    <col min="16118" max="16118" width="13.33203125" style="324" customWidth="1"/>
    <col min="16119" max="16119" width="13.5546875" style="324" customWidth="1"/>
    <col min="16120" max="16121" width="14.5546875" style="324" customWidth="1"/>
    <col min="16122" max="16384" width="8.88671875" style="324"/>
  </cols>
  <sheetData>
    <row r="1" spans="1:14">
      <c r="A1" s="320"/>
      <c r="B1" s="1578" t="s">
        <v>69</v>
      </c>
      <c r="C1" s="321"/>
      <c r="D1" s="594"/>
      <c r="E1" s="322"/>
      <c r="F1" s="322"/>
      <c r="G1" s="323"/>
      <c r="H1" s="323"/>
      <c r="I1" s="323"/>
      <c r="J1" s="3093" t="s">
        <v>93</v>
      </c>
      <c r="K1" s="3050"/>
      <c r="L1" s="3050"/>
      <c r="M1" s="3050"/>
    </row>
    <row r="2" spans="1:14">
      <c r="A2" s="320"/>
      <c r="B2" s="527"/>
      <c r="C2" s="326"/>
      <c r="D2" s="594"/>
      <c r="E2" s="322"/>
      <c r="F2" s="322"/>
      <c r="G2" s="323"/>
      <c r="H2" s="323"/>
      <c r="I2" s="323"/>
      <c r="J2" s="3050"/>
      <c r="K2" s="3050"/>
      <c r="L2" s="3050"/>
      <c r="M2" s="3050"/>
    </row>
    <row r="3" spans="1:14">
      <c r="A3" s="320"/>
      <c r="B3" s="527"/>
      <c r="C3" s="326"/>
      <c r="D3" s="322"/>
      <c r="E3" s="322"/>
      <c r="F3" s="322"/>
      <c r="G3" s="323"/>
      <c r="H3" s="323"/>
      <c r="I3" s="323"/>
      <c r="J3" s="401"/>
      <c r="K3" s="401"/>
      <c r="L3" s="401"/>
      <c r="M3" s="401"/>
    </row>
    <row r="4" spans="1:14">
      <c r="A4" s="3094" t="s">
        <v>381</v>
      </c>
      <c r="B4" s="3094"/>
      <c r="C4" s="3094"/>
      <c r="D4" s="3094"/>
      <c r="E4" s="3094"/>
      <c r="F4" s="3094"/>
      <c r="G4" s="3094"/>
      <c r="H4" s="3094"/>
      <c r="I4" s="3094"/>
      <c r="J4" s="3094"/>
      <c r="K4" s="3094"/>
      <c r="L4" s="3094"/>
      <c r="M4" s="3094"/>
      <c r="N4" s="3094"/>
    </row>
    <row r="5" spans="1:14">
      <c r="A5" s="3095" t="s">
        <v>376</v>
      </c>
      <c r="B5" s="3095"/>
      <c r="C5" s="3095"/>
      <c r="D5" s="3095"/>
      <c r="E5" s="3095"/>
      <c r="F5" s="3095"/>
      <c r="G5" s="3095"/>
      <c r="H5" s="3095"/>
      <c r="I5" s="3095"/>
      <c r="J5" s="3095"/>
      <c r="K5" s="3095"/>
      <c r="L5" s="3095"/>
      <c r="M5" s="3095"/>
      <c r="N5" s="3095"/>
    </row>
    <row r="6" spans="1:14" ht="16.2">
      <c r="A6" s="534"/>
      <c r="B6" s="535"/>
      <c r="C6" s="534"/>
      <c r="D6" s="596"/>
      <c r="E6" s="534"/>
      <c r="F6" s="534"/>
      <c r="G6" s="534"/>
      <c r="H6" s="534"/>
      <c r="I6" s="534"/>
      <c r="J6" s="534"/>
      <c r="K6" s="534"/>
      <c r="L6" s="3054" t="s">
        <v>179</v>
      </c>
      <c r="M6" s="3054"/>
      <c r="N6" s="3054"/>
    </row>
    <row r="7" spans="1:14">
      <c r="A7" s="3084" t="s">
        <v>49</v>
      </c>
      <c r="B7" s="3085" t="s">
        <v>0</v>
      </c>
      <c r="C7" s="3086" t="s">
        <v>380</v>
      </c>
      <c r="D7" s="3085" t="s">
        <v>181</v>
      </c>
      <c r="E7" s="3085"/>
      <c r="F7" s="3085"/>
      <c r="G7" s="3085"/>
      <c r="H7" s="3085"/>
      <c r="I7" s="3085"/>
      <c r="J7" s="3085"/>
      <c r="K7" s="3085"/>
      <c r="L7" s="3085"/>
      <c r="M7" s="3085"/>
      <c r="N7" s="3085"/>
    </row>
    <row r="8" spans="1:14" s="322" customFormat="1">
      <c r="A8" s="3084"/>
      <c r="B8" s="3085"/>
      <c r="C8" s="3087"/>
      <c r="D8" s="3089" t="s">
        <v>377</v>
      </c>
      <c r="E8" s="3085" t="s">
        <v>378</v>
      </c>
      <c r="F8" s="3085"/>
      <c r="G8" s="3085"/>
      <c r="H8" s="3085"/>
      <c r="I8" s="3085"/>
      <c r="J8" s="3085"/>
      <c r="K8" s="3085"/>
      <c r="L8" s="3085"/>
      <c r="M8" s="3085"/>
      <c r="N8" s="3085"/>
    </row>
    <row r="9" spans="1:14" s="322" customFormat="1">
      <c r="A9" s="3084"/>
      <c r="B9" s="3085"/>
      <c r="C9" s="3087"/>
      <c r="D9" s="3090"/>
      <c r="E9" s="3086" t="s">
        <v>379</v>
      </c>
      <c r="F9" s="3085" t="s">
        <v>184</v>
      </c>
      <c r="G9" s="3085"/>
      <c r="H9" s="3085"/>
      <c r="I9" s="3085"/>
      <c r="J9" s="3085"/>
      <c r="K9" s="3085"/>
      <c r="L9" s="3085"/>
      <c r="M9" s="3085"/>
      <c r="N9" s="3085"/>
    </row>
    <row r="10" spans="1:14" s="320" customFormat="1" ht="46.8">
      <c r="A10" s="3084"/>
      <c r="B10" s="3085"/>
      <c r="C10" s="3088"/>
      <c r="D10" s="3091"/>
      <c r="E10" s="3092"/>
      <c r="F10" s="536" t="s">
        <v>185</v>
      </c>
      <c r="G10" s="536" t="s">
        <v>186</v>
      </c>
      <c r="H10" s="537" t="s">
        <v>42</v>
      </c>
      <c r="I10" s="538" t="s">
        <v>187</v>
      </c>
      <c r="J10" s="539" t="s">
        <v>188</v>
      </c>
      <c r="K10" s="538" t="s">
        <v>189</v>
      </c>
      <c r="L10" s="539" t="s">
        <v>190</v>
      </c>
      <c r="M10" s="538" t="s">
        <v>191</v>
      </c>
      <c r="N10" s="538" t="s">
        <v>192</v>
      </c>
    </row>
    <row r="11" spans="1:14" s="543" customFormat="1">
      <c r="A11" s="540" t="s">
        <v>80</v>
      </c>
      <c r="B11" s="541" t="s">
        <v>81</v>
      </c>
      <c r="C11" s="542" t="s">
        <v>193</v>
      </c>
      <c r="D11" s="542">
        <v>2</v>
      </c>
      <c r="E11" s="542" t="s">
        <v>194</v>
      </c>
      <c r="F11" s="542">
        <v>4</v>
      </c>
      <c r="G11" s="542">
        <v>5</v>
      </c>
      <c r="H11" s="542">
        <v>6</v>
      </c>
      <c r="I11" s="542">
        <v>7</v>
      </c>
      <c r="J11" s="542">
        <v>8</v>
      </c>
      <c r="K11" s="542">
        <v>9</v>
      </c>
      <c r="L11" s="542">
        <v>10</v>
      </c>
      <c r="M11" s="542">
        <v>11</v>
      </c>
      <c r="N11" s="542">
        <v>12</v>
      </c>
    </row>
    <row r="12" spans="1:14" s="543" customFormat="1">
      <c r="A12" s="544" t="s">
        <v>80</v>
      </c>
      <c r="B12" s="545" t="s">
        <v>374</v>
      </c>
      <c r="C12" s="341">
        <f>SUM(C14,C85,C98,C99)</f>
        <v>9481526</v>
      </c>
      <c r="D12" s="341">
        <f t="shared" ref="D12:N12" si="0">SUM(D14,D85,D98,D99)</f>
        <v>5122321</v>
      </c>
      <c r="E12" s="341">
        <f t="shared" si="0"/>
        <v>4359205</v>
      </c>
      <c r="F12" s="341">
        <f t="shared" si="0"/>
        <v>411802</v>
      </c>
      <c r="G12" s="341">
        <f t="shared" si="0"/>
        <v>244601</v>
      </c>
      <c r="H12" s="341">
        <f t="shared" si="0"/>
        <v>705031</v>
      </c>
      <c r="I12" s="341">
        <f t="shared" si="0"/>
        <v>572465</v>
      </c>
      <c r="J12" s="341">
        <f t="shared" si="0"/>
        <v>551791</v>
      </c>
      <c r="K12" s="341">
        <f t="shared" si="0"/>
        <v>343874</v>
      </c>
      <c r="L12" s="341">
        <f t="shared" si="0"/>
        <v>431892</v>
      </c>
      <c r="M12" s="341">
        <f t="shared" si="0"/>
        <v>431412</v>
      </c>
      <c r="N12" s="341">
        <f t="shared" si="0"/>
        <v>567292</v>
      </c>
    </row>
    <row r="13" spans="1:14" s="543" customFormat="1">
      <c r="A13" s="546" t="s">
        <v>81</v>
      </c>
      <c r="B13" s="547" t="s">
        <v>375</v>
      </c>
      <c r="C13" s="344">
        <f t="shared" ref="C13:N13" si="1">C12-C101</f>
        <v>9166448</v>
      </c>
      <c r="D13" s="344">
        <f t="shared" si="1"/>
        <v>4824643</v>
      </c>
      <c r="E13" s="344">
        <f t="shared" si="1"/>
        <v>4341805</v>
      </c>
      <c r="F13" s="344">
        <f t="shared" si="1"/>
        <v>407802</v>
      </c>
      <c r="G13" s="344">
        <f t="shared" si="1"/>
        <v>242501</v>
      </c>
      <c r="H13" s="344">
        <f t="shared" si="1"/>
        <v>704231</v>
      </c>
      <c r="I13" s="344">
        <f t="shared" si="1"/>
        <v>571265</v>
      </c>
      <c r="J13" s="344">
        <f t="shared" si="1"/>
        <v>550491</v>
      </c>
      <c r="K13" s="344">
        <f t="shared" si="1"/>
        <v>342474</v>
      </c>
      <c r="L13" s="344">
        <f t="shared" si="1"/>
        <v>429292</v>
      </c>
      <c r="M13" s="344">
        <f t="shared" si="1"/>
        <v>429912</v>
      </c>
      <c r="N13" s="344">
        <f t="shared" si="1"/>
        <v>564792</v>
      </c>
    </row>
    <row r="14" spans="1:14" s="543" customFormat="1">
      <c r="A14" s="1568" t="s">
        <v>54</v>
      </c>
      <c r="B14" s="1569" t="s">
        <v>197</v>
      </c>
      <c r="C14" s="1570">
        <f>D14+E14</f>
        <v>3771800</v>
      </c>
      <c r="D14" s="1570">
        <f t="shared" ref="D14:N14" si="2">D17+D32+D39+D58+D59+D62+D63+D67+D68+D69+D70+D71+D72+D73+D76+D77+D82+D83+D84</f>
        <v>3192200</v>
      </c>
      <c r="E14" s="1570">
        <f t="shared" si="2"/>
        <v>579600</v>
      </c>
      <c r="F14" s="1570">
        <f t="shared" si="2"/>
        <v>195900</v>
      </c>
      <c r="G14" s="1570">
        <f t="shared" si="2"/>
        <v>68000</v>
      </c>
      <c r="H14" s="1570">
        <f t="shared" si="2"/>
        <v>51000</v>
      </c>
      <c r="I14" s="1570">
        <f t="shared" si="2"/>
        <v>42200</v>
      </c>
      <c r="J14" s="1570">
        <f t="shared" si="2"/>
        <v>62500</v>
      </c>
      <c r="K14" s="1570">
        <f t="shared" si="2"/>
        <v>27400</v>
      </c>
      <c r="L14" s="1570">
        <f t="shared" si="2"/>
        <v>43500</v>
      </c>
      <c r="M14" s="1570">
        <f t="shared" si="2"/>
        <v>31900</v>
      </c>
      <c r="N14" s="1570">
        <f t="shared" si="2"/>
        <v>57200</v>
      </c>
    </row>
    <row r="15" spans="1:14" s="543" customFormat="1">
      <c r="A15" s="546"/>
      <c r="B15" s="547" t="s">
        <v>128</v>
      </c>
      <c r="C15" s="524">
        <f>D15+E15</f>
        <v>3456722</v>
      </c>
      <c r="D15" s="524">
        <f>D14-D101</f>
        <v>2894522</v>
      </c>
      <c r="E15" s="524">
        <f>SUM(F15:N15)</f>
        <v>562200</v>
      </c>
      <c r="F15" s="524">
        <f t="shared" ref="F15:N15" si="3">F14-F101</f>
        <v>191900</v>
      </c>
      <c r="G15" s="524">
        <f t="shared" si="3"/>
        <v>65900</v>
      </c>
      <c r="H15" s="524">
        <f t="shared" si="3"/>
        <v>50200</v>
      </c>
      <c r="I15" s="524">
        <f t="shared" si="3"/>
        <v>41000</v>
      </c>
      <c r="J15" s="524">
        <f t="shared" si="3"/>
        <v>61200</v>
      </c>
      <c r="K15" s="524">
        <f t="shared" si="3"/>
        <v>26000</v>
      </c>
      <c r="L15" s="524">
        <f t="shared" si="3"/>
        <v>40900</v>
      </c>
      <c r="M15" s="524">
        <f t="shared" si="3"/>
        <v>30400</v>
      </c>
      <c r="N15" s="524">
        <f t="shared" si="3"/>
        <v>54700</v>
      </c>
    </row>
    <row r="16" spans="1:14" s="543" customFormat="1" ht="31.2">
      <c r="A16" s="546"/>
      <c r="B16" s="547" t="s">
        <v>382</v>
      </c>
      <c r="C16" s="524">
        <f>D16+E16</f>
        <v>2356722</v>
      </c>
      <c r="D16" s="524">
        <f>D15-D70-D72</f>
        <v>1847322</v>
      </c>
      <c r="E16" s="524">
        <f>E15-E70-E72</f>
        <v>509400</v>
      </c>
      <c r="F16" s="524">
        <f>F15-F70-F72</f>
        <v>161900</v>
      </c>
      <c r="G16" s="524">
        <f t="shared" ref="G16:N16" si="4">G15-G70-G72</f>
        <v>62400</v>
      </c>
      <c r="H16" s="524">
        <f t="shared" si="4"/>
        <v>47700</v>
      </c>
      <c r="I16" s="524">
        <f t="shared" si="4"/>
        <v>39300</v>
      </c>
      <c r="J16" s="524">
        <f t="shared" si="4"/>
        <v>56700</v>
      </c>
      <c r="K16" s="524">
        <f t="shared" si="4"/>
        <v>25400</v>
      </c>
      <c r="L16" s="524">
        <f t="shared" si="4"/>
        <v>37400</v>
      </c>
      <c r="M16" s="524">
        <f t="shared" si="4"/>
        <v>27900</v>
      </c>
      <c r="N16" s="524">
        <f t="shared" si="4"/>
        <v>50700</v>
      </c>
    </row>
    <row r="17" spans="1:14" s="348" customFormat="1">
      <c r="A17" s="548">
        <v>1</v>
      </c>
      <c r="B17" s="549" t="s">
        <v>199</v>
      </c>
      <c r="C17" s="524">
        <f>D17+E17</f>
        <v>993800</v>
      </c>
      <c r="D17" s="347">
        <f t="shared" ref="D17:N17" si="5">D18+D25</f>
        <v>993800</v>
      </c>
      <c r="E17" s="347">
        <f t="shared" si="5"/>
        <v>0</v>
      </c>
      <c r="F17" s="347">
        <f t="shared" si="5"/>
        <v>0</v>
      </c>
      <c r="G17" s="347">
        <f t="shared" si="5"/>
        <v>0</v>
      </c>
      <c r="H17" s="347">
        <f t="shared" si="5"/>
        <v>0</v>
      </c>
      <c r="I17" s="347">
        <f t="shared" si="5"/>
        <v>0</v>
      </c>
      <c r="J17" s="347">
        <f t="shared" si="5"/>
        <v>0</v>
      </c>
      <c r="K17" s="347">
        <f t="shared" si="5"/>
        <v>0</v>
      </c>
      <c r="L17" s="347">
        <f t="shared" si="5"/>
        <v>0</v>
      </c>
      <c r="M17" s="347">
        <f t="shared" si="5"/>
        <v>0</v>
      </c>
      <c r="N17" s="347">
        <f t="shared" si="5"/>
        <v>0</v>
      </c>
    </row>
    <row r="18" spans="1:14" s="552" customFormat="1" ht="16.2">
      <c r="A18" s="550" t="s">
        <v>200</v>
      </c>
      <c r="B18" s="551" t="s">
        <v>201</v>
      </c>
      <c r="C18" s="524">
        <f>D18+E18</f>
        <v>925800</v>
      </c>
      <c r="D18" s="351">
        <v>925800</v>
      </c>
      <c r="E18" s="351">
        <f t="shared" ref="E18:N18" si="6">E19+E20+E21+E22+E23+E24</f>
        <v>0</v>
      </c>
      <c r="F18" s="351">
        <f t="shared" si="6"/>
        <v>0</v>
      </c>
      <c r="G18" s="351">
        <f t="shared" si="6"/>
        <v>0</v>
      </c>
      <c r="H18" s="351">
        <f t="shared" si="6"/>
        <v>0</v>
      </c>
      <c r="I18" s="351">
        <f t="shared" si="6"/>
        <v>0</v>
      </c>
      <c r="J18" s="351">
        <f t="shared" si="6"/>
        <v>0</v>
      </c>
      <c r="K18" s="351">
        <f t="shared" si="6"/>
        <v>0</v>
      </c>
      <c r="L18" s="351">
        <f t="shared" si="6"/>
        <v>0</v>
      </c>
      <c r="M18" s="351">
        <f t="shared" si="6"/>
        <v>0</v>
      </c>
      <c r="N18" s="351">
        <f t="shared" si="6"/>
        <v>0</v>
      </c>
    </row>
    <row r="19" spans="1:14" s="543" customFormat="1">
      <c r="A19" s="553"/>
      <c r="B19" s="554" t="s">
        <v>202</v>
      </c>
      <c r="C19" s="581">
        <f t="shared" ref="C19:C24" si="7">D19+E19</f>
        <v>735500</v>
      </c>
      <c r="D19" s="355">
        <v>735500</v>
      </c>
      <c r="E19" s="355"/>
      <c r="F19" s="355"/>
      <c r="G19" s="355"/>
      <c r="H19" s="355"/>
      <c r="I19" s="355"/>
      <c r="J19" s="355"/>
      <c r="K19" s="355"/>
      <c r="L19" s="355"/>
      <c r="M19" s="355"/>
      <c r="N19" s="355"/>
    </row>
    <row r="20" spans="1:14" s="543" customFormat="1">
      <c r="A20" s="553"/>
      <c r="B20" s="554" t="s">
        <v>203</v>
      </c>
      <c r="C20" s="581">
        <f t="shared" si="7"/>
        <v>0</v>
      </c>
      <c r="D20" s="355">
        <v>0</v>
      </c>
      <c r="E20" s="355"/>
      <c r="F20" s="355"/>
      <c r="G20" s="355"/>
      <c r="H20" s="355"/>
      <c r="I20" s="355"/>
      <c r="J20" s="355"/>
      <c r="K20" s="355"/>
      <c r="L20" s="355"/>
      <c r="M20" s="355"/>
      <c r="N20" s="355"/>
    </row>
    <row r="21" spans="1:14" s="543" customFormat="1">
      <c r="A21" s="553"/>
      <c r="B21" s="554" t="s">
        <v>204</v>
      </c>
      <c r="C21" s="581">
        <f t="shared" si="7"/>
        <v>189800</v>
      </c>
      <c r="D21" s="355">
        <v>189800</v>
      </c>
      <c r="E21" s="355"/>
      <c r="F21" s="355"/>
      <c r="G21" s="355"/>
      <c r="H21" s="355"/>
      <c r="I21" s="355"/>
      <c r="J21" s="355"/>
      <c r="K21" s="355"/>
      <c r="L21" s="355"/>
      <c r="M21" s="355"/>
      <c r="N21" s="355"/>
    </row>
    <row r="22" spans="1:14" s="543" customFormat="1">
      <c r="A22" s="553"/>
      <c r="B22" s="554" t="s">
        <v>205</v>
      </c>
      <c r="C22" s="581">
        <f t="shared" si="7"/>
        <v>500</v>
      </c>
      <c r="D22" s="355">
        <v>500</v>
      </c>
      <c r="E22" s="355"/>
      <c r="F22" s="355"/>
      <c r="G22" s="355"/>
      <c r="H22" s="355"/>
      <c r="I22" s="355"/>
      <c r="J22" s="355"/>
      <c r="K22" s="355"/>
      <c r="L22" s="355"/>
      <c r="M22" s="355"/>
      <c r="N22" s="355"/>
    </row>
    <row r="23" spans="1:14" s="543" customFormat="1">
      <c r="A23" s="553"/>
      <c r="B23" s="554" t="s">
        <v>206</v>
      </c>
      <c r="C23" s="581">
        <f t="shared" si="7"/>
        <v>0</v>
      </c>
      <c r="D23" s="355">
        <v>0</v>
      </c>
      <c r="E23" s="355"/>
      <c r="F23" s="355"/>
      <c r="G23" s="355"/>
      <c r="H23" s="355"/>
      <c r="I23" s="355"/>
      <c r="J23" s="355"/>
      <c r="K23" s="355"/>
      <c r="L23" s="355"/>
      <c r="M23" s="355"/>
      <c r="N23" s="355"/>
    </row>
    <row r="24" spans="1:14" s="543" customFormat="1">
      <c r="A24" s="553"/>
      <c r="B24" s="554" t="s">
        <v>207</v>
      </c>
      <c r="C24" s="581">
        <f t="shared" si="7"/>
        <v>0</v>
      </c>
      <c r="D24" s="355">
        <v>0</v>
      </c>
      <c r="E24" s="355"/>
      <c r="F24" s="355"/>
      <c r="G24" s="355"/>
      <c r="H24" s="355"/>
      <c r="I24" s="355"/>
      <c r="J24" s="355"/>
      <c r="K24" s="355"/>
      <c r="L24" s="355"/>
      <c r="M24" s="355"/>
      <c r="N24" s="355"/>
    </row>
    <row r="25" spans="1:14" s="552" customFormat="1" ht="16.2">
      <c r="A25" s="550" t="s">
        <v>208</v>
      </c>
      <c r="B25" s="551" t="s">
        <v>209</v>
      </c>
      <c r="C25" s="351">
        <f>D25+E25</f>
        <v>68000</v>
      </c>
      <c r="D25" s="351">
        <f t="shared" ref="D25:N25" si="8">D26+D27+D28+D29+D30+D31</f>
        <v>68000</v>
      </c>
      <c r="E25" s="351">
        <f t="shared" si="8"/>
        <v>0</v>
      </c>
      <c r="F25" s="351">
        <f t="shared" si="8"/>
        <v>0</v>
      </c>
      <c r="G25" s="351">
        <f t="shared" si="8"/>
        <v>0</v>
      </c>
      <c r="H25" s="351">
        <f t="shared" si="8"/>
        <v>0</v>
      </c>
      <c r="I25" s="351">
        <f t="shared" si="8"/>
        <v>0</v>
      </c>
      <c r="J25" s="351">
        <f t="shared" si="8"/>
        <v>0</v>
      </c>
      <c r="K25" s="351">
        <f t="shared" si="8"/>
        <v>0</v>
      </c>
      <c r="L25" s="351">
        <f t="shared" si="8"/>
        <v>0</v>
      </c>
      <c r="M25" s="351">
        <f t="shared" si="8"/>
        <v>0</v>
      </c>
      <c r="N25" s="351">
        <f t="shared" si="8"/>
        <v>0</v>
      </c>
    </row>
    <row r="26" spans="1:14" s="543" customFormat="1">
      <c r="A26" s="553"/>
      <c r="B26" s="554" t="s">
        <v>202</v>
      </c>
      <c r="C26" s="366">
        <f t="shared" ref="C26:C31" si="9">D26+E26</f>
        <v>36390</v>
      </c>
      <c r="D26" s="356">
        <v>36390</v>
      </c>
      <c r="E26" s="555"/>
      <c r="F26" s="555"/>
      <c r="G26" s="555"/>
      <c r="H26" s="555"/>
      <c r="I26" s="555"/>
      <c r="J26" s="555"/>
      <c r="K26" s="555"/>
      <c r="L26" s="555"/>
      <c r="M26" s="555"/>
      <c r="N26" s="555"/>
    </row>
    <row r="27" spans="1:14" s="543" customFormat="1">
      <c r="A27" s="553"/>
      <c r="B27" s="554" t="s">
        <v>203</v>
      </c>
      <c r="C27" s="366">
        <f t="shared" si="9"/>
        <v>110</v>
      </c>
      <c r="D27" s="356">
        <v>110</v>
      </c>
      <c r="E27" s="555"/>
      <c r="F27" s="555"/>
      <c r="G27" s="555"/>
      <c r="H27" s="555"/>
      <c r="I27" s="555"/>
      <c r="J27" s="555"/>
      <c r="K27" s="555"/>
      <c r="L27" s="555"/>
      <c r="M27" s="555"/>
      <c r="N27" s="555"/>
    </row>
    <row r="28" spans="1:14" s="543" customFormat="1">
      <c r="A28" s="553"/>
      <c r="B28" s="554" t="s">
        <v>204</v>
      </c>
      <c r="C28" s="366">
        <f t="shared" si="9"/>
        <v>25800</v>
      </c>
      <c r="D28" s="356">
        <v>25800</v>
      </c>
      <c r="E28" s="555"/>
      <c r="F28" s="555"/>
      <c r="G28" s="555"/>
      <c r="H28" s="555"/>
      <c r="I28" s="555"/>
      <c r="J28" s="555"/>
      <c r="K28" s="555"/>
      <c r="L28" s="555"/>
      <c r="M28" s="555"/>
      <c r="N28" s="555"/>
    </row>
    <row r="29" spans="1:14" s="543" customFormat="1">
      <c r="A29" s="553"/>
      <c r="B29" s="554" t="s">
        <v>205</v>
      </c>
      <c r="C29" s="366">
        <f t="shared" si="9"/>
        <v>5700</v>
      </c>
      <c r="D29" s="356">
        <v>5700</v>
      </c>
      <c r="E29" s="555"/>
      <c r="F29" s="555"/>
      <c r="G29" s="555"/>
      <c r="H29" s="555"/>
      <c r="I29" s="555"/>
      <c r="J29" s="555"/>
      <c r="K29" s="555"/>
      <c r="L29" s="555"/>
      <c r="M29" s="555"/>
      <c r="N29" s="555"/>
    </row>
    <row r="30" spans="1:14" s="543" customFormat="1">
      <c r="A30" s="553"/>
      <c r="B30" s="554" t="s">
        <v>206</v>
      </c>
      <c r="C30" s="366">
        <f t="shared" si="9"/>
        <v>0</v>
      </c>
      <c r="D30" s="556">
        <v>0</v>
      </c>
      <c r="E30" s="555"/>
      <c r="F30" s="555"/>
      <c r="G30" s="555"/>
      <c r="H30" s="555"/>
      <c r="I30" s="555"/>
      <c r="J30" s="555"/>
      <c r="K30" s="555"/>
      <c r="L30" s="555"/>
      <c r="M30" s="555"/>
      <c r="N30" s="555"/>
    </row>
    <row r="31" spans="1:14" s="543" customFormat="1">
      <c r="A31" s="553"/>
      <c r="B31" s="554" t="s">
        <v>207</v>
      </c>
      <c r="C31" s="366">
        <f t="shared" si="9"/>
        <v>0</v>
      </c>
      <c r="D31" s="556">
        <v>0</v>
      </c>
      <c r="E31" s="555"/>
      <c r="F31" s="555"/>
      <c r="G31" s="555"/>
      <c r="H31" s="555"/>
      <c r="I31" s="555"/>
      <c r="J31" s="555"/>
      <c r="K31" s="555"/>
      <c r="L31" s="555"/>
      <c r="M31" s="555"/>
      <c r="N31" s="555"/>
    </row>
    <row r="32" spans="1:14" s="552" customFormat="1" ht="16.2">
      <c r="A32" s="550">
        <v>2</v>
      </c>
      <c r="B32" s="551" t="s">
        <v>210</v>
      </c>
      <c r="C32" s="351">
        <f>D32+E32</f>
        <v>232000</v>
      </c>
      <c r="D32" s="351">
        <f t="shared" ref="D32:N32" si="10">D33+D34+D35+D36+D37+D38</f>
        <v>232000</v>
      </c>
      <c r="E32" s="351">
        <f t="shared" si="10"/>
        <v>0</v>
      </c>
      <c r="F32" s="351">
        <f t="shared" si="10"/>
        <v>0</v>
      </c>
      <c r="G32" s="351">
        <f t="shared" si="10"/>
        <v>0</v>
      </c>
      <c r="H32" s="351">
        <f t="shared" si="10"/>
        <v>0</v>
      </c>
      <c r="I32" s="351">
        <f t="shared" si="10"/>
        <v>0</v>
      </c>
      <c r="J32" s="351">
        <f t="shared" si="10"/>
        <v>0</v>
      </c>
      <c r="K32" s="351">
        <f t="shared" si="10"/>
        <v>0</v>
      </c>
      <c r="L32" s="351">
        <f t="shared" si="10"/>
        <v>0</v>
      </c>
      <c r="M32" s="351">
        <f t="shared" si="10"/>
        <v>0</v>
      </c>
      <c r="N32" s="351">
        <f t="shared" si="10"/>
        <v>0</v>
      </c>
    </row>
    <row r="33" spans="1:14" s="543" customFormat="1">
      <c r="A33" s="553"/>
      <c r="B33" s="554" t="s">
        <v>202</v>
      </c>
      <c r="C33" s="366">
        <f t="shared" ref="C33:C38" si="11">D33+E33</f>
        <v>104800</v>
      </c>
      <c r="D33" s="355">
        <v>104800</v>
      </c>
      <c r="E33" s="555"/>
      <c r="F33" s="555"/>
      <c r="G33" s="555"/>
      <c r="H33" s="555"/>
      <c r="I33" s="555"/>
      <c r="J33" s="555"/>
      <c r="K33" s="555"/>
      <c r="L33" s="555"/>
      <c r="M33" s="555"/>
      <c r="N33" s="555"/>
    </row>
    <row r="34" spans="1:14" s="543" customFormat="1">
      <c r="A34" s="553"/>
      <c r="B34" s="554" t="s">
        <v>203</v>
      </c>
      <c r="C34" s="366">
        <f t="shared" si="11"/>
        <v>0</v>
      </c>
      <c r="D34" s="355">
        <v>0</v>
      </c>
      <c r="E34" s="555"/>
      <c r="F34" s="555"/>
      <c r="G34" s="555"/>
      <c r="H34" s="555"/>
      <c r="I34" s="555"/>
      <c r="J34" s="555"/>
      <c r="K34" s="555"/>
      <c r="L34" s="555"/>
      <c r="M34" s="555"/>
      <c r="N34" s="555"/>
    </row>
    <row r="35" spans="1:14" s="543" customFormat="1">
      <c r="A35" s="553"/>
      <c r="B35" s="554" t="s">
        <v>204</v>
      </c>
      <c r="C35" s="366">
        <f t="shared" si="11"/>
        <v>127000</v>
      </c>
      <c r="D35" s="355">
        <v>127000</v>
      </c>
      <c r="E35" s="555"/>
      <c r="F35" s="555"/>
      <c r="G35" s="555"/>
      <c r="H35" s="555"/>
      <c r="I35" s="555"/>
      <c r="J35" s="555"/>
      <c r="K35" s="555"/>
      <c r="L35" s="555"/>
      <c r="M35" s="555"/>
      <c r="N35" s="555"/>
    </row>
    <row r="36" spans="1:14" s="543" customFormat="1">
      <c r="A36" s="553"/>
      <c r="B36" s="554" t="s">
        <v>205</v>
      </c>
      <c r="C36" s="366">
        <f t="shared" si="11"/>
        <v>200</v>
      </c>
      <c r="D36" s="355">
        <v>200</v>
      </c>
      <c r="E36" s="555"/>
      <c r="F36" s="555"/>
      <c r="G36" s="555"/>
      <c r="H36" s="555"/>
      <c r="I36" s="555"/>
      <c r="J36" s="555"/>
      <c r="K36" s="555"/>
      <c r="L36" s="555"/>
      <c r="M36" s="555"/>
      <c r="N36" s="555"/>
    </row>
    <row r="37" spans="1:14" s="543" customFormat="1">
      <c r="A37" s="553"/>
      <c r="B37" s="554" t="s">
        <v>206</v>
      </c>
      <c r="C37" s="366">
        <f t="shared" si="11"/>
        <v>0</v>
      </c>
      <c r="D37" s="355">
        <v>0</v>
      </c>
      <c r="E37" s="555"/>
      <c r="F37" s="555"/>
      <c r="G37" s="555"/>
      <c r="H37" s="555"/>
      <c r="I37" s="555"/>
      <c r="J37" s="555"/>
      <c r="K37" s="555"/>
      <c r="L37" s="555"/>
      <c r="M37" s="555"/>
      <c r="N37" s="555"/>
    </row>
    <row r="38" spans="1:14">
      <c r="A38" s="553"/>
      <c r="B38" s="554" t="s">
        <v>207</v>
      </c>
      <c r="C38" s="366">
        <f t="shared" si="11"/>
        <v>0</v>
      </c>
      <c r="D38" s="355">
        <v>0</v>
      </c>
      <c r="E38" s="555"/>
      <c r="F38" s="555"/>
      <c r="G38" s="555"/>
      <c r="H38" s="555"/>
      <c r="I38" s="555"/>
      <c r="J38" s="555"/>
      <c r="K38" s="555"/>
      <c r="L38" s="555"/>
      <c r="M38" s="555"/>
      <c r="N38" s="555"/>
    </row>
    <row r="39" spans="1:14" s="348" customFormat="1">
      <c r="A39" s="548">
        <v>3</v>
      </c>
      <c r="B39" s="549" t="s">
        <v>211</v>
      </c>
      <c r="C39" s="347">
        <f>D39+E39</f>
        <v>350000</v>
      </c>
      <c r="D39" s="347">
        <f>SUM(D40:D45)</f>
        <v>112710</v>
      </c>
      <c r="E39" s="347">
        <f>SUM(F39:N39)</f>
        <v>237290</v>
      </c>
      <c r="F39" s="347">
        <f t="shared" ref="F39:N39" si="12">SUM(F40:F45)</f>
        <v>78500</v>
      </c>
      <c r="G39" s="347">
        <f t="shared" si="12"/>
        <v>41700</v>
      </c>
      <c r="H39" s="347">
        <f t="shared" si="12"/>
        <v>21000</v>
      </c>
      <c r="I39" s="347">
        <f t="shared" si="12"/>
        <v>15500</v>
      </c>
      <c r="J39" s="347">
        <f t="shared" si="12"/>
        <v>25000</v>
      </c>
      <c r="K39" s="347">
        <f t="shared" si="12"/>
        <v>11490</v>
      </c>
      <c r="L39" s="347">
        <f t="shared" si="12"/>
        <v>15500</v>
      </c>
      <c r="M39" s="347">
        <f t="shared" si="12"/>
        <v>8900</v>
      </c>
      <c r="N39" s="347">
        <f t="shared" si="12"/>
        <v>19700</v>
      </c>
    </row>
    <row r="40" spans="1:14">
      <c r="A40" s="553"/>
      <c r="B40" s="554" t="s">
        <v>202</v>
      </c>
      <c r="C40" s="359">
        <f>D40+E40</f>
        <v>266700</v>
      </c>
      <c r="D40" s="359">
        <f>D47+D54</f>
        <v>54812</v>
      </c>
      <c r="E40" s="355">
        <f t="shared" ref="E40:E83" si="13">SUM(F40:N40)</f>
        <v>211888</v>
      </c>
      <c r="F40" s="359">
        <f t="shared" ref="F40:N41" si="14">F47+F54</f>
        <v>68400</v>
      </c>
      <c r="G40" s="359">
        <f t="shared" si="14"/>
        <v>39635</v>
      </c>
      <c r="H40" s="359">
        <f t="shared" si="14"/>
        <v>19470</v>
      </c>
      <c r="I40" s="359">
        <f t="shared" si="14"/>
        <v>13785</v>
      </c>
      <c r="J40" s="359">
        <f t="shared" si="14"/>
        <v>21100</v>
      </c>
      <c r="K40" s="359">
        <f t="shared" si="14"/>
        <v>11028</v>
      </c>
      <c r="L40" s="359">
        <f t="shared" si="14"/>
        <v>13770</v>
      </c>
      <c r="M40" s="359">
        <f t="shared" si="14"/>
        <v>7600</v>
      </c>
      <c r="N40" s="359">
        <f t="shared" si="14"/>
        <v>17100</v>
      </c>
    </row>
    <row r="41" spans="1:14">
      <c r="A41" s="553"/>
      <c r="B41" s="554" t="s">
        <v>203</v>
      </c>
      <c r="C41" s="359">
        <f t="shared" ref="C41:C45" si="15">D41+E41</f>
        <v>4000</v>
      </c>
      <c r="D41" s="359">
        <f>D48+D55</f>
        <v>880</v>
      </c>
      <c r="E41" s="355">
        <f>SUM(F41:N41)</f>
        <v>3120</v>
      </c>
      <c r="F41" s="359">
        <f t="shared" si="14"/>
        <v>750</v>
      </c>
      <c r="G41" s="359">
        <f t="shared" si="14"/>
        <v>340</v>
      </c>
      <c r="H41" s="359">
        <f t="shared" si="14"/>
        <v>30</v>
      </c>
      <c r="I41" s="359">
        <f t="shared" si="14"/>
        <v>60</v>
      </c>
      <c r="J41" s="359">
        <f t="shared" si="14"/>
        <v>1700</v>
      </c>
      <c r="K41" s="359">
        <f t="shared" si="14"/>
        <v>0</v>
      </c>
      <c r="L41" s="359">
        <f t="shared" si="14"/>
        <v>90</v>
      </c>
      <c r="M41" s="359">
        <f t="shared" si="14"/>
        <v>80</v>
      </c>
      <c r="N41" s="359">
        <f t="shared" si="14"/>
        <v>70</v>
      </c>
    </row>
    <row r="42" spans="1:14">
      <c r="A42" s="553"/>
      <c r="B42" s="554" t="s">
        <v>204</v>
      </c>
      <c r="C42" s="359">
        <f t="shared" si="15"/>
        <v>75000</v>
      </c>
      <c r="D42" s="359">
        <f>D49</f>
        <v>54125</v>
      </c>
      <c r="E42" s="355">
        <f t="shared" si="13"/>
        <v>20875</v>
      </c>
      <c r="F42" s="359">
        <f t="shared" ref="F42:N42" si="16">F49</f>
        <v>8650</v>
      </c>
      <c r="G42" s="359">
        <f t="shared" si="16"/>
        <v>1200</v>
      </c>
      <c r="H42" s="359">
        <f t="shared" si="16"/>
        <v>1490</v>
      </c>
      <c r="I42" s="359">
        <f t="shared" si="16"/>
        <v>1600</v>
      </c>
      <c r="J42" s="359">
        <f t="shared" si="16"/>
        <v>2200</v>
      </c>
      <c r="K42" s="359">
        <f t="shared" si="16"/>
        <v>445</v>
      </c>
      <c r="L42" s="359">
        <f t="shared" si="16"/>
        <v>1600</v>
      </c>
      <c r="M42" s="359">
        <f t="shared" si="16"/>
        <v>1190</v>
      </c>
      <c r="N42" s="359">
        <f t="shared" si="16"/>
        <v>2500</v>
      </c>
    </row>
    <row r="43" spans="1:14">
      <c r="A43" s="553"/>
      <c r="B43" s="554" t="s">
        <v>205</v>
      </c>
      <c r="C43" s="359">
        <f t="shared" si="15"/>
        <v>4300</v>
      </c>
      <c r="D43" s="359">
        <f>D50+D56</f>
        <v>2893</v>
      </c>
      <c r="E43" s="355">
        <f t="shared" si="13"/>
        <v>1407</v>
      </c>
      <c r="F43" s="359">
        <f t="shared" ref="F43:N43" si="17">F50+F56</f>
        <v>700</v>
      </c>
      <c r="G43" s="359">
        <f t="shared" si="17"/>
        <v>525</v>
      </c>
      <c r="H43" s="359">
        <f t="shared" si="17"/>
        <v>10</v>
      </c>
      <c r="I43" s="359">
        <f t="shared" si="17"/>
        <v>55</v>
      </c>
      <c r="J43" s="359">
        <f t="shared" si="17"/>
        <v>0</v>
      </c>
      <c r="K43" s="359">
        <f t="shared" si="17"/>
        <v>17</v>
      </c>
      <c r="L43" s="359">
        <f t="shared" si="17"/>
        <v>40</v>
      </c>
      <c r="M43" s="359">
        <f t="shared" si="17"/>
        <v>30</v>
      </c>
      <c r="N43" s="359">
        <f t="shared" si="17"/>
        <v>30</v>
      </c>
    </row>
    <row r="44" spans="1:14">
      <c r="A44" s="553"/>
      <c r="B44" s="557" t="s">
        <v>206</v>
      </c>
      <c r="C44" s="359">
        <f t="shared" si="15"/>
        <v>0</v>
      </c>
      <c r="D44" s="359">
        <f>D51</f>
        <v>0</v>
      </c>
      <c r="E44" s="355">
        <f t="shared" si="13"/>
        <v>0</v>
      </c>
      <c r="F44" s="359">
        <f t="shared" ref="F44:N44" si="18">F51</f>
        <v>0</v>
      </c>
      <c r="G44" s="359">
        <f t="shared" si="18"/>
        <v>0</v>
      </c>
      <c r="H44" s="359">
        <f t="shared" si="18"/>
        <v>0</v>
      </c>
      <c r="I44" s="359">
        <f t="shared" si="18"/>
        <v>0</v>
      </c>
      <c r="J44" s="359">
        <f t="shared" si="18"/>
        <v>0</v>
      </c>
      <c r="K44" s="359">
        <f t="shared" si="18"/>
        <v>0</v>
      </c>
      <c r="L44" s="359">
        <f t="shared" si="18"/>
        <v>0</v>
      </c>
      <c r="M44" s="359">
        <f t="shared" si="18"/>
        <v>0</v>
      </c>
      <c r="N44" s="359">
        <f t="shared" si="18"/>
        <v>0</v>
      </c>
    </row>
    <row r="45" spans="1:14" s="361" customFormat="1">
      <c r="A45" s="553"/>
      <c r="B45" s="554" t="s">
        <v>207</v>
      </c>
      <c r="C45" s="359">
        <f t="shared" si="15"/>
        <v>0</v>
      </c>
      <c r="D45" s="359">
        <f>D52+D57</f>
        <v>0</v>
      </c>
      <c r="E45" s="355">
        <f t="shared" si="13"/>
        <v>0</v>
      </c>
      <c r="F45" s="359">
        <f t="shared" ref="F45:N45" si="19">F52+F57</f>
        <v>0</v>
      </c>
      <c r="G45" s="359">
        <f t="shared" si="19"/>
        <v>0</v>
      </c>
      <c r="H45" s="359">
        <f t="shared" si="19"/>
        <v>0</v>
      </c>
      <c r="I45" s="359">
        <f t="shared" si="19"/>
        <v>0</v>
      </c>
      <c r="J45" s="359">
        <f t="shared" si="19"/>
        <v>0</v>
      </c>
      <c r="K45" s="359">
        <f t="shared" si="19"/>
        <v>0</v>
      </c>
      <c r="L45" s="359">
        <f t="shared" si="19"/>
        <v>0</v>
      </c>
      <c r="M45" s="359">
        <f t="shared" si="19"/>
        <v>0</v>
      </c>
      <c r="N45" s="359">
        <f t="shared" si="19"/>
        <v>0</v>
      </c>
    </row>
    <row r="46" spans="1:14" s="552" customFormat="1" ht="16.2">
      <c r="A46" s="550" t="s">
        <v>212</v>
      </c>
      <c r="B46" s="551" t="s">
        <v>213</v>
      </c>
      <c r="C46" s="351">
        <f>D46+E46</f>
        <v>282400</v>
      </c>
      <c r="D46" s="351">
        <f t="shared" ref="D46:N46" si="20">SUM(D47:D52)</f>
        <v>112710</v>
      </c>
      <c r="E46" s="351">
        <f t="shared" si="20"/>
        <v>169690</v>
      </c>
      <c r="F46" s="351">
        <f t="shared" si="20"/>
        <v>52500</v>
      </c>
      <c r="G46" s="351">
        <f t="shared" si="20"/>
        <v>36300</v>
      </c>
      <c r="H46" s="351">
        <f t="shared" si="20"/>
        <v>14600</v>
      </c>
      <c r="I46" s="351">
        <f t="shared" si="20"/>
        <v>11300</v>
      </c>
      <c r="J46" s="351">
        <f t="shared" si="20"/>
        <v>18500</v>
      </c>
      <c r="K46" s="351">
        <f t="shared" si="20"/>
        <v>8790</v>
      </c>
      <c r="L46" s="351">
        <f t="shared" si="20"/>
        <v>9800</v>
      </c>
      <c r="M46" s="351">
        <f t="shared" si="20"/>
        <v>4800</v>
      </c>
      <c r="N46" s="351">
        <f t="shared" si="20"/>
        <v>13100</v>
      </c>
    </row>
    <row r="47" spans="1:14">
      <c r="A47" s="553"/>
      <c r="B47" s="554" t="s">
        <v>202</v>
      </c>
      <c r="C47" s="581">
        <f t="shared" ref="C47:C52" si="21">D47+E47</f>
        <v>200457</v>
      </c>
      <c r="D47" s="355">
        <v>54812</v>
      </c>
      <c r="E47" s="355">
        <f t="shared" si="13"/>
        <v>145645</v>
      </c>
      <c r="F47" s="355">
        <v>42950</v>
      </c>
      <c r="G47" s="355">
        <v>34585</v>
      </c>
      <c r="H47" s="355">
        <v>13100</v>
      </c>
      <c r="I47" s="355">
        <v>9670</v>
      </c>
      <c r="J47" s="355">
        <v>14600</v>
      </c>
      <c r="K47" s="355">
        <v>8340</v>
      </c>
      <c r="L47" s="355">
        <v>8200</v>
      </c>
      <c r="M47" s="355">
        <v>3600</v>
      </c>
      <c r="N47" s="355">
        <v>10600</v>
      </c>
    </row>
    <row r="48" spans="1:14">
      <c r="A48" s="553"/>
      <c r="B48" s="554" t="s">
        <v>203</v>
      </c>
      <c r="C48" s="581">
        <f t="shared" si="21"/>
        <v>2795</v>
      </c>
      <c r="D48" s="355">
        <v>880</v>
      </c>
      <c r="E48" s="355">
        <f t="shared" si="13"/>
        <v>1915</v>
      </c>
      <c r="F48" s="355">
        <v>200</v>
      </c>
      <c r="G48" s="355">
        <v>15</v>
      </c>
      <c r="H48" s="355">
        <v>0</v>
      </c>
      <c r="I48" s="355">
        <v>0</v>
      </c>
      <c r="J48" s="355">
        <v>1700</v>
      </c>
      <c r="K48" s="355">
        <v>0</v>
      </c>
      <c r="L48" s="355">
        <v>0</v>
      </c>
      <c r="M48" s="355">
        <v>0</v>
      </c>
      <c r="N48" s="355">
        <v>0</v>
      </c>
    </row>
    <row r="49" spans="1:14">
      <c r="A49" s="553"/>
      <c r="B49" s="554" t="s">
        <v>204</v>
      </c>
      <c r="C49" s="581">
        <f t="shared" si="21"/>
        <v>75000</v>
      </c>
      <c r="D49" s="355">
        <v>54125</v>
      </c>
      <c r="E49" s="355">
        <f>SUM(F49:N49)</f>
        <v>20875</v>
      </c>
      <c r="F49" s="355">
        <v>8650</v>
      </c>
      <c r="G49" s="355">
        <v>1200</v>
      </c>
      <c r="H49" s="355">
        <v>1490</v>
      </c>
      <c r="I49" s="355">
        <v>1600</v>
      </c>
      <c r="J49" s="355">
        <v>2200</v>
      </c>
      <c r="K49" s="355">
        <v>445</v>
      </c>
      <c r="L49" s="355">
        <v>1600</v>
      </c>
      <c r="M49" s="355">
        <v>1190</v>
      </c>
      <c r="N49" s="355">
        <v>2500</v>
      </c>
    </row>
    <row r="50" spans="1:14">
      <c r="A50" s="553"/>
      <c r="B50" s="554" t="s">
        <v>205</v>
      </c>
      <c r="C50" s="581">
        <f t="shared" si="21"/>
        <v>4148</v>
      </c>
      <c r="D50" s="355">
        <v>2893</v>
      </c>
      <c r="E50" s="355">
        <f t="shared" si="13"/>
        <v>1255</v>
      </c>
      <c r="F50" s="355">
        <v>700</v>
      </c>
      <c r="G50" s="355">
        <v>500</v>
      </c>
      <c r="H50" s="355">
        <v>10</v>
      </c>
      <c r="I50" s="355">
        <v>30</v>
      </c>
      <c r="J50" s="355">
        <v>0</v>
      </c>
      <c r="K50" s="355">
        <v>5</v>
      </c>
      <c r="L50" s="355">
        <v>0</v>
      </c>
      <c r="M50" s="355">
        <v>10</v>
      </c>
      <c r="N50" s="355">
        <v>0</v>
      </c>
    </row>
    <row r="51" spans="1:14">
      <c r="A51" s="553"/>
      <c r="B51" s="554" t="s">
        <v>206</v>
      </c>
      <c r="C51" s="581">
        <f t="shared" si="21"/>
        <v>0</v>
      </c>
      <c r="D51" s="355">
        <v>0</v>
      </c>
      <c r="E51" s="355">
        <f t="shared" si="13"/>
        <v>0</v>
      </c>
      <c r="F51" s="355">
        <v>0</v>
      </c>
      <c r="G51" s="355">
        <v>0</v>
      </c>
      <c r="H51" s="355">
        <v>0</v>
      </c>
      <c r="I51" s="355">
        <v>0</v>
      </c>
      <c r="J51" s="355">
        <v>0</v>
      </c>
      <c r="K51" s="355">
        <v>0</v>
      </c>
      <c r="L51" s="355">
        <v>0</v>
      </c>
      <c r="M51" s="355">
        <v>0</v>
      </c>
      <c r="N51" s="355">
        <v>0</v>
      </c>
    </row>
    <row r="52" spans="1:14" s="361" customFormat="1">
      <c r="A52" s="553"/>
      <c r="B52" s="554" t="s">
        <v>207</v>
      </c>
      <c r="C52" s="581">
        <f t="shared" si="21"/>
        <v>0</v>
      </c>
      <c r="D52" s="355">
        <v>0</v>
      </c>
      <c r="E52" s="355">
        <f t="shared" si="13"/>
        <v>0</v>
      </c>
      <c r="F52" s="355">
        <v>0</v>
      </c>
      <c r="G52" s="355">
        <v>0</v>
      </c>
      <c r="H52" s="355">
        <v>0</v>
      </c>
      <c r="I52" s="355">
        <v>0</v>
      </c>
      <c r="J52" s="355">
        <v>0</v>
      </c>
      <c r="K52" s="355">
        <v>0</v>
      </c>
      <c r="L52" s="355">
        <v>0</v>
      </c>
      <c r="M52" s="355">
        <v>0</v>
      </c>
      <c r="N52" s="355">
        <v>0</v>
      </c>
    </row>
    <row r="53" spans="1:14" s="552" customFormat="1" ht="16.2">
      <c r="A53" s="550" t="s">
        <v>214</v>
      </c>
      <c r="B53" s="551" t="s">
        <v>215</v>
      </c>
      <c r="C53" s="351">
        <f>D53+E53</f>
        <v>67600</v>
      </c>
      <c r="D53" s="351">
        <f t="shared" ref="D53:N53" si="22">SUM(D54:D57)</f>
        <v>0</v>
      </c>
      <c r="E53" s="351">
        <f t="shared" si="22"/>
        <v>67600</v>
      </c>
      <c r="F53" s="351">
        <f t="shared" si="22"/>
        <v>26000</v>
      </c>
      <c r="G53" s="351">
        <f t="shared" si="22"/>
        <v>5400</v>
      </c>
      <c r="H53" s="351">
        <f t="shared" si="22"/>
        <v>6400</v>
      </c>
      <c r="I53" s="351">
        <f t="shared" si="22"/>
        <v>4200</v>
      </c>
      <c r="J53" s="351">
        <f t="shared" si="22"/>
        <v>6500</v>
      </c>
      <c r="K53" s="351">
        <f t="shared" si="22"/>
        <v>2700</v>
      </c>
      <c r="L53" s="351">
        <f t="shared" si="22"/>
        <v>5700</v>
      </c>
      <c r="M53" s="351">
        <f t="shared" si="22"/>
        <v>4100</v>
      </c>
      <c r="N53" s="351">
        <f t="shared" si="22"/>
        <v>6600</v>
      </c>
    </row>
    <row r="54" spans="1:14">
      <c r="A54" s="553"/>
      <c r="B54" s="554" t="s">
        <v>202</v>
      </c>
      <c r="C54" s="581">
        <f t="shared" ref="C54:C57" si="23">D54+E54</f>
        <v>66243</v>
      </c>
      <c r="D54" s="355">
        <v>0</v>
      </c>
      <c r="E54" s="355">
        <f>SUM(F54:N54)</f>
        <v>66243</v>
      </c>
      <c r="F54" s="355">
        <v>25450</v>
      </c>
      <c r="G54" s="355">
        <v>5050</v>
      </c>
      <c r="H54" s="355">
        <v>6370</v>
      </c>
      <c r="I54" s="355">
        <v>4115</v>
      </c>
      <c r="J54" s="355">
        <v>6500</v>
      </c>
      <c r="K54" s="355">
        <v>2688</v>
      </c>
      <c r="L54" s="355">
        <v>5570</v>
      </c>
      <c r="M54" s="355">
        <v>4000</v>
      </c>
      <c r="N54" s="355">
        <v>6500</v>
      </c>
    </row>
    <row r="55" spans="1:14">
      <c r="A55" s="553"/>
      <c r="B55" s="554" t="s">
        <v>203</v>
      </c>
      <c r="C55" s="581">
        <f t="shared" si="23"/>
        <v>1205</v>
      </c>
      <c r="D55" s="355">
        <v>0</v>
      </c>
      <c r="E55" s="355">
        <f t="shared" si="13"/>
        <v>1205</v>
      </c>
      <c r="F55" s="355">
        <v>550</v>
      </c>
      <c r="G55" s="355">
        <v>325</v>
      </c>
      <c r="H55" s="355">
        <v>30</v>
      </c>
      <c r="I55" s="355">
        <v>60</v>
      </c>
      <c r="J55" s="355">
        <v>0</v>
      </c>
      <c r="K55" s="355">
        <v>0</v>
      </c>
      <c r="L55" s="355">
        <v>90</v>
      </c>
      <c r="M55" s="355">
        <v>80</v>
      </c>
      <c r="N55" s="355">
        <v>70</v>
      </c>
    </row>
    <row r="56" spans="1:14">
      <c r="A56" s="553"/>
      <c r="B56" s="554" t="s">
        <v>205</v>
      </c>
      <c r="C56" s="581">
        <f t="shared" si="23"/>
        <v>152</v>
      </c>
      <c r="D56" s="355">
        <v>0</v>
      </c>
      <c r="E56" s="355">
        <f t="shared" si="13"/>
        <v>152</v>
      </c>
      <c r="F56" s="355">
        <v>0</v>
      </c>
      <c r="G56" s="355">
        <v>25</v>
      </c>
      <c r="H56" s="355">
        <v>0</v>
      </c>
      <c r="I56" s="355">
        <v>25</v>
      </c>
      <c r="J56" s="355">
        <v>0</v>
      </c>
      <c r="K56" s="355">
        <v>12</v>
      </c>
      <c r="L56" s="355">
        <v>40</v>
      </c>
      <c r="M56" s="355">
        <v>20</v>
      </c>
      <c r="N56" s="355">
        <v>30</v>
      </c>
    </row>
    <row r="57" spans="1:14" s="363" customFormat="1">
      <c r="A57" s="553"/>
      <c r="B57" s="554" t="s">
        <v>207</v>
      </c>
      <c r="C57" s="581">
        <f t="shared" si="23"/>
        <v>0</v>
      </c>
      <c r="D57" s="355">
        <v>0</v>
      </c>
      <c r="E57" s="355">
        <f t="shared" si="13"/>
        <v>0</v>
      </c>
      <c r="F57" s="355">
        <v>0</v>
      </c>
      <c r="G57" s="355">
        <v>0</v>
      </c>
      <c r="H57" s="355">
        <v>0</v>
      </c>
      <c r="I57" s="355">
        <v>0</v>
      </c>
      <c r="J57" s="355">
        <v>0</v>
      </c>
      <c r="K57" s="355">
        <v>0</v>
      </c>
      <c r="L57" s="355">
        <v>0</v>
      </c>
      <c r="M57" s="355">
        <v>0</v>
      </c>
      <c r="N57" s="355">
        <v>0</v>
      </c>
    </row>
    <row r="58" spans="1:14" s="348" customFormat="1">
      <c r="A58" s="548">
        <v>4</v>
      </c>
      <c r="B58" s="549" t="s">
        <v>216</v>
      </c>
      <c r="C58" s="347">
        <f>D58+E58</f>
        <v>335000</v>
      </c>
      <c r="D58" s="347">
        <v>232200</v>
      </c>
      <c r="E58" s="347">
        <f t="shared" si="13"/>
        <v>102800</v>
      </c>
      <c r="F58" s="347">
        <v>35000</v>
      </c>
      <c r="G58" s="347">
        <v>7500</v>
      </c>
      <c r="H58" s="347">
        <v>9700</v>
      </c>
      <c r="I58" s="347">
        <v>8400</v>
      </c>
      <c r="J58" s="347">
        <v>13100</v>
      </c>
      <c r="K58" s="347">
        <v>5000</v>
      </c>
      <c r="L58" s="347">
        <v>8400</v>
      </c>
      <c r="M58" s="347">
        <v>6500</v>
      </c>
      <c r="N58" s="347">
        <v>9200</v>
      </c>
    </row>
    <row r="59" spans="1:14" s="348" customFormat="1">
      <c r="A59" s="548">
        <v>5</v>
      </c>
      <c r="B59" s="549" t="s">
        <v>217</v>
      </c>
      <c r="C59" s="347">
        <f>D59+E59</f>
        <v>366000</v>
      </c>
      <c r="D59" s="347">
        <f>D60+D61</f>
        <v>366000</v>
      </c>
      <c r="E59" s="347">
        <f t="shared" si="13"/>
        <v>0</v>
      </c>
      <c r="F59" s="347">
        <v>0</v>
      </c>
      <c r="G59" s="347">
        <v>0</v>
      </c>
      <c r="H59" s="347">
        <v>0</v>
      </c>
      <c r="I59" s="347">
        <v>0</v>
      </c>
      <c r="J59" s="347">
        <v>0</v>
      </c>
      <c r="K59" s="347">
        <v>0</v>
      </c>
      <c r="L59" s="347">
        <v>0</v>
      </c>
      <c r="M59" s="347">
        <v>0</v>
      </c>
      <c r="N59" s="347">
        <v>0</v>
      </c>
    </row>
    <row r="60" spans="1:14" s="348" customFormat="1">
      <c r="A60" s="548"/>
      <c r="B60" s="228" t="s">
        <v>140</v>
      </c>
      <c r="C60" s="402">
        <f t="shared" ref="C60:C61" si="24">D60+E60</f>
        <v>229800</v>
      </c>
      <c r="D60" s="402">
        <v>229800</v>
      </c>
      <c r="E60" s="347"/>
      <c r="F60" s="347"/>
      <c r="G60" s="347"/>
      <c r="H60" s="347"/>
      <c r="I60" s="347"/>
      <c r="J60" s="347"/>
      <c r="K60" s="347"/>
      <c r="L60" s="347"/>
      <c r="M60" s="347"/>
      <c r="N60" s="347"/>
    </row>
    <row r="61" spans="1:14" s="348" customFormat="1">
      <c r="A61" s="548"/>
      <c r="B61" s="234" t="s">
        <v>141</v>
      </c>
      <c r="C61" s="347">
        <f t="shared" si="24"/>
        <v>136200</v>
      </c>
      <c r="D61" s="347">
        <v>136200</v>
      </c>
      <c r="E61" s="347"/>
      <c r="F61" s="347"/>
      <c r="G61" s="347"/>
      <c r="H61" s="347"/>
      <c r="I61" s="347"/>
      <c r="J61" s="347"/>
      <c r="K61" s="347"/>
      <c r="L61" s="347"/>
      <c r="M61" s="347"/>
      <c r="N61" s="347"/>
    </row>
    <row r="62" spans="1:14" s="348" customFormat="1">
      <c r="A62" s="548">
        <v>6</v>
      </c>
      <c r="B62" s="549" t="s">
        <v>218</v>
      </c>
      <c r="C62" s="347">
        <f>D62+E62</f>
        <v>115000</v>
      </c>
      <c r="D62" s="347"/>
      <c r="E62" s="347">
        <f t="shared" si="13"/>
        <v>115000</v>
      </c>
      <c r="F62" s="347">
        <v>34400</v>
      </c>
      <c r="G62" s="347">
        <v>8200</v>
      </c>
      <c r="H62" s="347">
        <v>11500</v>
      </c>
      <c r="I62" s="347">
        <v>11500</v>
      </c>
      <c r="J62" s="347">
        <v>13000</v>
      </c>
      <c r="K62" s="347">
        <v>6800</v>
      </c>
      <c r="L62" s="347">
        <v>8100</v>
      </c>
      <c r="M62" s="347">
        <v>8500</v>
      </c>
      <c r="N62" s="347">
        <v>13000</v>
      </c>
    </row>
    <row r="63" spans="1:14" s="348" customFormat="1">
      <c r="A63" s="548">
        <v>7</v>
      </c>
      <c r="B63" s="549" t="s">
        <v>219</v>
      </c>
      <c r="C63" s="347">
        <v>85000</v>
      </c>
      <c r="D63" s="347">
        <f>SUM(D65,D66)</f>
        <v>58500</v>
      </c>
      <c r="E63" s="347">
        <f t="shared" si="13"/>
        <v>26500</v>
      </c>
      <c r="F63" s="347">
        <v>7500</v>
      </c>
      <c r="G63" s="347">
        <v>2910</v>
      </c>
      <c r="H63" s="347">
        <v>2600</v>
      </c>
      <c r="I63" s="347">
        <v>2000</v>
      </c>
      <c r="J63" s="347">
        <v>2700</v>
      </c>
      <c r="K63" s="347">
        <v>1000</v>
      </c>
      <c r="L63" s="347">
        <v>2590</v>
      </c>
      <c r="M63" s="347">
        <v>1700</v>
      </c>
      <c r="N63" s="347">
        <v>3500</v>
      </c>
    </row>
    <row r="64" spans="1:14" s="543" customFormat="1">
      <c r="A64" s="558"/>
      <c r="B64" s="559" t="s">
        <v>220</v>
      </c>
      <c r="C64" s="366">
        <f>D64+E64</f>
        <v>11000</v>
      </c>
      <c r="D64" s="366">
        <v>1410</v>
      </c>
      <c r="E64" s="366">
        <f t="shared" si="13"/>
        <v>9590</v>
      </c>
      <c r="F64" s="366">
        <v>3000</v>
      </c>
      <c r="G64" s="366">
        <v>780</v>
      </c>
      <c r="H64" s="366">
        <v>1050</v>
      </c>
      <c r="I64" s="366">
        <v>680</v>
      </c>
      <c r="J64" s="366">
        <v>1100</v>
      </c>
      <c r="K64" s="366">
        <v>430</v>
      </c>
      <c r="L64" s="366">
        <v>820</v>
      </c>
      <c r="M64" s="366">
        <v>710</v>
      </c>
      <c r="N64" s="366">
        <v>1020</v>
      </c>
    </row>
    <row r="65" spans="1:14" s="561" customFormat="1">
      <c r="A65" s="560"/>
      <c r="B65" s="528" t="s">
        <v>145</v>
      </c>
      <c r="C65" s="526">
        <f t="shared" ref="C65:C66" si="25">D65+E65</f>
        <v>34000</v>
      </c>
      <c r="D65" s="526">
        <v>34000</v>
      </c>
      <c r="E65" s="526"/>
      <c r="F65" s="526"/>
      <c r="G65" s="526"/>
      <c r="H65" s="526"/>
      <c r="I65" s="526"/>
      <c r="J65" s="526"/>
      <c r="K65" s="526"/>
      <c r="L65" s="526"/>
      <c r="M65" s="526"/>
      <c r="N65" s="526"/>
    </row>
    <row r="66" spans="1:14" s="543" customFormat="1">
      <c r="A66" s="558"/>
      <c r="B66" s="529" t="s">
        <v>146</v>
      </c>
      <c r="C66" s="366">
        <f t="shared" si="25"/>
        <v>51000</v>
      </c>
      <c r="D66" s="366">
        <v>24500</v>
      </c>
      <c r="E66" s="366">
        <f t="shared" si="13"/>
        <v>26500</v>
      </c>
      <c r="F66" s="366">
        <v>7500</v>
      </c>
      <c r="G66" s="366">
        <v>2910</v>
      </c>
      <c r="H66" s="366">
        <v>2600</v>
      </c>
      <c r="I66" s="366">
        <v>2000</v>
      </c>
      <c r="J66" s="366">
        <v>2700</v>
      </c>
      <c r="K66" s="366">
        <v>1000</v>
      </c>
      <c r="L66" s="366">
        <v>2590</v>
      </c>
      <c r="M66" s="366">
        <v>1700</v>
      </c>
      <c r="N66" s="366">
        <v>3500</v>
      </c>
    </row>
    <row r="67" spans="1:14" s="348" customFormat="1">
      <c r="A67" s="548">
        <v>8</v>
      </c>
      <c r="B67" s="549" t="s">
        <v>221</v>
      </c>
      <c r="C67" s="347">
        <v>0</v>
      </c>
      <c r="D67" s="347">
        <f t="shared" ref="D67:D82" si="26">C67-E67</f>
        <v>0</v>
      </c>
      <c r="E67" s="347">
        <f t="shared" si="13"/>
        <v>0</v>
      </c>
      <c r="F67" s="347">
        <v>0</v>
      </c>
      <c r="G67" s="347">
        <v>0</v>
      </c>
      <c r="H67" s="347">
        <v>0</v>
      </c>
      <c r="I67" s="347">
        <v>0</v>
      </c>
      <c r="J67" s="347">
        <v>0</v>
      </c>
      <c r="K67" s="347">
        <v>0</v>
      </c>
      <c r="L67" s="347">
        <v>0</v>
      </c>
      <c r="M67" s="347">
        <v>0</v>
      </c>
      <c r="N67" s="347">
        <v>0</v>
      </c>
    </row>
    <row r="68" spans="1:14" s="348" customFormat="1">
      <c r="A68" s="548">
        <v>9</v>
      </c>
      <c r="B68" s="549" t="s">
        <v>222</v>
      </c>
      <c r="C68" s="347">
        <v>5100</v>
      </c>
      <c r="D68" s="347"/>
      <c r="E68" s="347">
        <f t="shared" si="13"/>
        <v>5100</v>
      </c>
      <c r="F68" s="347">
        <v>2900</v>
      </c>
      <c r="G68" s="347">
        <v>300</v>
      </c>
      <c r="H68" s="347">
        <v>250</v>
      </c>
      <c r="I68" s="347">
        <v>50</v>
      </c>
      <c r="J68" s="347">
        <v>300</v>
      </c>
      <c r="K68" s="347">
        <v>130</v>
      </c>
      <c r="L68" s="347">
        <v>400</v>
      </c>
      <c r="M68" s="347">
        <v>250</v>
      </c>
      <c r="N68" s="347">
        <v>520</v>
      </c>
    </row>
    <row r="69" spans="1:14" s="348" customFormat="1">
      <c r="A69" s="548">
        <v>10</v>
      </c>
      <c r="B69" s="549" t="s">
        <v>223</v>
      </c>
      <c r="C69" s="347">
        <f>D69+E69</f>
        <v>28000</v>
      </c>
      <c r="D69" s="347">
        <v>27380</v>
      </c>
      <c r="E69" s="347">
        <f t="shared" si="13"/>
        <v>620</v>
      </c>
      <c r="F69" s="347">
        <v>0</v>
      </c>
      <c r="G69" s="347">
        <v>0</v>
      </c>
      <c r="H69" s="347">
        <v>20</v>
      </c>
      <c r="I69" s="347">
        <v>0</v>
      </c>
      <c r="J69" s="347">
        <v>500</v>
      </c>
      <c r="K69" s="347">
        <v>0</v>
      </c>
      <c r="L69" s="347">
        <v>0</v>
      </c>
      <c r="M69" s="347">
        <v>40</v>
      </c>
      <c r="N69" s="347">
        <v>60</v>
      </c>
    </row>
    <row r="70" spans="1:14" s="348" customFormat="1">
      <c r="A70" s="548">
        <v>11</v>
      </c>
      <c r="B70" s="549" t="s">
        <v>224</v>
      </c>
      <c r="C70" s="347">
        <f t="shared" ref="C70:C72" si="27">D70+E70</f>
        <v>140000</v>
      </c>
      <c r="D70" s="367">
        <v>87200</v>
      </c>
      <c r="E70" s="367">
        <f t="shared" si="13"/>
        <v>52800</v>
      </c>
      <c r="F70" s="347">
        <v>30000</v>
      </c>
      <c r="G70" s="347">
        <v>3500</v>
      </c>
      <c r="H70" s="402">
        <v>2500</v>
      </c>
      <c r="I70" s="347">
        <v>1700</v>
      </c>
      <c r="J70" s="403">
        <v>4500</v>
      </c>
      <c r="K70" s="347">
        <v>600</v>
      </c>
      <c r="L70" s="347">
        <v>3500</v>
      </c>
      <c r="M70" s="347">
        <v>2500</v>
      </c>
      <c r="N70" s="402">
        <v>4000</v>
      </c>
    </row>
    <row r="71" spans="1:14" s="348" customFormat="1">
      <c r="A71" s="548">
        <v>12</v>
      </c>
      <c r="B71" s="549" t="s">
        <v>225</v>
      </c>
      <c r="C71" s="347">
        <f t="shared" si="27"/>
        <v>500</v>
      </c>
      <c r="D71" s="347">
        <v>120</v>
      </c>
      <c r="E71" s="347">
        <f t="shared" si="13"/>
        <v>380</v>
      </c>
      <c r="F71" s="347">
        <v>0</v>
      </c>
      <c r="G71" s="347">
        <v>380</v>
      </c>
      <c r="H71" s="347">
        <v>0</v>
      </c>
      <c r="I71" s="347">
        <v>0</v>
      </c>
      <c r="J71" s="347">
        <v>0</v>
      </c>
      <c r="K71" s="347">
        <v>0</v>
      </c>
      <c r="L71" s="347">
        <v>0</v>
      </c>
      <c r="M71" s="347">
        <v>0</v>
      </c>
      <c r="N71" s="347">
        <v>0</v>
      </c>
    </row>
    <row r="72" spans="1:14" s="348" customFormat="1">
      <c r="A72" s="548">
        <v>13</v>
      </c>
      <c r="B72" s="549" t="s">
        <v>226</v>
      </c>
      <c r="C72" s="347">
        <f t="shared" si="27"/>
        <v>960000</v>
      </c>
      <c r="D72" s="347">
        <v>960000</v>
      </c>
      <c r="E72" s="347">
        <f t="shared" si="13"/>
        <v>0</v>
      </c>
      <c r="F72" s="347">
        <v>0</v>
      </c>
      <c r="G72" s="347">
        <v>0</v>
      </c>
      <c r="H72" s="347">
        <v>0</v>
      </c>
      <c r="I72" s="347">
        <v>0</v>
      </c>
      <c r="J72" s="347">
        <v>0</v>
      </c>
      <c r="K72" s="347">
        <v>0</v>
      </c>
      <c r="L72" s="347">
        <v>0</v>
      </c>
      <c r="M72" s="347">
        <v>0</v>
      </c>
      <c r="N72" s="347">
        <v>0</v>
      </c>
    </row>
    <row r="73" spans="1:14" s="348" customFormat="1" ht="31.2">
      <c r="A73" s="548">
        <v>14</v>
      </c>
      <c r="B73" s="549" t="s">
        <v>227</v>
      </c>
      <c r="C73" s="347">
        <f>D73+E73</f>
        <v>4500</v>
      </c>
      <c r="D73" s="347">
        <f>D74+D75</f>
        <v>4490</v>
      </c>
      <c r="E73" s="347">
        <f t="shared" ref="E73:N73" si="28">E74+E75</f>
        <v>10</v>
      </c>
      <c r="F73" s="347">
        <f t="shared" si="28"/>
        <v>0</v>
      </c>
      <c r="G73" s="347">
        <f t="shared" si="28"/>
        <v>0</v>
      </c>
      <c r="H73" s="347">
        <f t="shared" si="28"/>
        <v>10</v>
      </c>
      <c r="I73" s="347">
        <f t="shared" si="28"/>
        <v>0</v>
      </c>
      <c r="J73" s="347">
        <f t="shared" si="28"/>
        <v>0</v>
      </c>
      <c r="K73" s="347">
        <f t="shared" si="28"/>
        <v>0</v>
      </c>
      <c r="L73" s="347">
        <f t="shared" si="28"/>
        <v>0</v>
      </c>
      <c r="M73" s="347">
        <f t="shared" si="28"/>
        <v>0</v>
      </c>
      <c r="N73" s="347">
        <f t="shared" si="28"/>
        <v>0</v>
      </c>
    </row>
    <row r="74" spans="1:14" s="348" customFormat="1">
      <c r="A74" s="548"/>
      <c r="B74" s="228" t="s">
        <v>157</v>
      </c>
      <c r="C74" s="533">
        <f t="shared" ref="C74:C75" si="29">D74+E74</f>
        <v>500</v>
      </c>
      <c r="D74" s="533">
        <v>500</v>
      </c>
      <c r="E74" s="347">
        <f t="shared" si="13"/>
        <v>0</v>
      </c>
      <c r="F74" s="347"/>
      <c r="G74" s="347"/>
      <c r="H74" s="347"/>
      <c r="I74" s="347"/>
      <c r="J74" s="347"/>
      <c r="K74" s="347"/>
      <c r="L74" s="347"/>
      <c r="M74" s="347"/>
      <c r="N74" s="347"/>
    </row>
    <row r="75" spans="1:14" s="348" customFormat="1">
      <c r="A75" s="548"/>
      <c r="B75" s="234" t="s">
        <v>158</v>
      </c>
      <c r="C75" s="355">
        <f t="shared" si="29"/>
        <v>4000</v>
      </c>
      <c r="D75" s="355">
        <v>3990</v>
      </c>
      <c r="E75" s="355">
        <f t="shared" si="13"/>
        <v>10</v>
      </c>
      <c r="F75" s="347"/>
      <c r="G75" s="347"/>
      <c r="H75" s="355">
        <v>10</v>
      </c>
      <c r="I75" s="347"/>
      <c r="J75" s="347"/>
      <c r="K75" s="347"/>
      <c r="L75" s="347"/>
      <c r="M75" s="347"/>
      <c r="N75" s="347"/>
    </row>
    <row r="76" spans="1:14" s="348" customFormat="1">
      <c r="A76" s="548">
        <v>15</v>
      </c>
      <c r="B76" s="549" t="s">
        <v>228</v>
      </c>
      <c r="C76" s="347">
        <v>0</v>
      </c>
      <c r="D76" s="347">
        <f t="shared" si="26"/>
        <v>0</v>
      </c>
      <c r="E76" s="347">
        <f t="shared" si="13"/>
        <v>0</v>
      </c>
      <c r="F76" s="347">
        <v>0</v>
      </c>
      <c r="G76" s="347">
        <v>0</v>
      </c>
      <c r="H76" s="347">
        <v>0</v>
      </c>
      <c r="I76" s="347">
        <v>0</v>
      </c>
      <c r="J76" s="347">
        <v>0</v>
      </c>
      <c r="K76" s="347">
        <v>0</v>
      </c>
      <c r="L76" s="347">
        <v>0</v>
      </c>
      <c r="M76" s="347">
        <v>0</v>
      </c>
      <c r="N76" s="347">
        <v>0</v>
      </c>
    </row>
    <row r="77" spans="1:14" s="348" customFormat="1">
      <c r="A77" s="548">
        <v>16</v>
      </c>
      <c r="B77" s="549" t="s">
        <v>229</v>
      </c>
      <c r="C77" s="347">
        <f>D77+E77</f>
        <v>155000</v>
      </c>
      <c r="D77" s="347">
        <f>SUM(D78:D81)</f>
        <v>116000</v>
      </c>
      <c r="E77" s="347">
        <f t="shared" ref="E77:N77" si="30">SUM(E78:E81)</f>
        <v>39000</v>
      </c>
      <c r="F77" s="347">
        <f t="shared" si="30"/>
        <v>7600</v>
      </c>
      <c r="G77" s="347">
        <f t="shared" si="30"/>
        <v>3500</v>
      </c>
      <c r="H77" s="347">
        <f t="shared" si="30"/>
        <v>3410</v>
      </c>
      <c r="I77" s="347">
        <f t="shared" si="30"/>
        <v>3030</v>
      </c>
      <c r="J77" s="347">
        <f t="shared" si="30"/>
        <v>3390</v>
      </c>
      <c r="K77" s="347">
        <f t="shared" si="30"/>
        <v>2370</v>
      </c>
      <c r="L77" s="347">
        <f t="shared" si="30"/>
        <v>5000</v>
      </c>
      <c r="M77" s="347">
        <f t="shared" si="30"/>
        <v>3500</v>
      </c>
      <c r="N77" s="347">
        <f t="shared" si="30"/>
        <v>7200</v>
      </c>
    </row>
    <row r="78" spans="1:14" s="348" customFormat="1">
      <c r="A78" s="548"/>
      <c r="B78" s="246" t="s">
        <v>150</v>
      </c>
      <c r="C78" s="355">
        <f>D78+E78</f>
        <v>104222</v>
      </c>
      <c r="D78" s="347">
        <f>87400-4778</f>
        <v>82622</v>
      </c>
      <c r="E78" s="347">
        <f t="shared" si="13"/>
        <v>21600</v>
      </c>
      <c r="F78" s="347">
        <v>3600</v>
      </c>
      <c r="G78" s="347">
        <v>1400</v>
      </c>
      <c r="H78" s="347">
        <v>2610</v>
      </c>
      <c r="I78" s="347">
        <v>1830</v>
      </c>
      <c r="J78" s="347">
        <v>2090</v>
      </c>
      <c r="K78" s="347">
        <v>970</v>
      </c>
      <c r="L78" s="347">
        <v>2400</v>
      </c>
      <c r="M78" s="347">
        <v>2000</v>
      </c>
      <c r="N78" s="347">
        <v>4700</v>
      </c>
    </row>
    <row r="79" spans="1:14" s="564" customFormat="1" ht="16.2">
      <c r="A79" s="562"/>
      <c r="B79" s="563" t="s">
        <v>393</v>
      </c>
      <c r="C79" s="533">
        <f t="shared" ref="C79:C81" si="31">D79+E79</f>
        <v>38500</v>
      </c>
      <c r="D79" s="415">
        <v>21100</v>
      </c>
      <c r="E79" s="415">
        <f t="shared" si="13"/>
        <v>17400</v>
      </c>
      <c r="F79" s="415">
        <v>4000</v>
      </c>
      <c r="G79" s="415">
        <v>2100</v>
      </c>
      <c r="H79" s="415">
        <v>800</v>
      </c>
      <c r="I79" s="415">
        <v>1200</v>
      </c>
      <c r="J79" s="415">
        <v>1300</v>
      </c>
      <c r="K79" s="415">
        <v>1400</v>
      </c>
      <c r="L79" s="415">
        <v>2600</v>
      </c>
      <c r="M79" s="415">
        <v>1500</v>
      </c>
      <c r="N79" s="415">
        <v>2500</v>
      </c>
    </row>
    <row r="80" spans="1:14" s="564" customFormat="1" ht="16.2">
      <c r="A80" s="562"/>
      <c r="B80" s="1413" t="s">
        <v>899</v>
      </c>
      <c r="C80" s="533">
        <f>D80+E80</f>
        <v>7500</v>
      </c>
      <c r="D80" s="415">
        <v>7500</v>
      </c>
      <c r="E80" s="415"/>
      <c r="F80" s="415"/>
      <c r="G80" s="415"/>
      <c r="H80" s="415"/>
      <c r="I80" s="415"/>
      <c r="J80" s="415"/>
      <c r="K80" s="415"/>
      <c r="L80" s="415"/>
      <c r="M80" s="415"/>
      <c r="N80" s="415"/>
    </row>
    <row r="81" spans="1:14" s="564" customFormat="1" ht="16.2">
      <c r="A81" s="562"/>
      <c r="B81" s="563" t="s">
        <v>152</v>
      </c>
      <c r="C81" s="533">
        <f t="shared" si="31"/>
        <v>4778</v>
      </c>
      <c r="D81" s="415">
        <v>4778</v>
      </c>
      <c r="E81" s="415"/>
      <c r="F81" s="415"/>
      <c r="G81" s="415"/>
      <c r="H81" s="415"/>
      <c r="I81" s="415"/>
      <c r="J81" s="415"/>
      <c r="K81" s="415"/>
      <c r="L81" s="415"/>
      <c r="M81" s="415"/>
      <c r="N81" s="415"/>
    </row>
    <row r="82" spans="1:14" s="348" customFormat="1" ht="31.2">
      <c r="A82" s="548">
        <v>17</v>
      </c>
      <c r="B82" s="549" t="s">
        <v>231</v>
      </c>
      <c r="C82" s="347">
        <v>100</v>
      </c>
      <c r="D82" s="347">
        <f t="shared" si="26"/>
        <v>0</v>
      </c>
      <c r="E82" s="347">
        <f t="shared" si="13"/>
        <v>100</v>
      </c>
      <c r="F82" s="347">
        <v>0</v>
      </c>
      <c r="G82" s="347">
        <v>10</v>
      </c>
      <c r="H82" s="347">
        <v>10</v>
      </c>
      <c r="I82" s="347">
        <v>20</v>
      </c>
      <c r="J82" s="347">
        <v>10</v>
      </c>
      <c r="K82" s="347">
        <v>10</v>
      </c>
      <c r="L82" s="347">
        <v>10</v>
      </c>
      <c r="M82" s="347">
        <v>10</v>
      </c>
      <c r="N82" s="347">
        <v>20</v>
      </c>
    </row>
    <row r="83" spans="1:14" s="363" customFormat="1" ht="31.2">
      <c r="A83" s="548">
        <v>18</v>
      </c>
      <c r="B83" s="549" t="s">
        <v>232</v>
      </c>
      <c r="C83" s="347">
        <f>D83+E83</f>
        <v>1800</v>
      </c>
      <c r="D83" s="347">
        <v>1800</v>
      </c>
      <c r="E83" s="347">
        <f t="shared" si="13"/>
        <v>0</v>
      </c>
      <c r="F83" s="347">
        <v>0</v>
      </c>
      <c r="G83" s="347">
        <v>0</v>
      </c>
      <c r="H83" s="347">
        <v>0</v>
      </c>
      <c r="I83" s="347">
        <v>0</v>
      </c>
      <c r="J83" s="347">
        <v>0</v>
      </c>
      <c r="K83" s="347">
        <v>0</v>
      </c>
      <c r="L83" s="347">
        <v>0</v>
      </c>
      <c r="M83" s="347">
        <v>0</v>
      </c>
      <c r="N83" s="347">
        <v>0</v>
      </c>
    </row>
    <row r="84" spans="1:14" s="363" customFormat="1" ht="16.2">
      <c r="A84" s="548">
        <v>19</v>
      </c>
      <c r="B84" s="549" t="s">
        <v>233</v>
      </c>
      <c r="C84" s="368">
        <v>0</v>
      </c>
      <c r="D84" s="368"/>
      <c r="E84" s="368"/>
      <c r="F84" s="368"/>
      <c r="G84" s="368"/>
      <c r="H84" s="368"/>
      <c r="I84" s="368"/>
      <c r="J84" s="368"/>
      <c r="K84" s="368"/>
      <c r="L84" s="368"/>
      <c r="M84" s="368"/>
      <c r="N84" s="368"/>
    </row>
    <row r="85" spans="1:14" s="363" customFormat="1">
      <c r="A85" s="566" t="s">
        <v>60</v>
      </c>
      <c r="B85" s="567" t="s">
        <v>383</v>
      </c>
      <c r="C85" s="583">
        <f>SUM(C86,C92)</f>
        <v>5555726</v>
      </c>
      <c r="D85" s="583">
        <f t="shared" ref="D85:N85" si="32">SUM(D86,D92)</f>
        <v>1812921</v>
      </c>
      <c r="E85" s="583">
        <f t="shared" si="32"/>
        <v>3742805</v>
      </c>
      <c r="F85" s="583">
        <f t="shared" si="32"/>
        <v>214902</v>
      </c>
      <c r="G85" s="583">
        <f t="shared" si="32"/>
        <v>163601</v>
      </c>
      <c r="H85" s="583">
        <f t="shared" si="32"/>
        <v>652831</v>
      </c>
      <c r="I85" s="583">
        <f t="shared" si="32"/>
        <v>529065</v>
      </c>
      <c r="J85" s="583">
        <f t="shared" si="32"/>
        <v>488091</v>
      </c>
      <c r="K85" s="583">
        <f t="shared" si="32"/>
        <v>315474</v>
      </c>
      <c r="L85" s="583">
        <f t="shared" si="32"/>
        <v>372392</v>
      </c>
      <c r="M85" s="583">
        <f t="shared" si="32"/>
        <v>398512</v>
      </c>
      <c r="N85" s="583">
        <f t="shared" si="32"/>
        <v>508892</v>
      </c>
    </row>
    <row r="86" spans="1:14" s="363" customFormat="1">
      <c r="A86" s="568">
        <v>1</v>
      </c>
      <c r="B86" s="569" t="s">
        <v>385</v>
      </c>
      <c r="C86" s="570">
        <f>D86+E86</f>
        <v>3808100</v>
      </c>
      <c r="D86" s="570">
        <f>SUM(D87:D91)</f>
        <v>526802</v>
      </c>
      <c r="E86" s="570">
        <f>SUM(E87:E91)</f>
        <v>3281298</v>
      </c>
      <c r="F86" s="570">
        <f>SUM(F87:F90)</f>
        <v>201153</v>
      </c>
      <c r="G86" s="570">
        <f t="shared" ref="G86:N86" si="33">SUM(G87:G90)</f>
        <v>146774</v>
      </c>
      <c r="H86" s="570">
        <f t="shared" si="33"/>
        <v>502934</v>
      </c>
      <c r="I86" s="570">
        <f t="shared" si="33"/>
        <v>466802</v>
      </c>
      <c r="J86" s="570">
        <f t="shared" si="33"/>
        <v>432136</v>
      </c>
      <c r="K86" s="570">
        <f t="shared" si="33"/>
        <v>271963</v>
      </c>
      <c r="L86" s="570">
        <f t="shared" si="33"/>
        <v>340178</v>
      </c>
      <c r="M86" s="570">
        <f t="shared" si="33"/>
        <v>346497</v>
      </c>
      <c r="N86" s="570">
        <f t="shared" si="33"/>
        <v>473816</v>
      </c>
    </row>
    <row r="87" spans="1:14">
      <c r="A87" s="571"/>
      <c r="B87" s="565" t="s">
        <v>885</v>
      </c>
      <c r="C87" s="582">
        <f t="shared" ref="C87:C99" si="34">D87+E87</f>
        <v>3243812</v>
      </c>
      <c r="D87" s="105">
        <f>1907+219056+116830+125498-11500-42000-7000-1487</f>
        <v>401304</v>
      </c>
      <c r="E87" s="573">
        <f>SUM(F87:N87)</f>
        <v>2842508</v>
      </c>
      <c r="F87" s="573">
        <f>'Bieu so 03'!H12</f>
        <v>175582</v>
      </c>
      <c r="G87" s="574">
        <f>'Bieu so 03'!P12</f>
        <v>128090</v>
      </c>
      <c r="H87" s="574">
        <f>'Bieu so 03'!I12</f>
        <v>448441</v>
      </c>
      <c r="I87" s="574">
        <f>'Bieu so 03'!J12</f>
        <v>417627</v>
      </c>
      <c r="J87" s="573">
        <f>'Bieu so 03'!K12</f>
        <v>385681</v>
      </c>
      <c r="K87" s="573">
        <f>'Bieu so 03'!L12</f>
        <v>244481</v>
      </c>
      <c r="L87" s="573">
        <f>'Bieu so 03'!M12</f>
        <v>308588</v>
      </c>
      <c r="M87" s="573">
        <f>'Bieu so 03'!N12</f>
        <v>309834</v>
      </c>
      <c r="N87" s="575">
        <f>'Bieu so 03'!O12</f>
        <v>424184</v>
      </c>
    </row>
    <row r="88" spans="1:14">
      <c r="A88" s="571"/>
      <c r="B88" s="565" t="s">
        <v>387</v>
      </c>
      <c r="C88" s="582">
        <f t="shared" si="34"/>
        <v>119166</v>
      </c>
      <c r="D88" s="572"/>
      <c r="E88" s="573">
        <f t="shared" ref="E88:E99" si="35">SUM(F88:N88)</f>
        <v>119166</v>
      </c>
      <c r="F88" s="573">
        <f>'Bieu so 03'!H13</f>
        <v>1511</v>
      </c>
      <c r="G88" s="574">
        <f>'Bieu so 03'!P13</f>
        <v>6071</v>
      </c>
      <c r="H88" s="574">
        <f>'Bieu so 03'!I13</f>
        <v>20532</v>
      </c>
      <c r="I88" s="574">
        <f>'Bieu so 03'!J13</f>
        <v>18186</v>
      </c>
      <c r="J88" s="573">
        <f>'Bieu so 03'!K13</f>
        <v>17767</v>
      </c>
      <c r="K88" s="573">
        <f>'Bieu so 03'!L13</f>
        <v>9760</v>
      </c>
      <c r="L88" s="573">
        <f>'Bieu so 03'!M13</f>
        <v>12116</v>
      </c>
      <c r="M88" s="573">
        <f>'Bieu so 03'!N13</f>
        <v>14863</v>
      </c>
      <c r="N88" s="575">
        <f>'Bieu so 03'!O13</f>
        <v>18360</v>
      </c>
    </row>
    <row r="89" spans="1:14">
      <c r="A89" s="571"/>
      <c r="B89" s="565" t="s">
        <v>386</v>
      </c>
      <c r="C89" s="582">
        <f t="shared" si="34"/>
        <v>178877</v>
      </c>
      <c r="D89" s="600">
        <v>51498</v>
      </c>
      <c r="E89" s="592">
        <f t="shared" si="35"/>
        <v>127379</v>
      </c>
      <c r="F89" s="573">
        <f>'Bieu so 03'!H14</f>
        <v>13994</v>
      </c>
      <c r="G89" s="574">
        <f>'Bieu so 03'!P14</f>
        <v>5774</v>
      </c>
      <c r="H89" s="574">
        <f>'Bieu so 03'!I14</f>
        <v>19863</v>
      </c>
      <c r="I89" s="574">
        <f>'Bieu so 03'!J14</f>
        <v>18987</v>
      </c>
      <c r="J89" s="573">
        <f>'Bieu so 03'!K14</f>
        <v>17718</v>
      </c>
      <c r="K89" s="573">
        <f>'Bieu so 03'!L14</f>
        <v>10370</v>
      </c>
      <c r="L89" s="573">
        <f>'Bieu so 03'!M14</f>
        <v>9327</v>
      </c>
      <c r="M89" s="573">
        <f>'Bieu so 03'!N14</f>
        <v>12325</v>
      </c>
      <c r="N89" s="575">
        <f>'Bieu so 03'!O14</f>
        <v>19021</v>
      </c>
    </row>
    <row r="90" spans="1:14">
      <c r="A90" s="571"/>
      <c r="B90" s="565" t="s">
        <v>388</v>
      </c>
      <c r="C90" s="582">
        <f t="shared" si="34"/>
        <v>167200</v>
      </c>
      <c r="D90" s="600">
        <v>74000</v>
      </c>
      <c r="E90" s="573">
        <f t="shared" si="35"/>
        <v>93200</v>
      </c>
      <c r="F90" s="573">
        <f>'Bieu so 03'!H15</f>
        <v>10066</v>
      </c>
      <c r="G90" s="574">
        <f>'Bieu so 03'!P15</f>
        <v>6839</v>
      </c>
      <c r="H90" s="574">
        <f>'Bieu so 03'!I15</f>
        <v>14098</v>
      </c>
      <c r="I90" s="574">
        <f>'Bieu so 03'!J15</f>
        <v>12002</v>
      </c>
      <c r="J90" s="573">
        <f>'Bieu so 03'!K15</f>
        <v>10970</v>
      </c>
      <c r="K90" s="573">
        <f>'Bieu so 03'!L15</f>
        <v>7352</v>
      </c>
      <c r="L90" s="573">
        <f>'Bieu so 03'!M15</f>
        <v>10147</v>
      </c>
      <c r="M90" s="573">
        <f>'Bieu so 03'!N15</f>
        <v>9475</v>
      </c>
      <c r="N90" s="575">
        <f>'Bieu so 03'!O15</f>
        <v>12251</v>
      </c>
    </row>
    <row r="91" spans="1:14" ht="27.6">
      <c r="A91" s="571"/>
      <c r="B91" s="1017" t="s">
        <v>832</v>
      </c>
      <c r="C91" s="582">
        <f>D91+E91</f>
        <v>99045</v>
      </c>
      <c r="D91" s="600"/>
      <c r="E91" s="573">
        <f t="shared" ref="E91" si="36">SUM(F91:N91)</f>
        <v>99045</v>
      </c>
      <c r="F91" s="573">
        <f>'Bieu so 03'!H16</f>
        <v>10010</v>
      </c>
      <c r="G91" s="574">
        <f>'Bieu so 03'!P16</f>
        <v>5625</v>
      </c>
      <c r="H91" s="574">
        <f>'Bieu so 03'!I16</f>
        <v>19905</v>
      </c>
      <c r="I91" s="574">
        <f>'Bieu so 03'!J16</f>
        <v>4710</v>
      </c>
      <c r="J91" s="573">
        <f>'Bieu so 03'!K16</f>
        <v>19099</v>
      </c>
      <c r="K91" s="573">
        <f>'Bieu so 03'!L16</f>
        <v>8095</v>
      </c>
      <c r="L91" s="573">
        <f>'Bieu so 03'!M16</f>
        <v>-864</v>
      </c>
      <c r="M91" s="573">
        <f>'Bieu so 03'!N16</f>
        <v>10400</v>
      </c>
      <c r="N91" s="575">
        <f>'Bieu so 03'!O16</f>
        <v>22065</v>
      </c>
    </row>
    <row r="92" spans="1:14" s="363" customFormat="1">
      <c r="A92" s="576">
        <v>2</v>
      </c>
      <c r="B92" s="530" t="s">
        <v>391</v>
      </c>
      <c r="C92" s="577">
        <f t="shared" ref="C92:E92" si="37">SUM(C93:C97)</f>
        <v>1747626</v>
      </c>
      <c r="D92" s="577">
        <f t="shared" si="37"/>
        <v>1286119</v>
      </c>
      <c r="E92" s="577">
        <f t="shared" si="37"/>
        <v>461507</v>
      </c>
      <c r="F92" s="577">
        <f>SUM(F93:F97)</f>
        <v>13749</v>
      </c>
      <c r="G92" s="577">
        <f t="shared" ref="G92:N92" si="38">SUM(G93:G97)</f>
        <v>16827</v>
      </c>
      <c r="H92" s="577">
        <f t="shared" si="38"/>
        <v>149897</v>
      </c>
      <c r="I92" s="577">
        <f t="shared" si="38"/>
        <v>62263</v>
      </c>
      <c r="J92" s="577">
        <f t="shared" si="38"/>
        <v>55955</v>
      </c>
      <c r="K92" s="577">
        <f t="shared" si="38"/>
        <v>43511</v>
      </c>
      <c r="L92" s="577">
        <f t="shared" si="38"/>
        <v>32214</v>
      </c>
      <c r="M92" s="577">
        <f t="shared" si="38"/>
        <v>52015</v>
      </c>
      <c r="N92" s="577">
        <f t="shared" si="38"/>
        <v>35076</v>
      </c>
    </row>
    <row r="93" spans="1:14" ht="31.2">
      <c r="A93" s="578" t="s">
        <v>351</v>
      </c>
      <c r="B93" s="579" t="s">
        <v>389</v>
      </c>
      <c r="C93" s="582">
        <f>D93+E93</f>
        <v>1284980</v>
      </c>
      <c r="D93" s="1622">
        <f>1663918-40000-30624-50000-66820-322200</f>
        <v>1154274</v>
      </c>
      <c r="E93" s="573">
        <f>SUM(F93:N93)</f>
        <v>130706</v>
      </c>
      <c r="F93" s="573">
        <f>'Bieu so 03'!H18</f>
        <v>6799</v>
      </c>
      <c r="G93" s="573">
        <f>'Bieu so 03'!P18</f>
        <v>6522</v>
      </c>
      <c r="H93" s="1622">
        <f>'Bieu so 03'!I18</f>
        <v>27385</v>
      </c>
      <c r="I93" s="573">
        <f>'Bieu so 03'!J18</f>
        <v>13296</v>
      </c>
      <c r="J93" s="573">
        <f>'Bieu so 03'!K18</f>
        <v>13171</v>
      </c>
      <c r="K93" s="573">
        <f>'Bieu so 03'!L18</f>
        <v>11136</v>
      </c>
      <c r="L93" s="580">
        <f>'Bieu so 03'!M18</f>
        <v>14001</v>
      </c>
      <c r="M93" s="573">
        <f>'Bieu so 03'!N18</f>
        <v>28953</v>
      </c>
      <c r="N93" s="575">
        <f>'Bieu so 03'!O18</f>
        <v>9443</v>
      </c>
    </row>
    <row r="94" spans="1:14">
      <c r="A94" s="578" t="s">
        <v>357</v>
      </c>
      <c r="B94" s="579" t="s">
        <v>826</v>
      </c>
      <c r="C94" s="582">
        <f>D94+E94</f>
        <v>23626</v>
      </c>
      <c r="D94" s="600">
        <v>8419</v>
      </c>
      <c r="E94" s="573">
        <f t="shared" si="35"/>
        <v>15207</v>
      </c>
      <c r="F94" s="573">
        <f>'Bieu so 03'!H19</f>
        <v>3410</v>
      </c>
      <c r="G94" s="573">
        <f>'Bieu so 03'!P19</f>
        <v>1812</v>
      </c>
      <c r="H94" s="1622">
        <f>'Bieu so 03'!I19</f>
        <v>890</v>
      </c>
      <c r="I94" s="573">
        <f>'Bieu so 03'!J19</f>
        <v>1161</v>
      </c>
      <c r="J94" s="573">
        <f>'Bieu so 03'!K19</f>
        <v>897</v>
      </c>
      <c r="K94" s="573">
        <f>'Bieu so 03'!L19</f>
        <v>1672</v>
      </c>
      <c r="L94" s="580">
        <f>'Bieu so 03'!M19</f>
        <v>2248</v>
      </c>
      <c r="M94" s="573">
        <f>'Bieu so 03'!N19</f>
        <v>1592</v>
      </c>
      <c r="N94" s="575">
        <f>'Bieu so 03'!O19</f>
        <v>1525</v>
      </c>
    </row>
    <row r="95" spans="1:14">
      <c r="A95" s="578" t="s">
        <v>815</v>
      </c>
      <c r="B95" s="408" t="s">
        <v>1033</v>
      </c>
      <c r="C95" s="582">
        <f t="shared" ref="C95:C97" si="39">D95+E95</f>
        <v>50000</v>
      </c>
      <c r="D95" s="600">
        <v>44279</v>
      </c>
      <c r="E95" s="573">
        <f t="shared" si="35"/>
        <v>5721</v>
      </c>
      <c r="F95" s="573">
        <f>'Bieu so 03'!H21</f>
        <v>0</v>
      </c>
      <c r="G95" s="573">
        <f>'Bieu so 03'!P21</f>
        <v>0</v>
      </c>
      <c r="H95" s="1622">
        <f>'Bieu so 03'!I21</f>
        <v>782</v>
      </c>
      <c r="I95" s="573">
        <f>'Bieu so 03'!J21</f>
        <v>911</v>
      </c>
      <c r="J95" s="573">
        <f>'Bieu so 03'!K21</f>
        <v>1066</v>
      </c>
      <c r="K95" s="573">
        <f>'Bieu so 03'!L21</f>
        <v>537</v>
      </c>
      <c r="L95" s="580">
        <f>'Bieu so 03'!M21</f>
        <v>672</v>
      </c>
      <c r="M95" s="573">
        <f>'Bieu so 03'!N21</f>
        <v>858</v>
      </c>
      <c r="N95" s="575">
        <f>'Bieu so 03'!O21</f>
        <v>895</v>
      </c>
    </row>
    <row r="96" spans="1:14">
      <c r="A96" s="578" t="s">
        <v>816</v>
      </c>
      <c r="B96" s="408" t="s">
        <v>1034</v>
      </c>
      <c r="C96" s="582">
        <f t="shared" si="39"/>
        <v>66820</v>
      </c>
      <c r="D96" s="600">
        <v>65806</v>
      </c>
      <c r="E96" s="573">
        <f t="shared" si="35"/>
        <v>1014</v>
      </c>
      <c r="F96" s="573">
        <f>'Bieu so 03'!H22</f>
        <v>78</v>
      </c>
      <c r="G96" s="573">
        <f>'Bieu so 03'!P22</f>
        <v>78</v>
      </c>
      <c r="H96" s="1622">
        <f>'Bieu so 03'!I22</f>
        <v>150</v>
      </c>
      <c r="I96" s="573">
        <f>'Bieu so 03'!J22</f>
        <v>126</v>
      </c>
      <c r="J96" s="573">
        <f>'Bieu so 03'!K22</f>
        <v>126</v>
      </c>
      <c r="K96" s="573">
        <f>'Bieu so 03'!L22</f>
        <v>102</v>
      </c>
      <c r="L96" s="580">
        <f>'Bieu so 03'!M22</f>
        <v>102</v>
      </c>
      <c r="M96" s="573">
        <f>'Bieu so 03'!N22</f>
        <v>102</v>
      </c>
      <c r="N96" s="575">
        <f>'Bieu so 03'!O22</f>
        <v>150</v>
      </c>
    </row>
    <row r="97" spans="1:14">
      <c r="A97" s="578" t="s">
        <v>817</v>
      </c>
      <c r="B97" s="408" t="s">
        <v>1035</v>
      </c>
      <c r="C97" s="582">
        <f t="shared" si="39"/>
        <v>322200</v>
      </c>
      <c r="D97" s="600">
        <v>13341</v>
      </c>
      <c r="E97" s="573">
        <f t="shared" si="35"/>
        <v>308859</v>
      </c>
      <c r="F97" s="573">
        <f>'Bieu so 03'!H23</f>
        <v>3462</v>
      </c>
      <c r="G97" s="573">
        <f>'Bieu so 03'!P23</f>
        <v>8415</v>
      </c>
      <c r="H97" s="1622">
        <f>'Bieu so 03'!I23</f>
        <v>120690</v>
      </c>
      <c r="I97" s="573">
        <f>'Bieu so 03'!J23</f>
        <v>46769</v>
      </c>
      <c r="J97" s="573">
        <f>'Bieu so 03'!K23</f>
        <v>40695</v>
      </c>
      <c r="K97" s="573">
        <f>'Bieu so 03'!L23</f>
        <v>30064</v>
      </c>
      <c r="L97" s="580">
        <f>'Bieu so 03'!M23</f>
        <v>15191</v>
      </c>
      <c r="M97" s="573">
        <f>'Bieu so 03'!N23</f>
        <v>20510</v>
      </c>
      <c r="N97" s="575">
        <f>'Bieu so 03'!O23</f>
        <v>23063</v>
      </c>
    </row>
    <row r="98" spans="1:14" s="363" customFormat="1">
      <c r="A98" s="576" t="s">
        <v>315</v>
      </c>
      <c r="B98" s="531" t="s">
        <v>985</v>
      </c>
      <c r="C98" s="570">
        <f>D98+E98</f>
        <v>154000</v>
      </c>
      <c r="D98" s="1524">
        <v>117200</v>
      </c>
      <c r="E98" s="577">
        <f t="shared" si="35"/>
        <v>36800</v>
      </c>
      <c r="F98" s="577">
        <f>'Bieu so 03'!H20</f>
        <v>1000</v>
      </c>
      <c r="G98" s="577">
        <f>'Bieu so 03'!P20</f>
        <v>13000</v>
      </c>
      <c r="H98" s="1623">
        <f>'Bieu so 03'!I20</f>
        <v>1200</v>
      </c>
      <c r="I98" s="577">
        <f>'Bieu so 03'!J20</f>
        <v>1200</v>
      </c>
      <c r="J98" s="577">
        <f>'Bieu so 03'!K20</f>
        <v>1200</v>
      </c>
      <c r="K98" s="577">
        <f>'Bieu so 03'!L20</f>
        <v>1000</v>
      </c>
      <c r="L98" s="1539">
        <f>'Bieu so 03'!M20</f>
        <v>16000</v>
      </c>
      <c r="M98" s="577">
        <f>'Bieu so 03'!N20</f>
        <v>1000</v>
      </c>
      <c r="N98" s="1540">
        <f>'Bieu so 03'!O20</f>
        <v>1200</v>
      </c>
    </row>
    <row r="99" spans="1:14" hidden="1">
      <c r="A99" s="576" t="s">
        <v>317</v>
      </c>
      <c r="B99" s="531" t="s">
        <v>384</v>
      </c>
      <c r="C99" s="570">
        <f t="shared" si="34"/>
        <v>0</v>
      </c>
      <c r="D99" s="1524"/>
      <c r="E99" s="573">
        <f t="shared" si="35"/>
        <v>0</v>
      </c>
      <c r="F99" s="575"/>
      <c r="G99" s="575"/>
      <c r="H99" s="575"/>
      <c r="I99" s="575"/>
      <c r="J99" s="575"/>
      <c r="K99" s="575"/>
      <c r="L99" s="575"/>
      <c r="M99" s="575"/>
      <c r="N99" s="575"/>
    </row>
    <row r="100" spans="1:14">
      <c r="A100" s="1571"/>
      <c r="B100" s="1572"/>
      <c r="C100" s="1573"/>
      <c r="D100" s="1573"/>
      <c r="E100" s="1573"/>
      <c r="F100" s="1573"/>
      <c r="G100" s="1573"/>
      <c r="H100" s="1573"/>
      <c r="I100" s="1573"/>
      <c r="J100" s="1573"/>
      <c r="K100" s="1573"/>
      <c r="L100" s="1574"/>
      <c r="M100" s="1573"/>
      <c r="N100" s="1573"/>
    </row>
    <row r="101" spans="1:14" s="525" customFormat="1">
      <c r="A101" s="1575"/>
      <c r="B101" s="1576" t="s">
        <v>392</v>
      </c>
      <c r="C101" s="1577">
        <f>D101+E101</f>
        <v>315078</v>
      </c>
      <c r="D101" s="1577">
        <f>SUM(D60,D65,D74,D79,D80,D81)</f>
        <v>297678</v>
      </c>
      <c r="E101" s="1577">
        <f>SUM(F101:N101)</f>
        <v>17400</v>
      </c>
      <c r="F101" s="1577">
        <f>SUM(F60,F65,F74,F79,F81)</f>
        <v>4000</v>
      </c>
      <c r="G101" s="1577">
        <f>SUM(G60,G65,G74,G79,G81)</f>
        <v>2100</v>
      </c>
      <c r="H101" s="1577">
        <f t="shared" ref="H101:N101" si="40">SUM(H60,H65,H74,H79,H81)</f>
        <v>800</v>
      </c>
      <c r="I101" s="1577">
        <f t="shared" si="40"/>
        <v>1200</v>
      </c>
      <c r="J101" s="1577">
        <f t="shared" si="40"/>
        <v>1300</v>
      </c>
      <c r="K101" s="1577">
        <f>SUM(K60,K65,K74,K79,K81)</f>
        <v>1400</v>
      </c>
      <c r="L101" s="1577">
        <f t="shared" si="40"/>
        <v>2600</v>
      </c>
      <c r="M101" s="1577">
        <f t="shared" si="40"/>
        <v>1500</v>
      </c>
      <c r="N101" s="1577">
        <f t="shared" si="40"/>
        <v>2500</v>
      </c>
    </row>
    <row r="102" spans="1:14">
      <c r="D102" s="595"/>
      <c r="E102" s="595"/>
    </row>
    <row r="103" spans="1:14" hidden="1">
      <c r="B103" s="532" t="s">
        <v>952</v>
      </c>
      <c r="C103" s="1007">
        <v>1747626</v>
      </c>
      <c r="D103" s="593"/>
    </row>
    <row r="104" spans="1:14" hidden="1">
      <c r="B104" s="532" t="s">
        <v>951</v>
      </c>
      <c r="C104" s="595">
        <f>C92-C103</f>
        <v>0</v>
      </c>
      <c r="E104" s="595"/>
    </row>
    <row r="105" spans="1:14">
      <c r="C105" s="595"/>
      <c r="E105" s="1007"/>
    </row>
    <row r="106" spans="1:14">
      <c r="C106" s="595"/>
      <c r="D106" s="1007"/>
    </row>
    <row r="107" spans="1:14">
      <c r="C107" s="595"/>
    </row>
  </sheetData>
  <mergeCells count="13">
    <mergeCell ref="J1:M1"/>
    <mergeCell ref="J2:M2"/>
    <mergeCell ref="A4:N4"/>
    <mergeCell ref="A5:N5"/>
    <mergeCell ref="L6:N6"/>
    <mergeCell ref="A7:A10"/>
    <mergeCell ref="B7:B10"/>
    <mergeCell ref="C7:C10"/>
    <mergeCell ref="D7:N7"/>
    <mergeCell ref="D8:D10"/>
    <mergeCell ref="E8:N8"/>
    <mergeCell ref="E9:E10"/>
    <mergeCell ref="F9:N9"/>
  </mergeCells>
  <printOptions horizontalCentered="1"/>
  <pageMargins left="0.5" right="0.5" top="0.5" bottom="0.25" header="0.3" footer="0.3"/>
  <pageSetup paperSize="9" scale="7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83"/>
  <sheetViews>
    <sheetView topLeftCell="B1" zoomScale="85" zoomScaleNormal="85" workbookViewId="0">
      <pane xSplit="2" ySplit="8" topLeftCell="D9" activePane="bottomRight" state="frozen"/>
      <selection activeCell="B140" sqref="B140"/>
      <selection pane="topRight" activeCell="B140" sqref="B140"/>
      <selection pane="bottomLeft" activeCell="B140" sqref="B140"/>
      <selection pane="bottomRight" activeCell="B140" sqref="B140"/>
    </sheetView>
  </sheetViews>
  <sheetFormatPr defaultColWidth="16.5546875" defaultRowHeight="13.8"/>
  <cols>
    <col min="1" max="1" width="7.5546875" style="2" customWidth="1"/>
    <col min="2" max="2" width="5.6640625" style="2" customWidth="1"/>
    <col min="3" max="3" width="58.109375" style="2" customWidth="1"/>
    <col min="4" max="4" width="16.6640625" style="2" customWidth="1"/>
    <col min="5" max="5" width="18.109375" style="2" hidden="1" customWidth="1"/>
    <col min="6" max="6" width="0" style="2" hidden="1" customWidth="1"/>
    <col min="7" max="7" width="11.88671875" style="2" hidden="1" customWidth="1"/>
    <col min="8" max="8" width="13.33203125" style="2" customWidth="1"/>
    <col min="9" max="9" width="11" style="2" customWidth="1"/>
    <col min="10" max="11" width="12.44140625" style="2" customWidth="1"/>
    <col min="12" max="12" width="11.6640625" style="2" customWidth="1"/>
    <col min="13" max="13" width="12.88671875" style="2" customWidth="1"/>
    <col min="14" max="14" width="13" style="2" customWidth="1"/>
    <col min="15" max="15" width="12.88671875" style="2" customWidth="1"/>
    <col min="16" max="16" width="12.33203125" style="2" customWidth="1"/>
    <col min="17" max="16384" width="16.5546875" style="2"/>
  </cols>
  <sheetData>
    <row r="1" spans="2:16" ht="15.6">
      <c r="C1" s="33" t="s">
        <v>69</v>
      </c>
      <c r="O1" s="3" t="s">
        <v>972</v>
      </c>
    </row>
    <row r="2" spans="2:16">
      <c r="C2" s="1431"/>
      <c r="D2" s="1431"/>
      <c r="E2" s="1431"/>
      <c r="F2" s="1431"/>
      <c r="G2" s="1431"/>
      <c r="H2" s="1431"/>
      <c r="I2" s="1431"/>
      <c r="J2" s="1431"/>
      <c r="K2" s="1431"/>
      <c r="L2" s="1431"/>
      <c r="M2" s="1431"/>
      <c r="N2" s="1431"/>
      <c r="O2" s="3096"/>
      <c r="P2" s="3096"/>
    </row>
    <row r="3" spans="2:16" ht="17.399999999999999">
      <c r="C3" s="3097" t="s">
        <v>110</v>
      </c>
      <c r="D3" s="3097"/>
      <c r="E3" s="3097"/>
      <c r="F3" s="3097"/>
      <c r="G3" s="3097"/>
      <c r="H3" s="3097"/>
      <c r="I3" s="3097"/>
      <c r="J3" s="3097"/>
      <c r="K3" s="3097"/>
      <c r="L3" s="3097"/>
      <c r="M3" s="3097"/>
      <c r="N3" s="3097"/>
      <c r="O3" s="3097"/>
      <c r="P3" s="3097"/>
    </row>
    <row r="4" spans="2:16">
      <c r="C4" s="1431"/>
      <c r="D4" s="1431"/>
      <c r="E4" s="1431"/>
      <c r="F4" s="1431"/>
      <c r="G4" s="1431"/>
      <c r="H4" s="1431"/>
      <c r="I4" s="1431"/>
      <c r="J4" s="1431"/>
      <c r="K4" s="1431"/>
      <c r="L4" s="1431"/>
      <c r="M4" s="1431"/>
      <c r="N4" s="1431"/>
      <c r="O4" s="1431"/>
      <c r="P4" s="1431"/>
    </row>
    <row r="5" spans="2:16" ht="18" customHeight="1">
      <c r="C5" s="1431"/>
      <c r="D5" s="2711"/>
      <c r="E5" s="1431"/>
      <c r="F5" s="1431"/>
      <c r="G5" s="1431"/>
      <c r="H5" s="1620"/>
      <c r="I5" s="1431"/>
      <c r="J5" s="1431"/>
      <c r="K5" s="1431"/>
      <c r="L5" s="1431"/>
      <c r="M5" s="1431"/>
      <c r="N5" s="1431"/>
      <c r="O5" s="1579" t="s">
        <v>167</v>
      </c>
      <c r="P5" s="1431"/>
    </row>
    <row r="6" spans="2:16" ht="46.2" customHeight="1">
      <c r="B6" s="1580" t="s">
        <v>49</v>
      </c>
      <c r="C6" s="1581" t="s">
        <v>37</v>
      </c>
      <c r="D6" s="1582" t="s">
        <v>973</v>
      </c>
      <c r="E6" s="1580"/>
      <c r="F6" s="1580"/>
      <c r="G6" s="1580"/>
      <c r="H6" s="1583" t="s">
        <v>28</v>
      </c>
      <c r="I6" s="1583" t="s">
        <v>29</v>
      </c>
      <c r="J6" s="1583" t="s">
        <v>30</v>
      </c>
      <c r="K6" s="1583" t="s">
        <v>31</v>
      </c>
      <c r="L6" s="1583" t="s">
        <v>32</v>
      </c>
      <c r="M6" s="1583" t="s">
        <v>33</v>
      </c>
      <c r="N6" s="1583" t="s">
        <v>34</v>
      </c>
      <c r="O6" s="1583" t="s">
        <v>35</v>
      </c>
      <c r="P6" s="1583" t="s">
        <v>36</v>
      </c>
    </row>
    <row r="7" spans="2:16" s="33" customFormat="1" ht="22.5" customHeight="1">
      <c r="B7" s="1591"/>
      <c r="C7" s="1592" t="s">
        <v>978</v>
      </c>
      <c r="D7" s="1593">
        <f>SUM(H7:P7)</f>
        <v>4341805</v>
      </c>
      <c r="E7" s="1594"/>
      <c r="F7" s="1594"/>
      <c r="G7" s="1594"/>
      <c r="H7" s="1595">
        <f>TPTV!D71</f>
        <v>417812</v>
      </c>
      <c r="I7" s="1595">
        <f>'Tra Cu'!D71</f>
        <v>724136</v>
      </c>
      <c r="J7" s="1595">
        <f>'Cau Ngang'!D71</f>
        <v>575975</v>
      </c>
      <c r="K7" s="1595">
        <f>'Chau Thanh'!D71</f>
        <v>569590</v>
      </c>
      <c r="L7" s="1595">
        <f>'Duyen Hai'!D71</f>
        <v>350569</v>
      </c>
      <c r="M7" s="1595">
        <f>'Tieu Can'!D71</f>
        <v>428428</v>
      </c>
      <c r="N7" s="1595">
        <f>'Cau Ke'!D71</f>
        <v>440312</v>
      </c>
      <c r="O7" s="1595">
        <f>'Cang Long'!D71</f>
        <v>586857</v>
      </c>
      <c r="P7" s="1595">
        <f>'TX Duyen Hai'!D71</f>
        <v>248126</v>
      </c>
    </row>
    <row r="8" spans="2:16" s="7" customFormat="1" ht="15.6">
      <c r="B8" s="1584" t="s">
        <v>54</v>
      </c>
      <c r="C8" s="1585" t="s">
        <v>812</v>
      </c>
      <c r="D8" s="1586">
        <f t="shared" ref="D8:D23" si="0">SUM(H8:P8)</f>
        <v>4341805</v>
      </c>
      <c r="E8" s="1587"/>
      <c r="F8" s="1587"/>
      <c r="G8" s="1587"/>
      <c r="H8" s="1588">
        <f>TPTV!D8</f>
        <v>417812</v>
      </c>
      <c r="I8" s="1588">
        <f>'Tra Cu'!D8</f>
        <v>724136</v>
      </c>
      <c r="J8" s="1588">
        <f>'Cau Ngang'!D8</f>
        <v>575975</v>
      </c>
      <c r="K8" s="1588">
        <f>'Chau Thanh'!D8</f>
        <v>569590</v>
      </c>
      <c r="L8" s="1588">
        <f>'Duyen Hai'!D8</f>
        <v>350569</v>
      </c>
      <c r="M8" s="1588">
        <f>'Tieu Can'!D8</f>
        <v>428428</v>
      </c>
      <c r="N8" s="1588">
        <f>'Cau Ke'!D8</f>
        <v>440312</v>
      </c>
      <c r="O8" s="1588">
        <f>'Cang Long'!D8</f>
        <v>586857</v>
      </c>
      <c r="P8" s="1588">
        <f>'TX Duyen Hai'!D8</f>
        <v>248126</v>
      </c>
    </row>
    <row r="9" spans="2:16" s="7" customFormat="1" ht="16.2">
      <c r="B9" s="1138">
        <v>1</v>
      </c>
      <c r="C9" s="1505" t="s">
        <v>3</v>
      </c>
      <c r="D9" s="140">
        <f t="shared" si="0"/>
        <v>562200</v>
      </c>
      <c r="E9" s="1506"/>
      <c r="F9" s="1506"/>
      <c r="G9" s="1506"/>
      <c r="H9" s="1504">
        <f>TPTV!D9</f>
        <v>191900</v>
      </c>
      <c r="I9" s="1504">
        <f>'Tra Cu'!D9</f>
        <v>50200</v>
      </c>
      <c r="J9" s="1504">
        <f>'Cau Ngang'!D9</f>
        <v>41000</v>
      </c>
      <c r="K9" s="1504">
        <f>'Chau Thanh'!D9</f>
        <v>61200</v>
      </c>
      <c r="L9" s="1504">
        <f>'Duyen Hai'!D9</f>
        <v>26000</v>
      </c>
      <c r="M9" s="1504">
        <f>'Tieu Can'!D9</f>
        <v>40900</v>
      </c>
      <c r="N9" s="1504">
        <f>'Cau Ke'!D9</f>
        <v>30400</v>
      </c>
      <c r="O9" s="1504">
        <f>'Cang Long'!D9</f>
        <v>54700</v>
      </c>
      <c r="P9" s="1504">
        <f>'TX Duyen Hai'!D9</f>
        <v>65900</v>
      </c>
    </row>
    <row r="10" spans="2:16" s="7" customFormat="1" ht="15.6">
      <c r="B10" s="1138"/>
      <c r="C10" s="1202" t="s">
        <v>109</v>
      </c>
      <c r="D10" s="1102">
        <f>SUM(H10:P10)</f>
        <v>509400</v>
      </c>
      <c r="E10" s="1507"/>
      <c r="F10" s="1507"/>
      <c r="G10" s="1507"/>
      <c r="H10" s="1504">
        <f>TPTV!D10</f>
        <v>161900</v>
      </c>
      <c r="I10" s="1504">
        <f>'Tra Cu'!D10</f>
        <v>47700</v>
      </c>
      <c r="J10" s="1504">
        <f>'Cau Ngang'!D10</f>
        <v>39300</v>
      </c>
      <c r="K10" s="1504">
        <f>'Chau Thanh'!D10</f>
        <v>56700</v>
      </c>
      <c r="L10" s="1504">
        <f>'Duyen Hai'!D10</f>
        <v>25400</v>
      </c>
      <c r="M10" s="1504">
        <f>'Tieu Can'!D10</f>
        <v>37400</v>
      </c>
      <c r="N10" s="1504">
        <f>'Cau Ke'!D10</f>
        <v>27900</v>
      </c>
      <c r="O10" s="1504">
        <f>'Cang Long'!D10</f>
        <v>50700</v>
      </c>
      <c r="P10" s="1504">
        <f>'TX Duyen Hai'!D10</f>
        <v>62400</v>
      </c>
    </row>
    <row r="11" spans="2:16" s="52" customFormat="1" ht="15.6">
      <c r="B11" s="1138">
        <v>2</v>
      </c>
      <c r="C11" s="1202" t="s">
        <v>814</v>
      </c>
      <c r="D11" s="1102">
        <f t="shared" si="0"/>
        <v>3281298</v>
      </c>
      <c r="E11" s="1503"/>
      <c r="F11" s="1503"/>
      <c r="G11" s="1503"/>
      <c r="H11" s="1504">
        <f>TPTV!D11</f>
        <v>211163</v>
      </c>
      <c r="I11" s="1504">
        <f>'Tra Cu'!D11</f>
        <v>522839</v>
      </c>
      <c r="J11" s="1504">
        <f>'Cau Ngang'!D11</f>
        <v>471512</v>
      </c>
      <c r="K11" s="1504">
        <f>'Chau Thanh'!D11</f>
        <v>451235</v>
      </c>
      <c r="L11" s="1504">
        <f>'Duyen Hai'!D11</f>
        <v>280058</v>
      </c>
      <c r="M11" s="1504">
        <f>'Tieu Can'!D11</f>
        <v>339314</v>
      </c>
      <c r="N11" s="1504">
        <f>'Cau Ke'!D11</f>
        <v>356897</v>
      </c>
      <c r="O11" s="1504">
        <f>'Cang Long'!D11</f>
        <v>495881</v>
      </c>
      <c r="P11" s="1504">
        <f>'TX Duyen Hai'!D11</f>
        <v>152399</v>
      </c>
    </row>
    <row r="12" spans="2:16" s="7" customFormat="1" ht="15.6">
      <c r="B12" s="1140" t="s">
        <v>351</v>
      </c>
      <c r="C12" s="1204" t="s">
        <v>829</v>
      </c>
      <c r="D12" s="1104">
        <f t="shared" si="0"/>
        <v>2842508</v>
      </c>
      <c r="E12" s="1507"/>
      <c r="F12" s="1507"/>
      <c r="G12" s="1507"/>
      <c r="H12" s="1508">
        <f>TPTV!D12</f>
        <v>175582</v>
      </c>
      <c r="I12" s="1508">
        <f>'Tra Cu'!D12</f>
        <v>448441</v>
      </c>
      <c r="J12" s="1508">
        <f>'Cau Ngang'!D12</f>
        <v>417627</v>
      </c>
      <c r="K12" s="1508">
        <f>'Chau Thanh'!D12</f>
        <v>385681</v>
      </c>
      <c r="L12" s="1508">
        <f>'Duyen Hai'!D12</f>
        <v>244481</v>
      </c>
      <c r="M12" s="1508">
        <f>'Tieu Can'!D12</f>
        <v>308588</v>
      </c>
      <c r="N12" s="1508">
        <f>'Cau Ke'!D12</f>
        <v>309834</v>
      </c>
      <c r="O12" s="1508">
        <f>'Cang Long'!D12</f>
        <v>424184</v>
      </c>
      <c r="P12" s="1508">
        <f>'TX Duyen Hai'!D12</f>
        <v>128090</v>
      </c>
    </row>
    <row r="13" spans="2:16" s="7" customFormat="1" ht="15.6">
      <c r="B13" s="1140" t="s">
        <v>357</v>
      </c>
      <c r="C13" s="1204" t="s">
        <v>387</v>
      </c>
      <c r="D13" s="1104">
        <f t="shared" si="0"/>
        <v>119166</v>
      </c>
      <c r="E13" s="1507"/>
      <c r="F13" s="1507"/>
      <c r="G13" s="1507"/>
      <c r="H13" s="1508">
        <f>TPTV!D13</f>
        <v>1511</v>
      </c>
      <c r="I13" s="1508">
        <f>'Tra Cu'!D13</f>
        <v>20532</v>
      </c>
      <c r="J13" s="1508">
        <f>'Cau Ngang'!D13</f>
        <v>18186</v>
      </c>
      <c r="K13" s="1508">
        <f>'Chau Thanh'!D13</f>
        <v>17767</v>
      </c>
      <c r="L13" s="1508">
        <f>'Duyen Hai'!D13</f>
        <v>9760</v>
      </c>
      <c r="M13" s="1508">
        <f>'Tieu Can'!D13</f>
        <v>12116</v>
      </c>
      <c r="N13" s="1508">
        <f>'Cau Ke'!D13</f>
        <v>14863</v>
      </c>
      <c r="O13" s="1508">
        <f>'Cang Long'!D13</f>
        <v>18360</v>
      </c>
      <c r="P13" s="1508">
        <f>'TX Duyen Hai'!D13</f>
        <v>6071</v>
      </c>
    </row>
    <row r="14" spans="2:16" s="7" customFormat="1" ht="15.6">
      <c r="B14" s="1140" t="s">
        <v>815</v>
      </c>
      <c r="C14" s="1204" t="s">
        <v>386</v>
      </c>
      <c r="D14" s="92">
        <f t="shared" si="0"/>
        <v>127379</v>
      </c>
      <c r="E14" s="1507"/>
      <c r="F14" s="1507"/>
      <c r="G14" s="1507"/>
      <c r="H14" s="1508">
        <f>TPTV!D14</f>
        <v>13994</v>
      </c>
      <c r="I14" s="1508">
        <f>'Tra Cu'!D14</f>
        <v>19863</v>
      </c>
      <c r="J14" s="1508">
        <f>'Cau Ngang'!D14</f>
        <v>18987</v>
      </c>
      <c r="K14" s="1508">
        <f>'Chau Thanh'!D14</f>
        <v>17718</v>
      </c>
      <c r="L14" s="1508">
        <f>'Duyen Hai'!D14</f>
        <v>10370</v>
      </c>
      <c r="M14" s="1508">
        <f>'Tieu Can'!D14</f>
        <v>9327</v>
      </c>
      <c r="N14" s="1508">
        <f>'Cau Ke'!D14</f>
        <v>12325</v>
      </c>
      <c r="O14" s="1508">
        <f>'Cang Long'!D14</f>
        <v>19021</v>
      </c>
      <c r="P14" s="1508">
        <f>'TX Duyen Hai'!D14</f>
        <v>5774</v>
      </c>
    </row>
    <row r="15" spans="2:16" s="7" customFormat="1" ht="15.6">
      <c r="B15" s="1140" t="s">
        <v>816</v>
      </c>
      <c r="C15" s="1204" t="s">
        <v>388</v>
      </c>
      <c r="D15" s="1104">
        <f t="shared" si="0"/>
        <v>93200</v>
      </c>
      <c r="E15" s="1507"/>
      <c r="F15" s="1507"/>
      <c r="G15" s="1507"/>
      <c r="H15" s="1508">
        <f>TPTV!D15</f>
        <v>10066</v>
      </c>
      <c r="I15" s="1508">
        <f>'Tra Cu'!D15</f>
        <v>14098</v>
      </c>
      <c r="J15" s="1508">
        <f>'Cau Ngang'!D15</f>
        <v>12002</v>
      </c>
      <c r="K15" s="1508">
        <f>'Chau Thanh'!D15</f>
        <v>10970</v>
      </c>
      <c r="L15" s="1508">
        <f>'Duyen Hai'!D15</f>
        <v>7352</v>
      </c>
      <c r="M15" s="1508">
        <f>'Tieu Can'!D15</f>
        <v>10147</v>
      </c>
      <c r="N15" s="1508">
        <f>'Cau Ke'!D15</f>
        <v>9475</v>
      </c>
      <c r="O15" s="1508">
        <f>'Cang Long'!D15</f>
        <v>12251</v>
      </c>
      <c r="P15" s="1508">
        <f>'TX Duyen Hai'!D15</f>
        <v>6839</v>
      </c>
    </row>
    <row r="16" spans="2:16" s="7" customFormat="1" ht="31.2">
      <c r="B16" s="1140" t="s">
        <v>817</v>
      </c>
      <c r="C16" s="1143" t="s">
        <v>832</v>
      </c>
      <c r="D16" s="1104">
        <f t="shared" si="0"/>
        <v>99045</v>
      </c>
      <c r="E16" s="1507"/>
      <c r="F16" s="1507"/>
      <c r="G16" s="1507"/>
      <c r="H16" s="1508">
        <f>TPTV!D16</f>
        <v>10010</v>
      </c>
      <c r="I16" s="1508">
        <f>'Tra Cu'!D16</f>
        <v>19905</v>
      </c>
      <c r="J16" s="1508">
        <f>'Cau Ngang'!D16</f>
        <v>4710</v>
      </c>
      <c r="K16" s="1508">
        <f>'Chau Thanh'!D16</f>
        <v>19099</v>
      </c>
      <c r="L16" s="1508">
        <f>'Duyen Hai'!D16</f>
        <v>8095</v>
      </c>
      <c r="M16" s="1508">
        <f>'Tieu Can'!D16</f>
        <v>-864</v>
      </c>
      <c r="N16" s="1508">
        <f>'Cau Ke'!D16</f>
        <v>10400</v>
      </c>
      <c r="O16" s="1508">
        <f>'Cang Long'!D16</f>
        <v>22065</v>
      </c>
      <c r="P16" s="1508">
        <f>'TX Duyen Hai'!D16</f>
        <v>5625</v>
      </c>
    </row>
    <row r="17" spans="2:16" s="52" customFormat="1" ht="15.6">
      <c r="B17" s="1495">
        <v>3</v>
      </c>
      <c r="C17" s="1228" t="s">
        <v>827</v>
      </c>
      <c r="D17" s="1102">
        <f>SUM(H17:P17)</f>
        <v>498307</v>
      </c>
      <c r="E17" s="1503"/>
      <c r="F17" s="1503"/>
      <c r="G17" s="1503"/>
      <c r="H17" s="1504">
        <f>TPTV!D17</f>
        <v>14749</v>
      </c>
      <c r="I17" s="1504">
        <f>'Tra Cu'!D17</f>
        <v>151097</v>
      </c>
      <c r="J17" s="1504">
        <f>'Cau Ngang'!D17</f>
        <v>63463</v>
      </c>
      <c r="K17" s="1504">
        <f>'Chau Thanh'!D17</f>
        <v>57155</v>
      </c>
      <c r="L17" s="1504">
        <f>'Duyen Hai'!D17</f>
        <v>44511</v>
      </c>
      <c r="M17" s="1504">
        <f>'Tieu Can'!D17</f>
        <v>48214</v>
      </c>
      <c r="N17" s="1504">
        <f>'Cau Ke'!D17</f>
        <v>53015</v>
      </c>
      <c r="O17" s="1504">
        <f>'Cang Long'!D17</f>
        <v>36276</v>
      </c>
      <c r="P17" s="1504">
        <f>'TX Duyen Hai'!D17</f>
        <v>29827</v>
      </c>
    </row>
    <row r="18" spans="2:16" s="7" customFormat="1" ht="15.6">
      <c r="B18" s="1146" t="s">
        <v>212</v>
      </c>
      <c r="C18" s="1212" t="s">
        <v>389</v>
      </c>
      <c r="D18" s="1104">
        <f t="shared" si="0"/>
        <v>130706</v>
      </c>
      <c r="E18" s="1507"/>
      <c r="F18" s="1507"/>
      <c r="G18" s="1507"/>
      <c r="H18" s="1508">
        <f>TPTV!D18</f>
        <v>6799</v>
      </c>
      <c r="I18" s="1508">
        <f>'Tra Cu'!D18</f>
        <v>27385</v>
      </c>
      <c r="J18" s="1508">
        <f>'Cau Ngang'!D18</f>
        <v>13296</v>
      </c>
      <c r="K18" s="1508">
        <f>'Chau Thanh'!D18</f>
        <v>13171</v>
      </c>
      <c r="L18" s="1508">
        <f>'Duyen Hai'!D18</f>
        <v>11136</v>
      </c>
      <c r="M18" s="1508">
        <f>'Tieu Can'!D18</f>
        <v>14001</v>
      </c>
      <c r="N18" s="1508">
        <f>'Cau Ke'!D18</f>
        <v>28953</v>
      </c>
      <c r="O18" s="1508">
        <f>'Cang Long'!D18</f>
        <v>9443</v>
      </c>
      <c r="P18" s="1508">
        <f>'TX Duyen Hai'!D18</f>
        <v>6522</v>
      </c>
    </row>
    <row r="19" spans="2:16" s="7" customFormat="1" ht="15.6">
      <c r="B19" s="1146" t="s">
        <v>214</v>
      </c>
      <c r="C19" s="1212" t="s">
        <v>826</v>
      </c>
      <c r="D19" s="1104">
        <f t="shared" si="0"/>
        <v>15207</v>
      </c>
      <c r="E19" s="1507"/>
      <c r="F19" s="1507"/>
      <c r="G19" s="1507"/>
      <c r="H19" s="1508">
        <f>TPTV!D19</f>
        <v>3410</v>
      </c>
      <c r="I19" s="1508">
        <f>'Tra Cu'!D19</f>
        <v>890</v>
      </c>
      <c r="J19" s="1508">
        <f>'Cau Ngang'!D19</f>
        <v>1161</v>
      </c>
      <c r="K19" s="1508">
        <f>'Chau Thanh'!D19</f>
        <v>897</v>
      </c>
      <c r="L19" s="1508">
        <f>'Duyen Hai'!D19</f>
        <v>1672</v>
      </c>
      <c r="M19" s="1508">
        <f>'Tieu Can'!D19</f>
        <v>2248</v>
      </c>
      <c r="N19" s="1508">
        <f>'Cau Ke'!D19</f>
        <v>1592</v>
      </c>
      <c r="O19" s="1508">
        <f>'Cang Long'!D19</f>
        <v>1525</v>
      </c>
      <c r="P19" s="1508">
        <f>'TX Duyen Hai'!D19</f>
        <v>1812</v>
      </c>
    </row>
    <row r="20" spans="2:16" s="7" customFormat="1" ht="15.6">
      <c r="B20" s="1146" t="s">
        <v>925</v>
      </c>
      <c r="C20" s="1212" t="s">
        <v>950</v>
      </c>
      <c r="D20" s="1104">
        <f t="shared" si="0"/>
        <v>36800</v>
      </c>
      <c r="E20" s="1507"/>
      <c r="F20" s="1507"/>
      <c r="G20" s="1507"/>
      <c r="H20" s="1508">
        <f>TPTV!D20</f>
        <v>1000</v>
      </c>
      <c r="I20" s="1508">
        <f>'Tra Cu'!D20</f>
        <v>1200</v>
      </c>
      <c r="J20" s="1508">
        <f>'Cau Ngang'!D20</f>
        <v>1200</v>
      </c>
      <c r="K20" s="1508">
        <f>'Chau Thanh'!D20</f>
        <v>1200</v>
      </c>
      <c r="L20" s="1508">
        <f>'Duyen Hai'!D20</f>
        <v>1000</v>
      </c>
      <c r="M20" s="1508">
        <f>'Tieu Can'!D20</f>
        <v>16000</v>
      </c>
      <c r="N20" s="1508">
        <f>'Cau Ke'!D20</f>
        <v>1000</v>
      </c>
      <c r="O20" s="1508">
        <f>'Cang Long'!D20</f>
        <v>1200</v>
      </c>
      <c r="P20" s="1508">
        <f>'TX Duyen Hai'!D20</f>
        <v>13000</v>
      </c>
    </row>
    <row r="21" spans="2:16" s="7" customFormat="1" ht="15.6">
      <c r="B21" s="1146" t="s">
        <v>1041</v>
      </c>
      <c r="C21" s="408" t="s">
        <v>1033</v>
      </c>
      <c r="D21" s="1104">
        <f t="shared" si="0"/>
        <v>5721</v>
      </c>
      <c r="E21" s="1507"/>
      <c r="F21" s="1507"/>
      <c r="G21" s="1507"/>
      <c r="H21" s="1508">
        <f>TPTV!D21</f>
        <v>0</v>
      </c>
      <c r="I21" s="1508">
        <f>'Tra Cu'!D21</f>
        <v>782</v>
      </c>
      <c r="J21" s="1508">
        <f>'Cau Ngang'!D21</f>
        <v>911</v>
      </c>
      <c r="K21" s="1508">
        <f>'Chau Thanh'!D21</f>
        <v>1066</v>
      </c>
      <c r="L21" s="1508">
        <f>'Duyen Hai'!D21</f>
        <v>537</v>
      </c>
      <c r="M21" s="1508">
        <f>'Tieu Can'!D21</f>
        <v>672</v>
      </c>
      <c r="N21" s="1508">
        <f>'Cau Ke'!D21</f>
        <v>858</v>
      </c>
      <c r="O21" s="1721">
        <f>'Cang Long'!D21</f>
        <v>895</v>
      </c>
      <c r="P21" s="1508">
        <f>'TX Duyen Hai'!D21</f>
        <v>0</v>
      </c>
    </row>
    <row r="22" spans="2:16" s="7" customFormat="1" ht="15.6">
      <c r="B22" s="1146" t="s">
        <v>1042</v>
      </c>
      <c r="C22" s="408" t="s">
        <v>1034</v>
      </c>
      <c r="D22" s="1104">
        <f t="shared" si="0"/>
        <v>1014</v>
      </c>
      <c r="E22" s="1507"/>
      <c r="F22" s="1507"/>
      <c r="G22" s="1507"/>
      <c r="H22" s="1508">
        <f>TPTV!D22</f>
        <v>78</v>
      </c>
      <c r="I22" s="1508">
        <f>'Tra Cu'!D22</f>
        <v>150</v>
      </c>
      <c r="J22" s="1508">
        <f>'Cau Ngang'!D22</f>
        <v>126</v>
      </c>
      <c r="K22" s="1508">
        <f>'Chau Thanh'!D22</f>
        <v>126</v>
      </c>
      <c r="L22" s="1508">
        <f>'Duyen Hai'!D22</f>
        <v>102</v>
      </c>
      <c r="M22" s="1508">
        <f>'Tieu Can'!D22</f>
        <v>102</v>
      </c>
      <c r="N22" s="1508">
        <f>'Cau Ke'!D22</f>
        <v>102</v>
      </c>
      <c r="O22" s="1508">
        <f>'Cang Long'!D22</f>
        <v>150</v>
      </c>
      <c r="P22" s="1508">
        <f>'TX Duyen Hai'!D22</f>
        <v>78</v>
      </c>
    </row>
    <row r="23" spans="2:16" s="7" customFormat="1" ht="15.6">
      <c r="B23" s="1146" t="s">
        <v>1043</v>
      </c>
      <c r="C23" s="408" t="s">
        <v>1035</v>
      </c>
      <c r="D23" s="1104">
        <f t="shared" si="0"/>
        <v>308859</v>
      </c>
      <c r="E23" s="1507"/>
      <c r="F23" s="1507"/>
      <c r="G23" s="1507"/>
      <c r="H23" s="1508">
        <f>TPTV!D23</f>
        <v>3462</v>
      </c>
      <c r="I23" s="1508">
        <f>'Tra Cu'!D23</f>
        <v>120690</v>
      </c>
      <c r="J23" s="1508">
        <f>'Cau Ngang'!D23</f>
        <v>46769</v>
      </c>
      <c r="K23" s="1508">
        <f>'Chau Thanh'!D23</f>
        <v>40695</v>
      </c>
      <c r="L23" s="1508">
        <f>'Duyen Hai'!D23</f>
        <v>30064</v>
      </c>
      <c r="M23" s="1508">
        <f>'Tieu Can'!D23</f>
        <v>15191</v>
      </c>
      <c r="N23" s="1508">
        <f>'Cau Ke'!D23</f>
        <v>20510</v>
      </c>
      <c r="O23" s="1508">
        <f>'Cang Long'!D23</f>
        <v>23063</v>
      </c>
      <c r="P23" s="1508">
        <f>'TX Duyen Hai'!D23</f>
        <v>8415</v>
      </c>
    </row>
    <row r="24" spans="2:16" s="598" customFormat="1" ht="22.2" customHeight="1">
      <c r="B24" s="1545" t="s">
        <v>80</v>
      </c>
      <c r="C24" s="1109" t="s">
        <v>979</v>
      </c>
      <c r="D24" s="1102">
        <f>SUM(H24:P24)</f>
        <v>3843498</v>
      </c>
      <c r="E24" s="1503"/>
      <c r="F24" s="1503"/>
      <c r="G24" s="1503"/>
      <c r="H24" s="1504">
        <f>TPTV!D24</f>
        <v>403063</v>
      </c>
      <c r="I24" s="1504">
        <f>'Tra Cu'!D24</f>
        <v>573039</v>
      </c>
      <c r="J24" s="1504">
        <f>'Cau Ngang'!D24</f>
        <v>512512</v>
      </c>
      <c r="K24" s="1504">
        <f>'Chau Thanh'!D24</f>
        <v>512435</v>
      </c>
      <c r="L24" s="1504">
        <f>'Duyen Hai'!D24</f>
        <v>306058</v>
      </c>
      <c r="M24" s="1504">
        <f>'Tieu Can'!D24</f>
        <v>380214</v>
      </c>
      <c r="N24" s="1504">
        <f>'Cau Ke'!D24</f>
        <v>387297</v>
      </c>
      <c r="O24" s="1504">
        <f>'Cang Long'!D24</f>
        <v>550581</v>
      </c>
      <c r="P24" s="1504">
        <f>'TX Duyen Hai'!D24</f>
        <v>218299</v>
      </c>
    </row>
    <row r="25" spans="2:16" s="33" customFormat="1" ht="18.600000000000001" customHeight="1">
      <c r="B25" s="1619" t="s">
        <v>54</v>
      </c>
      <c r="C25" s="1109" t="s">
        <v>917</v>
      </c>
      <c r="D25" s="1102">
        <f t="shared" ref="D25:D73" si="1">SUM(H25:P25)</f>
        <v>415095</v>
      </c>
      <c r="E25" s="1504">
        <f>E26+E30+E36</f>
        <v>0</v>
      </c>
      <c r="F25" s="1504">
        <f>F26+F30+F36</f>
        <v>0</v>
      </c>
      <c r="G25" s="1504">
        <f>G26+G30+G36</f>
        <v>0</v>
      </c>
      <c r="H25" s="1504">
        <f>TPTV!D25</f>
        <v>57220</v>
      </c>
      <c r="I25" s="1504">
        <f>'Tra Cu'!D25</f>
        <v>58985</v>
      </c>
      <c r="J25" s="1504">
        <f>'Cau Ngang'!D25</f>
        <v>37920</v>
      </c>
      <c r="K25" s="1504">
        <f>'Chau Thanh'!D25</f>
        <v>62085</v>
      </c>
      <c r="L25" s="1504">
        <f>'Duyen Hai'!D25</f>
        <v>35995</v>
      </c>
      <c r="M25" s="1504">
        <f>'Tieu Can'!D25</f>
        <v>38460</v>
      </c>
      <c r="N25" s="1504">
        <f>'Cau Ke'!D25</f>
        <v>39560</v>
      </c>
      <c r="O25" s="1504">
        <f>'Cang Long'!D25</f>
        <v>54765</v>
      </c>
      <c r="P25" s="1504">
        <f>'TX Duyen Hai'!D25</f>
        <v>30105</v>
      </c>
    </row>
    <row r="26" spans="2:16" s="598" customFormat="1" ht="24" customHeight="1">
      <c r="B26" s="1129">
        <v>1</v>
      </c>
      <c r="C26" s="17" t="s">
        <v>834</v>
      </c>
      <c r="D26" s="1104">
        <f t="shared" si="1"/>
        <v>207075</v>
      </c>
      <c r="E26" s="1507"/>
      <c r="F26" s="1507"/>
      <c r="G26" s="1507"/>
      <c r="H26" s="1508">
        <f>TPTV!D26</f>
        <v>25720</v>
      </c>
      <c r="I26" s="1508">
        <f>'Tra Cu'!D26</f>
        <v>34535</v>
      </c>
      <c r="J26" s="1508">
        <f>'Cau Ngang'!D26</f>
        <v>20890</v>
      </c>
      <c r="K26" s="1508">
        <f>'Chau Thanh'!D26</f>
        <v>27535</v>
      </c>
      <c r="L26" s="1508">
        <f>'Duyen Hai'!D26</f>
        <v>16955</v>
      </c>
      <c r="M26" s="1508">
        <f>'Tieu Can'!D26</f>
        <v>24310</v>
      </c>
      <c r="N26" s="1508">
        <f>'Cau Ke'!D26</f>
        <v>17810</v>
      </c>
      <c r="O26" s="1508">
        <f>'Cang Long'!D26</f>
        <v>22365</v>
      </c>
      <c r="P26" s="1508">
        <f>'TX Duyen Hai'!D26</f>
        <v>16955</v>
      </c>
    </row>
    <row r="27" spans="2:16" s="598" customFormat="1" ht="24" customHeight="1">
      <c r="B27" s="1129"/>
      <c r="C27" s="17" t="s">
        <v>957</v>
      </c>
      <c r="D27" s="1104">
        <f t="shared" si="1"/>
        <v>158075</v>
      </c>
      <c r="E27" s="1507"/>
      <c r="F27" s="1507"/>
      <c r="G27" s="1507"/>
      <c r="H27" s="1508">
        <f>TPTV!D27</f>
        <v>23720</v>
      </c>
      <c r="I27" s="1508">
        <f>'Tra Cu'!D27</f>
        <v>22535</v>
      </c>
      <c r="J27" s="1508">
        <f>'Cau Ngang'!D27</f>
        <v>15890</v>
      </c>
      <c r="K27" s="1508">
        <f>'Chau Thanh'!D27</f>
        <v>22535</v>
      </c>
      <c r="L27" s="1508">
        <f>'Duyen Hai'!D27</f>
        <v>11955</v>
      </c>
      <c r="M27" s="1508">
        <f>'Tieu Can'!D27</f>
        <v>19310</v>
      </c>
      <c r="N27" s="1508">
        <f>'Cau Ke'!D27</f>
        <v>12810</v>
      </c>
      <c r="O27" s="1508">
        <f>'Cang Long'!D27</f>
        <v>17365</v>
      </c>
      <c r="P27" s="1508">
        <f>'TX Duyen Hai'!D27</f>
        <v>11955</v>
      </c>
    </row>
    <row r="28" spans="2:16" s="598" customFormat="1" ht="24" customHeight="1">
      <c r="B28" s="1129"/>
      <c r="C28" s="17" t="s">
        <v>958</v>
      </c>
      <c r="D28" s="1104">
        <f t="shared" si="1"/>
        <v>42000</v>
      </c>
      <c r="E28" s="1507"/>
      <c r="F28" s="1507"/>
      <c r="G28" s="1507"/>
      <c r="H28" s="1508">
        <f>TPTV!D28</f>
        <v>2000</v>
      </c>
      <c r="I28" s="1508">
        <f>'Tra Cu'!D28</f>
        <v>5000</v>
      </c>
      <c r="J28" s="1508">
        <f>'Cau Ngang'!D28</f>
        <v>5000</v>
      </c>
      <c r="K28" s="1508">
        <f>'Chau Thanh'!D28</f>
        <v>5000</v>
      </c>
      <c r="L28" s="1508">
        <f>'Duyen Hai'!D28</f>
        <v>5000</v>
      </c>
      <c r="M28" s="1508">
        <f>'Tieu Can'!D28</f>
        <v>5000</v>
      </c>
      <c r="N28" s="1508">
        <f>'Cau Ke'!D28</f>
        <v>5000</v>
      </c>
      <c r="O28" s="1508">
        <f>'Cang Long'!D28</f>
        <v>5000</v>
      </c>
      <c r="P28" s="1508">
        <f>'TX Duyen Hai'!D28</f>
        <v>5000</v>
      </c>
    </row>
    <row r="29" spans="2:16" s="598" customFormat="1" ht="33" customHeight="1">
      <c r="B29" s="1129"/>
      <c r="C29" s="1167" t="s">
        <v>981</v>
      </c>
      <c r="D29" s="1104">
        <f t="shared" si="1"/>
        <v>7000</v>
      </c>
      <c r="E29" s="1507"/>
      <c r="F29" s="1507"/>
      <c r="G29" s="1507"/>
      <c r="H29" s="1508"/>
      <c r="I29" s="1508">
        <f>'Tra Cu'!D29</f>
        <v>7000</v>
      </c>
      <c r="J29" s="1508"/>
      <c r="K29" s="1508"/>
      <c r="L29" s="1508"/>
      <c r="M29" s="1508"/>
      <c r="N29" s="1508"/>
      <c r="O29" s="1508"/>
      <c r="P29" s="1508"/>
    </row>
    <row r="30" spans="2:16" s="598" customFormat="1" ht="37.5" customHeight="1">
      <c r="B30" s="1129">
        <v>2</v>
      </c>
      <c r="C30" s="1149" t="s">
        <v>822</v>
      </c>
      <c r="D30" s="1104">
        <f t="shared" si="1"/>
        <v>47520</v>
      </c>
      <c r="E30" s="1508">
        <f t="shared" ref="E30:G30" si="2">E33+E34</f>
        <v>0</v>
      </c>
      <c r="F30" s="1508">
        <f t="shared" si="2"/>
        <v>0</v>
      </c>
      <c r="G30" s="1508">
        <f t="shared" si="2"/>
        <v>0</v>
      </c>
      <c r="H30" s="1508">
        <f>TPTV!D30</f>
        <v>27000</v>
      </c>
      <c r="I30" s="1508">
        <f>'Tra Cu'!D30</f>
        <v>2250</v>
      </c>
      <c r="J30" s="1508">
        <f>'Cau Ngang'!D30</f>
        <v>1530</v>
      </c>
      <c r="K30" s="1508">
        <f>'Chau Thanh'!D30</f>
        <v>4050</v>
      </c>
      <c r="L30" s="1508">
        <f>'Duyen Hai'!D30</f>
        <v>540</v>
      </c>
      <c r="M30" s="1508">
        <f>'Tieu Can'!D30</f>
        <v>3150</v>
      </c>
      <c r="N30" s="1508">
        <f>'Cau Ke'!D30</f>
        <v>2250</v>
      </c>
      <c r="O30" s="1508">
        <f>'Cang Long'!D30</f>
        <v>3600</v>
      </c>
      <c r="P30" s="1508">
        <f>'TX Duyen Hai'!D30</f>
        <v>3150</v>
      </c>
    </row>
    <row r="31" spans="2:16" s="598" customFormat="1" ht="34.200000000000003" customHeight="1">
      <c r="B31" s="1129"/>
      <c r="C31" s="1526" t="s">
        <v>942</v>
      </c>
      <c r="D31" s="1104">
        <f t="shared" si="1"/>
        <v>31680</v>
      </c>
      <c r="E31" s="1508"/>
      <c r="F31" s="1508"/>
      <c r="G31" s="1508"/>
      <c r="H31" s="1508">
        <f>H33+H35</f>
        <v>18000</v>
      </c>
      <c r="I31" s="1508">
        <f t="shared" ref="I31:P31" si="3">I33+I35</f>
        <v>1500</v>
      </c>
      <c r="J31" s="1508">
        <f t="shared" si="3"/>
        <v>1020</v>
      </c>
      <c r="K31" s="1508">
        <f t="shared" si="3"/>
        <v>2700</v>
      </c>
      <c r="L31" s="1508">
        <f t="shared" si="3"/>
        <v>360</v>
      </c>
      <c r="M31" s="1508">
        <f t="shared" si="3"/>
        <v>2100</v>
      </c>
      <c r="N31" s="1508">
        <f t="shared" si="3"/>
        <v>1500</v>
      </c>
      <c r="O31" s="1508">
        <f t="shared" si="3"/>
        <v>2400</v>
      </c>
      <c r="P31" s="1508">
        <f t="shared" si="3"/>
        <v>2100</v>
      </c>
    </row>
    <row r="32" spans="2:16" s="598" customFormat="1" ht="15.6" hidden="1">
      <c r="B32" s="1129"/>
      <c r="C32" s="1547" t="s">
        <v>959</v>
      </c>
      <c r="D32" s="1104">
        <f t="shared" si="1"/>
        <v>31680</v>
      </c>
      <c r="E32" s="1508"/>
      <c r="F32" s="1508"/>
      <c r="G32" s="1508"/>
      <c r="H32" s="1508">
        <f>H33+H35</f>
        <v>18000</v>
      </c>
      <c r="I32" s="1508">
        <f t="shared" ref="I32:P32" si="4">I33+I35</f>
        <v>1500</v>
      </c>
      <c r="J32" s="1508">
        <f t="shared" si="4"/>
        <v>1020</v>
      </c>
      <c r="K32" s="1508">
        <f t="shared" si="4"/>
        <v>2700</v>
      </c>
      <c r="L32" s="1508">
        <f t="shared" si="4"/>
        <v>360</v>
      </c>
      <c r="M32" s="1508">
        <f t="shared" si="4"/>
        <v>2100</v>
      </c>
      <c r="N32" s="1508">
        <f t="shared" si="4"/>
        <v>1500</v>
      </c>
      <c r="O32" s="1508">
        <f t="shared" si="4"/>
        <v>2400</v>
      </c>
      <c r="P32" s="1508">
        <f t="shared" si="4"/>
        <v>2100</v>
      </c>
    </row>
    <row r="33" spans="2:16" s="598" customFormat="1" ht="15.6" hidden="1">
      <c r="B33" s="1150"/>
      <c r="C33" s="1526" t="s">
        <v>4</v>
      </c>
      <c r="D33" s="1104">
        <f t="shared" si="1"/>
        <v>21120</v>
      </c>
      <c r="E33" s="1507"/>
      <c r="F33" s="1507"/>
      <c r="G33" s="1507"/>
      <c r="H33" s="1508">
        <f>TPTV!D31</f>
        <v>12000</v>
      </c>
      <c r="I33" s="1508">
        <f>'Tra Cu'!D31</f>
        <v>1000</v>
      </c>
      <c r="J33" s="1508">
        <f>'Cau Ngang'!D31</f>
        <v>680</v>
      </c>
      <c r="K33" s="1508">
        <f>'Chau Thanh'!D31</f>
        <v>1800</v>
      </c>
      <c r="L33" s="1508">
        <f>'Duyen Hai'!D31</f>
        <v>240</v>
      </c>
      <c r="M33" s="1508">
        <f>'Tieu Can'!D31</f>
        <v>1400</v>
      </c>
      <c r="N33" s="1508">
        <f>'Cau Ke'!D31</f>
        <v>1000</v>
      </c>
      <c r="O33" s="1508">
        <f>'Cang Long'!D31</f>
        <v>1600</v>
      </c>
      <c r="P33" s="1508">
        <f>'TX Duyen Hai'!D31</f>
        <v>1400</v>
      </c>
    </row>
    <row r="34" spans="2:16" s="598" customFormat="1" ht="20.399999999999999" customHeight="1">
      <c r="B34" s="1150"/>
      <c r="C34" s="17" t="s">
        <v>5</v>
      </c>
      <c r="D34" s="1104">
        <f t="shared" si="1"/>
        <v>15840</v>
      </c>
      <c r="E34" s="1507"/>
      <c r="F34" s="1507"/>
      <c r="G34" s="1507"/>
      <c r="H34" s="1508">
        <f>TPTV!D32</f>
        <v>9000</v>
      </c>
      <c r="I34" s="1508">
        <f>'Tra Cu'!D32</f>
        <v>750</v>
      </c>
      <c r="J34" s="1508">
        <f>'Cau Ngang'!D32</f>
        <v>510</v>
      </c>
      <c r="K34" s="1508">
        <f>'Chau Thanh'!D32</f>
        <v>1350</v>
      </c>
      <c r="L34" s="1508">
        <f>'Duyen Hai'!D32</f>
        <v>180</v>
      </c>
      <c r="M34" s="1508">
        <f>'Tieu Can'!D32</f>
        <v>1050</v>
      </c>
      <c r="N34" s="1508">
        <f>'Cau Ke'!D32</f>
        <v>750</v>
      </c>
      <c r="O34" s="1508">
        <f>'Cang Long'!D32</f>
        <v>1200</v>
      </c>
      <c r="P34" s="1508">
        <f>'TX Duyen Hai'!D32</f>
        <v>1050</v>
      </c>
    </row>
    <row r="35" spans="2:16" s="598" customFormat="1" ht="15.6" hidden="1">
      <c r="B35" s="1150"/>
      <c r="C35" s="17" t="s">
        <v>6</v>
      </c>
      <c r="D35" s="1104">
        <f t="shared" si="1"/>
        <v>10560</v>
      </c>
      <c r="E35" s="1507"/>
      <c r="F35" s="1507"/>
      <c r="G35" s="1507"/>
      <c r="H35" s="1508">
        <f>TPTV!D33</f>
        <v>6000</v>
      </c>
      <c r="I35" s="1508">
        <f>'Tra Cu'!D33</f>
        <v>500</v>
      </c>
      <c r="J35" s="1508">
        <f>'Cau Ngang'!D33</f>
        <v>340</v>
      </c>
      <c r="K35" s="1508">
        <f>'Chau Thanh'!D33</f>
        <v>900</v>
      </c>
      <c r="L35" s="1508">
        <f>'Duyen Hai'!D33</f>
        <v>120</v>
      </c>
      <c r="M35" s="1508">
        <f>'Tieu Can'!D33</f>
        <v>700</v>
      </c>
      <c r="N35" s="1508">
        <f>'Cau Ke'!D33</f>
        <v>500</v>
      </c>
      <c r="O35" s="1508">
        <f>'Cang Long'!D33</f>
        <v>800</v>
      </c>
      <c r="P35" s="1508">
        <f>'TX Duyen Hai'!D33</f>
        <v>700</v>
      </c>
    </row>
    <row r="36" spans="2:16" s="598" customFormat="1" ht="23.4" customHeight="1">
      <c r="B36" s="1129">
        <v>3</v>
      </c>
      <c r="C36" s="44" t="s">
        <v>821</v>
      </c>
      <c r="D36" s="1104">
        <f t="shared" si="1"/>
        <v>160500</v>
      </c>
      <c r="E36" s="1507"/>
      <c r="F36" s="1507"/>
      <c r="G36" s="1507"/>
      <c r="H36" s="1508">
        <f>TPTV!D34</f>
        <v>4500</v>
      </c>
      <c r="I36" s="1508">
        <f>'Tra Cu'!D34</f>
        <v>22200</v>
      </c>
      <c r="J36" s="1508">
        <f>'Cau Ngang'!D34</f>
        <v>15500</v>
      </c>
      <c r="K36" s="1508">
        <f>'Chau Thanh'!D34</f>
        <v>30500</v>
      </c>
      <c r="L36" s="1508">
        <f>'Duyen Hai'!D34</f>
        <v>18500</v>
      </c>
      <c r="M36" s="1508">
        <f>'Tieu Can'!D34</f>
        <v>11000</v>
      </c>
      <c r="N36" s="1508">
        <f>'Cau Ke'!D34</f>
        <v>19500</v>
      </c>
      <c r="O36" s="1508">
        <f>'Cang Long'!D34</f>
        <v>28800</v>
      </c>
      <c r="P36" s="1508">
        <f>'TX Duyen Hai'!D34</f>
        <v>10000</v>
      </c>
    </row>
    <row r="37" spans="2:16" s="419" customFormat="1" ht="38.4" customHeight="1">
      <c r="B37" s="1135"/>
      <c r="C37" s="420" t="s">
        <v>247</v>
      </c>
      <c r="D37" s="1104">
        <f t="shared" si="1"/>
        <v>23000</v>
      </c>
      <c r="E37" s="1506"/>
      <c r="F37" s="1506"/>
      <c r="G37" s="1506"/>
      <c r="H37" s="1508">
        <f>TPTV!D35</f>
        <v>1000</v>
      </c>
      <c r="I37" s="1508">
        <f>'Tra Cu'!D35</f>
        <v>3000</v>
      </c>
      <c r="J37" s="1508">
        <f>'Cau Ngang'!D35</f>
        <v>3000</v>
      </c>
      <c r="K37" s="1508">
        <f>'Chau Thanh'!D35</f>
        <v>3000</v>
      </c>
      <c r="L37" s="1508">
        <f>'Duyen Hai'!D35</f>
        <v>3000</v>
      </c>
      <c r="M37" s="1508">
        <f>'Tieu Can'!D35</f>
        <v>3000</v>
      </c>
      <c r="N37" s="1508">
        <f>'Cau Ke'!D35</f>
        <v>3000</v>
      </c>
      <c r="O37" s="1508">
        <f>'Cang Long'!D35</f>
        <v>3000</v>
      </c>
      <c r="P37" s="1508">
        <f>'TX Duyen Hai'!D35</f>
        <v>1000</v>
      </c>
    </row>
    <row r="38" spans="2:16" s="419" customFormat="1" ht="39" hidden="1" customHeight="1">
      <c r="B38" s="1135"/>
      <c r="C38" s="420" t="s">
        <v>863</v>
      </c>
      <c r="D38" s="1098">
        <f t="shared" si="1"/>
        <v>0</v>
      </c>
      <c r="E38" s="1506"/>
      <c r="F38" s="1506"/>
      <c r="G38" s="1506"/>
      <c r="H38" s="1508">
        <f>TPTV!D36</f>
        <v>0</v>
      </c>
      <c r="I38" s="1508">
        <f>'Tra Cu'!D36</f>
        <v>0</v>
      </c>
      <c r="J38" s="1508">
        <f>'Cau Ngang'!D36</f>
        <v>0</v>
      </c>
      <c r="K38" s="1508">
        <f>'Chau Thanh'!D36</f>
        <v>0</v>
      </c>
      <c r="L38" s="1508">
        <f>'Duyen Hai'!D36</f>
        <v>0</v>
      </c>
      <c r="M38" s="1508">
        <f>'Tieu Can'!D36</f>
        <v>0</v>
      </c>
      <c r="N38" s="1508">
        <f>'Cau Ke'!D36</f>
        <v>0</v>
      </c>
      <c r="O38" s="1508">
        <f>'Cang Long'!D36</f>
        <v>0</v>
      </c>
      <c r="P38" s="1508">
        <f>'TX Duyen Hai'!D36</f>
        <v>0</v>
      </c>
    </row>
    <row r="39" spans="2:16" s="419" customFormat="1" ht="23.4" customHeight="1">
      <c r="B39" s="1135"/>
      <c r="C39" s="416" t="s">
        <v>248</v>
      </c>
      <c r="D39" s="1104">
        <f t="shared" si="1"/>
        <v>96000</v>
      </c>
      <c r="E39" s="1506"/>
      <c r="F39" s="1506"/>
      <c r="G39" s="1506"/>
      <c r="H39" s="1508">
        <f>TPTV!D37</f>
        <v>1000</v>
      </c>
      <c r="I39" s="1508">
        <f>'Tra Cu'!D37</f>
        <v>14200</v>
      </c>
      <c r="J39" s="1508">
        <f>'Cau Ngang'!D37</f>
        <v>7500</v>
      </c>
      <c r="K39" s="1508">
        <f>'Chau Thanh'!D37</f>
        <v>22500</v>
      </c>
      <c r="L39" s="1508">
        <f>'Duyen Hai'!D37</f>
        <v>10500</v>
      </c>
      <c r="M39" s="1508">
        <f>'Tieu Can'!D37</f>
        <v>3000</v>
      </c>
      <c r="N39" s="1508">
        <f>'Cau Ke'!D37</f>
        <v>11500</v>
      </c>
      <c r="O39" s="1508">
        <f>'Cang Long'!D37</f>
        <v>20800</v>
      </c>
      <c r="P39" s="1508">
        <f>'TX Duyen Hai'!D37</f>
        <v>5000</v>
      </c>
    </row>
    <row r="40" spans="2:16" s="419" customFormat="1" ht="31.2">
      <c r="B40" s="1135"/>
      <c r="C40" s="420" t="s">
        <v>249</v>
      </c>
      <c r="D40" s="1104">
        <f t="shared" si="1"/>
        <v>41500</v>
      </c>
      <c r="E40" s="1506"/>
      <c r="F40" s="1506"/>
      <c r="G40" s="1506"/>
      <c r="H40" s="1508">
        <f>TPTV!D38</f>
        <v>2500</v>
      </c>
      <c r="I40" s="1508">
        <f>'Tra Cu'!D38</f>
        <v>5000</v>
      </c>
      <c r="J40" s="1508">
        <f>'Cau Ngang'!D38</f>
        <v>5000</v>
      </c>
      <c r="K40" s="1508">
        <f>'Chau Thanh'!D38</f>
        <v>5000</v>
      </c>
      <c r="L40" s="1508">
        <f>'Duyen Hai'!D38</f>
        <v>5000</v>
      </c>
      <c r="M40" s="1508">
        <f>'Tieu Can'!D38</f>
        <v>5000</v>
      </c>
      <c r="N40" s="1508">
        <f>'Cau Ke'!D38</f>
        <v>5000</v>
      </c>
      <c r="O40" s="1508">
        <f>'Cang Long'!D38</f>
        <v>5000</v>
      </c>
      <c r="P40" s="1508">
        <f>'TX Duyen Hai'!D38</f>
        <v>4000</v>
      </c>
    </row>
    <row r="41" spans="2:16" s="419" customFormat="1" ht="23.4" customHeight="1">
      <c r="B41" s="1135"/>
      <c r="C41" s="420" t="s">
        <v>852</v>
      </c>
      <c r="D41" s="1098">
        <f t="shared" si="1"/>
        <v>0</v>
      </c>
      <c r="E41" s="1509"/>
      <c r="F41" s="1509"/>
      <c r="G41" s="1509"/>
      <c r="H41" s="1508">
        <f>TPTV!D39</f>
        <v>0</v>
      </c>
      <c r="I41" s="1508">
        <f>'Tra Cu'!D39</f>
        <v>0</v>
      </c>
      <c r="J41" s="1508">
        <f>'Cau Ngang'!D39</f>
        <v>0</v>
      </c>
      <c r="K41" s="1508">
        <f>'Chau Thanh'!D39</f>
        <v>0</v>
      </c>
      <c r="L41" s="1508">
        <f>'Duyen Hai'!D39</f>
        <v>0</v>
      </c>
      <c r="M41" s="1508">
        <f>'Tieu Can'!D39</f>
        <v>0</v>
      </c>
      <c r="N41" s="1508">
        <f>'Cau Ke'!D39</f>
        <v>0</v>
      </c>
      <c r="O41" s="1508">
        <f>'Cang Long'!D39</f>
        <v>0</v>
      </c>
      <c r="P41" s="1508">
        <f>'TX Duyen Hai'!D39</f>
        <v>0</v>
      </c>
    </row>
    <row r="42" spans="2:16" s="33" customFormat="1" ht="21" customHeight="1">
      <c r="B42" s="1495" t="s">
        <v>60</v>
      </c>
      <c r="C42" s="1109" t="s">
        <v>918</v>
      </c>
      <c r="D42" s="1102">
        <f>SUM(H42:P42)</f>
        <v>3341134</v>
      </c>
      <c r="E42" s="1503"/>
      <c r="F42" s="1503"/>
      <c r="G42" s="1503"/>
      <c r="H42" s="1504">
        <f>TPTV!D40</f>
        <v>337445</v>
      </c>
      <c r="I42" s="1504">
        <f>'Tra Cu'!D40</f>
        <v>499499</v>
      </c>
      <c r="J42" s="1504">
        <f>'Cau Ngang'!D40</f>
        <v>463015</v>
      </c>
      <c r="K42" s="1504">
        <f>'Chau Thanh'!D40</f>
        <v>438901</v>
      </c>
      <c r="L42" s="1504">
        <f>'Duyen Hai'!D40</f>
        <v>263017</v>
      </c>
      <c r="M42" s="1504">
        <f>'Tieu Can'!D40</f>
        <v>333143</v>
      </c>
      <c r="N42" s="1504">
        <f>'Cau Ke'!D40</f>
        <v>338887</v>
      </c>
      <c r="O42" s="1504">
        <f>'Cang Long'!D40</f>
        <v>484020</v>
      </c>
      <c r="P42" s="1504">
        <f>'TX Duyen Hai'!D40</f>
        <v>183207</v>
      </c>
    </row>
    <row r="43" spans="2:16" s="4" customFormat="1" ht="24" customHeight="1">
      <c r="B43" s="1129">
        <v>1</v>
      </c>
      <c r="C43" s="17" t="s">
        <v>820</v>
      </c>
      <c r="D43" s="1104">
        <f t="shared" si="1"/>
        <v>1884606</v>
      </c>
      <c r="E43" s="1507" t="e">
        <f>#REF!*50%</f>
        <v>#REF!</v>
      </c>
      <c r="F43" s="1507"/>
      <c r="G43" s="1507"/>
      <c r="H43" s="1508">
        <f>TPTV!D41</f>
        <v>138972</v>
      </c>
      <c r="I43" s="1508">
        <f>'Tra Cu'!D41</f>
        <v>298553</v>
      </c>
      <c r="J43" s="1508">
        <f>'Cau Ngang'!D41</f>
        <v>280847</v>
      </c>
      <c r="K43" s="1508">
        <f>'Chau Thanh'!D41</f>
        <v>247987</v>
      </c>
      <c r="L43" s="1508">
        <f>'Duyen Hai'!D41</f>
        <v>150396</v>
      </c>
      <c r="M43" s="1508">
        <f>'Tieu Can'!D41</f>
        <v>186599</v>
      </c>
      <c r="N43" s="1508">
        <f>'Cau Ke'!D41</f>
        <v>200784</v>
      </c>
      <c r="O43" s="1508">
        <f>'Cang Long'!D41</f>
        <v>296670</v>
      </c>
      <c r="P43" s="1508">
        <f>'TX Duyen Hai'!D41</f>
        <v>83798</v>
      </c>
    </row>
    <row r="44" spans="2:16" s="4" customFormat="1" ht="19.5" customHeight="1">
      <c r="B44" s="1146"/>
      <c r="C44" s="487" t="s">
        <v>802</v>
      </c>
      <c r="D44" s="1104">
        <f t="shared" si="1"/>
        <v>1858682</v>
      </c>
      <c r="E44" s="1507"/>
      <c r="F44" s="1507"/>
      <c r="G44" s="1507"/>
      <c r="H44" s="1508">
        <f>TPTV!D42</f>
        <v>137475</v>
      </c>
      <c r="I44" s="1508">
        <f>'Tra Cu'!D42</f>
        <v>296261</v>
      </c>
      <c r="J44" s="1508">
        <f>'Cau Ngang'!D42</f>
        <v>278264</v>
      </c>
      <c r="K44" s="1508">
        <f>'Chau Thanh'!D42</f>
        <v>244399</v>
      </c>
      <c r="L44" s="1508">
        <f>'Duyen Hai'!D42</f>
        <v>149239</v>
      </c>
      <c r="M44" s="1508">
        <f>'Tieu Can'!D42</f>
        <v>183548</v>
      </c>
      <c r="N44" s="1508">
        <f>'Cau Ke'!D42</f>
        <v>198553</v>
      </c>
      <c r="O44" s="1508">
        <f>'Cang Long'!D42</f>
        <v>291142</v>
      </c>
      <c r="P44" s="1508">
        <f>'TX Duyen Hai'!D42</f>
        <v>79801</v>
      </c>
    </row>
    <row r="45" spans="2:16" s="4" customFormat="1" ht="21.6" customHeight="1">
      <c r="B45" s="1146"/>
      <c r="C45" s="487" t="s">
        <v>803</v>
      </c>
      <c r="D45" s="1104">
        <f t="shared" si="1"/>
        <v>25924</v>
      </c>
      <c r="E45" s="1507"/>
      <c r="F45" s="1507"/>
      <c r="G45" s="1507"/>
      <c r="H45" s="1508">
        <f>TPTV!D43</f>
        <v>1497</v>
      </c>
      <c r="I45" s="1508">
        <f>'Tra Cu'!D43</f>
        <v>2292</v>
      </c>
      <c r="J45" s="1508">
        <f>'Cau Ngang'!D43</f>
        <v>2583</v>
      </c>
      <c r="K45" s="1508">
        <f>'Chau Thanh'!D43</f>
        <v>3588</v>
      </c>
      <c r="L45" s="1508">
        <f>'Duyen Hai'!D43</f>
        <v>1157</v>
      </c>
      <c r="M45" s="1508">
        <f>'Tieu Can'!D43</f>
        <v>3051</v>
      </c>
      <c r="N45" s="1508">
        <f>'Cau Ke'!D43</f>
        <v>2231</v>
      </c>
      <c r="O45" s="1508">
        <f>'Cang Long'!D43</f>
        <v>5528</v>
      </c>
      <c r="P45" s="1508">
        <f>'TX Duyen Hai'!D43</f>
        <v>3997</v>
      </c>
    </row>
    <row r="46" spans="2:16" s="4" customFormat="1" ht="24" customHeight="1">
      <c r="B46" s="1129">
        <v>2</v>
      </c>
      <c r="C46" s="17" t="s">
        <v>805</v>
      </c>
      <c r="D46" s="1104">
        <f t="shared" si="1"/>
        <v>1852</v>
      </c>
      <c r="E46" s="1507"/>
      <c r="F46" s="1507"/>
      <c r="G46" s="1507"/>
      <c r="H46" s="1508">
        <f>TPTV!D44</f>
        <v>400</v>
      </c>
      <c r="I46" s="1508">
        <f>'Tra Cu'!D44</f>
        <v>159</v>
      </c>
      <c r="J46" s="1508">
        <f>'Cau Ngang'!D44</f>
        <v>200</v>
      </c>
      <c r="K46" s="1508">
        <f>'Chau Thanh'!D44</f>
        <v>150</v>
      </c>
      <c r="L46" s="1508">
        <f>'Duyen Hai'!D44</f>
        <v>250</v>
      </c>
      <c r="M46" s="1508">
        <f>'Tieu Can'!D44</f>
        <v>152</v>
      </c>
      <c r="N46" s="1508">
        <f>'Cau Ke'!D44</f>
        <v>150</v>
      </c>
      <c r="O46" s="1508">
        <f>'Cang Long'!D44</f>
        <v>180</v>
      </c>
      <c r="P46" s="1508">
        <f>'TX Duyen Hai'!D44</f>
        <v>211</v>
      </c>
    </row>
    <row r="47" spans="2:16" s="4" customFormat="1" ht="22.95" customHeight="1">
      <c r="B47" s="1129">
        <v>3</v>
      </c>
      <c r="C47" s="1110" t="s">
        <v>804</v>
      </c>
      <c r="D47" s="1104">
        <f t="shared" si="1"/>
        <v>36364</v>
      </c>
      <c r="E47" s="1507"/>
      <c r="F47" s="1507"/>
      <c r="G47" s="1507"/>
      <c r="H47" s="1508">
        <f>TPTV!D45</f>
        <v>21871</v>
      </c>
      <c r="I47" s="1508">
        <f>'Tra Cu'!D45</f>
        <v>1516</v>
      </c>
      <c r="J47" s="1508">
        <f>'Cau Ngang'!D45</f>
        <v>1320</v>
      </c>
      <c r="K47" s="1508">
        <f>'Chau Thanh'!D45</f>
        <v>1400</v>
      </c>
      <c r="L47" s="1508">
        <f>'Duyen Hai'!D45</f>
        <v>1475</v>
      </c>
      <c r="M47" s="1508">
        <f>'Tieu Can'!D45</f>
        <v>1313</v>
      </c>
      <c r="N47" s="1508">
        <f>'Cau Ke'!D45</f>
        <v>1122</v>
      </c>
      <c r="O47" s="1508">
        <f>'Cang Long'!D45</f>
        <v>1892</v>
      </c>
      <c r="P47" s="1508">
        <f>'TX Duyen Hai'!D45</f>
        <v>4455</v>
      </c>
    </row>
    <row r="48" spans="2:16" s="1248" customFormat="1" ht="23.4" customHeight="1">
      <c r="B48" s="1510">
        <v>4</v>
      </c>
      <c r="C48" s="1249" t="s">
        <v>869</v>
      </c>
      <c r="D48" s="92">
        <f t="shared" si="1"/>
        <v>1418312</v>
      </c>
      <c r="E48" s="1511" t="e">
        <f>#REF!-D25-D43-D46-D47-D71-D72</f>
        <v>#REF!</v>
      </c>
      <c r="F48" s="1512"/>
      <c r="G48" s="1512"/>
      <c r="H48" s="1513">
        <f>TPTV!D46</f>
        <v>176202</v>
      </c>
      <c r="I48" s="1513">
        <f>'Tra Cu'!D46</f>
        <v>199271</v>
      </c>
      <c r="J48" s="1513">
        <f>'Cau Ngang'!D46</f>
        <v>180648</v>
      </c>
      <c r="K48" s="1513">
        <f>'Chau Thanh'!D46</f>
        <v>189364</v>
      </c>
      <c r="L48" s="1513">
        <f>'Duyen Hai'!D46</f>
        <v>110896</v>
      </c>
      <c r="M48" s="1513">
        <f>'Tieu Can'!D46</f>
        <v>145079</v>
      </c>
      <c r="N48" s="1513">
        <f>'Cau Ke'!D46</f>
        <v>136831</v>
      </c>
      <c r="O48" s="1513">
        <f>'Cang Long'!D46</f>
        <v>185278</v>
      </c>
      <c r="P48" s="1513">
        <f>'TX Duyen Hai'!D46</f>
        <v>94743</v>
      </c>
    </row>
    <row r="49" spans="2:16" s="1248" customFormat="1" ht="16.2" customHeight="1">
      <c r="B49" s="1510"/>
      <c r="C49" s="1514" t="s">
        <v>8</v>
      </c>
      <c r="D49" s="1045">
        <f t="shared" si="1"/>
        <v>5280</v>
      </c>
      <c r="E49" s="1589"/>
      <c r="F49" s="1589"/>
      <c r="G49" s="1589"/>
      <c r="H49" s="1590">
        <f>TPTV!D47</f>
        <v>3000</v>
      </c>
      <c r="I49" s="1590">
        <f>'Tra Cu'!D47</f>
        <v>250</v>
      </c>
      <c r="J49" s="1590">
        <f>'Cau Ngang'!D47</f>
        <v>170</v>
      </c>
      <c r="K49" s="1590">
        <f>'Chau Thanh'!D47</f>
        <v>450</v>
      </c>
      <c r="L49" s="1590">
        <f>'Duyen Hai'!D47</f>
        <v>60</v>
      </c>
      <c r="M49" s="1590">
        <f>'Tieu Can'!D47</f>
        <v>350</v>
      </c>
      <c r="N49" s="1590">
        <f>'Cau Ke'!D47</f>
        <v>250</v>
      </c>
      <c r="O49" s="1590">
        <f>'Cang Long'!D47</f>
        <v>400</v>
      </c>
      <c r="P49" s="1590">
        <f>'TX Duyen Hai'!D47</f>
        <v>350</v>
      </c>
    </row>
    <row r="50" spans="2:16" s="20" customFormat="1" ht="15.6">
      <c r="B50" s="1178" t="s">
        <v>870</v>
      </c>
      <c r="C50" s="464" t="s">
        <v>269</v>
      </c>
      <c r="D50" s="92">
        <f t="shared" si="1"/>
        <v>23972</v>
      </c>
      <c r="E50" s="1507"/>
      <c r="F50" s="1507"/>
      <c r="G50" s="1507"/>
      <c r="H50" s="1508">
        <f>TPTV!D48</f>
        <v>4787</v>
      </c>
      <c r="I50" s="1508">
        <f>'Tra Cu'!D48</f>
        <v>1210</v>
      </c>
      <c r="J50" s="1508">
        <f>'Cau Ngang'!D48</f>
        <v>3239</v>
      </c>
      <c r="K50" s="1508">
        <f>'Chau Thanh'!D48</f>
        <v>3192</v>
      </c>
      <c r="L50" s="1508">
        <f>'Duyen Hai'!D48</f>
        <v>2037</v>
      </c>
      <c r="M50" s="1508">
        <f>'Tieu Can'!D48</f>
        <v>3808</v>
      </c>
      <c r="N50" s="1508">
        <f>'Cau Ke'!D48</f>
        <v>1955</v>
      </c>
      <c r="O50" s="1508">
        <f>'Cang Long'!D48</f>
        <v>1026</v>
      </c>
      <c r="P50" s="1508">
        <f>'TX Duyen Hai'!D48</f>
        <v>2718</v>
      </c>
    </row>
    <row r="51" spans="2:16" s="20" customFormat="1" ht="15.6">
      <c r="B51" s="1178" t="s">
        <v>871</v>
      </c>
      <c r="C51" s="464" t="s">
        <v>270</v>
      </c>
      <c r="D51" s="92">
        <f t="shared" si="1"/>
        <v>11824</v>
      </c>
      <c r="E51" s="1507"/>
      <c r="F51" s="1507"/>
      <c r="G51" s="1507"/>
      <c r="H51" s="1508">
        <f>TPTV!D49</f>
        <v>1624</v>
      </c>
      <c r="I51" s="1508">
        <f>'Tra Cu'!D49</f>
        <v>400</v>
      </c>
      <c r="J51" s="1508">
        <f>'Cau Ngang'!D49</f>
        <v>1748</v>
      </c>
      <c r="K51" s="1508">
        <f>'Chau Thanh'!D49</f>
        <v>1705</v>
      </c>
      <c r="L51" s="1508">
        <f>'Duyen Hai'!D49</f>
        <v>1539</v>
      </c>
      <c r="M51" s="1508">
        <f>'Tieu Can'!D49</f>
        <v>1273</v>
      </c>
      <c r="N51" s="1508">
        <f>'Cau Ke'!D49</f>
        <v>1150</v>
      </c>
      <c r="O51" s="1508">
        <f>'Cang Long'!D49</f>
        <v>829</v>
      </c>
      <c r="P51" s="1508">
        <f>'TX Duyen Hai'!D49</f>
        <v>1556</v>
      </c>
    </row>
    <row r="52" spans="2:16" s="20" customFormat="1" ht="15.6">
      <c r="B52" s="1178" t="s">
        <v>872</v>
      </c>
      <c r="C52" s="464" t="s">
        <v>807</v>
      </c>
      <c r="D52" s="92">
        <f t="shared" si="1"/>
        <v>19393.30358</v>
      </c>
      <c r="E52" s="1507"/>
      <c r="F52" s="1507"/>
      <c r="G52" s="1507"/>
      <c r="H52" s="1508">
        <f>TPTV!D50</f>
        <v>1793</v>
      </c>
      <c r="I52" s="1508">
        <f>'Tra Cu'!D50</f>
        <v>2482</v>
      </c>
      <c r="J52" s="1508">
        <f>'Cau Ngang'!D50</f>
        <v>2890</v>
      </c>
      <c r="K52" s="1508">
        <f>'Chau Thanh'!D50</f>
        <v>1212</v>
      </c>
      <c r="L52" s="1508">
        <f>'Duyen Hai'!D50</f>
        <v>2342</v>
      </c>
      <c r="M52" s="1508">
        <f>'Tieu Can'!D50</f>
        <v>3026</v>
      </c>
      <c r="N52" s="1508">
        <f>'Cau Ke'!D50</f>
        <v>442</v>
      </c>
      <c r="O52" s="1508">
        <f>'Cang Long'!D50</f>
        <v>3352.3035800000002</v>
      </c>
      <c r="P52" s="1508">
        <f>'TX Duyen Hai'!D50</f>
        <v>1854</v>
      </c>
    </row>
    <row r="53" spans="2:16" s="20" customFormat="1" ht="15.6">
      <c r="B53" s="1178" t="s">
        <v>873</v>
      </c>
      <c r="C53" s="464" t="s">
        <v>808</v>
      </c>
      <c r="D53" s="92">
        <f t="shared" si="1"/>
        <v>8714</v>
      </c>
      <c r="E53" s="1507"/>
      <c r="F53" s="1507"/>
      <c r="G53" s="1507"/>
      <c r="H53" s="1508">
        <f>TPTV!D51</f>
        <v>690</v>
      </c>
      <c r="I53" s="1508">
        <f>'Tra Cu'!D51</f>
        <v>1093</v>
      </c>
      <c r="J53" s="1508">
        <f>'Cau Ngang'!D51</f>
        <v>1113</v>
      </c>
      <c r="K53" s="1508">
        <f>'Chau Thanh'!D51</f>
        <v>1640</v>
      </c>
      <c r="L53" s="1508">
        <f>'Duyen Hai'!D51</f>
        <v>814</v>
      </c>
      <c r="M53" s="1508">
        <f>'Tieu Can'!D51</f>
        <v>1274</v>
      </c>
      <c r="N53" s="1508">
        <f>'Cau Ke'!D51</f>
        <v>757</v>
      </c>
      <c r="O53" s="1508">
        <f>'Cang Long'!D51</f>
        <v>791</v>
      </c>
      <c r="P53" s="1508">
        <f>'TX Duyen Hai'!D51</f>
        <v>542</v>
      </c>
    </row>
    <row r="54" spans="2:16" s="20" customFormat="1" ht="15.6">
      <c r="B54" s="1178" t="s">
        <v>874</v>
      </c>
      <c r="C54" s="464" t="s">
        <v>276</v>
      </c>
      <c r="D54" s="92">
        <f t="shared" si="1"/>
        <v>291855</v>
      </c>
      <c r="E54" s="1507"/>
      <c r="F54" s="1507"/>
      <c r="G54" s="1507"/>
      <c r="H54" s="1508">
        <f>TPTV!D52</f>
        <v>64698</v>
      </c>
      <c r="I54" s="1508">
        <f>'Tra Cu'!D52</f>
        <v>33607</v>
      </c>
      <c r="J54" s="1508">
        <f>'Cau Ngang'!D52</f>
        <v>33974</v>
      </c>
      <c r="K54" s="1508">
        <f>'Chau Thanh'!D52</f>
        <v>29117</v>
      </c>
      <c r="L54" s="1508">
        <f>'Duyen Hai'!D52</f>
        <v>17573</v>
      </c>
      <c r="M54" s="1508">
        <f>'Tieu Can'!D52</f>
        <v>32527</v>
      </c>
      <c r="N54" s="1508">
        <f>'Cau Ke'!D52</f>
        <v>31460</v>
      </c>
      <c r="O54" s="1508">
        <f>'Cang Long'!D52</f>
        <v>33853</v>
      </c>
      <c r="P54" s="1508">
        <f>'TX Duyen Hai'!D52</f>
        <v>15046</v>
      </c>
    </row>
    <row r="55" spans="2:16" s="20" customFormat="1" ht="15.6">
      <c r="B55" s="1178"/>
      <c r="C55" s="476" t="s">
        <v>297</v>
      </c>
      <c r="D55" s="92">
        <f t="shared" si="1"/>
        <v>0</v>
      </c>
      <c r="E55" s="1507"/>
      <c r="F55" s="1507"/>
      <c r="G55" s="1507"/>
      <c r="H55" s="1508">
        <f>TPTV!D53</f>
        <v>0</v>
      </c>
      <c r="I55" s="1508">
        <f>'Tra Cu'!D53</f>
        <v>0</v>
      </c>
      <c r="J55" s="1508">
        <f>'Cau Ngang'!D53</f>
        <v>0</v>
      </c>
      <c r="K55" s="1508">
        <f>'Chau Thanh'!D53</f>
        <v>0</v>
      </c>
      <c r="L55" s="1508">
        <f>'Duyen Hai'!D53</f>
        <v>0</v>
      </c>
      <c r="M55" s="1508">
        <f>'Tieu Can'!D53</f>
        <v>0</v>
      </c>
      <c r="N55" s="1508">
        <f>'Cau Ke'!D53</f>
        <v>0</v>
      </c>
      <c r="O55" s="1508">
        <f>'Cang Long'!D53</f>
        <v>0</v>
      </c>
      <c r="P55" s="1508">
        <f>'TX Duyen Hai'!D53</f>
        <v>0</v>
      </c>
    </row>
    <row r="56" spans="2:16" s="20" customFormat="1" ht="15.6">
      <c r="B56" s="1178"/>
      <c r="C56" s="476" t="s">
        <v>298</v>
      </c>
      <c r="D56" s="92">
        <f t="shared" si="1"/>
        <v>84235</v>
      </c>
      <c r="E56" s="1507"/>
      <c r="F56" s="1507"/>
      <c r="G56" s="1507"/>
      <c r="H56" s="1508">
        <f>TPTV!D54</f>
        <v>1216</v>
      </c>
      <c r="I56" s="1508">
        <f>'Tra Cu'!D54</f>
        <v>15104</v>
      </c>
      <c r="J56" s="1508">
        <f>'Cau Ngang'!D54</f>
        <v>12983</v>
      </c>
      <c r="K56" s="1508">
        <f>'Chau Thanh'!D54</f>
        <v>15594</v>
      </c>
      <c r="L56" s="1508">
        <f>'Duyen Hai'!D54</f>
        <v>3284</v>
      </c>
      <c r="M56" s="1508">
        <f>'Tieu Can'!D54</f>
        <v>12410</v>
      </c>
      <c r="N56" s="1508">
        <f>'Cau Ke'!D54</f>
        <v>9834</v>
      </c>
      <c r="O56" s="1508">
        <f>'Cang Long'!D54</f>
        <v>13146</v>
      </c>
      <c r="P56" s="1508">
        <f>'TX Duyen Hai'!D54</f>
        <v>664</v>
      </c>
    </row>
    <row r="57" spans="2:16" s="20" customFormat="1" ht="15.6">
      <c r="B57" s="1178"/>
      <c r="C57" s="476" t="s">
        <v>299</v>
      </c>
      <c r="D57" s="92">
        <f t="shared" si="1"/>
        <v>35010</v>
      </c>
      <c r="E57" s="1507"/>
      <c r="F57" s="1507"/>
      <c r="G57" s="1507"/>
      <c r="H57" s="1508">
        <f>TPTV!D55</f>
        <v>488</v>
      </c>
      <c r="I57" s="1508">
        <f>'Tra Cu'!D55</f>
        <v>6042</v>
      </c>
      <c r="J57" s="1508">
        <f>'Cau Ngang'!D55</f>
        <v>6030</v>
      </c>
      <c r="K57" s="1508">
        <f>'Chau Thanh'!D55</f>
        <v>6674</v>
      </c>
      <c r="L57" s="1508">
        <f>'Duyen Hai'!D55</f>
        <v>1354</v>
      </c>
      <c r="M57" s="1508">
        <f>'Tieu Can'!D55</f>
        <v>4964</v>
      </c>
      <c r="N57" s="1508">
        <f>'Cau Ke'!D55</f>
        <v>3934</v>
      </c>
      <c r="O57" s="1508">
        <f>'Cang Long'!D55</f>
        <v>5258</v>
      </c>
      <c r="P57" s="1508">
        <f>'TX Duyen Hai'!D55</f>
        <v>266</v>
      </c>
    </row>
    <row r="58" spans="2:16" s="20" customFormat="1" ht="15.6">
      <c r="B58" s="1178"/>
      <c r="C58" s="476" t="s">
        <v>300</v>
      </c>
      <c r="D58" s="92">
        <f t="shared" si="1"/>
        <v>10800</v>
      </c>
      <c r="E58" s="1507"/>
      <c r="F58" s="1507"/>
      <c r="G58" s="1507"/>
      <c r="H58" s="1508">
        <f>TPTV!D56</f>
        <v>500</v>
      </c>
      <c r="I58" s="1508">
        <f>'Tra Cu'!D56</f>
        <v>1700</v>
      </c>
      <c r="J58" s="1508">
        <f>'Cau Ngang'!D56</f>
        <v>1500</v>
      </c>
      <c r="K58" s="1508">
        <f>'Chau Thanh'!D56</f>
        <v>1700</v>
      </c>
      <c r="L58" s="1508">
        <f>'Duyen Hai'!D56</f>
        <v>700</v>
      </c>
      <c r="M58" s="1508">
        <f>'Tieu Can'!D56</f>
        <v>1500</v>
      </c>
      <c r="N58" s="1508">
        <f>'Cau Ke'!D56</f>
        <v>1300</v>
      </c>
      <c r="O58" s="1508">
        <f>'Cang Long'!D56</f>
        <v>1500</v>
      </c>
      <c r="P58" s="1508">
        <f>'TX Duyen Hai'!D56</f>
        <v>400</v>
      </c>
    </row>
    <row r="59" spans="2:16" s="20" customFormat="1" ht="15.6">
      <c r="B59" s="1178"/>
      <c r="C59" s="476" t="s">
        <v>301</v>
      </c>
      <c r="D59" s="92">
        <f t="shared" si="1"/>
        <v>55000</v>
      </c>
      <c r="E59" s="1507"/>
      <c r="F59" s="1507"/>
      <c r="G59" s="1507"/>
      <c r="H59" s="1508">
        <f>TPTV!D57</f>
        <v>46500</v>
      </c>
      <c r="I59" s="1508">
        <f>'Tra Cu'!D57</f>
        <v>0</v>
      </c>
      <c r="J59" s="1508">
        <f>'Cau Ngang'!D57</f>
        <v>0</v>
      </c>
      <c r="K59" s="1508">
        <f>'Chau Thanh'!D57</f>
        <v>0</v>
      </c>
      <c r="L59" s="1508">
        <f>'Duyen Hai'!D57</f>
        <v>0</v>
      </c>
      <c r="M59" s="1508">
        <f>'Tieu Can'!D57</f>
        <v>0</v>
      </c>
      <c r="N59" s="1508">
        <f>'Cau Ke'!D57</f>
        <v>0</v>
      </c>
      <c r="O59" s="1508">
        <f>'Cang Long'!D57</f>
        <v>0</v>
      </c>
      <c r="P59" s="1508">
        <f>'TX Duyen Hai'!D57</f>
        <v>8500</v>
      </c>
    </row>
    <row r="60" spans="2:16" s="20" customFormat="1" ht="31.2">
      <c r="B60" s="1178"/>
      <c r="C60" s="476" t="s">
        <v>303</v>
      </c>
      <c r="D60" s="92">
        <f t="shared" si="1"/>
        <v>5280</v>
      </c>
      <c r="E60" s="1507"/>
      <c r="F60" s="1507"/>
      <c r="G60" s="1507"/>
      <c r="H60" s="1508">
        <f>TPTV!D58</f>
        <v>3000</v>
      </c>
      <c r="I60" s="1508">
        <f>'Tra Cu'!D58</f>
        <v>250</v>
      </c>
      <c r="J60" s="1508">
        <f>'Cau Ngang'!D58</f>
        <v>170</v>
      </c>
      <c r="K60" s="1508">
        <f>'Chau Thanh'!D58</f>
        <v>450</v>
      </c>
      <c r="L60" s="1508">
        <f>'Duyen Hai'!D58</f>
        <v>60</v>
      </c>
      <c r="M60" s="1508">
        <f>'Tieu Can'!D58</f>
        <v>350</v>
      </c>
      <c r="N60" s="1508">
        <f>'Cau Ke'!D58</f>
        <v>250</v>
      </c>
      <c r="O60" s="1508">
        <f>'Cang Long'!D58</f>
        <v>400</v>
      </c>
      <c r="P60" s="1508">
        <f>'TX Duyen Hai'!D58</f>
        <v>350</v>
      </c>
    </row>
    <row r="61" spans="2:16" s="20" customFormat="1" ht="15.6">
      <c r="B61" s="1178"/>
      <c r="C61" s="476" t="s">
        <v>304</v>
      </c>
      <c r="D61" s="92">
        <f t="shared" si="1"/>
        <v>101530</v>
      </c>
      <c r="E61" s="1507"/>
      <c r="F61" s="1507"/>
      <c r="G61" s="1507"/>
      <c r="H61" s="1508">
        <f>TPTV!D59</f>
        <v>12994</v>
      </c>
      <c r="I61" s="1508">
        <f>'Tra Cu'!D59</f>
        <v>10511</v>
      </c>
      <c r="J61" s="1508">
        <f>'Cau Ngang'!D59</f>
        <v>13291</v>
      </c>
      <c r="K61" s="1508">
        <f>'Chau Thanh'!D59</f>
        <v>4699</v>
      </c>
      <c r="L61" s="1508">
        <f>'Duyen Hai'!D59</f>
        <v>12175</v>
      </c>
      <c r="M61" s="1508">
        <f>'Tieu Can'!D59</f>
        <v>13303</v>
      </c>
      <c r="N61" s="1508">
        <f>'Cau Ke'!D59</f>
        <v>16142</v>
      </c>
      <c r="O61" s="1508">
        <f>'Cang Long'!D59</f>
        <v>13549</v>
      </c>
      <c r="P61" s="1508">
        <f>'TX Duyen Hai'!D59</f>
        <v>4866</v>
      </c>
    </row>
    <row r="62" spans="2:16" s="20" customFormat="1" ht="15.6">
      <c r="B62" s="1178" t="s">
        <v>875</v>
      </c>
      <c r="C62" s="464" t="s">
        <v>278</v>
      </c>
      <c r="D62" s="92">
        <f t="shared" si="1"/>
        <v>181355</v>
      </c>
      <c r="E62" s="1507"/>
      <c r="F62" s="1507"/>
      <c r="G62" s="1507"/>
      <c r="H62" s="1508">
        <f>TPTV!D60</f>
        <v>14239</v>
      </c>
      <c r="I62" s="1508">
        <f>'Tra Cu'!D60</f>
        <v>24693</v>
      </c>
      <c r="J62" s="1508">
        <f>'Cau Ngang'!D60</f>
        <v>25793</v>
      </c>
      <c r="K62" s="1508">
        <f>'Chau Thanh'!D60</f>
        <v>26198</v>
      </c>
      <c r="L62" s="1508">
        <f>'Duyen Hai'!D60</f>
        <v>16314</v>
      </c>
      <c r="M62" s="1508">
        <f>'Tieu Can'!D60</f>
        <v>16647</v>
      </c>
      <c r="N62" s="1508">
        <f>'Cau Ke'!D60</f>
        <v>18499</v>
      </c>
      <c r="O62" s="1508">
        <f>'Cang Long'!D60</f>
        <v>30481</v>
      </c>
      <c r="P62" s="1508">
        <f>'TX Duyen Hai'!D60</f>
        <v>8491</v>
      </c>
    </row>
    <row r="63" spans="2:16" s="20" customFormat="1" ht="15.6">
      <c r="B63" s="1194"/>
      <c r="C63" s="464" t="s">
        <v>290</v>
      </c>
      <c r="D63" s="92">
        <f t="shared" si="1"/>
        <v>0</v>
      </c>
      <c r="E63" s="1507"/>
      <c r="F63" s="1507"/>
      <c r="G63" s="1507"/>
      <c r="H63" s="1508">
        <f>TPTV!D61</f>
        <v>0</v>
      </c>
      <c r="I63" s="1508">
        <f>'Tra Cu'!D61</f>
        <v>0</v>
      </c>
      <c r="J63" s="1508">
        <f>'Cau Ngang'!D61</f>
        <v>0</v>
      </c>
      <c r="K63" s="1508">
        <f>'Chau Thanh'!D61</f>
        <v>0</v>
      </c>
      <c r="L63" s="1508">
        <f>'Duyen Hai'!D61</f>
        <v>0</v>
      </c>
      <c r="M63" s="1508">
        <f>'Tieu Can'!D61</f>
        <v>0</v>
      </c>
      <c r="N63" s="1508">
        <f>'Cau Ke'!D61</f>
        <v>0</v>
      </c>
      <c r="O63" s="1508">
        <f>'Cang Long'!D61</f>
        <v>0</v>
      </c>
      <c r="P63" s="1508">
        <f>'TX Duyen Hai'!D61</f>
        <v>0</v>
      </c>
    </row>
    <row r="64" spans="2:16" s="20" customFormat="1" ht="15.6">
      <c r="B64" s="1194"/>
      <c r="C64" s="484" t="s">
        <v>305</v>
      </c>
      <c r="D64" s="92">
        <f t="shared" si="1"/>
        <v>27172</v>
      </c>
      <c r="E64" s="1507"/>
      <c r="F64" s="1507"/>
      <c r="G64" s="1507"/>
      <c r="H64" s="1508">
        <f>TPTV!D62</f>
        <v>2861</v>
      </c>
      <c r="I64" s="1508">
        <f>'Tra Cu'!D62</f>
        <v>2733</v>
      </c>
      <c r="J64" s="1508">
        <f>'Cau Ngang'!D62</f>
        <v>5396</v>
      </c>
      <c r="K64" s="1508">
        <f>'Chau Thanh'!D62</f>
        <v>3325</v>
      </c>
      <c r="L64" s="1508">
        <f>'Duyen Hai'!D62</f>
        <v>3889</v>
      </c>
      <c r="M64" s="1508">
        <f>'Tieu Can'!D62</f>
        <v>1277</v>
      </c>
      <c r="N64" s="1508">
        <f>'Cau Ke'!D62</f>
        <v>1789</v>
      </c>
      <c r="O64" s="1508">
        <f>'Cang Long'!D62</f>
        <v>3181</v>
      </c>
      <c r="P64" s="1508">
        <f>'TX Duyen Hai'!D62</f>
        <v>2721</v>
      </c>
    </row>
    <row r="65" spans="1:16" s="20" customFormat="1" ht="16.2">
      <c r="B65" s="1196"/>
      <c r="C65" s="484" t="s">
        <v>306</v>
      </c>
      <c r="D65" s="92">
        <f t="shared" si="1"/>
        <v>7082</v>
      </c>
      <c r="E65" s="1507"/>
      <c r="F65" s="1507"/>
      <c r="G65" s="1507"/>
      <c r="H65" s="1508">
        <f>TPTV!D63</f>
        <v>799</v>
      </c>
      <c r="I65" s="1508">
        <f>'Tra Cu'!D63</f>
        <v>583</v>
      </c>
      <c r="J65" s="1508">
        <f>'Cau Ngang'!D63</f>
        <v>790</v>
      </c>
      <c r="K65" s="1508">
        <f>'Chau Thanh'!D63</f>
        <v>873</v>
      </c>
      <c r="L65" s="1508">
        <f>'Duyen Hai'!D63</f>
        <v>597</v>
      </c>
      <c r="M65" s="1508">
        <f>'Tieu Can'!D63</f>
        <v>515</v>
      </c>
      <c r="N65" s="1508">
        <f>'Cau Ke'!D63</f>
        <v>823</v>
      </c>
      <c r="O65" s="1508">
        <f>'Cang Long'!D63</f>
        <v>1547</v>
      </c>
      <c r="P65" s="1508">
        <f>'TX Duyen Hai'!D63</f>
        <v>555</v>
      </c>
    </row>
    <row r="66" spans="1:16" s="20" customFormat="1" ht="16.2">
      <c r="B66" s="1196"/>
      <c r="C66" s="476" t="s">
        <v>307</v>
      </c>
      <c r="D66" s="92">
        <f t="shared" si="1"/>
        <v>147101</v>
      </c>
      <c r="E66" s="1507"/>
      <c r="F66" s="1507"/>
      <c r="G66" s="1507"/>
      <c r="H66" s="1508">
        <f>TPTV!D64</f>
        <v>10579</v>
      </c>
      <c r="I66" s="1508">
        <f>'Tra Cu'!D64</f>
        <v>21377</v>
      </c>
      <c r="J66" s="1508">
        <f>'Cau Ngang'!D64</f>
        <v>19607</v>
      </c>
      <c r="K66" s="1508">
        <f>'Chau Thanh'!D64</f>
        <v>22000</v>
      </c>
      <c r="L66" s="1508">
        <f>'Duyen Hai'!D64</f>
        <v>11828</v>
      </c>
      <c r="M66" s="1508">
        <f>'Tieu Can'!D64</f>
        <v>14855</v>
      </c>
      <c r="N66" s="1508">
        <f>'Cau Ke'!D64</f>
        <v>15887</v>
      </c>
      <c r="O66" s="1508">
        <f>'Cang Long'!D64</f>
        <v>25753</v>
      </c>
      <c r="P66" s="1508">
        <f>'TX Duyen Hai'!D64</f>
        <v>5215</v>
      </c>
    </row>
    <row r="67" spans="1:16" s="20" customFormat="1" ht="16.2">
      <c r="B67" s="1196"/>
      <c r="C67" s="476" t="s">
        <v>308</v>
      </c>
      <c r="D67" s="92">
        <f t="shared" si="1"/>
        <v>0</v>
      </c>
      <c r="E67" s="1507"/>
      <c r="F67" s="1507"/>
      <c r="G67" s="1507"/>
      <c r="H67" s="1508">
        <f>TPTV!D65</f>
        <v>0</v>
      </c>
      <c r="I67" s="1508">
        <f>'Tra Cu'!D65</f>
        <v>0</v>
      </c>
      <c r="J67" s="1508">
        <f>'Cau Ngang'!D65</f>
        <v>0</v>
      </c>
      <c r="K67" s="1508">
        <f>'Chau Thanh'!D65</f>
        <v>0</v>
      </c>
      <c r="L67" s="1508">
        <f>'Duyen Hai'!D65</f>
        <v>0</v>
      </c>
      <c r="M67" s="1508">
        <f>'Tieu Can'!D65</f>
        <v>0</v>
      </c>
      <c r="N67" s="1508">
        <f>'Cau Ke'!D65</f>
        <v>0</v>
      </c>
      <c r="O67" s="1508">
        <f>'Cang Long'!D65</f>
        <v>0</v>
      </c>
      <c r="P67" s="1508">
        <f>'TX Duyen Hai'!D65</f>
        <v>0</v>
      </c>
    </row>
    <row r="68" spans="1:16" s="20" customFormat="1" ht="15.6">
      <c r="B68" s="1178" t="s">
        <v>876</v>
      </c>
      <c r="C68" s="464" t="s">
        <v>277</v>
      </c>
      <c r="D68" s="92">
        <f t="shared" si="1"/>
        <v>855775</v>
      </c>
      <c r="E68" s="1507"/>
      <c r="F68" s="1507"/>
      <c r="G68" s="1507"/>
      <c r="H68" s="1508">
        <f>TPTV!D66</f>
        <v>84108</v>
      </c>
      <c r="I68" s="1508">
        <f>'Tra Cu'!D66</f>
        <v>134935</v>
      </c>
      <c r="J68" s="1508">
        <f>'Cau Ngang'!D66</f>
        <v>108345</v>
      </c>
      <c r="K68" s="1508">
        <f>'Chau Thanh'!D66</f>
        <v>123390</v>
      </c>
      <c r="L68" s="1508">
        <f>'Duyen Hai'!D66</f>
        <v>67645</v>
      </c>
      <c r="M68" s="1508">
        <f>'Tieu Can'!D66</f>
        <v>83938</v>
      </c>
      <c r="N68" s="1508">
        <f>'Cau Ke'!D66</f>
        <v>80254</v>
      </c>
      <c r="O68" s="1508">
        <f>'Cang Long'!D66</f>
        <v>111667</v>
      </c>
      <c r="P68" s="1508">
        <f>'TX Duyen Hai'!D66</f>
        <v>61493</v>
      </c>
    </row>
    <row r="69" spans="1:16" s="20" customFormat="1" ht="15.6">
      <c r="B69" s="1178" t="s">
        <v>877</v>
      </c>
      <c r="C69" s="464" t="s">
        <v>720</v>
      </c>
      <c r="D69" s="92">
        <f t="shared" si="1"/>
        <v>25424</v>
      </c>
      <c r="E69" s="1507"/>
      <c r="F69" s="1507"/>
      <c r="G69" s="1507"/>
      <c r="H69" s="1508">
        <f>TPTV!D67</f>
        <v>4263</v>
      </c>
      <c r="I69" s="1508">
        <f>'Tra Cu'!D67</f>
        <v>851</v>
      </c>
      <c r="J69" s="1508">
        <f>'Cau Ngang'!D67</f>
        <v>3546</v>
      </c>
      <c r="K69" s="1508">
        <f>'Chau Thanh'!D67</f>
        <v>2910</v>
      </c>
      <c r="L69" s="1508">
        <f>'Duyen Hai'!D67</f>
        <v>2632</v>
      </c>
      <c r="M69" s="1508">
        <f>'Tieu Can'!D67</f>
        <v>2586</v>
      </c>
      <c r="N69" s="1508">
        <f>'Cau Ke'!D67</f>
        <v>2314</v>
      </c>
      <c r="O69" s="1508">
        <f>'Cang Long'!D67</f>
        <v>3279</v>
      </c>
      <c r="P69" s="1508">
        <f>'TX Duyen Hai'!D67</f>
        <v>3043</v>
      </c>
    </row>
    <row r="70" spans="1:16" s="20" customFormat="1" ht="15.6">
      <c r="B70" s="1596" t="s">
        <v>878</v>
      </c>
      <c r="C70" s="1597" t="s">
        <v>819</v>
      </c>
      <c r="D70" s="1598">
        <f t="shared" si="1"/>
        <v>0</v>
      </c>
      <c r="E70" s="1599"/>
      <c r="F70" s="1599"/>
      <c r="G70" s="1599"/>
      <c r="H70" s="1600">
        <f>TPTV!D68</f>
        <v>0</v>
      </c>
      <c r="I70" s="1600">
        <f>'Tra Cu'!D68</f>
        <v>0</v>
      </c>
      <c r="J70" s="1600">
        <f>'Cau Ngang'!D68</f>
        <v>0</v>
      </c>
      <c r="K70" s="1600">
        <f>'Chau Thanh'!D68</f>
        <v>0</v>
      </c>
      <c r="L70" s="1600">
        <f>'Duyen Hai'!D68</f>
        <v>0</v>
      </c>
      <c r="M70" s="1600">
        <f>'Tieu Can'!D68</f>
        <v>0</v>
      </c>
      <c r="N70" s="1600">
        <f>'Cau Ke'!D68</f>
        <v>0</v>
      </c>
      <c r="O70" s="1600">
        <f>'Cang Long'!D68</f>
        <v>0</v>
      </c>
      <c r="P70" s="1600">
        <f>'TX Duyen Hai'!D68</f>
        <v>0</v>
      </c>
    </row>
    <row r="71" spans="1:16" s="33" customFormat="1" ht="20.399999999999999" customHeight="1">
      <c r="B71" s="1601" t="s">
        <v>315</v>
      </c>
      <c r="C71" s="1602" t="s">
        <v>980</v>
      </c>
      <c r="D71" s="1603">
        <f t="shared" si="1"/>
        <v>87269</v>
      </c>
      <c r="E71" s="1604" t="e">
        <f>#REF!*2.01%</f>
        <v>#REF!</v>
      </c>
      <c r="F71" s="1604"/>
      <c r="G71" s="1604"/>
      <c r="H71" s="1605">
        <f>TPTV!D69</f>
        <v>8398</v>
      </c>
      <c r="I71" s="1605">
        <f>'Tra Cu'!D69</f>
        <v>14555</v>
      </c>
      <c r="J71" s="1605">
        <f>'Cau Ngang'!D69</f>
        <v>11577</v>
      </c>
      <c r="K71" s="1605">
        <f>'Chau Thanh'!D69</f>
        <v>11449</v>
      </c>
      <c r="L71" s="1605">
        <f>'Duyen Hai'!D69</f>
        <v>7046</v>
      </c>
      <c r="M71" s="1605">
        <f>'Tieu Can'!D69</f>
        <v>8611</v>
      </c>
      <c r="N71" s="1605">
        <f>'Cau Ke'!D69</f>
        <v>8850</v>
      </c>
      <c r="O71" s="1605">
        <f>'Cang Long'!D69</f>
        <v>11796</v>
      </c>
      <c r="P71" s="1605">
        <f>'TX Duyen Hai'!D69</f>
        <v>4987</v>
      </c>
    </row>
    <row r="72" spans="1:16" s="33" customFormat="1" ht="25.2" customHeight="1">
      <c r="B72" s="1580" t="s">
        <v>81</v>
      </c>
      <c r="C72" s="1711" t="s">
        <v>818</v>
      </c>
      <c r="D72" s="1712">
        <f t="shared" si="1"/>
        <v>498307</v>
      </c>
      <c r="E72" s="1713"/>
      <c r="F72" s="1713"/>
      <c r="G72" s="1713"/>
      <c r="H72" s="1714">
        <f>TPTV!D70</f>
        <v>14749</v>
      </c>
      <c r="I72" s="1714">
        <f>'Tra Cu'!D70</f>
        <v>151097</v>
      </c>
      <c r="J72" s="1714">
        <f>'Cau Ngang'!D70</f>
        <v>63463</v>
      </c>
      <c r="K72" s="1714">
        <f>'Chau Thanh'!D70</f>
        <v>57155</v>
      </c>
      <c r="L72" s="1714">
        <f>'Duyen Hai'!D70</f>
        <v>44511</v>
      </c>
      <c r="M72" s="1714">
        <f>'Tieu Can'!D70</f>
        <v>48214</v>
      </c>
      <c r="N72" s="1714">
        <f>'Cau Ke'!D70</f>
        <v>53015</v>
      </c>
      <c r="O72" s="1714">
        <f>'Cang Long'!D70</f>
        <v>36276</v>
      </c>
      <c r="P72" s="1714">
        <f>'TX Duyen Hai'!D70</f>
        <v>29827</v>
      </c>
    </row>
    <row r="73" spans="1:16" s="598" customFormat="1" ht="20.399999999999999" customHeight="1">
      <c r="B73" s="1606"/>
      <c r="C73" s="1602" t="s">
        <v>11</v>
      </c>
      <c r="D73" s="1603">
        <f t="shared" si="1"/>
        <v>54223.5</v>
      </c>
      <c r="E73" s="1604"/>
      <c r="F73" s="1604"/>
      <c r="G73" s="1604"/>
      <c r="H73" s="1605">
        <f>TPTV!D72</f>
        <v>6586</v>
      </c>
      <c r="I73" s="1605">
        <f>'Tra Cu'!D72</f>
        <v>7293</v>
      </c>
      <c r="J73" s="1605">
        <f>'Cau Ngang'!D72</f>
        <v>7305</v>
      </c>
      <c r="K73" s="1605">
        <f>'Chau Thanh'!D72</f>
        <v>6445</v>
      </c>
      <c r="L73" s="1605">
        <f>'Duyen Hai'!D72</f>
        <v>4526</v>
      </c>
      <c r="M73" s="1605">
        <f>'Tieu Can'!D72</f>
        <v>5483</v>
      </c>
      <c r="N73" s="1605">
        <f>'Cau Ke'!D72</f>
        <v>5274</v>
      </c>
      <c r="O73" s="1605">
        <f>'Cang Long'!D72</f>
        <v>7748.5</v>
      </c>
      <c r="P73" s="1605">
        <f>'TX Duyen Hai'!D72</f>
        <v>3563</v>
      </c>
    </row>
    <row r="74" spans="1:16" s="18" customFormat="1">
      <c r="A74" s="101"/>
      <c r="B74" s="101"/>
      <c r="C74" s="101"/>
      <c r="D74" s="101"/>
      <c r="E74" s="101"/>
      <c r="F74" s="101"/>
      <c r="G74" s="101"/>
      <c r="H74" s="101"/>
      <c r="I74" s="101"/>
    </row>
    <row r="75" spans="1:16">
      <c r="A75" s="101"/>
      <c r="B75" s="101"/>
      <c r="C75" s="101"/>
      <c r="D75" s="101"/>
      <c r="E75" s="101"/>
      <c r="F75" s="101"/>
      <c r="G75" s="101"/>
      <c r="H75" s="101"/>
      <c r="I75" s="101"/>
    </row>
    <row r="76" spans="1:16" hidden="1">
      <c r="A76" s="101"/>
      <c r="B76" s="101"/>
      <c r="C76" s="101"/>
      <c r="D76" s="1317">
        <f>D50+D51+D52+D53+D54+D62+D68+D69+D70</f>
        <v>1418312.3035800001</v>
      </c>
      <c r="E76" s="1317">
        <f t="shared" ref="E76:P76" si="5">E50+E51+E52+E53+E54+E62+E68+E69+E70</f>
        <v>0</v>
      </c>
      <c r="F76" s="1317">
        <f t="shared" si="5"/>
        <v>0</v>
      </c>
      <c r="G76" s="1317">
        <f t="shared" si="5"/>
        <v>0</v>
      </c>
      <c r="H76" s="1317">
        <f t="shared" si="5"/>
        <v>176202</v>
      </c>
      <c r="I76" s="1317">
        <f t="shared" si="5"/>
        <v>199271</v>
      </c>
      <c r="J76" s="1317">
        <f t="shared" si="5"/>
        <v>180648</v>
      </c>
      <c r="K76" s="1317">
        <f t="shared" si="5"/>
        <v>189364</v>
      </c>
      <c r="L76" s="1317">
        <f t="shared" si="5"/>
        <v>110896</v>
      </c>
      <c r="M76" s="1317">
        <f t="shared" si="5"/>
        <v>145079</v>
      </c>
      <c r="N76" s="1317">
        <f t="shared" si="5"/>
        <v>136831</v>
      </c>
      <c r="O76" s="1317">
        <f t="shared" si="5"/>
        <v>185278.30358000001</v>
      </c>
      <c r="P76" s="1317">
        <f t="shared" si="5"/>
        <v>94743</v>
      </c>
    </row>
    <row r="77" spans="1:16" s="96" customFormat="1">
      <c r="A77" s="101"/>
      <c r="B77" s="101"/>
      <c r="C77" s="101"/>
      <c r="D77" s="101"/>
      <c r="E77" s="101"/>
      <c r="G77" s="97"/>
    </row>
    <row r="78" spans="1:16" s="96" customFormat="1">
      <c r="F78" s="3098"/>
      <c r="G78" s="3098"/>
      <c r="H78" s="3098"/>
    </row>
    <row r="79" spans="1:16" s="96" customFormat="1">
      <c r="F79" s="1432"/>
      <c r="G79" s="1432"/>
      <c r="H79" s="1432"/>
    </row>
    <row r="80" spans="1:16" s="96" customFormat="1">
      <c r="F80" s="1432"/>
      <c r="G80" s="1432"/>
      <c r="H80" s="1432"/>
    </row>
    <row r="81" spans="3:8" s="96" customFormat="1">
      <c r="G81" s="97"/>
    </row>
    <row r="82" spans="3:8" s="98" customFormat="1">
      <c r="G82" s="99"/>
    </row>
    <row r="83" spans="3:8" s="102" customFormat="1">
      <c r="C83" s="100"/>
      <c r="F83" s="3099"/>
      <c r="G83" s="3099"/>
      <c r="H83" s="3099"/>
    </row>
  </sheetData>
  <mergeCells count="4">
    <mergeCell ref="O2:P2"/>
    <mergeCell ref="C3:P3"/>
    <mergeCell ref="F78:H78"/>
    <mergeCell ref="F83:H83"/>
  </mergeCells>
  <pageMargins left="0.23" right="0.23622047244094499" top="0.2" bottom="0.28999999999999998" header="0.38" footer="0.17"/>
  <pageSetup paperSize="9" scale="70" orientation="landscape" r:id="rId1"/>
  <headerFooter>
    <oddFooter>&amp;R&amp;P</oddFooter>
  </headerFooter>
  <rowBreaks count="1" manualBreakCount="1">
    <brk id="77" max="16383"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EW352"/>
  <sheetViews>
    <sheetView showZeros="0" zoomScale="70" zoomScaleNormal="70" workbookViewId="0">
      <pane xSplit="2" ySplit="7" topLeftCell="AG74" activePane="bottomRight" state="frozen"/>
      <selection activeCell="B140" sqref="B140"/>
      <selection pane="topRight" activeCell="B140" sqref="B140"/>
      <selection pane="bottomLeft" activeCell="B140" sqref="B140"/>
      <selection pane="bottomRight" activeCell="B140" sqref="B140"/>
    </sheetView>
  </sheetViews>
  <sheetFormatPr defaultRowHeight="15.6"/>
  <cols>
    <col min="1" max="1" width="5.109375" style="616" customWidth="1"/>
    <col min="2" max="2" width="49" style="617" customWidth="1"/>
    <col min="3" max="3" width="8.33203125" style="618" customWidth="1"/>
    <col min="4" max="4" width="7.33203125" style="618" customWidth="1"/>
    <col min="5" max="8" width="8.88671875" style="618" customWidth="1"/>
    <col min="9" max="9" width="7.5546875" style="618" customWidth="1"/>
    <col min="10" max="10" width="8.44140625" style="618" customWidth="1"/>
    <col min="11" max="11" width="17.5546875" style="618" customWidth="1"/>
    <col min="12" max="12" width="18.6640625" style="1738" customWidth="1"/>
    <col min="13" max="13" width="9.5546875" style="619" customWidth="1"/>
    <col min="14" max="20" width="8.88671875" style="619" customWidth="1"/>
    <col min="21" max="21" width="10.33203125" style="619" customWidth="1"/>
    <col min="22" max="22" width="12.109375" style="619" customWidth="1"/>
    <col min="23" max="27" width="8.88671875" style="619" customWidth="1"/>
    <col min="28" max="28" width="8.6640625" style="619" customWidth="1"/>
    <col min="29" max="29" width="11.44140625" style="619" customWidth="1"/>
    <col min="30" max="30" width="8.88671875" style="619" customWidth="1"/>
    <col min="31" max="31" width="7.44140625" style="619" customWidth="1"/>
    <col min="32" max="32" width="8.33203125" style="619" hidden="1" customWidth="1"/>
    <col min="33" max="33" width="8.88671875" style="619" customWidth="1"/>
    <col min="34" max="34" width="7.88671875" style="619" customWidth="1"/>
    <col min="35" max="35" width="8.88671875" style="619" customWidth="1"/>
    <col min="36" max="36" width="9.33203125" style="619" customWidth="1"/>
    <col min="37" max="37" width="10.6640625" style="619" customWidth="1"/>
    <col min="38" max="38" width="1.33203125" style="889" customWidth="1"/>
    <col min="39" max="39" width="8.88671875" style="617" customWidth="1"/>
    <col min="40" max="40" width="8.88671875" style="624" hidden="1" customWidth="1"/>
    <col min="41" max="41" width="8.88671875" style="617" hidden="1" customWidth="1"/>
    <col min="42" max="42" width="32.5546875" style="617" hidden="1" customWidth="1"/>
    <col min="43" max="43" width="8.88671875" style="617" hidden="1" customWidth="1"/>
    <col min="44" max="50" width="8.88671875" style="625" hidden="1" customWidth="1"/>
    <col min="51" max="51" width="12" style="625" hidden="1" customWidth="1"/>
    <col min="52" max="52" width="9.88671875" style="626" hidden="1" customWidth="1"/>
    <col min="53" max="58" width="8.88671875" style="625" hidden="1" customWidth="1"/>
    <col min="59" max="59" width="9.109375" style="625" hidden="1" customWidth="1"/>
    <col min="60" max="76" width="8.88671875" style="625" hidden="1" customWidth="1"/>
    <col min="77" max="78" width="8.88671875" style="891" hidden="1" customWidth="1"/>
    <col min="79" max="79" width="8.88671875" style="1330" hidden="1" customWidth="1"/>
    <col min="80" max="80" width="65.5546875" style="1330" hidden="1" customWidth="1"/>
    <col min="81" max="88" width="8.88671875" style="1330" hidden="1" customWidth="1"/>
    <col min="89" max="89" width="16" style="1331" hidden="1" customWidth="1"/>
    <col min="90" max="90" width="12.44140625" style="1331" hidden="1" customWidth="1"/>
    <col min="91" max="91" width="13.109375" style="1332" hidden="1" customWidth="1"/>
    <col min="92" max="93" width="12" style="1332" hidden="1" customWidth="1"/>
    <col min="94" max="94" width="9" style="1332" hidden="1" customWidth="1"/>
    <col min="95" max="95" width="9.33203125" style="1332" hidden="1" customWidth="1"/>
    <col min="96" max="97" width="12" style="1332" hidden="1" customWidth="1"/>
    <col min="98" max="99" width="15" style="1331" hidden="1" customWidth="1"/>
    <col min="100" max="100" width="13.5546875" style="1331" hidden="1" customWidth="1"/>
    <col min="101" max="101" width="9" style="1331" hidden="1" customWidth="1"/>
    <col min="102" max="105" width="12.88671875" style="1331" hidden="1" customWidth="1"/>
    <col min="106" max="106" width="15" style="1331" hidden="1" customWidth="1"/>
    <col min="107" max="107" width="13.5546875" style="1331" hidden="1" customWidth="1"/>
    <col min="108" max="108" width="12.44140625" style="1331" hidden="1" customWidth="1"/>
    <col min="109" max="109" width="9" style="1331" hidden="1" customWidth="1"/>
    <col min="110" max="112" width="12.44140625" style="1331" hidden="1" customWidth="1"/>
    <col min="113" max="115" width="9" style="1331" hidden="1" customWidth="1"/>
    <col min="116" max="124" width="8.88671875" style="625" hidden="1" customWidth="1"/>
    <col min="125" max="125" width="45" style="625" hidden="1" customWidth="1"/>
    <col min="126" max="126" width="12.88671875" style="625" hidden="1" customWidth="1"/>
    <col min="127" max="152" width="8.88671875" style="625" hidden="1" customWidth="1"/>
    <col min="153" max="153" width="12.33203125" style="625" customWidth="1"/>
    <col min="154" max="257" width="8.88671875" style="625"/>
    <col min="258" max="258" width="6.6640625" style="625" customWidth="1"/>
    <col min="259" max="259" width="38" style="625" customWidth="1"/>
    <col min="260" max="260" width="8.33203125" style="625" customWidth="1"/>
    <col min="261" max="261" width="7.33203125" style="625" customWidth="1"/>
    <col min="262" max="265" width="8.88671875" style="625" customWidth="1"/>
    <col min="266" max="266" width="7.5546875" style="625" customWidth="1"/>
    <col min="267" max="267" width="8.44140625" style="625" customWidth="1"/>
    <col min="268" max="268" width="11.44140625" style="625" customWidth="1"/>
    <col min="269" max="269" width="9.5546875" style="625" customWidth="1"/>
    <col min="270" max="272" width="8.88671875" style="625" customWidth="1"/>
    <col min="273" max="275" width="0" style="625" hidden="1" customWidth="1"/>
    <col min="276" max="276" width="8.88671875" style="625" customWidth="1"/>
    <col min="277" max="277" width="10.33203125" style="625" customWidth="1"/>
    <col min="278" max="278" width="9.44140625" style="625" customWidth="1"/>
    <col min="279" max="279" width="8.88671875" style="625" customWidth="1"/>
    <col min="280" max="283" width="0" style="625" hidden="1" customWidth="1"/>
    <col min="284" max="284" width="8.6640625" style="625" customWidth="1"/>
    <col min="285" max="285" width="9.88671875" style="625" customWidth="1"/>
    <col min="286" max="286" width="8.88671875" style="625" customWidth="1"/>
    <col min="287" max="287" width="8.33203125" style="625" customWidth="1"/>
    <col min="288" max="288" width="0" style="625" hidden="1" customWidth="1"/>
    <col min="289" max="293" width="8.88671875" style="625" customWidth="1"/>
    <col min="294" max="294" width="0" style="625" hidden="1" customWidth="1"/>
    <col min="295" max="296" width="8.88671875" style="625" customWidth="1"/>
    <col min="297" max="408" width="0" style="625" hidden="1" customWidth="1"/>
    <col min="409" max="513" width="8.88671875" style="625"/>
    <col min="514" max="514" width="6.6640625" style="625" customWidth="1"/>
    <col min="515" max="515" width="38" style="625" customWidth="1"/>
    <col min="516" max="516" width="8.33203125" style="625" customWidth="1"/>
    <col min="517" max="517" width="7.33203125" style="625" customWidth="1"/>
    <col min="518" max="521" width="8.88671875" style="625" customWidth="1"/>
    <col min="522" max="522" width="7.5546875" style="625" customWidth="1"/>
    <col min="523" max="523" width="8.44140625" style="625" customWidth="1"/>
    <col min="524" max="524" width="11.44140625" style="625" customWidth="1"/>
    <col min="525" max="525" width="9.5546875" style="625" customWidth="1"/>
    <col min="526" max="528" width="8.88671875" style="625" customWidth="1"/>
    <col min="529" max="531" width="0" style="625" hidden="1" customWidth="1"/>
    <col min="532" max="532" width="8.88671875" style="625" customWidth="1"/>
    <col min="533" max="533" width="10.33203125" style="625" customWidth="1"/>
    <col min="534" max="534" width="9.44140625" style="625" customWidth="1"/>
    <col min="535" max="535" width="8.88671875" style="625" customWidth="1"/>
    <col min="536" max="539" width="0" style="625" hidden="1" customWidth="1"/>
    <col min="540" max="540" width="8.6640625" style="625" customWidth="1"/>
    <col min="541" max="541" width="9.88671875" style="625" customWidth="1"/>
    <col min="542" max="542" width="8.88671875" style="625" customWidth="1"/>
    <col min="543" max="543" width="8.33203125" style="625" customWidth="1"/>
    <col min="544" max="544" width="0" style="625" hidden="1" customWidth="1"/>
    <col min="545" max="549" width="8.88671875" style="625" customWidth="1"/>
    <col min="550" max="550" width="0" style="625" hidden="1" customWidth="1"/>
    <col min="551" max="552" width="8.88671875" style="625" customWidth="1"/>
    <col min="553" max="664" width="0" style="625" hidden="1" customWidth="1"/>
    <col min="665" max="769" width="8.88671875" style="625"/>
    <col min="770" max="770" width="6.6640625" style="625" customWidth="1"/>
    <col min="771" max="771" width="38" style="625" customWidth="1"/>
    <col min="772" max="772" width="8.33203125" style="625" customWidth="1"/>
    <col min="773" max="773" width="7.33203125" style="625" customWidth="1"/>
    <col min="774" max="777" width="8.88671875" style="625" customWidth="1"/>
    <col min="778" max="778" width="7.5546875" style="625" customWidth="1"/>
    <col min="779" max="779" width="8.44140625" style="625" customWidth="1"/>
    <col min="780" max="780" width="11.44140625" style="625" customWidth="1"/>
    <col min="781" max="781" width="9.5546875" style="625" customWidth="1"/>
    <col min="782" max="784" width="8.88671875" style="625" customWidth="1"/>
    <col min="785" max="787" width="0" style="625" hidden="1" customWidth="1"/>
    <col min="788" max="788" width="8.88671875" style="625" customWidth="1"/>
    <col min="789" max="789" width="10.33203125" style="625" customWidth="1"/>
    <col min="790" max="790" width="9.44140625" style="625" customWidth="1"/>
    <col min="791" max="791" width="8.88671875" style="625" customWidth="1"/>
    <col min="792" max="795" width="0" style="625" hidden="1" customWidth="1"/>
    <col min="796" max="796" width="8.6640625" style="625" customWidth="1"/>
    <col min="797" max="797" width="9.88671875" style="625" customWidth="1"/>
    <col min="798" max="798" width="8.88671875" style="625" customWidth="1"/>
    <col min="799" max="799" width="8.33203125" style="625" customWidth="1"/>
    <col min="800" max="800" width="0" style="625" hidden="1" customWidth="1"/>
    <col min="801" max="805" width="8.88671875" style="625" customWidth="1"/>
    <col min="806" max="806" width="0" style="625" hidden="1" customWidth="1"/>
    <col min="807" max="808" width="8.88671875" style="625" customWidth="1"/>
    <col min="809" max="920" width="0" style="625" hidden="1" customWidth="1"/>
    <col min="921" max="1025" width="8.88671875" style="625"/>
    <col min="1026" max="1026" width="6.6640625" style="625" customWidth="1"/>
    <col min="1027" max="1027" width="38" style="625" customWidth="1"/>
    <col min="1028" max="1028" width="8.33203125" style="625" customWidth="1"/>
    <col min="1029" max="1029" width="7.33203125" style="625" customWidth="1"/>
    <col min="1030" max="1033" width="8.88671875" style="625" customWidth="1"/>
    <col min="1034" max="1034" width="7.5546875" style="625" customWidth="1"/>
    <col min="1035" max="1035" width="8.44140625" style="625" customWidth="1"/>
    <col min="1036" max="1036" width="11.44140625" style="625" customWidth="1"/>
    <col min="1037" max="1037" width="9.5546875" style="625" customWidth="1"/>
    <col min="1038" max="1040" width="8.88671875" style="625" customWidth="1"/>
    <col min="1041" max="1043" width="0" style="625" hidden="1" customWidth="1"/>
    <col min="1044" max="1044" width="8.88671875" style="625" customWidth="1"/>
    <col min="1045" max="1045" width="10.33203125" style="625" customWidth="1"/>
    <col min="1046" max="1046" width="9.44140625" style="625" customWidth="1"/>
    <col min="1047" max="1047" width="8.88671875" style="625" customWidth="1"/>
    <col min="1048" max="1051" width="0" style="625" hidden="1" customWidth="1"/>
    <col min="1052" max="1052" width="8.6640625" style="625" customWidth="1"/>
    <col min="1053" max="1053" width="9.88671875" style="625" customWidth="1"/>
    <col min="1054" max="1054" width="8.88671875" style="625" customWidth="1"/>
    <col min="1055" max="1055" width="8.33203125" style="625" customWidth="1"/>
    <col min="1056" max="1056" width="0" style="625" hidden="1" customWidth="1"/>
    <col min="1057" max="1061" width="8.88671875" style="625" customWidth="1"/>
    <col min="1062" max="1062" width="0" style="625" hidden="1" customWidth="1"/>
    <col min="1063" max="1064" width="8.88671875" style="625" customWidth="1"/>
    <col min="1065" max="1176" width="0" style="625" hidden="1" customWidth="1"/>
    <col min="1177" max="1281" width="8.88671875" style="625"/>
    <col min="1282" max="1282" width="6.6640625" style="625" customWidth="1"/>
    <col min="1283" max="1283" width="38" style="625" customWidth="1"/>
    <col min="1284" max="1284" width="8.33203125" style="625" customWidth="1"/>
    <col min="1285" max="1285" width="7.33203125" style="625" customWidth="1"/>
    <col min="1286" max="1289" width="8.88671875" style="625" customWidth="1"/>
    <col min="1290" max="1290" width="7.5546875" style="625" customWidth="1"/>
    <col min="1291" max="1291" width="8.44140625" style="625" customWidth="1"/>
    <col min="1292" max="1292" width="11.44140625" style="625" customWidth="1"/>
    <col min="1293" max="1293" width="9.5546875" style="625" customWidth="1"/>
    <col min="1294" max="1296" width="8.88671875" style="625" customWidth="1"/>
    <col min="1297" max="1299" width="0" style="625" hidden="1" customWidth="1"/>
    <col min="1300" max="1300" width="8.88671875" style="625" customWidth="1"/>
    <col min="1301" max="1301" width="10.33203125" style="625" customWidth="1"/>
    <col min="1302" max="1302" width="9.44140625" style="625" customWidth="1"/>
    <col min="1303" max="1303" width="8.88671875" style="625" customWidth="1"/>
    <col min="1304" max="1307" width="0" style="625" hidden="1" customWidth="1"/>
    <col min="1308" max="1308" width="8.6640625" style="625" customWidth="1"/>
    <col min="1309" max="1309" width="9.88671875" style="625" customWidth="1"/>
    <col min="1310" max="1310" width="8.88671875" style="625" customWidth="1"/>
    <col min="1311" max="1311" width="8.33203125" style="625" customWidth="1"/>
    <col min="1312" max="1312" width="0" style="625" hidden="1" customWidth="1"/>
    <col min="1313" max="1317" width="8.88671875" style="625" customWidth="1"/>
    <col min="1318" max="1318" width="0" style="625" hidden="1" customWidth="1"/>
    <col min="1319" max="1320" width="8.88671875" style="625" customWidth="1"/>
    <col min="1321" max="1432" width="0" style="625" hidden="1" customWidth="1"/>
    <col min="1433" max="1537" width="8.88671875" style="625"/>
    <col min="1538" max="1538" width="6.6640625" style="625" customWidth="1"/>
    <col min="1539" max="1539" width="38" style="625" customWidth="1"/>
    <col min="1540" max="1540" width="8.33203125" style="625" customWidth="1"/>
    <col min="1541" max="1541" width="7.33203125" style="625" customWidth="1"/>
    <col min="1542" max="1545" width="8.88671875" style="625" customWidth="1"/>
    <col min="1546" max="1546" width="7.5546875" style="625" customWidth="1"/>
    <col min="1547" max="1547" width="8.44140625" style="625" customWidth="1"/>
    <col min="1548" max="1548" width="11.44140625" style="625" customWidth="1"/>
    <col min="1549" max="1549" width="9.5546875" style="625" customWidth="1"/>
    <col min="1550" max="1552" width="8.88671875" style="625" customWidth="1"/>
    <col min="1553" max="1555" width="0" style="625" hidden="1" customWidth="1"/>
    <col min="1556" max="1556" width="8.88671875" style="625" customWidth="1"/>
    <col min="1557" max="1557" width="10.33203125" style="625" customWidth="1"/>
    <col min="1558" max="1558" width="9.44140625" style="625" customWidth="1"/>
    <col min="1559" max="1559" width="8.88671875" style="625" customWidth="1"/>
    <col min="1560" max="1563" width="0" style="625" hidden="1" customWidth="1"/>
    <col min="1564" max="1564" width="8.6640625" style="625" customWidth="1"/>
    <col min="1565" max="1565" width="9.88671875" style="625" customWidth="1"/>
    <col min="1566" max="1566" width="8.88671875" style="625" customWidth="1"/>
    <col min="1567" max="1567" width="8.33203125" style="625" customWidth="1"/>
    <col min="1568" max="1568" width="0" style="625" hidden="1" customWidth="1"/>
    <col min="1569" max="1573" width="8.88671875" style="625" customWidth="1"/>
    <col min="1574" max="1574" width="0" style="625" hidden="1" customWidth="1"/>
    <col min="1575" max="1576" width="8.88671875" style="625" customWidth="1"/>
    <col min="1577" max="1688" width="0" style="625" hidden="1" customWidth="1"/>
    <col min="1689" max="1793" width="8.88671875" style="625"/>
    <col min="1794" max="1794" width="6.6640625" style="625" customWidth="1"/>
    <col min="1795" max="1795" width="38" style="625" customWidth="1"/>
    <col min="1796" max="1796" width="8.33203125" style="625" customWidth="1"/>
    <col min="1797" max="1797" width="7.33203125" style="625" customWidth="1"/>
    <col min="1798" max="1801" width="8.88671875" style="625" customWidth="1"/>
    <col min="1802" max="1802" width="7.5546875" style="625" customWidth="1"/>
    <col min="1803" max="1803" width="8.44140625" style="625" customWidth="1"/>
    <col min="1804" max="1804" width="11.44140625" style="625" customWidth="1"/>
    <col min="1805" max="1805" width="9.5546875" style="625" customWidth="1"/>
    <col min="1806" max="1808" width="8.88671875" style="625" customWidth="1"/>
    <col min="1809" max="1811" width="0" style="625" hidden="1" customWidth="1"/>
    <col min="1812" max="1812" width="8.88671875" style="625" customWidth="1"/>
    <col min="1813" max="1813" width="10.33203125" style="625" customWidth="1"/>
    <col min="1814" max="1814" width="9.44140625" style="625" customWidth="1"/>
    <col min="1815" max="1815" width="8.88671875" style="625" customWidth="1"/>
    <col min="1816" max="1819" width="0" style="625" hidden="1" customWidth="1"/>
    <col min="1820" max="1820" width="8.6640625" style="625" customWidth="1"/>
    <col min="1821" max="1821" width="9.88671875" style="625" customWidth="1"/>
    <col min="1822" max="1822" width="8.88671875" style="625" customWidth="1"/>
    <col min="1823" max="1823" width="8.33203125" style="625" customWidth="1"/>
    <col min="1824" max="1824" width="0" style="625" hidden="1" customWidth="1"/>
    <col min="1825" max="1829" width="8.88671875" style="625" customWidth="1"/>
    <col min="1830" max="1830" width="0" style="625" hidden="1" customWidth="1"/>
    <col min="1831" max="1832" width="8.88671875" style="625" customWidth="1"/>
    <col min="1833" max="1944" width="0" style="625" hidden="1" customWidth="1"/>
    <col min="1945" max="2049" width="8.88671875" style="625"/>
    <col min="2050" max="2050" width="6.6640625" style="625" customWidth="1"/>
    <col min="2051" max="2051" width="38" style="625" customWidth="1"/>
    <col min="2052" max="2052" width="8.33203125" style="625" customWidth="1"/>
    <col min="2053" max="2053" width="7.33203125" style="625" customWidth="1"/>
    <col min="2054" max="2057" width="8.88671875" style="625" customWidth="1"/>
    <col min="2058" max="2058" width="7.5546875" style="625" customWidth="1"/>
    <col min="2059" max="2059" width="8.44140625" style="625" customWidth="1"/>
    <col min="2060" max="2060" width="11.44140625" style="625" customWidth="1"/>
    <col min="2061" max="2061" width="9.5546875" style="625" customWidth="1"/>
    <col min="2062" max="2064" width="8.88671875" style="625" customWidth="1"/>
    <col min="2065" max="2067" width="0" style="625" hidden="1" customWidth="1"/>
    <col min="2068" max="2068" width="8.88671875" style="625" customWidth="1"/>
    <col min="2069" max="2069" width="10.33203125" style="625" customWidth="1"/>
    <col min="2070" max="2070" width="9.44140625" style="625" customWidth="1"/>
    <col min="2071" max="2071" width="8.88671875" style="625" customWidth="1"/>
    <col min="2072" max="2075" width="0" style="625" hidden="1" customWidth="1"/>
    <col min="2076" max="2076" width="8.6640625" style="625" customWidth="1"/>
    <col min="2077" max="2077" width="9.88671875" style="625" customWidth="1"/>
    <col min="2078" max="2078" width="8.88671875" style="625" customWidth="1"/>
    <col min="2079" max="2079" width="8.33203125" style="625" customWidth="1"/>
    <col min="2080" max="2080" width="0" style="625" hidden="1" customWidth="1"/>
    <col min="2081" max="2085" width="8.88671875" style="625" customWidth="1"/>
    <col min="2086" max="2086" width="0" style="625" hidden="1" customWidth="1"/>
    <col min="2087" max="2088" width="8.88671875" style="625" customWidth="1"/>
    <col min="2089" max="2200" width="0" style="625" hidden="1" customWidth="1"/>
    <col min="2201" max="2305" width="8.88671875" style="625"/>
    <col min="2306" max="2306" width="6.6640625" style="625" customWidth="1"/>
    <col min="2307" max="2307" width="38" style="625" customWidth="1"/>
    <col min="2308" max="2308" width="8.33203125" style="625" customWidth="1"/>
    <col min="2309" max="2309" width="7.33203125" style="625" customWidth="1"/>
    <col min="2310" max="2313" width="8.88671875" style="625" customWidth="1"/>
    <col min="2314" max="2314" width="7.5546875" style="625" customWidth="1"/>
    <col min="2315" max="2315" width="8.44140625" style="625" customWidth="1"/>
    <col min="2316" max="2316" width="11.44140625" style="625" customWidth="1"/>
    <col min="2317" max="2317" width="9.5546875" style="625" customWidth="1"/>
    <col min="2318" max="2320" width="8.88671875" style="625" customWidth="1"/>
    <col min="2321" max="2323" width="0" style="625" hidden="1" customWidth="1"/>
    <col min="2324" max="2324" width="8.88671875" style="625" customWidth="1"/>
    <col min="2325" max="2325" width="10.33203125" style="625" customWidth="1"/>
    <col min="2326" max="2326" width="9.44140625" style="625" customWidth="1"/>
    <col min="2327" max="2327" width="8.88671875" style="625" customWidth="1"/>
    <col min="2328" max="2331" width="0" style="625" hidden="1" customWidth="1"/>
    <col min="2332" max="2332" width="8.6640625" style="625" customWidth="1"/>
    <col min="2333" max="2333" width="9.88671875" style="625" customWidth="1"/>
    <col min="2334" max="2334" width="8.88671875" style="625" customWidth="1"/>
    <col min="2335" max="2335" width="8.33203125" style="625" customWidth="1"/>
    <col min="2336" max="2336" width="0" style="625" hidden="1" customWidth="1"/>
    <col min="2337" max="2341" width="8.88671875" style="625" customWidth="1"/>
    <col min="2342" max="2342" width="0" style="625" hidden="1" customWidth="1"/>
    <col min="2343" max="2344" width="8.88671875" style="625" customWidth="1"/>
    <col min="2345" max="2456" width="0" style="625" hidden="1" customWidth="1"/>
    <col min="2457" max="2561" width="8.88671875" style="625"/>
    <col min="2562" max="2562" width="6.6640625" style="625" customWidth="1"/>
    <col min="2563" max="2563" width="38" style="625" customWidth="1"/>
    <col min="2564" max="2564" width="8.33203125" style="625" customWidth="1"/>
    <col min="2565" max="2565" width="7.33203125" style="625" customWidth="1"/>
    <col min="2566" max="2569" width="8.88671875" style="625" customWidth="1"/>
    <col min="2570" max="2570" width="7.5546875" style="625" customWidth="1"/>
    <col min="2571" max="2571" width="8.44140625" style="625" customWidth="1"/>
    <col min="2572" max="2572" width="11.44140625" style="625" customWidth="1"/>
    <col min="2573" max="2573" width="9.5546875" style="625" customWidth="1"/>
    <col min="2574" max="2576" width="8.88671875" style="625" customWidth="1"/>
    <col min="2577" max="2579" width="0" style="625" hidden="1" customWidth="1"/>
    <col min="2580" max="2580" width="8.88671875" style="625" customWidth="1"/>
    <col min="2581" max="2581" width="10.33203125" style="625" customWidth="1"/>
    <col min="2582" max="2582" width="9.44140625" style="625" customWidth="1"/>
    <col min="2583" max="2583" width="8.88671875" style="625" customWidth="1"/>
    <col min="2584" max="2587" width="0" style="625" hidden="1" customWidth="1"/>
    <col min="2588" max="2588" width="8.6640625" style="625" customWidth="1"/>
    <col min="2589" max="2589" width="9.88671875" style="625" customWidth="1"/>
    <col min="2590" max="2590" width="8.88671875" style="625" customWidth="1"/>
    <col min="2591" max="2591" width="8.33203125" style="625" customWidth="1"/>
    <col min="2592" max="2592" width="0" style="625" hidden="1" customWidth="1"/>
    <col min="2593" max="2597" width="8.88671875" style="625" customWidth="1"/>
    <col min="2598" max="2598" width="0" style="625" hidden="1" customWidth="1"/>
    <col min="2599" max="2600" width="8.88671875" style="625" customWidth="1"/>
    <col min="2601" max="2712" width="0" style="625" hidden="1" customWidth="1"/>
    <col min="2713" max="2817" width="8.88671875" style="625"/>
    <col min="2818" max="2818" width="6.6640625" style="625" customWidth="1"/>
    <col min="2819" max="2819" width="38" style="625" customWidth="1"/>
    <col min="2820" max="2820" width="8.33203125" style="625" customWidth="1"/>
    <col min="2821" max="2821" width="7.33203125" style="625" customWidth="1"/>
    <col min="2822" max="2825" width="8.88671875" style="625" customWidth="1"/>
    <col min="2826" max="2826" width="7.5546875" style="625" customWidth="1"/>
    <col min="2827" max="2827" width="8.44140625" style="625" customWidth="1"/>
    <col min="2828" max="2828" width="11.44140625" style="625" customWidth="1"/>
    <col min="2829" max="2829" width="9.5546875" style="625" customWidth="1"/>
    <col min="2830" max="2832" width="8.88671875" style="625" customWidth="1"/>
    <col min="2833" max="2835" width="0" style="625" hidden="1" customWidth="1"/>
    <col min="2836" max="2836" width="8.88671875" style="625" customWidth="1"/>
    <col min="2837" max="2837" width="10.33203125" style="625" customWidth="1"/>
    <col min="2838" max="2838" width="9.44140625" style="625" customWidth="1"/>
    <col min="2839" max="2839" width="8.88671875" style="625" customWidth="1"/>
    <col min="2840" max="2843" width="0" style="625" hidden="1" customWidth="1"/>
    <col min="2844" max="2844" width="8.6640625" style="625" customWidth="1"/>
    <col min="2845" max="2845" width="9.88671875" style="625" customWidth="1"/>
    <col min="2846" max="2846" width="8.88671875" style="625" customWidth="1"/>
    <col min="2847" max="2847" width="8.33203125" style="625" customWidth="1"/>
    <col min="2848" max="2848" width="0" style="625" hidden="1" customWidth="1"/>
    <col min="2849" max="2853" width="8.88671875" style="625" customWidth="1"/>
    <col min="2854" max="2854" width="0" style="625" hidden="1" customWidth="1"/>
    <col min="2855" max="2856" width="8.88671875" style="625" customWidth="1"/>
    <col min="2857" max="2968" width="0" style="625" hidden="1" customWidth="1"/>
    <col min="2969" max="3073" width="8.88671875" style="625"/>
    <col min="3074" max="3074" width="6.6640625" style="625" customWidth="1"/>
    <col min="3075" max="3075" width="38" style="625" customWidth="1"/>
    <col min="3076" max="3076" width="8.33203125" style="625" customWidth="1"/>
    <col min="3077" max="3077" width="7.33203125" style="625" customWidth="1"/>
    <col min="3078" max="3081" width="8.88671875" style="625" customWidth="1"/>
    <col min="3082" max="3082" width="7.5546875" style="625" customWidth="1"/>
    <col min="3083" max="3083" width="8.44140625" style="625" customWidth="1"/>
    <col min="3084" max="3084" width="11.44140625" style="625" customWidth="1"/>
    <col min="3085" max="3085" width="9.5546875" style="625" customWidth="1"/>
    <col min="3086" max="3088" width="8.88671875" style="625" customWidth="1"/>
    <col min="3089" max="3091" width="0" style="625" hidden="1" customWidth="1"/>
    <col min="3092" max="3092" width="8.88671875" style="625" customWidth="1"/>
    <col min="3093" max="3093" width="10.33203125" style="625" customWidth="1"/>
    <col min="3094" max="3094" width="9.44140625" style="625" customWidth="1"/>
    <col min="3095" max="3095" width="8.88671875" style="625" customWidth="1"/>
    <col min="3096" max="3099" width="0" style="625" hidden="1" customWidth="1"/>
    <col min="3100" max="3100" width="8.6640625" style="625" customWidth="1"/>
    <col min="3101" max="3101" width="9.88671875" style="625" customWidth="1"/>
    <col min="3102" max="3102" width="8.88671875" style="625" customWidth="1"/>
    <col min="3103" max="3103" width="8.33203125" style="625" customWidth="1"/>
    <col min="3104" max="3104" width="0" style="625" hidden="1" customWidth="1"/>
    <col min="3105" max="3109" width="8.88671875" style="625" customWidth="1"/>
    <col min="3110" max="3110" width="0" style="625" hidden="1" customWidth="1"/>
    <col min="3111" max="3112" width="8.88671875" style="625" customWidth="1"/>
    <col min="3113" max="3224" width="0" style="625" hidden="1" customWidth="1"/>
    <col min="3225" max="3329" width="8.88671875" style="625"/>
    <col min="3330" max="3330" width="6.6640625" style="625" customWidth="1"/>
    <col min="3331" max="3331" width="38" style="625" customWidth="1"/>
    <col min="3332" max="3332" width="8.33203125" style="625" customWidth="1"/>
    <col min="3333" max="3333" width="7.33203125" style="625" customWidth="1"/>
    <col min="3334" max="3337" width="8.88671875" style="625" customWidth="1"/>
    <col min="3338" max="3338" width="7.5546875" style="625" customWidth="1"/>
    <col min="3339" max="3339" width="8.44140625" style="625" customWidth="1"/>
    <col min="3340" max="3340" width="11.44140625" style="625" customWidth="1"/>
    <col min="3341" max="3341" width="9.5546875" style="625" customWidth="1"/>
    <col min="3342" max="3344" width="8.88671875" style="625" customWidth="1"/>
    <col min="3345" max="3347" width="0" style="625" hidden="1" customWidth="1"/>
    <col min="3348" max="3348" width="8.88671875" style="625" customWidth="1"/>
    <col min="3349" max="3349" width="10.33203125" style="625" customWidth="1"/>
    <col min="3350" max="3350" width="9.44140625" style="625" customWidth="1"/>
    <col min="3351" max="3351" width="8.88671875" style="625" customWidth="1"/>
    <col min="3352" max="3355" width="0" style="625" hidden="1" customWidth="1"/>
    <col min="3356" max="3356" width="8.6640625" style="625" customWidth="1"/>
    <col min="3357" max="3357" width="9.88671875" style="625" customWidth="1"/>
    <col min="3358" max="3358" width="8.88671875" style="625" customWidth="1"/>
    <col min="3359" max="3359" width="8.33203125" style="625" customWidth="1"/>
    <col min="3360" max="3360" width="0" style="625" hidden="1" customWidth="1"/>
    <col min="3361" max="3365" width="8.88671875" style="625" customWidth="1"/>
    <col min="3366" max="3366" width="0" style="625" hidden="1" customWidth="1"/>
    <col min="3367" max="3368" width="8.88671875" style="625" customWidth="1"/>
    <col min="3369" max="3480" width="0" style="625" hidden="1" customWidth="1"/>
    <col min="3481" max="3585" width="8.88671875" style="625"/>
    <col min="3586" max="3586" width="6.6640625" style="625" customWidth="1"/>
    <col min="3587" max="3587" width="38" style="625" customWidth="1"/>
    <col min="3588" max="3588" width="8.33203125" style="625" customWidth="1"/>
    <col min="3589" max="3589" width="7.33203125" style="625" customWidth="1"/>
    <col min="3590" max="3593" width="8.88671875" style="625" customWidth="1"/>
    <col min="3594" max="3594" width="7.5546875" style="625" customWidth="1"/>
    <col min="3595" max="3595" width="8.44140625" style="625" customWidth="1"/>
    <col min="3596" max="3596" width="11.44140625" style="625" customWidth="1"/>
    <col min="3597" max="3597" width="9.5546875" style="625" customWidth="1"/>
    <col min="3598" max="3600" width="8.88671875" style="625" customWidth="1"/>
    <col min="3601" max="3603" width="0" style="625" hidden="1" customWidth="1"/>
    <col min="3604" max="3604" width="8.88671875" style="625" customWidth="1"/>
    <col min="3605" max="3605" width="10.33203125" style="625" customWidth="1"/>
    <col min="3606" max="3606" width="9.44140625" style="625" customWidth="1"/>
    <col min="3607" max="3607" width="8.88671875" style="625" customWidth="1"/>
    <col min="3608" max="3611" width="0" style="625" hidden="1" customWidth="1"/>
    <col min="3612" max="3612" width="8.6640625" style="625" customWidth="1"/>
    <col min="3613" max="3613" width="9.88671875" style="625" customWidth="1"/>
    <col min="3614" max="3614" width="8.88671875" style="625" customWidth="1"/>
    <col min="3615" max="3615" width="8.33203125" style="625" customWidth="1"/>
    <col min="3616" max="3616" width="0" style="625" hidden="1" customWidth="1"/>
    <col min="3617" max="3621" width="8.88671875" style="625" customWidth="1"/>
    <col min="3622" max="3622" width="0" style="625" hidden="1" customWidth="1"/>
    <col min="3623" max="3624" width="8.88671875" style="625" customWidth="1"/>
    <col min="3625" max="3736" width="0" style="625" hidden="1" customWidth="1"/>
    <col min="3737" max="3841" width="8.88671875" style="625"/>
    <col min="3842" max="3842" width="6.6640625" style="625" customWidth="1"/>
    <col min="3843" max="3843" width="38" style="625" customWidth="1"/>
    <col min="3844" max="3844" width="8.33203125" style="625" customWidth="1"/>
    <col min="3845" max="3845" width="7.33203125" style="625" customWidth="1"/>
    <col min="3846" max="3849" width="8.88671875" style="625" customWidth="1"/>
    <col min="3850" max="3850" width="7.5546875" style="625" customWidth="1"/>
    <col min="3851" max="3851" width="8.44140625" style="625" customWidth="1"/>
    <col min="3852" max="3852" width="11.44140625" style="625" customWidth="1"/>
    <col min="3853" max="3853" width="9.5546875" style="625" customWidth="1"/>
    <col min="3854" max="3856" width="8.88671875" style="625" customWidth="1"/>
    <col min="3857" max="3859" width="0" style="625" hidden="1" customWidth="1"/>
    <col min="3860" max="3860" width="8.88671875" style="625" customWidth="1"/>
    <col min="3861" max="3861" width="10.33203125" style="625" customWidth="1"/>
    <col min="3862" max="3862" width="9.44140625" style="625" customWidth="1"/>
    <col min="3863" max="3863" width="8.88671875" style="625" customWidth="1"/>
    <col min="3864" max="3867" width="0" style="625" hidden="1" customWidth="1"/>
    <col min="3868" max="3868" width="8.6640625" style="625" customWidth="1"/>
    <col min="3869" max="3869" width="9.88671875" style="625" customWidth="1"/>
    <col min="3870" max="3870" width="8.88671875" style="625" customWidth="1"/>
    <col min="3871" max="3871" width="8.33203125" style="625" customWidth="1"/>
    <col min="3872" max="3872" width="0" style="625" hidden="1" customWidth="1"/>
    <col min="3873" max="3877" width="8.88671875" style="625" customWidth="1"/>
    <col min="3878" max="3878" width="0" style="625" hidden="1" customWidth="1"/>
    <col min="3879" max="3880" width="8.88671875" style="625" customWidth="1"/>
    <col min="3881" max="3992" width="0" style="625" hidden="1" customWidth="1"/>
    <col min="3993" max="4097" width="8.88671875" style="625"/>
    <col min="4098" max="4098" width="6.6640625" style="625" customWidth="1"/>
    <col min="4099" max="4099" width="38" style="625" customWidth="1"/>
    <col min="4100" max="4100" width="8.33203125" style="625" customWidth="1"/>
    <col min="4101" max="4101" width="7.33203125" style="625" customWidth="1"/>
    <col min="4102" max="4105" width="8.88671875" style="625" customWidth="1"/>
    <col min="4106" max="4106" width="7.5546875" style="625" customWidth="1"/>
    <col min="4107" max="4107" width="8.44140625" style="625" customWidth="1"/>
    <col min="4108" max="4108" width="11.44140625" style="625" customWidth="1"/>
    <col min="4109" max="4109" width="9.5546875" style="625" customWidth="1"/>
    <col min="4110" max="4112" width="8.88671875" style="625" customWidth="1"/>
    <col min="4113" max="4115" width="0" style="625" hidden="1" customWidth="1"/>
    <col min="4116" max="4116" width="8.88671875" style="625" customWidth="1"/>
    <col min="4117" max="4117" width="10.33203125" style="625" customWidth="1"/>
    <col min="4118" max="4118" width="9.44140625" style="625" customWidth="1"/>
    <col min="4119" max="4119" width="8.88671875" style="625" customWidth="1"/>
    <col min="4120" max="4123" width="0" style="625" hidden="1" customWidth="1"/>
    <col min="4124" max="4124" width="8.6640625" style="625" customWidth="1"/>
    <col min="4125" max="4125" width="9.88671875" style="625" customWidth="1"/>
    <col min="4126" max="4126" width="8.88671875" style="625" customWidth="1"/>
    <col min="4127" max="4127" width="8.33203125" style="625" customWidth="1"/>
    <col min="4128" max="4128" width="0" style="625" hidden="1" customWidth="1"/>
    <col min="4129" max="4133" width="8.88671875" style="625" customWidth="1"/>
    <col min="4134" max="4134" width="0" style="625" hidden="1" customWidth="1"/>
    <col min="4135" max="4136" width="8.88671875" style="625" customWidth="1"/>
    <col min="4137" max="4248" width="0" style="625" hidden="1" customWidth="1"/>
    <col min="4249" max="4353" width="8.88671875" style="625"/>
    <col min="4354" max="4354" width="6.6640625" style="625" customWidth="1"/>
    <col min="4355" max="4355" width="38" style="625" customWidth="1"/>
    <col min="4356" max="4356" width="8.33203125" style="625" customWidth="1"/>
    <col min="4357" max="4357" width="7.33203125" style="625" customWidth="1"/>
    <col min="4358" max="4361" width="8.88671875" style="625" customWidth="1"/>
    <col min="4362" max="4362" width="7.5546875" style="625" customWidth="1"/>
    <col min="4363" max="4363" width="8.44140625" style="625" customWidth="1"/>
    <col min="4364" max="4364" width="11.44140625" style="625" customWidth="1"/>
    <col min="4365" max="4365" width="9.5546875" style="625" customWidth="1"/>
    <col min="4366" max="4368" width="8.88671875" style="625" customWidth="1"/>
    <col min="4369" max="4371" width="0" style="625" hidden="1" customWidth="1"/>
    <col min="4372" max="4372" width="8.88671875" style="625" customWidth="1"/>
    <col min="4373" max="4373" width="10.33203125" style="625" customWidth="1"/>
    <col min="4374" max="4374" width="9.44140625" style="625" customWidth="1"/>
    <col min="4375" max="4375" width="8.88671875" style="625" customWidth="1"/>
    <col min="4376" max="4379" width="0" style="625" hidden="1" customWidth="1"/>
    <col min="4380" max="4380" width="8.6640625" style="625" customWidth="1"/>
    <col min="4381" max="4381" width="9.88671875" style="625" customWidth="1"/>
    <col min="4382" max="4382" width="8.88671875" style="625" customWidth="1"/>
    <col min="4383" max="4383" width="8.33203125" style="625" customWidth="1"/>
    <col min="4384" max="4384" width="0" style="625" hidden="1" customWidth="1"/>
    <col min="4385" max="4389" width="8.88671875" style="625" customWidth="1"/>
    <col min="4390" max="4390" width="0" style="625" hidden="1" customWidth="1"/>
    <col min="4391" max="4392" width="8.88671875" style="625" customWidth="1"/>
    <col min="4393" max="4504" width="0" style="625" hidden="1" customWidth="1"/>
    <col min="4505" max="4609" width="8.88671875" style="625"/>
    <col min="4610" max="4610" width="6.6640625" style="625" customWidth="1"/>
    <col min="4611" max="4611" width="38" style="625" customWidth="1"/>
    <col min="4612" max="4612" width="8.33203125" style="625" customWidth="1"/>
    <col min="4613" max="4613" width="7.33203125" style="625" customWidth="1"/>
    <col min="4614" max="4617" width="8.88671875" style="625" customWidth="1"/>
    <col min="4618" max="4618" width="7.5546875" style="625" customWidth="1"/>
    <col min="4619" max="4619" width="8.44140625" style="625" customWidth="1"/>
    <col min="4620" max="4620" width="11.44140625" style="625" customWidth="1"/>
    <col min="4621" max="4621" width="9.5546875" style="625" customWidth="1"/>
    <col min="4622" max="4624" width="8.88671875" style="625" customWidth="1"/>
    <col min="4625" max="4627" width="0" style="625" hidden="1" customWidth="1"/>
    <col min="4628" max="4628" width="8.88671875" style="625" customWidth="1"/>
    <col min="4629" max="4629" width="10.33203125" style="625" customWidth="1"/>
    <col min="4630" max="4630" width="9.44140625" style="625" customWidth="1"/>
    <col min="4631" max="4631" width="8.88671875" style="625" customWidth="1"/>
    <col min="4632" max="4635" width="0" style="625" hidden="1" customWidth="1"/>
    <col min="4636" max="4636" width="8.6640625" style="625" customWidth="1"/>
    <col min="4637" max="4637" width="9.88671875" style="625" customWidth="1"/>
    <col min="4638" max="4638" width="8.88671875" style="625" customWidth="1"/>
    <col min="4639" max="4639" width="8.33203125" style="625" customWidth="1"/>
    <col min="4640" max="4640" width="0" style="625" hidden="1" customWidth="1"/>
    <col min="4641" max="4645" width="8.88671875" style="625" customWidth="1"/>
    <col min="4646" max="4646" width="0" style="625" hidden="1" customWidth="1"/>
    <col min="4647" max="4648" width="8.88671875" style="625" customWidth="1"/>
    <col min="4649" max="4760" width="0" style="625" hidden="1" customWidth="1"/>
    <col min="4761" max="4865" width="8.88671875" style="625"/>
    <col min="4866" max="4866" width="6.6640625" style="625" customWidth="1"/>
    <col min="4867" max="4867" width="38" style="625" customWidth="1"/>
    <col min="4868" max="4868" width="8.33203125" style="625" customWidth="1"/>
    <col min="4869" max="4869" width="7.33203125" style="625" customWidth="1"/>
    <col min="4870" max="4873" width="8.88671875" style="625" customWidth="1"/>
    <col min="4874" max="4874" width="7.5546875" style="625" customWidth="1"/>
    <col min="4875" max="4875" width="8.44140625" style="625" customWidth="1"/>
    <col min="4876" max="4876" width="11.44140625" style="625" customWidth="1"/>
    <col min="4877" max="4877" width="9.5546875" style="625" customWidth="1"/>
    <col min="4878" max="4880" width="8.88671875" style="625" customWidth="1"/>
    <col min="4881" max="4883" width="0" style="625" hidden="1" customWidth="1"/>
    <col min="4884" max="4884" width="8.88671875" style="625" customWidth="1"/>
    <col min="4885" max="4885" width="10.33203125" style="625" customWidth="1"/>
    <col min="4886" max="4886" width="9.44140625" style="625" customWidth="1"/>
    <col min="4887" max="4887" width="8.88671875" style="625" customWidth="1"/>
    <col min="4888" max="4891" width="0" style="625" hidden="1" customWidth="1"/>
    <col min="4892" max="4892" width="8.6640625" style="625" customWidth="1"/>
    <col min="4893" max="4893" width="9.88671875" style="625" customWidth="1"/>
    <col min="4894" max="4894" width="8.88671875" style="625" customWidth="1"/>
    <col min="4895" max="4895" width="8.33203125" style="625" customWidth="1"/>
    <col min="4896" max="4896" width="0" style="625" hidden="1" customWidth="1"/>
    <col min="4897" max="4901" width="8.88671875" style="625" customWidth="1"/>
    <col min="4902" max="4902" width="0" style="625" hidden="1" customWidth="1"/>
    <col min="4903" max="4904" width="8.88671875" style="625" customWidth="1"/>
    <col min="4905" max="5016" width="0" style="625" hidden="1" customWidth="1"/>
    <col min="5017" max="5121" width="8.88671875" style="625"/>
    <col min="5122" max="5122" width="6.6640625" style="625" customWidth="1"/>
    <col min="5123" max="5123" width="38" style="625" customWidth="1"/>
    <col min="5124" max="5124" width="8.33203125" style="625" customWidth="1"/>
    <col min="5125" max="5125" width="7.33203125" style="625" customWidth="1"/>
    <col min="5126" max="5129" width="8.88671875" style="625" customWidth="1"/>
    <col min="5130" max="5130" width="7.5546875" style="625" customWidth="1"/>
    <col min="5131" max="5131" width="8.44140625" style="625" customWidth="1"/>
    <col min="5132" max="5132" width="11.44140625" style="625" customWidth="1"/>
    <col min="5133" max="5133" width="9.5546875" style="625" customWidth="1"/>
    <col min="5134" max="5136" width="8.88671875" style="625" customWidth="1"/>
    <col min="5137" max="5139" width="0" style="625" hidden="1" customWidth="1"/>
    <col min="5140" max="5140" width="8.88671875" style="625" customWidth="1"/>
    <col min="5141" max="5141" width="10.33203125" style="625" customWidth="1"/>
    <col min="5142" max="5142" width="9.44140625" style="625" customWidth="1"/>
    <col min="5143" max="5143" width="8.88671875" style="625" customWidth="1"/>
    <col min="5144" max="5147" width="0" style="625" hidden="1" customWidth="1"/>
    <col min="5148" max="5148" width="8.6640625" style="625" customWidth="1"/>
    <col min="5149" max="5149" width="9.88671875" style="625" customWidth="1"/>
    <col min="5150" max="5150" width="8.88671875" style="625" customWidth="1"/>
    <col min="5151" max="5151" width="8.33203125" style="625" customWidth="1"/>
    <col min="5152" max="5152" width="0" style="625" hidden="1" customWidth="1"/>
    <col min="5153" max="5157" width="8.88671875" style="625" customWidth="1"/>
    <col min="5158" max="5158" width="0" style="625" hidden="1" customWidth="1"/>
    <col min="5159" max="5160" width="8.88671875" style="625" customWidth="1"/>
    <col min="5161" max="5272" width="0" style="625" hidden="1" customWidth="1"/>
    <col min="5273" max="5377" width="8.88671875" style="625"/>
    <col min="5378" max="5378" width="6.6640625" style="625" customWidth="1"/>
    <col min="5379" max="5379" width="38" style="625" customWidth="1"/>
    <col min="5380" max="5380" width="8.33203125" style="625" customWidth="1"/>
    <col min="5381" max="5381" width="7.33203125" style="625" customWidth="1"/>
    <col min="5382" max="5385" width="8.88671875" style="625" customWidth="1"/>
    <col min="5386" max="5386" width="7.5546875" style="625" customWidth="1"/>
    <col min="5387" max="5387" width="8.44140625" style="625" customWidth="1"/>
    <col min="5388" max="5388" width="11.44140625" style="625" customWidth="1"/>
    <col min="5389" max="5389" width="9.5546875" style="625" customWidth="1"/>
    <col min="5390" max="5392" width="8.88671875" style="625" customWidth="1"/>
    <col min="5393" max="5395" width="0" style="625" hidden="1" customWidth="1"/>
    <col min="5396" max="5396" width="8.88671875" style="625" customWidth="1"/>
    <col min="5397" max="5397" width="10.33203125" style="625" customWidth="1"/>
    <col min="5398" max="5398" width="9.44140625" style="625" customWidth="1"/>
    <col min="5399" max="5399" width="8.88671875" style="625" customWidth="1"/>
    <col min="5400" max="5403" width="0" style="625" hidden="1" customWidth="1"/>
    <col min="5404" max="5404" width="8.6640625" style="625" customWidth="1"/>
    <col min="5405" max="5405" width="9.88671875" style="625" customWidth="1"/>
    <col min="5406" max="5406" width="8.88671875" style="625" customWidth="1"/>
    <col min="5407" max="5407" width="8.33203125" style="625" customWidth="1"/>
    <col min="5408" max="5408" width="0" style="625" hidden="1" customWidth="1"/>
    <col min="5409" max="5413" width="8.88671875" style="625" customWidth="1"/>
    <col min="5414" max="5414" width="0" style="625" hidden="1" customWidth="1"/>
    <col min="5415" max="5416" width="8.88671875" style="625" customWidth="1"/>
    <col min="5417" max="5528" width="0" style="625" hidden="1" customWidth="1"/>
    <col min="5529" max="5633" width="8.88671875" style="625"/>
    <col min="5634" max="5634" width="6.6640625" style="625" customWidth="1"/>
    <col min="5635" max="5635" width="38" style="625" customWidth="1"/>
    <col min="5636" max="5636" width="8.33203125" style="625" customWidth="1"/>
    <col min="5637" max="5637" width="7.33203125" style="625" customWidth="1"/>
    <col min="5638" max="5641" width="8.88671875" style="625" customWidth="1"/>
    <col min="5642" max="5642" width="7.5546875" style="625" customWidth="1"/>
    <col min="5643" max="5643" width="8.44140625" style="625" customWidth="1"/>
    <col min="5644" max="5644" width="11.44140625" style="625" customWidth="1"/>
    <col min="5645" max="5645" width="9.5546875" style="625" customWidth="1"/>
    <col min="5646" max="5648" width="8.88671875" style="625" customWidth="1"/>
    <col min="5649" max="5651" width="0" style="625" hidden="1" customWidth="1"/>
    <col min="5652" max="5652" width="8.88671875" style="625" customWidth="1"/>
    <col min="5653" max="5653" width="10.33203125" style="625" customWidth="1"/>
    <col min="5654" max="5654" width="9.44140625" style="625" customWidth="1"/>
    <col min="5655" max="5655" width="8.88671875" style="625" customWidth="1"/>
    <col min="5656" max="5659" width="0" style="625" hidden="1" customWidth="1"/>
    <col min="5660" max="5660" width="8.6640625" style="625" customWidth="1"/>
    <col min="5661" max="5661" width="9.88671875" style="625" customWidth="1"/>
    <col min="5662" max="5662" width="8.88671875" style="625" customWidth="1"/>
    <col min="5663" max="5663" width="8.33203125" style="625" customWidth="1"/>
    <col min="5664" max="5664" width="0" style="625" hidden="1" customWidth="1"/>
    <col min="5665" max="5669" width="8.88671875" style="625" customWidth="1"/>
    <col min="5670" max="5670" width="0" style="625" hidden="1" customWidth="1"/>
    <col min="5671" max="5672" width="8.88671875" style="625" customWidth="1"/>
    <col min="5673" max="5784" width="0" style="625" hidden="1" customWidth="1"/>
    <col min="5785" max="5889" width="8.88671875" style="625"/>
    <col min="5890" max="5890" width="6.6640625" style="625" customWidth="1"/>
    <col min="5891" max="5891" width="38" style="625" customWidth="1"/>
    <col min="5892" max="5892" width="8.33203125" style="625" customWidth="1"/>
    <col min="5893" max="5893" width="7.33203125" style="625" customWidth="1"/>
    <col min="5894" max="5897" width="8.88671875" style="625" customWidth="1"/>
    <col min="5898" max="5898" width="7.5546875" style="625" customWidth="1"/>
    <col min="5899" max="5899" width="8.44140625" style="625" customWidth="1"/>
    <col min="5900" max="5900" width="11.44140625" style="625" customWidth="1"/>
    <col min="5901" max="5901" width="9.5546875" style="625" customWidth="1"/>
    <col min="5902" max="5904" width="8.88671875" style="625" customWidth="1"/>
    <col min="5905" max="5907" width="0" style="625" hidden="1" customWidth="1"/>
    <col min="5908" max="5908" width="8.88671875" style="625" customWidth="1"/>
    <col min="5909" max="5909" width="10.33203125" style="625" customWidth="1"/>
    <col min="5910" max="5910" width="9.44140625" style="625" customWidth="1"/>
    <col min="5911" max="5911" width="8.88671875" style="625" customWidth="1"/>
    <col min="5912" max="5915" width="0" style="625" hidden="1" customWidth="1"/>
    <col min="5916" max="5916" width="8.6640625" style="625" customWidth="1"/>
    <col min="5917" max="5917" width="9.88671875" style="625" customWidth="1"/>
    <col min="5918" max="5918" width="8.88671875" style="625" customWidth="1"/>
    <col min="5919" max="5919" width="8.33203125" style="625" customWidth="1"/>
    <col min="5920" max="5920" width="0" style="625" hidden="1" customWidth="1"/>
    <col min="5921" max="5925" width="8.88671875" style="625" customWidth="1"/>
    <col min="5926" max="5926" width="0" style="625" hidden="1" customWidth="1"/>
    <col min="5927" max="5928" width="8.88671875" style="625" customWidth="1"/>
    <col min="5929" max="6040" width="0" style="625" hidden="1" customWidth="1"/>
    <col min="6041" max="6145" width="8.88671875" style="625"/>
    <col min="6146" max="6146" width="6.6640625" style="625" customWidth="1"/>
    <col min="6147" max="6147" width="38" style="625" customWidth="1"/>
    <col min="6148" max="6148" width="8.33203125" style="625" customWidth="1"/>
    <col min="6149" max="6149" width="7.33203125" style="625" customWidth="1"/>
    <col min="6150" max="6153" width="8.88671875" style="625" customWidth="1"/>
    <col min="6154" max="6154" width="7.5546875" style="625" customWidth="1"/>
    <col min="6155" max="6155" width="8.44140625" style="625" customWidth="1"/>
    <col min="6156" max="6156" width="11.44140625" style="625" customWidth="1"/>
    <col min="6157" max="6157" width="9.5546875" style="625" customWidth="1"/>
    <col min="6158" max="6160" width="8.88671875" style="625" customWidth="1"/>
    <col min="6161" max="6163" width="0" style="625" hidden="1" customWidth="1"/>
    <col min="6164" max="6164" width="8.88671875" style="625" customWidth="1"/>
    <col min="6165" max="6165" width="10.33203125" style="625" customWidth="1"/>
    <col min="6166" max="6166" width="9.44140625" style="625" customWidth="1"/>
    <col min="6167" max="6167" width="8.88671875" style="625" customWidth="1"/>
    <col min="6168" max="6171" width="0" style="625" hidden="1" customWidth="1"/>
    <col min="6172" max="6172" width="8.6640625" style="625" customWidth="1"/>
    <col min="6173" max="6173" width="9.88671875" style="625" customWidth="1"/>
    <col min="6174" max="6174" width="8.88671875" style="625" customWidth="1"/>
    <col min="6175" max="6175" width="8.33203125" style="625" customWidth="1"/>
    <col min="6176" max="6176" width="0" style="625" hidden="1" customWidth="1"/>
    <col min="6177" max="6181" width="8.88671875" style="625" customWidth="1"/>
    <col min="6182" max="6182" width="0" style="625" hidden="1" customWidth="1"/>
    <col min="6183" max="6184" width="8.88671875" style="625" customWidth="1"/>
    <col min="6185" max="6296" width="0" style="625" hidden="1" customWidth="1"/>
    <col min="6297" max="6401" width="8.88671875" style="625"/>
    <col min="6402" max="6402" width="6.6640625" style="625" customWidth="1"/>
    <col min="6403" max="6403" width="38" style="625" customWidth="1"/>
    <col min="6404" max="6404" width="8.33203125" style="625" customWidth="1"/>
    <col min="6405" max="6405" width="7.33203125" style="625" customWidth="1"/>
    <col min="6406" max="6409" width="8.88671875" style="625" customWidth="1"/>
    <col min="6410" max="6410" width="7.5546875" style="625" customWidth="1"/>
    <col min="6411" max="6411" width="8.44140625" style="625" customWidth="1"/>
    <col min="6412" max="6412" width="11.44140625" style="625" customWidth="1"/>
    <col min="6413" max="6413" width="9.5546875" style="625" customWidth="1"/>
    <col min="6414" max="6416" width="8.88671875" style="625" customWidth="1"/>
    <col min="6417" max="6419" width="0" style="625" hidden="1" customWidth="1"/>
    <col min="6420" max="6420" width="8.88671875" style="625" customWidth="1"/>
    <col min="6421" max="6421" width="10.33203125" style="625" customWidth="1"/>
    <col min="6422" max="6422" width="9.44140625" style="625" customWidth="1"/>
    <col min="6423" max="6423" width="8.88671875" style="625" customWidth="1"/>
    <col min="6424" max="6427" width="0" style="625" hidden="1" customWidth="1"/>
    <col min="6428" max="6428" width="8.6640625" style="625" customWidth="1"/>
    <col min="6429" max="6429" width="9.88671875" style="625" customWidth="1"/>
    <col min="6430" max="6430" width="8.88671875" style="625" customWidth="1"/>
    <col min="6431" max="6431" width="8.33203125" style="625" customWidth="1"/>
    <col min="6432" max="6432" width="0" style="625" hidden="1" customWidth="1"/>
    <col min="6433" max="6437" width="8.88671875" style="625" customWidth="1"/>
    <col min="6438" max="6438" width="0" style="625" hidden="1" customWidth="1"/>
    <col min="6439" max="6440" width="8.88671875" style="625" customWidth="1"/>
    <col min="6441" max="6552" width="0" style="625" hidden="1" customWidth="1"/>
    <col min="6553" max="6657" width="8.88671875" style="625"/>
    <col min="6658" max="6658" width="6.6640625" style="625" customWidth="1"/>
    <col min="6659" max="6659" width="38" style="625" customWidth="1"/>
    <col min="6660" max="6660" width="8.33203125" style="625" customWidth="1"/>
    <col min="6661" max="6661" width="7.33203125" style="625" customWidth="1"/>
    <col min="6662" max="6665" width="8.88671875" style="625" customWidth="1"/>
    <col min="6666" max="6666" width="7.5546875" style="625" customWidth="1"/>
    <col min="6667" max="6667" width="8.44140625" style="625" customWidth="1"/>
    <col min="6668" max="6668" width="11.44140625" style="625" customWidth="1"/>
    <col min="6669" max="6669" width="9.5546875" style="625" customWidth="1"/>
    <col min="6670" max="6672" width="8.88671875" style="625" customWidth="1"/>
    <col min="6673" max="6675" width="0" style="625" hidden="1" customWidth="1"/>
    <col min="6676" max="6676" width="8.88671875" style="625" customWidth="1"/>
    <col min="6677" max="6677" width="10.33203125" style="625" customWidth="1"/>
    <col min="6678" max="6678" width="9.44140625" style="625" customWidth="1"/>
    <col min="6679" max="6679" width="8.88671875" style="625" customWidth="1"/>
    <col min="6680" max="6683" width="0" style="625" hidden="1" customWidth="1"/>
    <col min="6684" max="6684" width="8.6640625" style="625" customWidth="1"/>
    <col min="6685" max="6685" width="9.88671875" style="625" customWidth="1"/>
    <col min="6686" max="6686" width="8.88671875" style="625" customWidth="1"/>
    <col min="6687" max="6687" width="8.33203125" style="625" customWidth="1"/>
    <col min="6688" max="6688" width="0" style="625" hidden="1" customWidth="1"/>
    <col min="6689" max="6693" width="8.88671875" style="625" customWidth="1"/>
    <col min="6694" max="6694" width="0" style="625" hidden="1" customWidth="1"/>
    <col min="6695" max="6696" width="8.88671875" style="625" customWidth="1"/>
    <col min="6697" max="6808" width="0" style="625" hidden="1" customWidth="1"/>
    <col min="6809" max="6913" width="8.88671875" style="625"/>
    <col min="6914" max="6914" width="6.6640625" style="625" customWidth="1"/>
    <col min="6915" max="6915" width="38" style="625" customWidth="1"/>
    <col min="6916" max="6916" width="8.33203125" style="625" customWidth="1"/>
    <col min="6917" max="6917" width="7.33203125" style="625" customWidth="1"/>
    <col min="6918" max="6921" width="8.88671875" style="625" customWidth="1"/>
    <col min="6922" max="6922" width="7.5546875" style="625" customWidth="1"/>
    <col min="6923" max="6923" width="8.44140625" style="625" customWidth="1"/>
    <col min="6924" max="6924" width="11.44140625" style="625" customWidth="1"/>
    <col min="6925" max="6925" width="9.5546875" style="625" customWidth="1"/>
    <col min="6926" max="6928" width="8.88671875" style="625" customWidth="1"/>
    <col min="6929" max="6931" width="0" style="625" hidden="1" customWidth="1"/>
    <col min="6932" max="6932" width="8.88671875" style="625" customWidth="1"/>
    <col min="6933" max="6933" width="10.33203125" style="625" customWidth="1"/>
    <col min="6934" max="6934" width="9.44140625" style="625" customWidth="1"/>
    <col min="6935" max="6935" width="8.88671875" style="625" customWidth="1"/>
    <col min="6936" max="6939" width="0" style="625" hidden="1" customWidth="1"/>
    <col min="6940" max="6940" width="8.6640625" style="625" customWidth="1"/>
    <col min="6941" max="6941" width="9.88671875" style="625" customWidth="1"/>
    <col min="6942" max="6942" width="8.88671875" style="625" customWidth="1"/>
    <col min="6943" max="6943" width="8.33203125" style="625" customWidth="1"/>
    <col min="6944" max="6944" width="0" style="625" hidden="1" customWidth="1"/>
    <col min="6945" max="6949" width="8.88671875" style="625" customWidth="1"/>
    <col min="6950" max="6950" width="0" style="625" hidden="1" customWidth="1"/>
    <col min="6951" max="6952" width="8.88671875" style="625" customWidth="1"/>
    <col min="6953" max="7064" width="0" style="625" hidden="1" customWidth="1"/>
    <col min="7065" max="7169" width="8.88671875" style="625"/>
    <col min="7170" max="7170" width="6.6640625" style="625" customWidth="1"/>
    <col min="7171" max="7171" width="38" style="625" customWidth="1"/>
    <col min="7172" max="7172" width="8.33203125" style="625" customWidth="1"/>
    <col min="7173" max="7173" width="7.33203125" style="625" customWidth="1"/>
    <col min="7174" max="7177" width="8.88671875" style="625" customWidth="1"/>
    <col min="7178" max="7178" width="7.5546875" style="625" customWidth="1"/>
    <col min="7179" max="7179" width="8.44140625" style="625" customWidth="1"/>
    <col min="7180" max="7180" width="11.44140625" style="625" customWidth="1"/>
    <col min="7181" max="7181" width="9.5546875" style="625" customWidth="1"/>
    <col min="7182" max="7184" width="8.88671875" style="625" customWidth="1"/>
    <col min="7185" max="7187" width="0" style="625" hidden="1" customWidth="1"/>
    <col min="7188" max="7188" width="8.88671875" style="625" customWidth="1"/>
    <col min="7189" max="7189" width="10.33203125" style="625" customWidth="1"/>
    <col min="7190" max="7190" width="9.44140625" style="625" customWidth="1"/>
    <col min="7191" max="7191" width="8.88671875" style="625" customWidth="1"/>
    <col min="7192" max="7195" width="0" style="625" hidden="1" customWidth="1"/>
    <col min="7196" max="7196" width="8.6640625" style="625" customWidth="1"/>
    <col min="7197" max="7197" width="9.88671875" style="625" customWidth="1"/>
    <col min="7198" max="7198" width="8.88671875" style="625" customWidth="1"/>
    <col min="7199" max="7199" width="8.33203125" style="625" customWidth="1"/>
    <col min="7200" max="7200" width="0" style="625" hidden="1" customWidth="1"/>
    <col min="7201" max="7205" width="8.88671875" style="625" customWidth="1"/>
    <col min="7206" max="7206" width="0" style="625" hidden="1" customWidth="1"/>
    <col min="7207" max="7208" width="8.88671875" style="625" customWidth="1"/>
    <col min="7209" max="7320" width="0" style="625" hidden="1" customWidth="1"/>
    <col min="7321" max="7425" width="8.88671875" style="625"/>
    <col min="7426" max="7426" width="6.6640625" style="625" customWidth="1"/>
    <col min="7427" max="7427" width="38" style="625" customWidth="1"/>
    <col min="7428" max="7428" width="8.33203125" style="625" customWidth="1"/>
    <col min="7429" max="7429" width="7.33203125" style="625" customWidth="1"/>
    <col min="7430" max="7433" width="8.88671875" style="625" customWidth="1"/>
    <col min="7434" max="7434" width="7.5546875" style="625" customWidth="1"/>
    <col min="7435" max="7435" width="8.44140625" style="625" customWidth="1"/>
    <col min="7436" max="7436" width="11.44140625" style="625" customWidth="1"/>
    <col min="7437" max="7437" width="9.5546875" style="625" customWidth="1"/>
    <col min="7438" max="7440" width="8.88671875" style="625" customWidth="1"/>
    <col min="7441" max="7443" width="0" style="625" hidden="1" customWidth="1"/>
    <col min="7444" max="7444" width="8.88671875" style="625" customWidth="1"/>
    <col min="7445" max="7445" width="10.33203125" style="625" customWidth="1"/>
    <col min="7446" max="7446" width="9.44140625" style="625" customWidth="1"/>
    <col min="7447" max="7447" width="8.88671875" style="625" customWidth="1"/>
    <col min="7448" max="7451" width="0" style="625" hidden="1" customWidth="1"/>
    <col min="7452" max="7452" width="8.6640625" style="625" customWidth="1"/>
    <col min="7453" max="7453" width="9.88671875" style="625" customWidth="1"/>
    <col min="7454" max="7454" width="8.88671875" style="625" customWidth="1"/>
    <col min="7455" max="7455" width="8.33203125" style="625" customWidth="1"/>
    <col min="7456" max="7456" width="0" style="625" hidden="1" customWidth="1"/>
    <col min="7457" max="7461" width="8.88671875" style="625" customWidth="1"/>
    <col min="7462" max="7462" width="0" style="625" hidden="1" customWidth="1"/>
    <col min="7463" max="7464" width="8.88671875" style="625" customWidth="1"/>
    <col min="7465" max="7576" width="0" style="625" hidden="1" customWidth="1"/>
    <col min="7577" max="7681" width="8.88671875" style="625"/>
    <col min="7682" max="7682" width="6.6640625" style="625" customWidth="1"/>
    <col min="7683" max="7683" width="38" style="625" customWidth="1"/>
    <col min="7684" max="7684" width="8.33203125" style="625" customWidth="1"/>
    <col min="7685" max="7685" width="7.33203125" style="625" customWidth="1"/>
    <col min="7686" max="7689" width="8.88671875" style="625" customWidth="1"/>
    <col min="7690" max="7690" width="7.5546875" style="625" customWidth="1"/>
    <col min="7691" max="7691" width="8.44140625" style="625" customWidth="1"/>
    <col min="7692" max="7692" width="11.44140625" style="625" customWidth="1"/>
    <col min="7693" max="7693" width="9.5546875" style="625" customWidth="1"/>
    <col min="7694" max="7696" width="8.88671875" style="625" customWidth="1"/>
    <col min="7697" max="7699" width="0" style="625" hidden="1" customWidth="1"/>
    <col min="7700" max="7700" width="8.88671875" style="625" customWidth="1"/>
    <col min="7701" max="7701" width="10.33203125" style="625" customWidth="1"/>
    <col min="7702" max="7702" width="9.44140625" style="625" customWidth="1"/>
    <col min="7703" max="7703" width="8.88671875" style="625" customWidth="1"/>
    <col min="7704" max="7707" width="0" style="625" hidden="1" customWidth="1"/>
    <col min="7708" max="7708" width="8.6640625" style="625" customWidth="1"/>
    <col min="7709" max="7709" width="9.88671875" style="625" customWidth="1"/>
    <col min="7710" max="7710" width="8.88671875" style="625" customWidth="1"/>
    <col min="7711" max="7711" width="8.33203125" style="625" customWidth="1"/>
    <col min="7712" max="7712" width="0" style="625" hidden="1" customWidth="1"/>
    <col min="7713" max="7717" width="8.88671875" style="625" customWidth="1"/>
    <col min="7718" max="7718" width="0" style="625" hidden="1" customWidth="1"/>
    <col min="7719" max="7720" width="8.88671875" style="625" customWidth="1"/>
    <col min="7721" max="7832" width="0" style="625" hidden="1" customWidth="1"/>
    <col min="7833" max="7937" width="8.88671875" style="625"/>
    <col min="7938" max="7938" width="6.6640625" style="625" customWidth="1"/>
    <col min="7939" max="7939" width="38" style="625" customWidth="1"/>
    <col min="7940" max="7940" width="8.33203125" style="625" customWidth="1"/>
    <col min="7941" max="7941" width="7.33203125" style="625" customWidth="1"/>
    <col min="7942" max="7945" width="8.88671875" style="625" customWidth="1"/>
    <col min="7946" max="7946" width="7.5546875" style="625" customWidth="1"/>
    <col min="7947" max="7947" width="8.44140625" style="625" customWidth="1"/>
    <col min="7948" max="7948" width="11.44140625" style="625" customWidth="1"/>
    <col min="7949" max="7949" width="9.5546875" style="625" customWidth="1"/>
    <col min="7950" max="7952" width="8.88671875" style="625" customWidth="1"/>
    <col min="7953" max="7955" width="0" style="625" hidden="1" customWidth="1"/>
    <col min="7956" max="7956" width="8.88671875" style="625" customWidth="1"/>
    <col min="7957" max="7957" width="10.33203125" style="625" customWidth="1"/>
    <col min="7958" max="7958" width="9.44140625" style="625" customWidth="1"/>
    <col min="7959" max="7959" width="8.88671875" style="625" customWidth="1"/>
    <col min="7960" max="7963" width="0" style="625" hidden="1" customWidth="1"/>
    <col min="7964" max="7964" width="8.6640625" style="625" customWidth="1"/>
    <col min="7965" max="7965" width="9.88671875" style="625" customWidth="1"/>
    <col min="7966" max="7966" width="8.88671875" style="625" customWidth="1"/>
    <col min="7967" max="7967" width="8.33203125" style="625" customWidth="1"/>
    <col min="7968" max="7968" width="0" style="625" hidden="1" customWidth="1"/>
    <col min="7969" max="7973" width="8.88671875" style="625" customWidth="1"/>
    <col min="7974" max="7974" width="0" style="625" hidden="1" customWidth="1"/>
    <col min="7975" max="7976" width="8.88671875" style="625" customWidth="1"/>
    <col min="7977" max="8088" width="0" style="625" hidden="1" customWidth="1"/>
    <col min="8089" max="8193" width="8.88671875" style="625"/>
    <col min="8194" max="8194" width="6.6640625" style="625" customWidth="1"/>
    <col min="8195" max="8195" width="38" style="625" customWidth="1"/>
    <col min="8196" max="8196" width="8.33203125" style="625" customWidth="1"/>
    <col min="8197" max="8197" width="7.33203125" style="625" customWidth="1"/>
    <col min="8198" max="8201" width="8.88671875" style="625" customWidth="1"/>
    <col min="8202" max="8202" width="7.5546875" style="625" customWidth="1"/>
    <col min="8203" max="8203" width="8.44140625" style="625" customWidth="1"/>
    <col min="8204" max="8204" width="11.44140625" style="625" customWidth="1"/>
    <col min="8205" max="8205" width="9.5546875" style="625" customWidth="1"/>
    <col min="8206" max="8208" width="8.88671875" style="625" customWidth="1"/>
    <col min="8209" max="8211" width="0" style="625" hidden="1" customWidth="1"/>
    <col min="8212" max="8212" width="8.88671875" style="625" customWidth="1"/>
    <col min="8213" max="8213" width="10.33203125" style="625" customWidth="1"/>
    <col min="8214" max="8214" width="9.44140625" style="625" customWidth="1"/>
    <col min="8215" max="8215" width="8.88671875" style="625" customWidth="1"/>
    <col min="8216" max="8219" width="0" style="625" hidden="1" customWidth="1"/>
    <col min="8220" max="8220" width="8.6640625" style="625" customWidth="1"/>
    <col min="8221" max="8221" width="9.88671875" style="625" customWidth="1"/>
    <col min="8222" max="8222" width="8.88671875" style="625" customWidth="1"/>
    <col min="8223" max="8223" width="8.33203125" style="625" customWidth="1"/>
    <col min="8224" max="8224" width="0" style="625" hidden="1" customWidth="1"/>
    <col min="8225" max="8229" width="8.88671875" style="625" customWidth="1"/>
    <col min="8230" max="8230" width="0" style="625" hidden="1" customWidth="1"/>
    <col min="8231" max="8232" width="8.88671875" style="625" customWidth="1"/>
    <col min="8233" max="8344" width="0" style="625" hidden="1" customWidth="1"/>
    <col min="8345" max="8449" width="8.88671875" style="625"/>
    <col min="8450" max="8450" width="6.6640625" style="625" customWidth="1"/>
    <col min="8451" max="8451" width="38" style="625" customWidth="1"/>
    <col min="8452" max="8452" width="8.33203125" style="625" customWidth="1"/>
    <col min="8453" max="8453" width="7.33203125" style="625" customWidth="1"/>
    <col min="8454" max="8457" width="8.88671875" style="625" customWidth="1"/>
    <col min="8458" max="8458" width="7.5546875" style="625" customWidth="1"/>
    <col min="8459" max="8459" width="8.44140625" style="625" customWidth="1"/>
    <col min="8460" max="8460" width="11.44140625" style="625" customWidth="1"/>
    <col min="8461" max="8461" width="9.5546875" style="625" customWidth="1"/>
    <col min="8462" max="8464" width="8.88671875" style="625" customWidth="1"/>
    <col min="8465" max="8467" width="0" style="625" hidden="1" customWidth="1"/>
    <col min="8468" max="8468" width="8.88671875" style="625" customWidth="1"/>
    <col min="8469" max="8469" width="10.33203125" style="625" customWidth="1"/>
    <col min="8470" max="8470" width="9.44140625" style="625" customWidth="1"/>
    <col min="8471" max="8471" width="8.88671875" style="625" customWidth="1"/>
    <col min="8472" max="8475" width="0" style="625" hidden="1" customWidth="1"/>
    <col min="8476" max="8476" width="8.6640625" style="625" customWidth="1"/>
    <col min="8477" max="8477" width="9.88671875" style="625" customWidth="1"/>
    <col min="8478" max="8478" width="8.88671875" style="625" customWidth="1"/>
    <col min="8479" max="8479" width="8.33203125" style="625" customWidth="1"/>
    <col min="8480" max="8480" width="0" style="625" hidden="1" customWidth="1"/>
    <col min="8481" max="8485" width="8.88671875" style="625" customWidth="1"/>
    <col min="8486" max="8486" width="0" style="625" hidden="1" customWidth="1"/>
    <col min="8487" max="8488" width="8.88671875" style="625" customWidth="1"/>
    <col min="8489" max="8600" width="0" style="625" hidden="1" customWidth="1"/>
    <col min="8601" max="8705" width="8.88671875" style="625"/>
    <col min="8706" max="8706" width="6.6640625" style="625" customWidth="1"/>
    <col min="8707" max="8707" width="38" style="625" customWidth="1"/>
    <col min="8708" max="8708" width="8.33203125" style="625" customWidth="1"/>
    <col min="8709" max="8709" width="7.33203125" style="625" customWidth="1"/>
    <col min="8710" max="8713" width="8.88671875" style="625" customWidth="1"/>
    <col min="8714" max="8714" width="7.5546875" style="625" customWidth="1"/>
    <col min="8715" max="8715" width="8.44140625" style="625" customWidth="1"/>
    <col min="8716" max="8716" width="11.44140625" style="625" customWidth="1"/>
    <col min="8717" max="8717" width="9.5546875" style="625" customWidth="1"/>
    <col min="8718" max="8720" width="8.88671875" style="625" customWidth="1"/>
    <col min="8721" max="8723" width="0" style="625" hidden="1" customWidth="1"/>
    <col min="8724" max="8724" width="8.88671875" style="625" customWidth="1"/>
    <col min="8725" max="8725" width="10.33203125" style="625" customWidth="1"/>
    <col min="8726" max="8726" width="9.44140625" style="625" customWidth="1"/>
    <col min="8727" max="8727" width="8.88671875" style="625" customWidth="1"/>
    <col min="8728" max="8731" width="0" style="625" hidden="1" customWidth="1"/>
    <col min="8732" max="8732" width="8.6640625" style="625" customWidth="1"/>
    <col min="8733" max="8733" width="9.88671875" style="625" customWidth="1"/>
    <col min="8734" max="8734" width="8.88671875" style="625" customWidth="1"/>
    <col min="8735" max="8735" width="8.33203125" style="625" customWidth="1"/>
    <col min="8736" max="8736" width="0" style="625" hidden="1" customWidth="1"/>
    <col min="8737" max="8741" width="8.88671875" style="625" customWidth="1"/>
    <col min="8742" max="8742" width="0" style="625" hidden="1" customWidth="1"/>
    <col min="8743" max="8744" width="8.88671875" style="625" customWidth="1"/>
    <col min="8745" max="8856" width="0" style="625" hidden="1" customWidth="1"/>
    <col min="8857" max="8961" width="8.88671875" style="625"/>
    <col min="8962" max="8962" width="6.6640625" style="625" customWidth="1"/>
    <col min="8963" max="8963" width="38" style="625" customWidth="1"/>
    <col min="8964" max="8964" width="8.33203125" style="625" customWidth="1"/>
    <col min="8965" max="8965" width="7.33203125" style="625" customWidth="1"/>
    <col min="8966" max="8969" width="8.88671875" style="625" customWidth="1"/>
    <col min="8970" max="8970" width="7.5546875" style="625" customWidth="1"/>
    <col min="8971" max="8971" width="8.44140625" style="625" customWidth="1"/>
    <col min="8972" max="8972" width="11.44140625" style="625" customWidth="1"/>
    <col min="8973" max="8973" width="9.5546875" style="625" customWidth="1"/>
    <col min="8974" max="8976" width="8.88671875" style="625" customWidth="1"/>
    <col min="8977" max="8979" width="0" style="625" hidden="1" customWidth="1"/>
    <col min="8980" max="8980" width="8.88671875" style="625" customWidth="1"/>
    <col min="8981" max="8981" width="10.33203125" style="625" customWidth="1"/>
    <col min="8982" max="8982" width="9.44140625" style="625" customWidth="1"/>
    <col min="8983" max="8983" width="8.88671875" style="625" customWidth="1"/>
    <col min="8984" max="8987" width="0" style="625" hidden="1" customWidth="1"/>
    <col min="8988" max="8988" width="8.6640625" style="625" customWidth="1"/>
    <col min="8989" max="8989" width="9.88671875" style="625" customWidth="1"/>
    <col min="8990" max="8990" width="8.88671875" style="625" customWidth="1"/>
    <col min="8991" max="8991" width="8.33203125" style="625" customWidth="1"/>
    <col min="8992" max="8992" width="0" style="625" hidden="1" customWidth="1"/>
    <col min="8993" max="8997" width="8.88671875" style="625" customWidth="1"/>
    <col min="8998" max="8998" width="0" style="625" hidden="1" customWidth="1"/>
    <col min="8999" max="9000" width="8.88671875" style="625" customWidth="1"/>
    <col min="9001" max="9112" width="0" style="625" hidden="1" customWidth="1"/>
    <col min="9113" max="9217" width="8.88671875" style="625"/>
    <col min="9218" max="9218" width="6.6640625" style="625" customWidth="1"/>
    <col min="9219" max="9219" width="38" style="625" customWidth="1"/>
    <col min="9220" max="9220" width="8.33203125" style="625" customWidth="1"/>
    <col min="9221" max="9221" width="7.33203125" style="625" customWidth="1"/>
    <col min="9222" max="9225" width="8.88671875" style="625" customWidth="1"/>
    <col min="9226" max="9226" width="7.5546875" style="625" customWidth="1"/>
    <col min="9227" max="9227" width="8.44140625" style="625" customWidth="1"/>
    <col min="9228" max="9228" width="11.44140625" style="625" customWidth="1"/>
    <col min="9229" max="9229" width="9.5546875" style="625" customWidth="1"/>
    <col min="9230" max="9232" width="8.88671875" style="625" customWidth="1"/>
    <col min="9233" max="9235" width="0" style="625" hidden="1" customWidth="1"/>
    <col min="9236" max="9236" width="8.88671875" style="625" customWidth="1"/>
    <col min="9237" max="9237" width="10.33203125" style="625" customWidth="1"/>
    <col min="9238" max="9238" width="9.44140625" style="625" customWidth="1"/>
    <col min="9239" max="9239" width="8.88671875" style="625" customWidth="1"/>
    <col min="9240" max="9243" width="0" style="625" hidden="1" customWidth="1"/>
    <col min="9244" max="9244" width="8.6640625" style="625" customWidth="1"/>
    <col min="9245" max="9245" width="9.88671875" style="625" customWidth="1"/>
    <col min="9246" max="9246" width="8.88671875" style="625" customWidth="1"/>
    <col min="9247" max="9247" width="8.33203125" style="625" customWidth="1"/>
    <col min="9248" max="9248" width="0" style="625" hidden="1" customWidth="1"/>
    <col min="9249" max="9253" width="8.88671875" style="625" customWidth="1"/>
    <col min="9254" max="9254" width="0" style="625" hidden="1" customWidth="1"/>
    <col min="9255" max="9256" width="8.88671875" style="625" customWidth="1"/>
    <col min="9257" max="9368" width="0" style="625" hidden="1" customWidth="1"/>
    <col min="9369" max="9473" width="8.88671875" style="625"/>
    <col min="9474" max="9474" width="6.6640625" style="625" customWidth="1"/>
    <col min="9475" max="9475" width="38" style="625" customWidth="1"/>
    <col min="9476" max="9476" width="8.33203125" style="625" customWidth="1"/>
    <col min="9477" max="9477" width="7.33203125" style="625" customWidth="1"/>
    <col min="9478" max="9481" width="8.88671875" style="625" customWidth="1"/>
    <col min="9482" max="9482" width="7.5546875" style="625" customWidth="1"/>
    <col min="9483" max="9483" width="8.44140625" style="625" customWidth="1"/>
    <col min="9484" max="9484" width="11.44140625" style="625" customWidth="1"/>
    <col min="9485" max="9485" width="9.5546875" style="625" customWidth="1"/>
    <col min="9486" max="9488" width="8.88671875" style="625" customWidth="1"/>
    <col min="9489" max="9491" width="0" style="625" hidden="1" customWidth="1"/>
    <col min="9492" max="9492" width="8.88671875" style="625" customWidth="1"/>
    <col min="9493" max="9493" width="10.33203125" style="625" customWidth="1"/>
    <col min="9494" max="9494" width="9.44140625" style="625" customWidth="1"/>
    <col min="9495" max="9495" width="8.88671875" style="625" customWidth="1"/>
    <col min="9496" max="9499" width="0" style="625" hidden="1" customWidth="1"/>
    <col min="9500" max="9500" width="8.6640625" style="625" customWidth="1"/>
    <col min="9501" max="9501" width="9.88671875" style="625" customWidth="1"/>
    <col min="9502" max="9502" width="8.88671875" style="625" customWidth="1"/>
    <col min="9503" max="9503" width="8.33203125" style="625" customWidth="1"/>
    <col min="9504" max="9504" width="0" style="625" hidden="1" customWidth="1"/>
    <col min="9505" max="9509" width="8.88671875" style="625" customWidth="1"/>
    <col min="9510" max="9510" width="0" style="625" hidden="1" customWidth="1"/>
    <col min="9511" max="9512" width="8.88671875" style="625" customWidth="1"/>
    <col min="9513" max="9624" width="0" style="625" hidden="1" customWidth="1"/>
    <col min="9625" max="9729" width="8.88671875" style="625"/>
    <col min="9730" max="9730" width="6.6640625" style="625" customWidth="1"/>
    <col min="9731" max="9731" width="38" style="625" customWidth="1"/>
    <col min="9732" max="9732" width="8.33203125" style="625" customWidth="1"/>
    <col min="9733" max="9733" width="7.33203125" style="625" customWidth="1"/>
    <col min="9734" max="9737" width="8.88671875" style="625" customWidth="1"/>
    <col min="9738" max="9738" width="7.5546875" style="625" customWidth="1"/>
    <col min="9739" max="9739" width="8.44140625" style="625" customWidth="1"/>
    <col min="9740" max="9740" width="11.44140625" style="625" customWidth="1"/>
    <col min="9741" max="9741" width="9.5546875" style="625" customWidth="1"/>
    <col min="9742" max="9744" width="8.88671875" style="625" customWidth="1"/>
    <col min="9745" max="9747" width="0" style="625" hidden="1" customWidth="1"/>
    <col min="9748" max="9748" width="8.88671875" style="625" customWidth="1"/>
    <col min="9749" max="9749" width="10.33203125" style="625" customWidth="1"/>
    <col min="9750" max="9750" width="9.44140625" style="625" customWidth="1"/>
    <col min="9751" max="9751" width="8.88671875" style="625" customWidth="1"/>
    <col min="9752" max="9755" width="0" style="625" hidden="1" customWidth="1"/>
    <col min="9756" max="9756" width="8.6640625" style="625" customWidth="1"/>
    <col min="9757" max="9757" width="9.88671875" style="625" customWidth="1"/>
    <col min="9758" max="9758" width="8.88671875" style="625" customWidth="1"/>
    <col min="9759" max="9759" width="8.33203125" style="625" customWidth="1"/>
    <col min="9760" max="9760" width="0" style="625" hidden="1" customWidth="1"/>
    <col min="9761" max="9765" width="8.88671875" style="625" customWidth="1"/>
    <col min="9766" max="9766" width="0" style="625" hidden="1" customWidth="1"/>
    <col min="9767" max="9768" width="8.88671875" style="625" customWidth="1"/>
    <col min="9769" max="9880" width="0" style="625" hidden="1" customWidth="1"/>
    <col min="9881" max="9985" width="8.88671875" style="625"/>
    <col min="9986" max="9986" width="6.6640625" style="625" customWidth="1"/>
    <col min="9987" max="9987" width="38" style="625" customWidth="1"/>
    <col min="9988" max="9988" width="8.33203125" style="625" customWidth="1"/>
    <col min="9989" max="9989" width="7.33203125" style="625" customWidth="1"/>
    <col min="9990" max="9993" width="8.88671875" style="625" customWidth="1"/>
    <col min="9994" max="9994" width="7.5546875" style="625" customWidth="1"/>
    <col min="9995" max="9995" width="8.44140625" style="625" customWidth="1"/>
    <col min="9996" max="9996" width="11.44140625" style="625" customWidth="1"/>
    <col min="9997" max="9997" width="9.5546875" style="625" customWidth="1"/>
    <col min="9998" max="10000" width="8.88671875" style="625" customWidth="1"/>
    <col min="10001" max="10003" width="0" style="625" hidden="1" customWidth="1"/>
    <col min="10004" max="10004" width="8.88671875" style="625" customWidth="1"/>
    <col min="10005" max="10005" width="10.33203125" style="625" customWidth="1"/>
    <col min="10006" max="10006" width="9.44140625" style="625" customWidth="1"/>
    <col min="10007" max="10007" width="8.88671875" style="625" customWidth="1"/>
    <col min="10008" max="10011" width="0" style="625" hidden="1" customWidth="1"/>
    <col min="10012" max="10012" width="8.6640625" style="625" customWidth="1"/>
    <col min="10013" max="10013" width="9.88671875" style="625" customWidth="1"/>
    <col min="10014" max="10014" width="8.88671875" style="625" customWidth="1"/>
    <col min="10015" max="10015" width="8.33203125" style="625" customWidth="1"/>
    <col min="10016" max="10016" width="0" style="625" hidden="1" customWidth="1"/>
    <col min="10017" max="10021" width="8.88671875" style="625" customWidth="1"/>
    <col min="10022" max="10022" width="0" style="625" hidden="1" customWidth="1"/>
    <col min="10023" max="10024" width="8.88671875" style="625" customWidth="1"/>
    <col min="10025" max="10136" width="0" style="625" hidden="1" customWidth="1"/>
    <col min="10137" max="10241" width="8.88671875" style="625"/>
    <col min="10242" max="10242" width="6.6640625" style="625" customWidth="1"/>
    <col min="10243" max="10243" width="38" style="625" customWidth="1"/>
    <col min="10244" max="10244" width="8.33203125" style="625" customWidth="1"/>
    <col min="10245" max="10245" width="7.33203125" style="625" customWidth="1"/>
    <col min="10246" max="10249" width="8.88671875" style="625" customWidth="1"/>
    <col min="10250" max="10250" width="7.5546875" style="625" customWidth="1"/>
    <col min="10251" max="10251" width="8.44140625" style="625" customWidth="1"/>
    <col min="10252" max="10252" width="11.44140625" style="625" customWidth="1"/>
    <col min="10253" max="10253" width="9.5546875" style="625" customWidth="1"/>
    <col min="10254" max="10256" width="8.88671875" style="625" customWidth="1"/>
    <col min="10257" max="10259" width="0" style="625" hidden="1" customWidth="1"/>
    <col min="10260" max="10260" width="8.88671875" style="625" customWidth="1"/>
    <col min="10261" max="10261" width="10.33203125" style="625" customWidth="1"/>
    <col min="10262" max="10262" width="9.44140625" style="625" customWidth="1"/>
    <col min="10263" max="10263" width="8.88671875" style="625" customWidth="1"/>
    <col min="10264" max="10267" width="0" style="625" hidden="1" customWidth="1"/>
    <col min="10268" max="10268" width="8.6640625" style="625" customWidth="1"/>
    <col min="10269" max="10269" width="9.88671875" style="625" customWidth="1"/>
    <col min="10270" max="10270" width="8.88671875" style="625" customWidth="1"/>
    <col min="10271" max="10271" width="8.33203125" style="625" customWidth="1"/>
    <col min="10272" max="10272" width="0" style="625" hidden="1" customWidth="1"/>
    <col min="10273" max="10277" width="8.88671875" style="625" customWidth="1"/>
    <col min="10278" max="10278" width="0" style="625" hidden="1" customWidth="1"/>
    <col min="10279" max="10280" width="8.88671875" style="625" customWidth="1"/>
    <col min="10281" max="10392" width="0" style="625" hidden="1" customWidth="1"/>
    <col min="10393" max="10497" width="8.88671875" style="625"/>
    <col min="10498" max="10498" width="6.6640625" style="625" customWidth="1"/>
    <col min="10499" max="10499" width="38" style="625" customWidth="1"/>
    <col min="10500" max="10500" width="8.33203125" style="625" customWidth="1"/>
    <col min="10501" max="10501" width="7.33203125" style="625" customWidth="1"/>
    <col min="10502" max="10505" width="8.88671875" style="625" customWidth="1"/>
    <col min="10506" max="10506" width="7.5546875" style="625" customWidth="1"/>
    <col min="10507" max="10507" width="8.44140625" style="625" customWidth="1"/>
    <col min="10508" max="10508" width="11.44140625" style="625" customWidth="1"/>
    <col min="10509" max="10509" width="9.5546875" style="625" customWidth="1"/>
    <col min="10510" max="10512" width="8.88671875" style="625" customWidth="1"/>
    <col min="10513" max="10515" width="0" style="625" hidden="1" customWidth="1"/>
    <col min="10516" max="10516" width="8.88671875" style="625" customWidth="1"/>
    <col min="10517" max="10517" width="10.33203125" style="625" customWidth="1"/>
    <col min="10518" max="10518" width="9.44140625" style="625" customWidth="1"/>
    <col min="10519" max="10519" width="8.88671875" style="625" customWidth="1"/>
    <col min="10520" max="10523" width="0" style="625" hidden="1" customWidth="1"/>
    <col min="10524" max="10524" width="8.6640625" style="625" customWidth="1"/>
    <col min="10525" max="10525" width="9.88671875" style="625" customWidth="1"/>
    <col min="10526" max="10526" width="8.88671875" style="625" customWidth="1"/>
    <col min="10527" max="10527" width="8.33203125" style="625" customWidth="1"/>
    <col min="10528" max="10528" width="0" style="625" hidden="1" customWidth="1"/>
    <col min="10529" max="10533" width="8.88671875" style="625" customWidth="1"/>
    <col min="10534" max="10534" width="0" style="625" hidden="1" customWidth="1"/>
    <col min="10535" max="10536" width="8.88671875" style="625" customWidth="1"/>
    <col min="10537" max="10648" width="0" style="625" hidden="1" customWidth="1"/>
    <col min="10649" max="10753" width="8.88671875" style="625"/>
    <col min="10754" max="10754" width="6.6640625" style="625" customWidth="1"/>
    <col min="10755" max="10755" width="38" style="625" customWidth="1"/>
    <col min="10756" max="10756" width="8.33203125" style="625" customWidth="1"/>
    <col min="10757" max="10757" width="7.33203125" style="625" customWidth="1"/>
    <col min="10758" max="10761" width="8.88671875" style="625" customWidth="1"/>
    <col min="10762" max="10762" width="7.5546875" style="625" customWidth="1"/>
    <col min="10763" max="10763" width="8.44140625" style="625" customWidth="1"/>
    <col min="10764" max="10764" width="11.44140625" style="625" customWidth="1"/>
    <col min="10765" max="10765" width="9.5546875" style="625" customWidth="1"/>
    <col min="10766" max="10768" width="8.88671875" style="625" customWidth="1"/>
    <col min="10769" max="10771" width="0" style="625" hidden="1" customWidth="1"/>
    <col min="10772" max="10772" width="8.88671875" style="625" customWidth="1"/>
    <col min="10773" max="10773" width="10.33203125" style="625" customWidth="1"/>
    <col min="10774" max="10774" width="9.44140625" style="625" customWidth="1"/>
    <col min="10775" max="10775" width="8.88671875" style="625" customWidth="1"/>
    <col min="10776" max="10779" width="0" style="625" hidden="1" customWidth="1"/>
    <col min="10780" max="10780" width="8.6640625" style="625" customWidth="1"/>
    <col min="10781" max="10781" width="9.88671875" style="625" customWidth="1"/>
    <col min="10782" max="10782" width="8.88671875" style="625" customWidth="1"/>
    <col min="10783" max="10783" width="8.33203125" style="625" customWidth="1"/>
    <col min="10784" max="10784" width="0" style="625" hidden="1" customWidth="1"/>
    <col min="10785" max="10789" width="8.88671875" style="625" customWidth="1"/>
    <col min="10790" max="10790" width="0" style="625" hidden="1" customWidth="1"/>
    <col min="10791" max="10792" width="8.88671875" style="625" customWidth="1"/>
    <col min="10793" max="10904" width="0" style="625" hidden="1" customWidth="1"/>
    <col min="10905" max="11009" width="8.88671875" style="625"/>
    <col min="11010" max="11010" width="6.6640625" style="625" customWidth="1"/>
    <col min="11011" max="11011" width="38" style="625" customWidth="1"/>
    <col min="11012" max="11012" width="8.33203125" style="625" customWidth="1"/>
    <col min="11013" max="11013" width="7.33203125" style="625" customWidth="1"/>
    <col min="11014" max="11017" width="8.88671875" style="625" customWidth="1"/>
    <col min="11018" max="11018" width="7.5546875" style="625" customWidth="1"/>
    <col min="11019" max="11019" width="8.44140625" style="625" customWidth="1"/>
    <col min="11020" max="11020" width="11.44140625" style="625" customWidth="1"/>
    <col min="11021" max="11021" width="9.5546875" style="625" customWidth="1"/>
    <col min="11022" max="11024" width="8.88671875" style="625" customWidth="1"/>
    <col min="11025" max="11027" width="0" style="625" hidden="1" customWidth="1"/>
    <col min="11028" max="11028" width="8.88671875" style="625" customWidth="1"/>
    <col min="11029" max="11029" width="10.33203125" style="625" customWidth="1"/>
    <col min="11030" max="11030" width="9.44140625" style="625" customWidth="1"/>
    <col min="11031" max="11031" width="8.88671875" style="625" customWidth="1"/>
    <col min="11032" max="11035" width="0" style="625" hidden="1" customWidth="1"/>
    <col min="11036" max="11036" width="8.6640625" style="625" customWidth="1"/>
    <col min="11037" max="11037" width="9.88671875" style="625" customWidth="1"/>
    <col min="11038" max="11038" width="8.88671875" style="625" customWidth="1"/>
    <col min="11039" max="11039" width="8.33203125" style="625" customWidth="1"/>
    <col min="11040" max="11040" width="0" style="625" hidden="1" customWidth="1"/>
    <col min="11041" max="11045" width="8.88671875" style="625" customWidth="1"/>
    <col min="11046" max="11046" width="0" style="625" hidden="1" customWidth="1"/>
    <col min="11047" max="11048" width="8.88671875" style="625" customWidth="1"/>
    <col min="11049" max="11160" width="0" style="625" hidden="1" customWidth="1"/>
    <col min="11161" max="11265" width="8.88671875" style="625"/>
    <col min="11266" max="11266" width="6.6640625" style="625" customWidth="1"/>
    <col min="11267" max="11267" width="38" style="625" customWidth="1"/>
    <col min="11268" max="11268" width="8.33203125" style="625" customWidth="1"/>
    <col min="11269" max="11269" width="7.33203125" style="625" customWidth="1"/>
    <col min="11270" max="11273" width="8.88671875" style="625" customWidth="1"/>
    <col min="11274" max="11274" width="7.5546875" style="625" customWidth="1"/>
    <col min="11275" max="11275" width="8.44140625" style="625" customWidth="1"/>
    <col min="11276" max="11276" width="11.44140625" style="625" customWidth="1"/>
    <col min="11277" max="11277" width="9.5546875" style="625" customWidth="1"/>
    <col min="11278" max="11280" width="8.88671875" style="625" customWidth="1"/>
    <col min="11281" max="11283" width="0" style="625" hidden="1" customWidth="1"/>
    <col min="11284" max="11284" width="8.88671875" style="625" customWidth="1"/>
    <col min="11285" max="11285" width="10.33203125" style="625" customWidth="1"/>
    <col min="11286" max="11286" width="9.44140625" style="625" customWidth="1"/>
    <col min="11287" max="11287" width="8.88671875" style="625" customWidth="1"/>
    <col min="11288" max="11291" width="0" style="625" hidden="1" customWidth="1"/>
    <col min="11292" max="11292" width="8.6640625" style="625" customWidth="1"/>
    <col min="11293" max="11293" width="9.88671875" style="625" customWidth="1"/>
    <col min="11294" max="11294" width="8.88671875" style="625" customWidth="1"/>
    <col min="11295" max="11295" width="8.33203125" style="625" customWidth="1"/>
    <col min="11296" max="11296" width="0" style="625" hidden="1" customWidth="1"/>
    <col min="11297" max="11301" width="8.88671875" style="625" customWidth="1"/>
    <col min="11302" max="11302" width="0" style="625" hidden="1" customWidth="1"/>
    <col min="11303" max="11304" width="8.88671875" style="625" customWidth="1"/>
    <col min="11305" max="11416" width="0" style="625" hidden="1" customWidth="1"/>
    <col min="11417" max="11521" width="8.88671875" style="625"/>
    <col min="11522" max="11522" width="6.6640625" style="625" customWidth="1"/>
    <col min="11523" max="11523" width="38" style="625" customWidth="1"/>
    <col min="11524" max="11524" width="8.33203125" style="625" customWidth="1"/>
    <col min="11525" max="11525" width="7.33203125" style="625" customWidth="1"/>
    <col min="11526" max="11529" width="8.88671875" style="625" customWidth="1"/>
    <col min="11530" max="11530" width="7.5546875" style="625" customWidth="1"/>
    <col min="11531" max="11531" width="8.44140625" style="625" customWidth="1"/>
    <col min="11532" max="11532" width="11.44140625" style="625" customWidth="1"/>
    <col min="11533" max="11533" width="9.5546875" style="625" customWidth="1"/>
    <col min="11534" max="11536" width="8.88671875" style="625" customWidth="1"/>
    <col min="11537" max="11539" width="0" style="625" hidden="1" customWidth="1"/>
    <col min="11540" max="11540" width="8.88671875" style="625" customWidth="1"/>
    <col min="11541" max="11541" width="10.33203125" style="625" customWidth="1"/>
    <col min="11542" max="11542" width="9.44140625" style="625" customWidth="1"/>
    <col min="11543" max="11543" width="8.88671875" style="625" customWidth="1"/>
    <col min="11544" max="11547" width="0" style="625" hidden="1" customWidth="1"/>
    <col min="11548" max="11548" width="8.6640625" style="625" customWidth="1"/>
    <col min="11549" max="11549" width="9.88671875" style="625" customWidth="1"/>
    <col min="11550" max="11550" width="8.88671875" style="625" customWidth="1"/>
    <col min="11551" max="11551" width="8.33203125" style="625" customWidth="1"/>
    <col min="11552" max="11552" width="0" style="625" hidden="1" customWidth="1"/>
    <col min="11553" max="11557" width="8.88671875" style="625" customWidth="1"/>
    <col min="11558" max="11558" width="0" style="625" hidden="1" customWidth="1"/>
    <col min="11559" max="11560" width="8.88671875" style="625" customWidth="1"/>
    <col min="11561" max="11672" width="0" style="625" hidden="1" customWidth="1"/>
    <col min="11673" max="11777" width="8.88671875" style="625"/>
    <col min="11778" max="11778" width="6.6640625" style="625" customWidth="1"/>
    <col min="11779" max="11779" width="38" style="625" customWidth="1"/>
    <col min="11780" max="11780" width="8.33203125" style="625" customWidth="1"/>
    <col min="11781" max="11781" width="7.33203125" style="625" customWidth="1"/>
    <col min="11782" max="11785" width="8.88671875" style="625" customWidth="1"/>
    <col min="11786" max="11786" width="7.5546875" style="625" customWidth="1"/>
    <col min="11787" max="11787" width="8.44140625" style="625" customWidth="1"/>
    <col min="11788" max="11788" width="11.44140625" style="625" customWidth="1"/>
    <col min="11789" max="11789" width="9.5546875" style="625" customWidth="1"/>
    <col min="11790" max="11792" width="8.88671875" style="625" customWidth="1"/>
    <col min="11793" max="11795" width="0" style="625" hidden="1" customWidth="1"/>
    <col min="11796" max="11796" width="8.88671875" style="625" customWidth="1"/>
    <col min="11797" max="11797" width="10.33203125" style="625" customWidth="1"/>
    <col min="11798" max="11798" width="9.44140625" style="625" customWidth="1"/>
    <col min="11799" max="11799" width="8.88671875" style="625" customWidth="1"/>
    <col min="11800" max="11803" width="0" style="625" hidden="1" customWidth="1"/>
    <col min="11804" max="11804" width="8.6640625" style="625" customWidth="1"/>
    <col min="11805" max="11805" width="9.88671875" style="625" customWidth="1"/>
    <col min="11806" max="11806" width="8.88671875" style="625" customWidth="1"/>
    <col min="11807" max="11807" width="8.33203125" style="625" customWidth="1"/>
    <col min="11808" max="11808" width="0" style="625" hidden="1" customWidth="1"/>
    <col min="11809" max="11813" width="8.88671875" style="625" customWidth="1"/>
    <col min="11814" max="11814" width="0" style="625" hidden="1" customWidth="1"/>
    <col min="11815" max="11816" width="8.88671875" style="625" customWidth="1"/>
    <col min="11817" max="11928" width="0" style="625" hidden="1" customWidth="1"/>
    <col min="11929" max="12033" width="8.88671875" style="625"/>
    <col min="12034" max="12034" width="6.6640625" style="625" customWidth="1"/>
    <col min="12035" max="12035" width="38" style="625" customWidth="1"/>
    <col min="12036" max="12036" width="8.33203125" style="625" customWidth="1"/>
    <col min="12037" max="12037" width="7.33203125" style="625" customWidth="1"/>
    <col min="12038" max="12041" width="8.88671875" style="625" customWidth="1"/>
    <col min="12042" max="12042" width="7.5546875" style="625" customWidth="1"/>
    <col min="12043" max="12043" width="8.44140625" style="625" customWidth="1"/>
    <col min="12044" max="12044" width="11.44140625" style="625" customWidth="1"/>
    <col min="12045" max="12045" width="9.5546875" style="625" customWidth="1"/>
    <col min="12046" max="12048" width="8.88671875" style="625" customWidth="1"/>
    <col min="12049" max="12051" width="0" style="625" hidden="1" customWidth="1"/>
    <col min="12052" max="12052" width="8.88671875" style="625" customWidth="1"/>
    <col min="12053" max="12053" width="10.33203125" style="625" customWidth="1"/>
    <col min="12054" max="12054" width="9.44140625" style="625" customWidth="1"/>
    <col min="12055" max="12055" width="8.88671875" style="625" customWidth="1"/>
    <col min="12056" max="12059" width="0" style="625" hidden="1" customWidth="1"/>
    <col min="12060" max="12060" width="8.6640625" style="625" customWidth="1"/>
    <col min="12061" max="12061" width="9.88671875" style="625" customWidth="1"/>
    <col min="12062" max="12062" width="8.88671875" style="625" customWidth="1"/>
    <col min="12063" max="12063" width="8.33203125" style="625" customWidth="1"/>
    <col min="12064" max="12064" width="0" style="625" hidden="1" customWidth="1"/>
    <col min="12065" max="12069" width="8.88671875" style="625" customWidth="1"/>
    <col min="12070" max="12070" width="0" style="625" hidden="1" customWidth="1"/>
    <col min="12071" max="12072" width="8.88671875" style="625" customWidth="1"/>
    <col min="12073" max="12184" width="0" style="625" hidden="1" customWidth="1"/>
    <col min="12185" max="12289" width="8.88671875" style="625"/>
    <col min="12290" max="12290" width="6.6640625" style="625" customWidth="1"/>
    <col min="12291" max="12291" width="38" style="625" customWidth="1"/>
    <col min="12292" max="12292" width="8.33203125" style="625" customWidth="1"/>
    <col min="12293" max="12293" width="7.33203125" style="625" customWidth="1"/>
    <col min="12294" max="12297" width="8.88671875" style="625" customWidth="1"/>
    <col min="12298" max="12298" width="7.5546875" style="625" customWidth="1"/>
    <col min="12299" max="12299" width="8.44140625" style="625" customWidth="1"/>
    <col min="12300" max="12300" width="11.44140625" style="625" customWidth="1"/>
    <col min="12301" max="12301" width="9.5546875" style="625" customWidth="1"/>
    <col min="12302" max="12304" width="8.88671875" style="625" customWidth="1"/>
    <col min="12305" max="12307" width="0" style="625" hidden="1" customWidth="1"/>
    <col min="12308" max="12308" width="8.88671875" style="625" customWidth="1"/>
    <col min="12309" max="12309" width="10.33203125" style="625" customWidth="1"/>
    <col min="12310" max="12310" width="9.44140625" style="625" customWidth="1"/>
    <col min="12311" max="12311" width="8.88671875" style="625" customWidth="1"/>
    <col min="12312" max="12315" width="0" style="625" hidden="1" customWidth="1"/>
    <col min="12316" max="12316" width="8.6640625" style="625" customWidth="1"/>
    <col min="12317" max="12317" width="9.88671875" style="625" customWidth="1"/>
    <col min="12318" max="12318" width="8.88671875" style="625" customWidth="1"/>
    <col min="12319" max="12319" width="8.33203125" style="625" customWidth="1"/>
    <col min="12320" max="12320" width="0" style="625" hidden="1" customWidth="1"/>
    <col min="12321" max="12325" width="8.88671875" style="625" customWidth="1"/>
    <col min="12326" max="12326" width="0" style="625" hidden="1" customWidth="1"/>
    <col min="12327" max="12328" width="8.88671875" style="625" customWidth="1"/>
    <col min="12329" max="12440" width="0" style="625" hidden="1" customWidth="1"/>
    <col min="12441" max="12545" width="8.88671875" style="625"/>
    <col min="12546" max="12546" width="6.6640625" style="625" customWidth="1"/>
    <col min="12547" max="12547" width="38" style="625" customWidth="1"/>
    <col min="12548" max="12548" width="8.33203125" style="625" customWidth="1"/>
    <col min="12549" max="12549" width="7.33203125" style="625" customWidth="1"/>
    <col min="12550" max="12553" width="8.88671875" style="625" customWidth="1"/>
    <col min="12554" max="12554" width="7.5546875" style="625" customWidth="1"/>
    <col min="12555" max="12555" width="8.44140625" style="625" customWidth="1"/>
    <col min="12556" max="12556" width="11.44140625" style="625" customWidth="1"/>
    <col min="12557" max="12557" width="9.5546875" style="625" customWidth="1"/>
    <col min="12558" max="12560" width="8.88671875" style="625" customWidth="1"/>
    <col min="12561" max="12563" width="0" style="625" hidden="1" customWidth="1"/>
    <col min="12564" max="12564" width="8.88671875" style="625" customWidth="1"/>
    <col min="12565" max="12565" width="10.33203125" style="625" customWidth="1"/>
    <col min="12566" max="12566" width="9.44140625" style="625" customWidth="1"/>
    <col min="12567" max="12567" width="8.88671875" style="625" customWidth="1"/>
    <col min="12568" max="12571" width="0" style="625" hidden="1" customWidth="1"/>
    <col min="12572" max="12572" width="8.6640625" style="625" customWidth="1"/>
    <col min="12573" max="12573" width="9.88671875" style="625" customWidth="1"/>
    <col min="12574" max="12574" width="8.88671875" style="625" customWidth="1"/>
    <col min="12575" max="12575" width="8.33203125" style="625" customWidth="1"/>
    <col min="12576" max="12576" width="0" style="625" hidden="1" customWidth="1"/>
    <col min="12577" max="12581" width="8.88671875" style="625" customWidth="1"/>
    <col min="12582" max="12582" width="0" style="625" hidden="1" customWidth="1"/>
    <col min="12583" max="12584" width="8.88671875" style="625" customWidth="1"/>
    <col min="12585" max="12696" width="0" style="625" hidden="1" customWidth="1"/>
    <col min="12697" max="12801" width="8.88671875" style="625"/>
    <col min="12802" max="12802" width="6.6640625" style="625" customWidth="1"/>
    <col min="12803" max="12803" width="38" style="625" customWidth="1"/>
    <col min="12804" max="12804" width="8.33203125" style="625" customWidth="1"/>
    <col min="12805" max="12805" width="7.33203125" style="625" customWidth="1"/>
    <col min="12806" max="12809" width="8.88671875" style="625" customWidth="1"/>
    <col min="12810" max="12810" width="7.5546875" style="625" customWidth="1"/>
    <col min="12811" max="12811" width="8.44140625" style="625" customWidth="1"/>
    <col min="12812" max="12812" width="11.44140625" style="625" customWidth="1"/>
    <col min="12813" max="12813" width="9.5546875" style="625" customWidth="1"/>
    <col min="12814" max="12816" width="8.88671875" style="625" customWidth="1"/>
    <col min="12817" max="12819" width="0" style="625" hidden="1" customWidth="1"/>
    <col min="12820" max="12820" width="8.88671875" style="625" customWidth="1"/>
    <col min="12821" max="12821" width="10.33203125" style="625" customWidth="1"/>
    <col min="12822" max="12822" width="9.44140625" style="625" customWidth="1"/>
    <col min="12823" max="12823" width="8.88671875" style="625" customWidth="1"/>
    <col min="12824" max="12827" width="0" style="625" hidden="1" customWidth="1"/>
    <col min="12828" max="12828" width="8.6640625" style="625" customWidth="1"/>
    <col min="12829" max="12829" width="9.88671875" style="625" customWidth="1"/>
    <col min="12830" max="12830" width="8.88671875" style="625" customWidth="1"/>
    <col min="12831" max="12831" width="8.33203125" style="625" customWidth="1"/>
    <col min="12832" max="12832" width="0" style="625" hidden="1" customWidth="1"/>
    <col min="12833" max="12837" width="8.88671875" style="625" customWidth="1"/>
    <col min="12838" max="12838" width="0" style="625" hidden="1" customWidth="1"/>
    <col min="12839" max="12840" width="8.88671875" style="625" customWidth="1"/>
    <col min="12841" max="12952" width="0" style="625" hidden="1" customWidth="1"/>
    <col min="12953" max="13057" width="8.88671875" style="625"/>
    <col min="13058" max="13058" width="6.6640625" style="625" customWidth="1"/>
    <col min="13059" max="13059" width="38" style="625" customWidth="1"/>
    <col min="13060" max="13060" width="8.33203125" style="625" customWidth="1"/>
    <col min="13061" max="13061" width="7.33203125" style="625" customWidth="1"/>
    <col min="13062" max="13065" width="8.88671875" style="625" customWidth="1"/>
    <col min="13066" max="13066" width="7.5546875" style="625" customWidth="1"/>
    <col min="13067" max="13067" width="8.44140625" style="625" customWidth="1"/>
    <col min="13068" max="13068" width="11.44140625" style="625" customWidth="1"/>
    <col min="13069" max="13069" width="9.5546875" style="625" customWidth="1"/>
    <col min="13070" max="13072" width="8.88671875" style="625" customWidth="1"/>
    <col min="13073" max="13075" width="0" style="625" hidden="1" customWidth="1"/>
    <col min="13076" max="13076" width="8.88671875" style="625" customWidth="1"/>
    <col min="13077" max="13077" width="10.33203125" style="625" customWidth="1"/>
    <col min="13078" max="13078" width="9.44140625" style="625" customWidth="1"/>
    <col min="13079" max="13079" width="8.88671875" style="625" customWidth="1"/>
    <col min="13080" max="13083" width="0" style="625" hidden="1" customWidth="1"/>
    <col min="13084" max="13084" width="8.6640625" style="625" customWidth="1"/>
    <col min="13085" max="13085" width="9.88671875" style="625" customWidth="1"/>
    <col min="13086" max="13086" width="8.88671875" style="625" customWidth="1"/>
    <col min="13087" max="13087" width="8.33203125" style="625" customWidth="1"/>
    <col min="13088" max="13088" width="0" style="625" hidden="1" customWidth="1"/>
    <col min="13089" max="13093" width="8.88671875" style="625" customWidth="1"/>
    <col min="13094" max="13094" width="0" style="625" hidden="1" customWidth="1"/>
    <col min="13095" max="13096" width="8.88671875" style="625" customWidth="1"/>
    <col min="13097" max="13208" width="0" style="625" hidden="1" customWidth="1"/>
    <col min="13209" max="13313" width="8.88671875" style="625"/>
    <col min="13314" max="13314" width="6.6640625" style="625" customWidth="1"/>
    <col min="13315" max="13315" width="38" style="625" customWidth="1"/>
    <col min="13316" max="13316" width="8.33203125" style="625" customWidth="1"/>
    <col min="13317" max="13317" width="7.33203125" style="625" customWidth="1"/>
    <col min="13318" max="13321" width="8.88671875" style="625" customWidth="1"/>
    <col min="13322" max="13322" width="7.5546875" style="625" customWidth="1"/>
    <col min="13323" max="13323" width="8.44140625" style="625" customWidth="1"/>
    <col min="13324" max="13324" width="11.44140625" style="625" customWidth="1"/>
    <col min="13325" max="13325" width="9.5546875" style="625" customWidth="1"/>
    <col min="13326" max="13328" width="8.88671875" style="625" customWidth="1"/>
    <col min="13329" max="13331" width="0" style="625" hidden="1" customWidth="1"/>
    <col min="13332" max="13332" width="8.88671875" style="625" customWidth="1"/>
    <col min="13333" max="13333" width="10.33203125" style="625" customWidth="1"/>
    <col min="13334" max="13334" width="9.44140625" style="625" customWidth="1"/>
    <col min="13335" max="13335" width="8.88671875" style="625" customWidth="1"/>
    <col min="13336" max="13339" width="0" style="625" hidden="1" customWidth="1"/>
    <col min="13340" max="13340" width="8.6640625" style="625" customWidth="1"/>
    <col min="13341" max="13341" width="9.88671875" style="625" customWidth="1"/>
    <col min="13342" max="13342" width="8.88671875" style="625" customWidth="1"/>
    <col min="13343" max="13343" width="8.33203125" style="625" customWidth="1"/>
    <col min="13344" max="13344" width="0" style="625" hidden="1" customWidth="1"/>
    <col min="13345" max="13349" width="8.88671875" style="625" customWidth="1"/>
    <col min="13350" max="13350" width="0" style="625" hidden="1" customWidth="1"/>
    <col min="13351" max="13352" width="8.88671875" style="625" customWidth="1"/>
    <col min="13353" max="13464" width="0" style="625" hidden="1" customWidth="1"/>
    <col min="13465" max="13569" width="8.88671875" style="625"/>
    <col min="13570" max="13570" width="6.6640625" style="625" customWidth="1"/>
    <col min="13571" max="13571" width="38" style="625" customWidth="1"/>
    <col min="13572" max="13572" width="8.33203125" style="625" customWidth="1"/>
    <col min="13573" max="13573" width="7.33203125" style="625" customWidth="1"/>
    <col min="13574" max="13577" width="8.88671875" style="625" customWidth="1"/>
    <col min="13578" max="13578" width="7.5546875" style="625" customWidth="1"/>
    <col min="13579" max="13579" width="8.44140625" style="625" customWidth="1"/>
    <col min="13580" max="13580" width="11.44140625" style="625" customWidth="1"/>
    <col min="13581" max="13581" width="9.5546875" style="625" customWidth="1"/>
    <col min="13582" max="13584" width="8.88671875" style="625" customWidth="1"/>
    <col min="13585" max="13587" width="0" style="625" hidden="1" customWidth="1"/>
    <col min="13588" max="13588" width="8.88671875" style="625" customWidth="1"/>
    <col min="13589" max="13589" width="10.33203125" style="625" customWidth="1"/>
    <col min="13590" max="13590" width="9.44140625" style="625" customWidth="1"/>
    <col min="13591" max="13591" width="8.88671875" style="625" customWidth="1"/>
    <col min="13592" max="13595" width="0" style="625" hidden="1" customWidth="1"/>
    <col min="13596" max="13596" width="8.6640625" style="625" customWidth="1"/>
    <col min="13597" max="13597" width="9.88671875" style="625" customWidth="1"/>
    <col min="13598" max="13598" width="8.88671875" style="625" customWidth="1"/>
    <col min="13599" max="13599" width="8.33203125" style="625" customWidth="1"/>
    <col min="13600" max="13600" width="0" style="625" hidden="1" customWidth="1"/>
    <col min="13601" max="13605" width="8.88671875" style="625" customWidth="1"/>
    <col min="13606" max="13606" width="0" style="625" hidden="1" customWidth="1"/>
    <col min="13607" max="13608" width="8.88671875" style="625" customWidth="1"/>
    <col min="13609" max="13720" width="0" style="625" hidden="1" customWidth="1"/>
    <col min="13721" max="13825" width="8.88671875" style="625"/>
    <col min="13826" max="13826" width="6.6640625" style="625" customWidth="1"/>
    <col min="13827" max="13827" width="38" style="625" customWidth="1"/>
    <col min="13828" max="13828" width="8.33203125" style="625" customWidth="1"/>
    <col min="13829" max="13829" width="7.33203125" style="625" customWidth="1"/>
    <col min="13830" max="13833" width="8.88671875" style="625" customWidth="1"/>
    <col min="13834" max="13834" width="7.5546875" style="625" customWidth="1"/>
    <col min="13835" max="13835" width="8.44140625" style="625" customWidth="1"/>
    <col min="13836" max="13836" width="11.44140625" style="625" customWidth="1"/>
    <col min="13837" max="13837" width="9.5546875" style="625" customWidth="1"/>
    <col min="13838" max="13840" width="8.88671875" style="625" customWidth="1"/>
    <col min="13841" max="13843" width="0" style="625" hidden="1" customWidth="1"/>
    <col min="13844" max="13844" width="8.88671875" style="625" customWidth="1"/>
    <col min="13845" max="13845" width="10.33203125" style="625" customWidth="1"/>
    <col min="13846" max="13846" width="9.44140625" style="625" customWidth="1"/>
    <col min="13847" max="13847" width="8.88671875" style="625" customWidth="1"/>
    <col min="13848" max="13851" width="0" style="625" hidden="1" customWidth="1"/>
    <col min="13852" max="13852" width="8.6640625" style="625" customWidth="1"/>
    <col min="13853" max="13853" width="9.88671875" style="625" customWidth="1"/>
    <col min="13854" max="13854" width="8.88671875" style="625" customWidth="1"/>
    <col min="13855" max="13855" width="8.33203125" style="625" customWidth="1"/>
    <col min="13856" max="13856" width="0" style="625" hidden="1" customWidth="1"/>
    <col min="13857" max="13861" width="8.88671875" style="625" customWidth="1"/>
    <col min="13862" max="13862" width="0" style="625" hidden="1" customWidth="1"/>
    <col min="13863" max="13864" width="8.88671875" style="625" customWidth="1"/>
    <col min="13865" max="13976" width="0" style="625" hidden="1" customWidth="1"/>
    <col min="13977" max="14081" width="8.88671875" style="625"/>
    <col min="14082" max="14082" width="6.6640625" style="625" customWidth="1"/>
    <col min="14083" max="14083" width="38" style="625" customWidth="1"/>
    <col min="14084" max="14084" width="8.33203125" style="625" customWidth="1"/>
    <col min="14085" max="14085" width="7.33203125" style="625" customWidth="1"/>
    <col min="14086" max="14089" width="8.88671875" style="625" customWidth="1"/>
    <col min="14090" max="14090" width="7.5546875" style="625" customWidth="1"/>
    <col min="14091" max="14091" width="8.44140625" style="625" customWidth="1"/>
    <col min="14092" max="14092" width="11.44140625" style="625" customWidth="1"/>
    <col min="14093" max="14093" width="9.5546875" style="625" customWidth="1"/>
    <col min="14094" max="14096" width="8.88671875" style="625" customWidth="1"/>
    <col min="14097" max="14099" width="0" style="625" hidden="1" customWidth="1"/>
    <col min="14100" max="14100" width="8.88671875" style="625" customWidth="1"/>
    <col min="14101" max="14101" width="10.33203125" style="625" customWidth="1"/>
    <col min="14102" max="14102" width="9.44140625" style="625" customWidth="1"/>
    <col min="14103" max="14103" width="8.88671875" style="625" customWidth="1"/>
    <col min="14104" max="14107" width="0" style="625" hidden="1" customWidth="1"/>
    <col min="14108" max="14108" width="8.6640625" style="625" customWidth="1"/>
    <col min="14109" max="14109" width="9.88671875" style="625" customWidth="1"/>
    <col min="14110" max="14110" width="8.88671875" style="625" customWidth="1"/>
    <col min="14111" max="14111" width="8.33203125" style="625" customWidth="1"/>
    <col min="14112" max="14112" width="0" style="625" hidden="1" customWidth="1"/>
    <col min="14113" max="14117" width="8.88671875" style="625" customWidth="1"/>
    <col min="14118" max="14118" width="0" style="625" hidden="1" customWidth="1"/>
    <col min="14119" max="14120" width="8.88671875" style="625" customWidth="1"/>
    <col min="14121" max="14232" width="0" style="625" hidden="1" customWidth="1"/>
    <col min="14233" max="14337" width="8.88671875" style="625"/>
    <col min="14338" max="14338" width="6.6640625" style="625" customWidth="1"/>
    <col min="14339" max="14339" width="38" style="625" customWidth="1"/>
    <col min="14340" max="14340" width="8.33203125" style="625" customWidth="1"/>
    <col min="14341" max="14341" width="7.33203125" style="625" customWidth="1"/>
    <col min="14342" max="14345" width="8.88671875" style="625" customWidth="1"/>
    <col min="14346" max="14346" width="7.5546875" style="625" customWidth="1"/>
    <col min="14347" max="14347" width="8.44140625" style="625" customWidth="1"/>
    <col min="14348" max="14348" width="11.44140625" style="625" customWidth="1"/>
    <col min="14349" max="14349" width="9.5546875" style="625" customWidth="1"/>
    <col min="14350" max="14352" width="8.88671875" style="625" customWidth="1"/>
    <col min="14353" max="14355" width="0" style="625" hidden="1" customWidth="1"/>
    <col min="14356" max="14356" width="8.88671875" style="625" customWidth="1"/>
    <col min="14357" max="14357" width="10.33203125" style="625" customWidth="1"/>
    <col min="14358" max="14358" width="9.44140625" style="625" customWidth="1"/>
    <col min="14359" max="14359" width="8.88671875" style="625" customWidth="1"/>
    <col min="14360" max="14363" width="0" style="625" hidden="1" customWidth="1"/>
    <col min="14364" max="14364" width="8.6640625" style="625" customWidth="1"/>
    <col min="14365" max="14365" width="9.88671875" style="625" customWidth="1"/>
    <col min="14366" max="14366" width="8.88671875" style="625" customWidth="1"/>
    <col min="14367" max="14367" width="8.33203125" style="625" customWidth="1"/>
    <col min="14368" max="14368" width="0" style="625" hidden="1" customWidth="1"/>
    <col min="14369" max="14373" width="8.88671875" style="625" customWidth="1"/>
    <col min="14374" max="14374" width="0" style="625" hidden="1" customWidth="1"/>
    <col min="14375" max="14376" width="8.88671875" style="625" customWidth="1"/>
    <col min="14377" max="14488" width="0" style="625" hidden="1" customWidth="1"/>
    <col min="14489" max="14593" width="8.88671875" style="625"/>
    <col min="14594" max="14594" width="6.6640625" style="625" customWidth="1"/>
    <col min="14595" max="14595" width="38" style="625" customWidth="1"/>
    <col min="14596" max="14596" width="8.33203125" style="625" customWidth="1"/>
    <col min="14597" max="14597" width="7.33203125" style="625" customWidth="1"/>
    <col min="14598" max="14601" width="8.88671875" style="625" customWidth="1"/>
    <col min="14602" max="14602" width="7.5546875" style="625" customWidth="1"/>
    <col min="14603" max="14603" width="8.44140625" style="625" customWidth="1"/>
    <col min="14604" max="14604" width="11.44140625" style="625" customWidth="1"/>
    <col min="14605" max="14605" width="9.5546875" style="625" customWidth="1"/>
    <col min="14606" max="14608" width="8.88671875" style="625" customWidth="1"/>
    <col min="14609" max="14611" width="0" style="625" hidden="1" customWidth="1"/>
    <col min="14612" max="14612" width="8.88671875" style="625" customWidth="1"/>
    <col min="14613" max="14613" width="10.33203125" style="625" customWidth="1"/>
    <col min="14614" max="14614" width="9.44140625" style="625" customWidth="1"/>
    <col min="14615" max="14615" width="8.88671875" style="625" customWidth="1"/>
    <col min="14616" max="14619" width="0" style="625" hidden="1" customWidth="1"/>
    <col min="14620" max="14620" width="8.6640625" style="625" customWidth="1"/>
    <col min="14621" max="14621" width="9.88671875" style="625" customWidth="1"/>
    <col min="14622" max="14622" width="8.88671875" style="625" customWidth="1"/>
    <col min="14623" max="14623" width="8.33203125" style="625" customWidth="1"/>
    <col min="14624" max="14624" width="0" style="625" hidden="1" customWidth="1"/>
    <col min="14625" max="14629" width="8.88671875" style="625" customWidth="1"/>
    <col min="14630" max="14630" width="0" style="625" hidden="1" customWidth="1"/>
    <col min="14631" max="14632" width="8.88671875" style="625" customWidth="1"/>
    <col min="14633" max="14744" width="0" style="625" hidden="1" customWidth="1"/>
    <col min="14745" max="14849" width="8.88671875" style="625"/>
    <col min="14850" max="14850" width="6.6640625" style="625" customWidth="1"/>
    <col min="14851" max="14851" width="38" style="625" customWidth="1"/>
    <col min="14852" max="14852" width="8.33203125" style="625" customWidth="1"/>
    <col min="14853" max="14853" width="7.33203125" style="625" customWidth="1"/>
    <col min="14854" max="14857" width="8.88671875" style="625" customWidth="1"/>
    <col min="14858" max="14858" width="7.5546875" style="625" customWidth="1"/>
    <col min="14859" max="14859" width="8.44140625" style="625" customWidth="1"/>
    <col min="14860" max="14860" width="11.44140625" style="625" customWidth="1"/>
    <col min="14861" max="14861" width="9.5546875" style="625" customWidth="1"/>
    <col min="14862" max="14864" width="8.88671875" style="625" customWidth="1"/>
    <col min="14865" max="14867" width="0" style="625" hidden="1" customWidth="1"/>
    <col min="14868" max="14868" width="8.88671875" style="625" customWidth="1"/>
    <col min="14869" max="14869" width="10.33203125" style="625" customWidth="1"/>
    <col min="14870" max="14870" width="9.44140625" style="625" customWidth="1"/>
    <col min="14871" max="14871" width="8.88671875" style="625" customWidth="1"/>
    <col min="14872" max="14875" width="0" style="625" hidden="1" customWidth="1"/>
    <col min="14876" max="14876" width="8.6640625" style="625" customWidth="1"/>
    <col min="14877" max="14877" width="9.88671875" style="625" customWidth="1"/>
    <col min="14878" max="14878" width="8.88671875" style="625" customWidth="1"/>
    <col min="14879" max="14879" width="8.33203125" style="625" customWidth="1"/>
    <col min="14880" max="14880" width="0" style="625" hidden="1" customWidth="1"/>
    <col min="14881" max="14885" width="8.88671875" style="625" customWidth="1"/>
    <col min="14886" max="14886" width="0" style="625" hidden="1" customWidth="1"/>
    <col min="14887" max="14888" width="8.88671875" style="625" customWidth="1"/>
    <col min="14889" max="15000" width="0" style="625" hidden="1" customWidth="1"/>
    <col min="15001" max="15105" width="8.88671875" style="625"/>
    <col min="15106" max="15106" width="6.6640625" style="625" customWidth="1"/>
    <col min="15107" max="15107" width="38" style="625" customWidth="1"/>
    <col min="15108" max="15108" width="8.33203125" style="625" customWidth="1"/>
    <col min="15109" max="15109" width="7.33203125" style="625" customWidth="1"/>
    <col min="15110" max="15113" width="8.88671875" style="625" customWidth="1"/>
    <col min="15114" max="15114" width="7.5546875" style="625" customWidth="1"/>
    <col min="15115" max="15115" width="8.44140625" style="625" customWidth="1"/>
    <col min="15116" max="15116" width="11.44140625" style="625" customWidth="1"/>
    <col min="15117" max="15117" width="9.5546875" style="625" customWidth="1"/>
    <col min="15118" max="15120" width="8.88671875" style="625" customWidth="1"/>
    <col min="15121" max="15123" width="0" style="625" hidden="1" customWidth="1"/>
    <col min="15124" max="15124" width="8.88671875" style="625" customWidth="1"/>
    <col min="15125" max="15125" width="10.33203125" style="625" customWidth="1"/>
    <col min="15126" max="15126" width="9.44140625" style="625" customWidth="1"/>
    <col min="15127" max="15127" width="8.88671875" style="625" customWidth="1"/>
    <col min="15128" max="15131" width="0" style="625" hidden="1" customWidth="1"/>
    <col min="15132" max="15132" width="8.6640625" style="625" customWidth="1"/>
    <col min="15133" max="15133" width="9.88671875" style="625" customWidth="1"/>
    <col min="15134" max="15134" width="8.88671875" style="625" customWidth="1"/>
    <col min="15135" max="15135" width="8.33203125" style="625" customWidth="1"/>
    <col min="15136" max="15136" width="0" style="625" hidden="1" customWidth="1"/>
    <col min="15137" max="15141" width="8.88671875" style="625" customWidth="1"/>
    <col min="15142" max="15142" width="0" style="625" hidden="1" customWidth="1"/>
    <col min="15143" max="15144" width="8.88671875" style="625" customWidth="1"/>
    <col min="15145" max="15256" width="0" style="625" hidden="1" customWidth="1"/>
    <col min="15257" max="15361" width="8.88671875" style="625"/>
    <col min="15362" max="15362" width="6.6640625" style="625" customWidth="1"/>
    <col min="15363" max="15363" width="38" style="625" customWidth="1"/>
    <col min="15364" max="15364" width="8.33203125" style="625" customWidth="1"/>
    <col min="15365" max="15365" width="7.33203125" style="625" customWidth="1"/>
    <col min="15366" max="15369" width="8.88671875" style="625" customWidth="1"/>
    <col min="15370" max="15370" width="7.5546875" style="625" customWidth="1"/>
    <col min="15371" max="15371" width="8.44140625" style="625" customWidth="1"/>
    <col min="15372" max="15372" width="11.44140625" style="625" customWidth="1"/>
    <col min="15373" max="15373" width="9.5546875" style="625" customWidth="1"/>
    <col min="15374" max="15376" width="8.88671875" style="625" customWidth="1"/>
    <col min="15377" max="15379" width="0" style="625" hidden="1" customWidth="1"/>
    <col min="15380" max="15380" width="8.88671875" style="625" customWidth="1"/>
    <col min="15381" max="15381" width="10.33203125" style="625" customWidth="1"/>
    <col min="15382" max="15382" width="9.44140625" style="625" customWidth="1"/>
    <col min="15383" max="15383" width="8.88671875" style="625" customWidth="1"/>
    <col min="15384" max="15387" width="0" style="625" hidden="1" customWidth="1"/>
    <col min="15388" max="15388" width="8.6640625" style="625" customWidth="1"/>
    <col min="15389" max="15389" width="9.88671875" style="625" customWidth="1"/>
    <col min="15390" max="15390" width="8.88671875" style="625" customWidth="1"/>
    <col min="15391" max="15391" width="8.33203125" style="625" customWidth="1"/>
    <col min="15392" max="15392" width="0" style="625" hidden="1" customWidth="1"/>
    <col min="15393" max="15397" width="8.88671875" style="625" customWidth="1"/>
    <col min="15398" max="15398" width="0" style="625" hidden="1" customWidth="1"/>
    <col min="15399" max="15400" width="8.88671875" style="625" customWidth="1"/>
    <col min="15401" max="15512" width="0" style="625" hidden="1" customWidth="1"/>
    <col min="15513" max="15617" width="8.88671875" style="625"/>
    <col min="15618" max="15618" width="6.6640625" style="625" customWidth="1"/>
    <col min="15619" max="15619" width="38" style="625" customWidth="1"/>
    <col min="15620" max="15620" width="8.33203125" style="625" customWidth="1"/>
    <col min="15621" max="15621" width="7.33203125" style="625" customWidth="1"/>
    <col min="15622" max="15625" width="8.88671875" style="625" customWidth="1"/>
    <col min="15626" max="15626" width="7.5546875" style="625" customWidth="1"/>
    <col min="15627" max="15627" width="8.44140625" style="625" customWidth="1"/>
    <col min="15628" max="15628" width="11.44140625" style="625" customWidth="1"/>
    <col min="15629" max="15629" width="9.5546875" style="625" customWidth="1"/>
    <col min="15630" max="15632" width="8.88671875" style="625" customWidth="1"/>
    <col min="15633" max="15635" width="0" style="625" hidden="1" customWidth="1"/>
    <col min="15636" max="15636" width="8.88671875" style="625" customWidth="1"/>
    <col min="15637" max="15637" width="10.33203125" style="625" customWidth="1"/>
    <col min="15638" max="15638" width="9.44140625" style="625" customWidth="1"/>
    <col min="15639" max="15639" width="8.88671875" style="625" customWidth="1"/>
    <col min="15640" max="15643" width="0" style="625" hidden="1" customWidth="1"/>
    <col min="15644" max="15644" width="8.6640625" style="625" customWidth="1"/>
    <col min="15645" max="15645" width="9.88671875" style="625" customWidth="1"/>
    <col min="15646" max="15646" width="8.88671875" style="625" customWidth="1"/>
    <col min="15647" max="15647" width="8.33203125" style="625" customWidth="1"/>
    <col min="15648" max="15648" width="0" style="625" hidden="1" customWidth="1"/>
    <col min="15649" max="15653" width="8.88671875" style="625" customWidth="1"/>
    <col min="15654" max="15654" width="0" style="625" hidden="1" customWidth="1"/>
    <col min="15655" max="15656" width="8.88671875" style="625" customWidth="1"/>
    <col min="15657" max="15768" width="0" style="625" hidden="1" customWidth="1"/>
    <col min="15769" max="15873" width="8.88671875" style="625"/>
    <col min="15874" max="15874" width="6.6640625" style="625" customWidth="1"/>
    <col min="15875" max="15875" width="38" style="625" customWidth="1"/>
    <col min="15876" max="15876" width="8.33203125" style="625" customWidth="1"/>
    <col min="15877" max="15877" width="7.33203125" style="625" customWidth="1"/>
    <col min="15878" max="15881" width="8.88671875" style="625" customWidth="1"/>
    <col min="15882" max="15882" width="7.5546875" style="625" customWidth="1"/>
    <col min="15883" max="15883" width="8.44140625" style="625" customWidth="1"/>
    <col min="15884" max="15884" width="11.44140625" style="625" customWidth="1"/>
    <col min="15885" max="15885" width="9.5546875" style="625" customWidth="1"/>
    <col min="15886" max="15888" width="8.88671875" style="625" customWidth="1"/>
    <col min="15889" max="15891" width="0" style="625" hidden="1" customWidth="1"/>
    <col min="15892" max="15892" width="8.88671875" style="625" customWidth="1"/>
    <col min="15893" max="15893" width="10.33203125" style="625" customWidth="1"/>
    <col min="15894" max="15894" width="9.44140625" style="625" customWidth="1"/>
    <col min="15895" max="15895" width="8.88671875" style="625" customWidth="1"/>
    <col min="15896" max="15899" width="0" style="625" hidden="1" customWidth="1"/>
    <col min="15900" max="15900" width="8.6640625" style="625" customWidth="1"/>
    <col min="15901" max="15901" width="9.88671875" style="625" customWidth="1"/>
    <col min="15902" max="15902" width="8.88671875" style="625" customWidth="1"/>
    <col min="15903" max="15903" width="8.33203125" style="625" customWidth="1"/>
    <col min="15904" max="15904" width="0" style="625" hidden="1" customWidth="1"/>
    <col min="15905" max="15909" width="8.88671875" style="625" customWidth="1"/>
    <col min="15910" max="15910" width="0" style="625" hidden="1" customWidth="1"/>
    <col min="15911" max="15912" width="8.88671875" style="625" customWidth="1"/>
    <col min="15913" max="16024" width="0" style="625" hidden="1" customWidth="1"/>
    <col min="16025" max="16129" width="8.88671875" style="625"/>
    <col min="16130" max="16130" width="6.6640625" style="625" customWidth="1"/>
    <col min="16131" max="16131" width="38" style="625" customWidth="1"/>
    <col min="16132" max="16132" width="8.33203125" style="625" customWidth="1"/>
    <col min="16133" max="16133" width="7.33203125" style="625" customWidth="1"/>
    <col min="16134" max="16137" width="8.88671875" style="625" customWidth="1"/>
    <col min="16138" max="16138" width="7.5546875" style="625" customWidth="1"/>
    <col min="16139" max="16139" width="8.44140625" style="625" customWidth="1"/>
    <col min="16140" max="16140" width="11.44140625" style="625" customWidth="1"/>
    <col min="16141" max="16141" width="9.5546875" style="625" customWidth="1"/>
    <col min="16142" max="16144" width="8.88671875" style="625" customWidth="1"/>
    <col min="16145" max="16147" width="0" style="625" hidden="1" customWidth="1"/>
    <col min="16148" max="16148" width="8.88671875" style="625" customWidth="1"/>
    <col min="16149" max="16149" width="10.33203125" style="625" customWidth="1"/>
    <col min="16150" max="16150" width="9.44140625" style="625" customWidth="1"/>
    <col min="16151" max="16151" width="8.88671875" style="625" customWidth="1"/>
    <col min="16152" max="16155" width="0" style="625" hidden="1" customWidth="1"/>
    <col min="16156" max="16156" width="8.6640625" style="625" customWidth="1"/>
    <col min="16157" max="16157" width="9.88671875" style="625" customWidth="1"/>
    <col min="16158" max="16158" width="8.88671875" style="625" customWidth="1"/>
    <col min="16159" max="16159" width="8.33203125" style="625" customWidth="1"/>
    <col min="16160" max="16160" width="0" style="625" hidden="1" customWidth="1"/>
    <col min="16161" max="16165" width="8.88671875" style="625" customWidth="1"/>
    <col min="16166" max="16166" width="0" style="625" hidden="1" customWidth="1"/>
    <col min="16167" max="16168" width="8.88671875" style="625" customWidth="1"/>
    <col min="16169" max="16280" width="0" style="625" hidden="1" customWidth="1"/>
    <col min="16281" max="16384" width="8.88671875" style="625"/>
  </cols>
  <sheetData>
    <row r="1" spans="1:152" s="614" customFormat="1" ht="31.95" customHeight="1">
      <c r="A1" s="3044" t="s">
        <v>69</v>
      </c>
      <c r="B1" s="3044"/>
      <c r="C1" s="607"/>
      <c r="D1" s="607"/>
      <c r="E1" s="607"/>
      <c r="F1" s="607"/>
      <c r="G1" s="607"/>
      <c r="H1" s="607"/>
      <c r="I1" s="607"/>
      <c r="J1" s="607"/>
      <c r="K1" s="607">
        <f>SUM(L234,L235,L243,L244)</f>
        <v>159809</v>
      </c>
      <c r="L1" s="1737">
        <f>L220-L221</f>
        <v>37894</v>
      </c>
      <c r="M1" s="608"/>
      <c r="N1" s="608"/>
      <c r="O1" s="608"/>
      <c r="P1" s="608"/>
      <c r="Q1" s="608"/>
      <c r="R1" s="608"/>
      <c r="S1" s="608"/>
      <c r="T1" s="608"/>
      <c r="U1" s="608"/>
      <c r="V1" s="608"/>
      <c r="W1" s="608"/>
      <c r="X1" s="608"/>
      <c r="Y1" s="608"/>
      <c r="Z1" s="608"/>
      <c r="AA1" s="608"/>
      <c r="AB1" s="608"/>
      <c r="AC1" s="608"/>
      <c r="AD1" s="608"/>
      <c r="AE1" s="608"/>
      <c r="AF1" s="608"/>
      <c r="AG1" s="608"/>
      <c r="AH1" s="608"/>
      <c r="AI1" s="3120" t="s">
        <v>975</v>
      </c>
      <c r="AJ1" s="3120"/>
      <c r="AK1" s="608"/>
      <c r="AL1" s="611"/>
      <c r="AM1" s="612"/>
      <c r="AN1" s="613"/>
      <c r="AO1" s="612"/>
      <c r="AP1" s="612"/>
      <c r="AQ1" s="612"/>
      <c r="AZ1" s="615"/>
      <c r="BY1" s="732"/>
      <c r="BZ1" s="732"/>
      <c r="CA1" s="1327"/>
      <c r="CB1" s="1327"/>
      <c r="CC1" s="1327"/>
      <c r="CD1" s="1327"/>
      <c r="CE1" s="1327"/>
      <c r="CF1" s="1327"/>
      <c r="CG1" s="1327"/>
      <c r="CH1" s="1327"/>
      <c r="CI1" s="1327"/>
      <c r="CJ1" s="1327"/>
      <c r="CK1" s="1328"/>
      <c r="CL1" s="1328"/>
      <c r="CM1" s="1329"/>
      <c r="CN1" s="1329"/>
      <c r="CO1" s="1329"/>
      <c r="CP1" s="1329"/>
      <c r="CQ1" s="1329"/>
      <c r="CR1" s="1329"/>
      <c r="CS1" s="1329"/>
      <c r="CT1" s="1328"/>
      <c r="CU1" s="1328"/>
      <c r="CV1" s="1328"/>
      <c r="CW1" s="1328"/>
      <c r="CX1" s="1328"/>
      <c r="CY1" s="1328"/>
      <c r="CZ1" s="1328"/>
      <c r="DA1" s="1328"/>
      <c r="DB1" s="1328"/>
      <c r="DC1" s="1328"/>
      <c r="DD1" s="1328"/>
      <c r="DE1" s="1328"/>
      <c r="DF1" s="1328"/>
      <c r="DG1" s="1328"/>
      <c r="DH1" s="1328"/>
      <c r="DI1" s="1328"/>
      <c r="DJ1" s="1328"/>
      <c r="DK1" s="1328"/>
    </row>
    <row r="2" spans="1:152" s="614" customFormat="1" ht="25.5" customHeight="1">
      <c r="A2" s="3045" t="s">
        <v>974</v>
      </c>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612"/>
      <c r="AN2" s="613"/>
      <c r="AO2" s="3031" t="s">
        <v>395</v>
      </c>
      <c r="AP2" s="3031"/>
      <c r="AQ2" s="3031"/>
      <c r="AR2" s="3031"/>
      <c r="AS2" s="3031"/>
      <c r="AT2" s="3031"/>
      <c r="AU2" s="3031"/>
      <c r="AV2" s="3031"/>
      <c r="AW2" s="3031"/>
      <c r="AX2" s="3031"/>
      <c r="AY2" s="3031"/>
      <c r="AZ2" s="3031"/>
      <c r="BA2" s="3031"/>
      <c r="BB2" s="3031"/>
      <c r="BC2" s="3031"/>
      <c r="BD2" s="3031"/>
      <c r="BE2" s="3031"/>
      <c r="BF2" s="3031"/>
      <c r="BG2" s="3031"/>
      <c r="BH2" s="3031"/>
      <c r="BI2" s="3031"/>
      <c r="BJ2" s="3031"/>
      <c r="BK2" s="3031"/>
      <c r="BL2" s="3031"/>
      <c r="BM2" s="3031"/>
      <c r="BN2" s="3031"/>
      <c r="BO2" s="3031"/>
      <c r="BP2" s="3031"/>
      <c r="BQ2" s="3031"/>
      <c r="BR2" s="3031"/>
      <c r="BS2" s="3031"/>
      <c r="BT2" s="3031"/>
      <c r="BU2" s="3031"/>
      <c r="BV2" s="3031"/>
      <c r="BW2" s="3031"/>
      <c r="BY2" s="732"/>
      <c r="BZ2" s="732"/>
      <c r="CA2" s="1327"/>
      <c r="CB2" s="1327"/>
      <c r="CC2" s="1327"/>
      <c r="CD2" s="1327"/>
      <c r="CE2" s="1327"/>
      <c r="CF2" s="1327"/>
      <c r="CG2" s="1327"/>
      <c r="CH2" s="1327"/>
      <c r="CI2" s="1327"/>
      <c r="CJ2" s="1327"/>
      <c r="CK2" s="1328"/>
      <c r="CL2" s="1328"/>
      <c r="CM2" s="1329"/>
      <c r="CN2" s="1329"/>
      <c r="CO2" s="1329"/>
      <c r="CP2" s="1329"/>
      <c r="CQ2" s="1329"/>
      <c r="CR2" s="1329"/>
      <c r="CS2" s="1329"/>
      <c r="CT2" s="1328"/>
      <c r="CU2" s="1328"/>
      <c r="CV2" s="1328"/>
      <c r="CW2" s="1328"/>
      <c r="CX2" s="1328"/>
      <c r="CY2" s="1328"/>
      <c r="CZ2" s="1328"/>
      <c r="DA2" s="1328"/>
      <c r="DB2" s="1328"/>
      <c r="DC2" s="1328"/>
      <c r="DD2" s="1328"/>
      <c r="DE2" s="1328"/>
      <c r="DF2" s="1328"/>
      <c r="DG2" s="1328"/>
      <c r="DH2" s="1328"/>
      <c r="DI2" s="1328"/>
      <c r="DJ2" s="1328"/>
      <c r="DK2" s="1328"/>
    </row>
    <row r="3" spans="1:152" s="614" customFormat="1" ht="21" customHeight="1">
      <c r="A3" s="3046" t="s">
        <v>396</v>
      </c>
      <c r="B3" s="3046"/>
      <c r="C3" s="3046"/>
      <c r="D3" s="3046"/>
      <c r="E3" s="3046"/>
      <c r="F3" s="3046"/>
      <c r="G3" s="3046"/>
      <c r="H3" s="3046"/>
      <c r="I3" s="3046"/>
      <c r="J3" s="3046"/>
      <c r="K3" s="3046"/>
      <c r="L3" s="3046"/>
      <c r="M3" s="3046"/>
      <c r="N3" s="3046"/>
      <c r="O3" s="3046"/>
      <c r="P3" s="3046"/>
      <c r="Q3" s="3046"/>
      <c r="R3" s="3046"/>
      <c r="S3" s="3046"/>
      <c r="T3" s="3046"/>
      <c r="U3" s="3046"/>
      <c r="V3" s="3046"/>
      <c r="W3" s="3046"/>
      <c r="X3" s="3046"/>
      <c r="Y3" s="3046"/>
      <c r="Z3" s="3046"/>
      <c r="AA3" s="3046"/>
      <c r="AB3" s="3046"/>
      <c r="AC3" s="3046"/>
      <c r="AD3" s="3046"/>
      <c r="AE3" s="3046"/>
      <c r="AF3" s="3046"/>
      <c r="AG3" s="3046"/>
      <c r="AH3" s="3046"/>
      <c r="AI3" s="3046"/>
      <c r="AJ3" s="3046"/>
      <c r="AK3" s="3046"/>
      <c r="AL3" s="3046"/>
      <c r="AM3" s="612"/>
      <c r="AN3" s="613"/>
      <c r="AO3" s="612"/>
      <c r="AP3" s="612"/>
      <c r="AQ3" s="612"/>
      <c r="AZ3" s="615"/>
      <c r="BY3" s="732"/>
      <c r="BZ3" s="732"/>
      <c r="CA3" s="1327"/>
      <c r="CB3" s="1327"/>
      <c r="CC3" s="1327"/>
      <c r="CD3" s="1327"/>
      <c r="CE3" s="1327"/>
      <c r="CF3" s="1327"/>
      <c r="CG3" s="1327"/>
      <c r="CH3" s="1327"/>
      <c r="CI3" s="1327"/>
      <c r="CJ3" s="1327"/>
      <c r="CK3" s="1328"/>
      <c r="CL3" s="1328"/>
      <c r="CM3" s="1329"/>
      <c r="CN3" s="1329"/>
      <c r="CO3" s="1329"/>
      <c r="CP3" s="1329"/>
      <c r="CQ3" s="1329"/>
      <c r="CR3" s="1329"/>
      <c r="CS3" s="1329"/>
      <c r="CT3" s="1328"/>
      <c r="CU3" s="1328"/>
      <c r="CV3" s="1328"/>
      <c r="CW3" s="1328"/>
      <c r="CX3" s="1328"/>
      <c r="CY3" s="1328"/>
      <c r="CZ3" s="1328"/>
      <c r="DA3" s="1328"/>
      <c r="DB3" s="1328"/>
      <c r="DC3" s="1328"/>
      <c r="DD3" s="1328"/>
      <c r="DE3" s="1328"/>
      <c r="DF3" s="1328"/>
      <c r="DG3" s="1328"/>
      <c r="DH3" s="1328"/>
      <c r="DI3" s="1328"/>
      <c r="DJ3" s="1328"/>
      <c r="DK3" s="1328"/>
    </row>
    <row r="4" spans="1:152" ht="15.75" customHeight="1">
      <c r="B4" s="619"/>
      <c r="AD4" s="622"/>
      <c r="AE4" s="622"/>
      <c r="AF4" s="622"/>
      <c r="AG4" s="622"/>
      <c r="AH4" s="622"/>
      <c r="AI4" s="3121" t="s">
        <v>397</v>
      </c>
      <c r="AJ4" s="3121"/>
      <c r="AK4" s="622"/>
      <c r="AL4" s="623"/>
    </row>
    <row r="5" spans="1:152" s="1324" customFormat="1" ht="37.950000000000003" customHeight="1">
      <c r="A5" s="3040" t="s">
        <v>398</v>
      </c>
      <c r="B5" s="3040" t="s">
        <v>235</v>
      </c>
      <c r="C5" s="3033" t="s">
        <v>400</v>
      </c>
      <c r="D5" s="3033" t="s">
        <v>401</v>
      </c>
      <c r="E5" s="3036" t="s">
        <v>401</v>
      </c>
      <c r="F5" s="3036"/>
      <c r="G5" s="3036" t="s">
        <v>402</v>
      </c>
      <c r="H5" s="3036"/>
      <c r="I5" s="3037" t="s">
        <v>403</v>
      </c>
      <c r="J5" s="3037"/>
      <c r="K5" s="3105" t="s">
        <v>796</v>
      </c>
      <c r="L5" s="3105" t="s">
        <v>404</v>
      </c>
      <c r="M5" s="3036" t="s">
        <v>286</v>
      </c>
      <c r="N5" s="3036"/>
      <c r="O5" s="3036"/>
      <c r="P5" s="3036"/>
      <c r="Q5" s="3036"/>
      <c r="R5" s="3036"/>
      <c r="S5" s="3036"/>
      <c r="T5" s="3036"/>
      <c r="U5" s="3036"/>
      <c r="V5" s="3036" t="s">
        <v>405</v>
      </c>
      <c r="W5" s="3036"/>
      <c r="X5" s="3036"/>
      <c r="Y5" s="3036"/>
      <c r="Z5" s="3036"/>
      <c r="AA5" s="3036"/>
      <c r="AB5" s="3036"/>
      <c r="AC5" s="3036"/>
      <c r="AD5" s="3033" t="s">
        <v>406</v>
      </c>
      <c r="AE5" s="3033" t="s">
        <v>407</v>
      </c>
      <c r="AF5" s="3033" t="s">
        <v>408</v>
      </c>
      <c r="AG5" s="3033" t="s">
        <v>409</v>
      </c>
      <c r="AH5" s="3033" t="s">
        <v>410</v>
      </c>
      <c r="AI5" s="3033" t="s">
        <v>411</v>
      </c>
      <c r="AJ5" s="3033" t="s">
        <v>412</v>
      </c>
      <c r="AK5" s="3033" t="s">
        <v>1001</v>
      </c>
      <c r="AL5" s="3038" t="s">
        <v>414</v>
      </c>
      <c r="AM5" s="1318"/>
      <c r="AN5" s="628"/>
      <c r="AO5" s="3040" t="s">
        <v>398</v>
      </c>
      <c r="AP5" s="3040" t="s">
        <v>399</v>
      </c>
      <c r="AQ5" s="3033" t="s">
        <v>400</v>
      </c>
      <c r="AR5" s="3033" t="s">
        <v>401</v>
      </c>
      <c r="AS5" s="3036" t="s">
        <v>401</v>
      </c>
      <c r="AT5" s="3036"/>
      <c r="AU5" s="3036" t="s">
        <v>402</v>
      </c>
      <c r="AV5" s="3036"/>
      <c r="AW5" s="3037" t="s">
        <v>403</v>
      </c>
      <c r="AX5" s="3037"/>
      <c r="AY5" s="3033" t="s">
        <v>404</v>
      </c>
      <c r="AZ5" s="3036" t="s">
        <v>286</v>
      </c>
      <c r="BA5" s="3036"/>
      <c r="BB5" s="3036"/>
      <c r="BC5" s="3036"/>
      <c r="BD5" s="3036"/>
      <c r="BE5" s="3036"/>
      <c r="BF5" s="3036"/>
      <c r="BG5" s="3036"/>
      <c r="BH5" s="3036" t="s">
        <v>405</v>
      </c>
      <c r="BI5" s="3036"/>
      <c r="BJ5" s="3036"/>
      <c r="BK5" s="3036"/>
      <c r="BL5" s="3036"/>
      <c r="BM5" s="3036"/>
      <c r="BN5" s="3036"/>
      <c r="BO5" s="3033" t="s">
        <v>406</v>
      </c>
      <c r="BP5" s="3033" t="s">
        <v>407</v>
      </c>
      <c r="BQ5" s="3033" t="s">
        <v>408</v>
      </c>
      <c r="BR5" s="3033" t="s">
        <v>409</v>
      </c>
      <c r="BS5" s="3033" t="s">
        <v>410</v>
      </c>
      <c r="BT5" s="3033" t="s">
        <v>411</v>
      </c>
      <c r="BU5" s="3033" t="s">
        <v>412</v>
      </c>
      <c r="BV5" s="3033" t="s">
        <v>413</v>
      </c>
      <c r="BW5" s="3033" t="s">
        <v>414</v>
      </c>
      <c r="BY5" s="1333"/>
      <c r="BZ5" s="1333"/>
      <c r="CA5" s="3108" t="s">
        <v>398</v>
      </c>
      <c r="CB5" s="3108" t="s">
        <v>399</v>
      </c>
      <c r="CC5" s="1334" t="s">
        <v>400</v>
      </c>
      <c r="CD5" s="1334" t="s">
        <v>401</v>
      </c>
      <c r="CE5" s="1334" t="s">
        <v>401</v>
      </c>
      <c r="CF5" s="1334"/>
      <c r="CG5" s="1334" t="s">
        <v>402</v>
      </c>
      <c r="CH5" s="1334"/>
      <c r="CI5" s="1334" t="s">
        <v>403</v>
      </c>
      <c r="CJ5" s="1334"/>
      <c r="CK5" s="3100" t="s">
        <v>404</v>
      </c>
      <c r="CL5" s="3102" t="s">
        <v>286</v>
      </c>
      <c r="CM5" s="3103"/>
      <c r="CN5" s="3103"/>
      <c r="CO5" s="3103"/>
      <c r="CP5" s="3103"/>
      <c r="CQ5" s="3103"/>
      <c r="CR5" s="3103"/>
      <c r="CS5" s="3103"/>
      <c r="CT5" s="3104"/>
      <c r="CU5" s="3117" t="s">
        <v>405</v>
      </c>
      <c r="CV5" s="3118"/>
      <c r="CW5" s="3118"/>
      <c r="CX5" s="3118"/>
      <c r="CY5" s="3118"/>
      <c r="CZ5" s="3118"/>
      <c r="DA5" s="3118"/>
      <c r="DB5" s="3119"/>
      <c r="DC5" s="3111" t="s">
        <v>406</v>
      </c>
      <c r="DD5" s="3111" t="s">
        <v>407</v>
      </c>
      <c r="DE5" s="3111" t="s">
        <v>408</v>
      </c>
      <c r="DF5" s="3111" t="s">
        <v>409</v>
      </c>
      <c r="DG5" s="3111" t="s">
        <v>410</v>
      </c>
      <c r="DH5" s="3111" t="s">
        <v>411</v>
      </c>
      <c r="DI5" s="3111" t="s">
        <v>412</v>
      </c>
      <c r="DJ5" s="3111" t="s">
        <v>413</v>
      </c>
      <c r="DK5" s="3111" t="s">
        <v>414</v>
      </c>
      <c r="DT5" s="3040" t="s">
        <v>398</v>
      </c>
      <c r="DU5" s="3040" t="s">
        <v>399</v>
      </c>
      <c r="DV5" s="3033" t="s">
        <v>404</v>
      </c>
      <c r="DW5" s="3033" t="s">
        <v>286</v>
      </c>
      <c r="DX5" s="3033"/>
      <c r="DY5" s="3033"/>
      <c r="DZ5" s="3033"/>
      <c r="EA5" s="3033"/>
      <c r="EB5" s="3033"/>
      <c r="EC5" s="3033"/>
      <c r="ED5" s="3033"/>
      <c r="EE5" s="3033"/>
      <c r="EF5" s="3033" t="s">
        <v>405</v>
      </c>
      <c r="EG5" s="3033"/>
      <c r="EH5" s="3033"/>
      <c r="EI5" s="3033"/>
      <c r="EJ5" s="3033"/>
      <c r="EK5" s="3033"/>
      <c r="EL5" s="3033"/>
      <c r="EM5" s="3033"/>
      <c r="EN5" s="3033" t="s">
        <v>406</v>
      </c>
      <c r="EO5" s="3033" t="s">
        <v>407</v>
      </c>
      <c r="EP5" s="3038" t="s">
        <v>408</v>
      </c>
      <c r="EQ5" s="3038" t="s">
        <v>409</v>
      </c>
      <c r="ER5" s="3038" t="s">
        <v>410</v>
      </c>
      <c r="ES5" s="3038" t="s">
        <v>411</v>
      </c>
      <c r="ET5" s="3038" t="s">
        <v>412</v>
      </c>
      <c r="EU5" s="3038" t="s">
        <v>413</v>
      </c>
      <c r="EV5" s="3038" t="s">
        <v>414</v>
      </c>
    </row>
    <row r="6" spans="1:152" s="1324" customFormat="1" ht="124.5" customHeight="1">
      <c r="A6" s="3041"/>
      <c r="B6" s="3041"/>
      <c r="C6" s="3034"/>
      <c r="D6" s="3034"/>
      <c r="E6" s="630" t="s">
        <v>415</v>
      </c>
      <c r="F6" s="630" t="s">
        <v>416</v>
      </c>
      <c r="G6" s="630" t="s">
        <v>415</v>
      </c>
      <c r="H6" s="630" t="s">
        <v>416</v>
      </c>
      <c r="I6" s="630" t="s">
        <v>417</v>
      </c>
      <c r="J6" s="630" t="s">
        <v>418</v>
      </c>
      <c r="K6" s="3106"/>
      <c r="L6" s="3106"/>
      <c r="M6" s="631" t="s">
        <v>419</v>
      </c>
      <c r="N6" s="631" t="s">
        <v>420</v>
      </c>
      <c r="O6" s="631" t="s">
        <v>421</v>
      </c>
      <c r="P6" s="631" t="s">
        <v>422</v>
      </c>
      <c r="Q6" s="631" t="s">
        <v>423</v>
      </c>
      <c r="R6" s="631" t="s">
        <v>424</v>
      </c>
      <c r="S6" s="631" t="s">
        <v>425</v>
      </c>
      <c r="T6" s="631" t="s">
        <v>426</v>
      </c>
      <c r="U6" s="631" t="s">
        <v>89</v>
      </c>
      <c r="V6" s="631" t="s">
        <v>427</v>
      </c>
      <c r="W6" s="631" t="s">
        <v>428</v>
      </c>
      <c r="X6" s="631" t="s">
        <v>423</v>
      </c>
      <c r="Y6" s="631" t="s">
        <v>424</v>
      </c>
      <c r="Z6" s="631" t="s">
        <v>429</v>
      </c>
      <c r="AA6" s="631" t="s">
        <v>430</v>
      </c>
      <c r="AB6" s="631" t="s">
        <v>426</v>
      </c>
      <c r="AC6" s="631" t="s">
        <v>89</v>
      </c>
      <c r="AD6" s="3034"/>
      <c r="AE6" s="3034"/>
      <c r="AF6" s="3034"/>
      <c r="AG6" s="3034"/>
      <c r="AH6" s="3034"/>
      <c r="AI6" s="3034"/>
      <c r="AJ6" s="3034"/>
      <c r="AK6" s="3034"/>
      <c r="AL6" s="3039"/>
      <c r="AM6" s="1318"/>
      <c r="AN6" s="628"/>
      <c r="AO6" s="3041"/>
      <c r="AP6" s="3041"/>
      <c r="AQ6" s="3034"/>
      <c r="AR6" s="3034"/>
      <c r="AS6" s="630" t="s">
        <v>415</v>
      </c>
      <c r="AT6" s="630" t="s">
        <v>416</v>
      </c>
      <c r="AU6" s="630" t="s">
        <v>415</v>
      </c>
      <c r="AV6" s="630" t="s">
        <v>416</v>
      </c>
      <c r="AW6" s="630" t="s">
        <v>417</v>
      </c>
      <c r="AX6" s="630" t="s">
        <v>418</v>
      </c>
      <c r="AY6" s="3034"/>
      <c r="AZ6" s="634" t="s">
        <v>419</v>
      </c>
      <c r="BA6" s="631" t="s">
        <v>420</v>
      </c>
      <c r="BB6" s="631" t="s">
        <v>421</v>
      </c>
      <c r="BC6" s="631" t="s">
        <v>422</v>
      </c>
      <c r="BD6" s="631" t="s">
        <v>431</v>
      </c>
      <c r="BE6" s="631" t="s">
        <v>432</v>
      </c>
      <c r="BF6" s="632" t="s">
        <v>432</v>
      </c>
      <c r="BG6" s="631" t="s">
        <v>89</v>
      </c>
      <c r="BH6" s="631" t="s">
        <v>427</v>
      </c>
      <c r="BI6" s="631" t="s">
        <v>433</v>
      </c>
      <c r="BJ6" s="631" t="s">
        <v>428</v>
      </c>
      <c r="BK6" s="631" t="s">
        <v>434</v>
      </c>
      <c r="BL6" s="631" t="s">
        <v>432</v>
      </c>
      <c r="BM6" s="632" t="s">
        <v>432</v>
      </c>
      <c r="BN6" s="631" t="s">
        <v>89</v>
      </c>
      <c r="BO6" s="3034"/>
      <c r="BP6" s="3034"/>
      <c r="BQ6" s="3034"/>
      <c r="BR6" s="3034"/>
      <c r="BS6" s="3034"/>
      <c r="BT6" s="3034"/>
      <c r="BU6" s="3034"/>
      <c r="BV6" s="3034"/>
      <c r="BW6" s="3034"/>
      <c r="BY6" s="1333"/>
      <c r="BZ6" s="1333"/>
      <c r="CA6" s="3109"/>
      <c r="CB6" s="3109"/>
      <c r="CC6" s="1335"/>
      <c r="CD6" s="1335"/>
      <c r="CE6" s="1335" t="s">
        <v>415</v>
      </c>
      <c r="CF6" s="1335" t="s">
        <v>416</v>
      </c>
      <c r="CG6" s="1335" t="s">
        <v>415</v>
      </c>
      <c r="CH6" s="1335" t="s">
        <v>416</v>
      </c>
      <c r="CI6" s="1335" t="s">
        <v>417</v>
      </c>
      <c r="CJ6" s="1335" t="s">
        <v>418</v>
      </c>
      <c r="CK6" s="3101"/>
      <c r="CL6" s="1336" t="s">
        <v>419</v>
      </c>
      <c r="CM6" s="1336" t="s">
        <v>420</v>
      </c>
      <c r="CN6" s="1336" t="s">
        <v>421</v>
      </c>
      <c r="CO6" s="1336" t="s">
        <v>422</v>
      </c>
      <c r="CP6" s="1336" t="s">
        <v>423</v>
      </c>
      <c r="CQ6" s="1336" t="s">
        <v>424</v>
      </c>
      <c r="CR6" s="1336" t="s">
        <v>425</v>
      </c>
      <c r="CS6" s="1336" t="s">
        <v>426</v>
      </c>
      <c r="CT6" s="1337" t="s">
        <v>89</v>
      </c>
      <c r="CU6" s="1336" t="s">
        <v>427</v>
      </c>
      <c r="CV6" s="1336" t="s">
        <v>428</v>
      </c>
      <c r="CW6" s="1336" t="s">
        <v>423</v>
      </c>
      <c r="CX6" s="1336" t="s">
        <v>424</v>
      </c>
      <c r="CY6" s="1336" t="s">
        <v>429</v>
      </c>
      <c r="CZ6" s="1336" t="s">
        <v>430</v>
      </c>
      <c r="DA6" s="1336" t="s">
        <v>426</v>
      </c>
      <c r="DB6" s="1337" t="s">
        <v>89</v>
      </c>
      <c r="DC6" s="3112"/>
      <c r="DD6" s="3112"/>
      <c r="DE6" s="3112"/>
      <c r="DF6" s="3112"/>
      <c r="DG6" s="3112"/>
      <c r="DH6" s="3112"/>
      <c r="DI6" s="3112"/>
      <c r="DJ6" s="3112"/>
      <c r="DK6" s="3112"/>
      <c r="DT6" s="3041"/>
      <c r="DU6" s="3041"/>
      <c r="DV6" s="3034"/>
      <c r="DW6" s="1320" t="s">
        <v>419</v>
      </c>
      <c r="DX6" s="1320" t="s">
        <v>420</v>
      </c>
      <c r="DY6" s="1320" t="s">
        <v>421</v>
      </c>
      <c r="DZ6" s="1320" t="s">
        <v>422</v>
      </c>
      <c r="EA6" s="1338" t="s">
        <v>423</v>
      </c>
      <c r="EB6" s="1322" t="s">
        <v>424</v>
      </c>
      <c r="EC6" s="1339" t="s">
        <v>425</v>
      </c>
      <c r="ED6" s="1340" t="s">
        <v>426</v>
      </c>
      <c r="EE6" s="1320" t="s">
        <v>89</v>
      </c>
      <c r="EF6" s="1320" t="s">
        <v>427</v>
      </c>
      <c r="EG6" s="1320" t="s">
        <v>428</v>
      </c>
      <c r="EH6" s="1338" t="s">
        <v>423</v>
      </c>
      <c r="EI6" s="1322" t="s">
        <v>424</v>
      </c>
      <c r="EJ6" s="1341" t="s">
        <v>429</v>
      </c>
      <c r="EK6" s="1339" t="s">
        <v>430</v>
      </c>
      <c r="EL6" s="1340" t="s">
        <v>426</v>
      </c>
      <c r="EM6" s="1320" t="s">
        <v>89</v>
      </c>
      <c r="EN6" s="3034"/>
      <c r="EO6" s="3034"/>
      <c r="EP6" s="3039"/>
      <c r="EQ6" s="3039"/>
      <c r="ER6" s="3039"/>
      <c r="ES6" s="3039"/>
      <c r="ET6" s="3039"/>
      <c r="EU6" s="3039"/>
      <c r="EV6" s="3039"/>
    </row>
    <row r="7" spans="1:152" s="643" customFormat="1" ht="36.75" customHeight="1">
      <c r="A7" s="635" t="s">
        <v>80</v>
      </c>
      <c r="B7" s="635" t="s">
        <v>81</v>
      </c>
      <c r="C7" s="636" t="s">
        <v>435</v>
      </c>
      <c r="D7" s="636" t="s">
        <v>436</v>
      </c>
      <c r="E7" s="636">
        <v>3</v>
      </c>
      <c r="F7" s="636">
        <v>4</v>
      </c>
      <c r="G7" s="636">
        <v>5</v>
      </c>
      <c r="H7" s="636">
        <v>6</v>
      </c>
      <c r="I7" s="636">
        <v>7</v>
      </c>
      <c r="J7" s="636">
        <v>8</v>
      </c>
      <c r="K7" s="636"/>
      <c r="L7" s="636" t="s">
        <v>886</v>
      </c>
      <c r="M7" s="636">
        <v>10</v>
      </c>
      <c r="N7" s="636">
        <v>11</v>
      </c>
      <c r="O7" s="636">
        <v>12</v>
      </c>
      <c r="P7" s="636">
        <v>13</v>
      </c>
      <c r="Q7" s="636"/>
      <c r="R7" s="636"/>
      <c r="S7" s="636"/>
      <c r="T7" s="636">
        <v>14</v>
      </c>
      <c r="U7" s="636" t="s">
        <v>438</v>
      </c>
      <c r="V7" s="636">
        <v>16</v>
      </c>
      <c r="W7" s="636">
        <v>17</v>
      </c>
      <c r="X7" s="636"/>
      <c r="Y7" s="636"/>
      <c r="Z7" s="636"/>
      <c r="AA7" s="636"/>
      <c r="AB7" s="636">
        <v>18</v>
      </c>
      <c r="AC7" s="636" t="s">
        <v>887</v>
      </c>
      <c r="AD7" s="636">
        <v>20</v>
      </c>
      <c r="AE7" s="636">
        <v>21</v>
      </c>
      <c r="AF7" s="636">
        <v>22</v>
      </c>
      <c r="AG7" s="636">
        <v>23</v>
      </c>
      <c r="AH7" s="636">
        <v>24</v>
      </c>
      <c r="AI7" s="636">
        <v>25</v>
      </c>
      <c r="AJ7" s="636">
        <v>26</v>
      </c>
      <c r="AK7" s="636">
        <v>27</v>
      </c>
      <c r="AL7" s="639">
        <v>28</v>
      </c>
      <c r="AM7" s="640"/>
      <c r="AN7" s="641"/>
      <c r="AO7" s="635" t="s">
        <v>80</v>
      </c>
      <c r="AP7" s="635" t="s">
        <v>81</v>
      </c>
      <c r="AQ7" s="636" t="s">
        <v>435</v>
      </c>
      <c r="AR7" s="636" t="s">
        <v>436</v>
      </c>
      <c r="AS7" s="636">
        <v>3</v>
      </c>
      <c r="AT7" s="636">
        <v>4</v>
      </c>
      <c r="AU7" s="636">
        <v>5</v>
      </c>
      <c r="AV7" s="636">
        <v>6</v>
      </c>
      <c r="AW7" s="636">
        <v>7</v>
      </c>
      <c r="AX7" s="636">
        <v>8</v>
      </c>
      <c r="AY7" s="636" t="s">
        <v>437</v>
      </c>
      <c r="AZ7" s="642">
        <v>10</v>
      </c>
      <c r="BA7" s="636">
        <v>11</v>
      </c>
      <c r="BB7" s="636">
        <v>12</v>
      </c>
      <c r="BC7" s="636">
        <v>13</v>
      </c>
      <c r="BD7" s="636">
        <v>14</v>
      </c>
      <c r="BE7" s="636">
        <v>15</v>
      </c>
      <c r="BF7" s="637">
        <v>14</v>
      </c>
      <c r="BG7" s="636" t="s">
        <v>438</v>
      </c>
      <c r="BH7" s="636">
        <v>16</v>
      </c>
      <c r="BI7" s="636">
        <v>17</v>
      </c>
      <c r="BJ7" s="636">
        <v>18</v>
      </c>
      <c r="BK7" s="636">
        <v>20</v>
      </c>
      <c r="BL7" s="636">
        <v>21</v>
      </c>
      <c r="BM7" s="637">
        <v>19</v>
      </c>
      <c r="BN7" s="636" t="s">
        <v>439</v>
      </c>
      <c r="BO7" s="636">
        <v>21</v>
      </c>
      <c r="BP7" s="636">
        <v>22</v>
      </c>
      <c r="BQ7" s="636">
        <v>25</v>
      </c>
      <c r="BR7" s="636">
        <v>23</v>
      </c>
      <c r="BS7" s="636">
        <v>24</v>
      </c>
      <c r="BT7" s="636">
        <v>25</v>
      </c>
      <c r="BU7" s="636">
        <v>26</v>
      </c>
      <c r="BV7" s="636">
        <v>27</v>
      </c>
      <c r="BW7" s="636">
        <v>28</v>
      </c>
      <c r="BY7" s="1342"/>
      <c r="BZ7" s="1342"/>
      <c r="CA7" s="1343" t="s">
        <v>80</v>
      </c>
      <c r="CB7" s="1343" t="s">
        <v>81</v>
      </c>
      <c r="CC7" s="1343" t="s">
        <v>435</v>
      </c>
      <c r="CD7" s="1343" t="s">
        <v>436</v>
      </c>
      <c r="CE7" s="1343">
        <v>3</v>
      </c>
      <c r="CF7" s="1343">
        <v>4</v>
      </c>
      <c r="CG7" s="1343">
        <v>5</v>
      </c>
      <c r="CH7" s="1343">
        <v>6</v>
      </c>
      <c r="CI7" s="1343">
        <v>7</v>
      </c>
      <c r="CJ7" s="1343">
        <v>8</v>
      </c>
      <c r="CK7" s="1344" t="s">
        <v>437</v>
      </c>
      <c r="CL7" s="1344">
        <v>10</v>
      </c>
      <c r="CM7" s="1345">
        <v>11</v>
      </c>
      <c r="CN7" s="1345">
        <v>12</v>
      </c>
      <c r="CO7" s="1345">
        <v>13</v>
      </c>
      <c r="CP7" s="1345">
        <v>14</v>
      </c>
      <c r="CQ7" s="1345">
        <v>15</v>
      </c>
      <c r="CR7" s="1345">
        <v>14</v>
      </c>
      <c r="CS7" s="1345"/>
      <c r="CT7" s="1344" t="s">
        <v>438</v>
      </c>
      <c r="CU7" s="1344">
        <v>16</v>
      </c>
      <c r="CV7" s="1344">
        <v>18</v>
      </c>
      <c r="CW7" s="1344">
        <v>20</v>
      </c>
      <c r="CX7" s="1344">
        <v>21</v>
      </c>
      <c r="CY7" s="1344"/>
      <c r="CZ7" s="1344">
        <v>19</v>
      </c>
      <c r="DA7" s="1344"/>
      <c r="DB7" s="1344" t="s">
        <v>439</v>
      </c>
      <c r="DC7" s="1344">
        <v>21</v>
      </c>
      <c r="DD7" s="1344">
        <v>22</v>
      </c>
      <c r="DE7" s="1344">
        <v>25</v>
      </c>
      <c r="DF7" s="1344">
        <v>23</v>
      </c>
      <c r="DG7" s="1344">
        <v>24</v>
      </c>
      <c r="DH7" s="1344">
        <v>25</v>
      </c>
      <c r="DI7" s="1344">
        <v>26</v>
      </c>
      <c r="DJ7" s="1344">
        <v>27</v>
      </c>
      <c r="DK7" s="1344">
        <v>28</v>
      </c>
      <c r="DT7" s="1346" t="s">
        <v>80</v>
      </c>
      <c r="DU7" s="1346" t="s">
        <v>81</v>
      </c>
      <c r="DV7" s="1346" t="s">
        <v>888</v>
      </c>
      <c r="DW7" s="1347">
        <v>2</v>
      </c>
      <c r="DX7" s="1347">
        <v>3</v>
      </c>
      <c r="DY7" s="1347">
        <v>4</v>
      </c>
      <c r="DZ7" s="1347">
        <v>5</v>
      </c>
      <c r="EA7" s="1347"/>
      <c r="EB7" s="1347"/>
      <c r="EC7" s="1347"/>
      <c r="ED7" s="1347">
        <v>6</v>
      </c>
      <c r="EE7" s="1346" t="s">
        <v>889</v>
      </c>
      <c r="EF7" s="1347">
        <v>8</v>
      </c>
      <c r="EG7" s="1347">
        <v>9</v>
      </c>
      <c r="EH7" s="1347"/>
      <c r="EI7" s="1347"/>
      <c r="EJ7" s="1347"/>
      <c r="EK7" s="1347"/>
      <c r="EL7" s="1347">
        <v>10</v>
      </c>
      <c r="EM7" s="1346" t="s">
        <v>890</v>
      </c>
      <c r="EN7" s="1347">
        <v>12</v>
      </c>
      <c r="EO7" s="1347">
        <v>13</v>
      </c>
      <c r="EP7" s="1347"/>
      <c r="EQ7" s="1347"/>
      <c r="ER7" s="1347"/>
      <c r="ES7" s="1347"/>
      <c r="ET7" s="1347"/>
      <c r="EU7" s="1347"/>
      <c r="EV7" s="1347"/>
    </row>
    <row r="8" spans="1:152" s="614" customFormat="1" ht="22.5" customHeight="1">
      <c r="A8" s="644" t="s">
        <v>54</v>
      </c>
      <c r="B8" s="645" t="s">
        <v>440</v>
      </c>
      <c r="C8" s="631">
        <f t="shared" ref="C8:J8" si="0">C9+C30+C43+C34</f>
        <v>760</v>
      </c>
      <c r="D8" s="631">
        <f t="shared" si="0"/>
        <v>700</v>
      </c>
      <c r="E8" s="631">
        <f t="shared" si="0"/>
        <v>90</v>
      </c>
      <c r="F8" s="631">
        <f t="shared" si="0"/>
        <v>610</v>
      </c>
      <c r="G8" s="631">
        <f t="shared" si="0"/>
        <v>82</v>
      </c>
      <c r="H8" s="631">
        <f t="shared" si="0"/>
        <v>605</v>
      </c>
      <c r="I8" s="631">
        <f t="shared" si="0"/>
        <v>60</v>
      </c>
      <c r="J8" s="631">
        <f t="shared" si="0"/>
        <v>58</v>
      </c>
      <c r="K8" s="1548">
        <f>L8-AD8</f>
        <v>333584</v>
      </c>
      <c r="L8" s="1548">
        <f t="shared" ref="L8:AL8" si="1">L9+L30+L43+L34</f>
        <v>334723</v>
      </c>
      <c r="M8" s="646">
        <f t="shared" si="1"/>
        <v>53952</v>
      </c>
      <c r="N8" s="646">
        <f t="shared" si="1"/>
        <v>13160</v>
      </c>
      <c r="O8" s="646">
        <f t="shared" si="1"/>
        <v>1373</v>
      </c>
      <c r="P8" s="646">
        <f t="shared" si="1"/>
        <v>0</v>
      </c>
      <c r="Q8" s="646">
        <f t="shared" si="1"/>
        <v>49</v>
      </c>
      <c r="R8" s="646">
        <f t="shared" si="1"/>
        <v>3.7</v>
      </c>
      <c r="S8" s="646">
        <f t="shared" si="1"/>
        <v>1501</v>
      </c>
      <c r="T8" s="646">
        <f t="shared" si="1"/>
        <v>1554</v>
      </c>
      <c r="U8" s="646">
        <f t="shared" si="1"/>
        <v>66931</v>
      </c>
      <c r="V8" s="646">
        <f t="shared" si="1"/>
        <v>266355</v>
      </c>
      <c r="W8" s="646">
        <f t="shared" si="1"/>
        <v>7457</v>
      </c>
      <c r="X8" s="646">
        <f t="shared" si="1"/>
        <v>0</v>
      </c>
      <c r="Y8" s="646">
        <f t="shared" si="1"/>
        <v>16671.800000000003</v>
      </c>
      <c r="Z8" s="646">
        <f t="shared" si="1"/>
        <v>20924.2</v>
      </c>
      <c r="AA8" s="646">
        <f t="shared" si="1"/>
        <v>4027</v>
      </c>
      <c r="AB8" s="646">
        <f t="shared" si="1"/>
        <v>7159</v>
      </c>
      <c r="AC8" s="646">
        <f t="shared" si="1"/>
        <v>266653</v>
      </c>
      <c r="AD8" s="646">
        <f t="shared" si="1"/>
        <v>1139</v>
      </c>
      <c r="AE8" s="646">
        <f t="shared" si="1"/>
        <v>0</v>
      </c>
      <c r="AF8" s="646">
        <f t="shared" si="1"/>
        <v>0</v>
      </c>
      <c r="AG8" s="646">
        <f t="shared" si="1"/>
        <v>5911</v>
      </c>
      <c r="AH8" s="646">
        <f t="shared" si="1"/>
        <v>80</v>
      </c>
      <c r="AI8" s="646">
        <f t="shared" si="1"/>
        <v>70</v>
      </c>
      <c r="AJ8" s="646">
        <f t="shared" si="1"/>
        <v>31644</v>
      </c>
      <c r="AK8" s="646">
        <f t="shared" si="1"/>
        <v>480</v>
      </c>
      <c r="AL8" s="648">
        <f t="shared" si="1"/>
        <v>0</v>
      </c>
      <c r="AM8" s="612"/>
      <c r="AN8" s="610">
        <v>66519</v>
      </c>
      <c r="AO8" s="644" t="s">
        <v>54</v>
      </c>
      <c r="AP8" s="645" t="s">
        <v>440</v>
      </c>
      <c r="AQ8" s="631">
        <f t="shared" ref="AQ8:BW8" si="2">AQ9+AQ30+AQ43+AQ34</f>
        <v>905</v>
      </c>
      <c r="AR8" s="631">
        <f t="shared" si="2"/>
        <v>823</v>
      </c>
      <c r="AS8" s="631">
        <f t="shared" si="2"/>
        <v>101</v>
      </c>
      <c r="AT8" s="631">
        <f t="shared" si="2"/>
        <v>722</v>
      </c>
      <c r="AU8" s="631">
        <f t="shared" si="2"/>
        <v>91</v>
      </c>
      <c r="AV8" s="631">
        <f t="shared" si="2"/>
        <v>691</v>
      </c>
      <c r="AW8" s="631">
        <f t="shared" si="2"/>
        <v>82</v>
      </c>
      <c r="AX8" s="631">
        <f t="shared" si="2"/>
        <v>67</v>
      </c>
      <c r="AY8" s="646">
        <f t="shared" si="2"/>
        <v>327958</v>
      </c>
      <c r="AZ8" s="649">
        <f t="shared" si="2"/>
        <v>57786</v>
      </c>
      <c r="BA8" s="646">
        <f t="shared" si="2"/>
        <v>14117</v>
      </c>
      <c r="BB8" s="646">
        <f t="shared" si="2"/>
        <v>2208</v>
      </c>
      <c r="BC8" s="646">
        <f t="shared" si="2"/>
        <v>0</v>
      </c>
      <c r="BD8" s="646">
        <f t="shared" si="2"/>
        <v>0</v>
      </c>
      <c r="BE8" s="646">
        <f t="shared" si="2"/>
        <v>1632.4999999999995</v>
      </c>
      <c r="BF8" s="647">
        <f t="shared" si="2"/>
        <v>1633</v>
      </c>
      <c r="BG8" s="646">
        <f t="shared" si="2"/>
        <v>72478</v>
      </c>
      <c r="BH8" s="646">
        <f t="shared" si="2"/>
        <v>135813</v>
      </c>
      <c r="BI8" s="646">
        <f t="shared" si="2"/>
        <v>100044</v>
      </c>
      <c r="BJ8" s="646">
        <f t="shared" si="2"/>
        <v>22964</v>
      </c>
      <c r="BK8" s="646">
        <f t="shared" si="2"/>
        <v>0</v>
      </c>
      <c r="BL8" s="646">
        <f t="shared" si="2"/>
        <v>4977.6000000000004</v>
      </c>
      <c r="BM8" s="647">
        <f t="shared" si="2"/>
        <v>4978</v>
      </c>
      <c r="BN8" s="646">
        <f t="shared" si="2"/>
        <v>253843</v>
      </c>
      <c r="BO8" s="646">
        <f t="shared" si="2"/>
        <v>1637</v>
      </c>
      <c r="BP8" s="646">
        <f t="shared" si="2"/>
        <v>0</v>
      </c>
      <c r="BQ8" s="646">
        <f t="shared" si="2"/>
        <v>10347</v>
      </c>
      <c r="BR8" s="646">
        <f t="shared" si="2"/>
        <v>1399</v>
      </c>
      <c r="BS8" s="646">
        <f t="shared" si="2"/>
        <v>45</v>
      </c>
      <c r="BT8" s="646">
        <f t="shared" si="2"/>
        <v>150</v>
      </c>
      <c r="BU8" s="646">
        <f t="shared" si="2"/>
        <v>1900</v>
      </c>
      <c r="BV8" s="646">
        <f t="shared" si="2"/>
        <v>0</v>
      </c>
      <c r="BW8" s="646">
        <f t="shared" si="2"/>
        <v>0</v>
      </c>
      <c r="BY8" s="732"/>
      <c r="BZ8" s="732"/>
      <c r="CA8" s="1348" t="s">
        <v>54</v>
      </c>
      <c r="CB8" s="1348" t="s">
        <v>440</v>
      </c>
      <c r="CC8" s="1348">
        <v>848</v>
      </c>
      <c r="CD8" s="1348">
        <v>781</v>
      </c>
      <c r="CE8" s="1348">
        <v>97</v>
      </c>
      <c r="CF8" s="1348">
        <v>684</v>
      </c>
      <c r="CG8" s="1348">
        <v>87</v>
      </c>
      <c r="CH8" s="1348">
        <v>660</v>
      </c>
      <c r="CI8" s="1348">
        <v>67</v>
      </c>
      <c r="CJ8" s="1348">
        <v>66</v>
      </c>
      <c r="CK8" s="1349">
        <v>196625</v>
      </c>
      <c r="CL8" s="1349">
        <v>55224</v>
      </c>
      <c r="CM8" s="1350">
        <v>13500</v>
      </c>
      <c r="CN8" s="1350">
        <v>1373</v>
      </c>
      <c r="CO8" s="1350">
        <v>0</v>
      </c>
      <c r="CP8" s="1350">
        <v>0</v>
      </c>
      <c r="CQ8" s="1350">
        <v>33.6</v>
      </c>
      <c r="CR8" s="1350">
        <v>1501</v>
      </c>
      <c r="CS8" s="1350">
        <v>1536</v>
      </c>
      <c r="CT8" s="1349">
        <v>68561</v>
      </c>
      <c r="CU8" s="1349">
        <v>130487</v>
      </c>
      <c r="CV8" s="1349">
        <v>7463</v>
      </c>
      <c r="CW8" s="1349">
        <v>0</v>
      </c>
      <c r="CX8" s="1349">
        <v>7442.0000000000009</v>
      </c>
      <c r="CY8" s="1349">
        <v>11740.3</v>
      </c>
      <c r="CZ8" s="1349">
        <v>4069</v>
      </c>
      <c r="DA8" s="1349">
        <v>11512</v>
      </c>
      <c r="DB8" s="1349">
        <v>126438</v>
      </c>
      <c r="DC8" s="1349">
        <v>1626</v>
      </c>
      <c r="DD8" s="1349">
        <v>0</v>
      </c>
      <c r="DE8" s="1349">
        <v>0</v>
      </c>
      <c r="DF8" s="1349">
        <v>0</v>
      </c>
      <c r="DG8" s="1349">
        <v>0</v>
      </c>
      <c r="DH8" s="1349">
        <v>0</v>
      </c>
      <c r="DI8" s="1349">
        <v>0</v>
      </c>
      <c r="DJ8" s="1349">
        <v>0</v>
      </c>
      <c r="DK8" s="1349">
        <v>0</v>
      </c>
      <c r="DT8" s="1323" t="s">
        <v>54</v>
      </c>
      <c r="DU8" s="651" t="s">
        <v>440</v>
      </c>
      <c r="DV8" s="1351">
        <f t="shared" ref="DV8:EV8" si="3">DV9+DV30+DV34+DV43</f>
        <v>138098</v>
      </c>
      <c r="DW8" s="1351">
        <f t="shared" si="3"/>
        <v>-1272</v>
      </c>
      <c r="DX8" s="1351">
        <f t="shared" si="3"/>
        <v>-340</v>
      </c>
      <c r="DY8" s="1351">
        <f t="shared" si="3"/>
        <v>0</v>
      </c>
      <c r="DZ8" s="1351">
        <f t="shared" si="3"/>
        <v>0</v>
      </c>
      <c r="EA8" s="1351">
        <f t="shared" si="3"/>
        <v>49</v>
      </c>
      <c r="EB8" s="1351">
        <f t="shared" si="3"/>
        <v>-30.700000000000003</v>
      </c>
      <c r="EC8" s="1351">
        <f t="shared" si="3"/>
        <v>0</v>
      </c>
      <c r="ED8" s="1351">
        <f t="shared" si="3"/>
        <v>18</v>
      </c>
      <c r="EE8" s="1351">
        <f t="shared" si="3"/>
        <v>-1630</v>
      </c>
      <c r="EF8" s="1351">
        <f t="shared" si="3"/>
        <v>135868</v>
      </c>
      <c r="EG8" s="1351">
        <f t="shared" si="3"/>
        <v>-6</v>
      </c>
      <c r="EH8" s="1351">
        <f t="shared" si="3"/>
        <v>0</v>
      </c>
      <c r="EI8" s="1351">
        <f t="shared" si="3"/>
        <v>9229.8000000000011</v>
      </c>
      <c r="EJ8" s="1351">
        <f t="shared" si="3"/>
        <v>9183.9000000000015</v>
      </c>
      <c r="EK8" s="1351">
        <f t="shared" si="3"/>
        <v>-42</v>
      </c>
      <c r="EL8" s="1351">
        <f t="shared" si="3"/>
        <v>-4353</v>
      </c>
      <c r="EM8" s="1351">
        <f t="shared" si="3"/>
        <v>140215</v>
      </c>
      <c r="EN8" s="1351">
        <f t="shared" si="3"/>
        <v>-487</v>
      </c>
      <c r="EO8" s="1351">
        <f t="shared" si="3"/>
        <v>0</v>
      </c>
      <c r="EP8" s="1351">
        <f t="shared" si="3"/>
        <v>0</v>
      </c>
      <c r="EQ8" s="1351">
        <f t="shared" si="3"/>
        <v>5911</v>
      </c>
      <c r="ER8" s="1351">
        <f t="shared" si="3"/>
        <v>80</v>
      </c>
      <c r="ES8" s="1351">
        <f t="shared" si="3"/>
        <v>70</v>
      </c>
      <c r="ET8" s="1351">
        <f t="shared" si="3"/>
        <v>2400</v>
      </c>
      <c r="EU8" s="1351">
        <f t="shared" si="3"/>
        <v>0</v>
      </c>
      <c r="EV8" s="1351">
        <f t="shared" si="3"/>
        <v>0</v>
      </c>
    </row>
    <row r="9" spans="1:152" s="614" customFormat="1" ht="22.5" customHeight="1">
      <c r="A9" s="1429" t="s">
        <v>441</v>
      </c>
      <c r="B9" s="651" t="s">
        <v>442</v>
      </c>
      <c r="C9" s="1430">
        <f t="shared" ref="C9:J9" si="4">C10+C27+C28+C29</f>
        <v>542</v>
      </c>
      <c r="D9" s="1430">
        <f t="shared" si="4"/>
        <v>520</v>
      </c>
      <c r="E9" s="1430">
        <f t="shared" si="4"/>
        <v>69</v>
      </c>
      <c r="F9" s="1430">
        <f t="shared" si="4"/>
        <v>451</v>
      </c>
      <c r="G9" s="1430">
        <f t="shared" si="4"/>
        <v>63</v>
      </c>
      <c r="H9" s="1430">
        <f t="shared" si="4"/>
        <v>449</v>
      </c>
      <c r="I9" s="1430">
        <f t="shared" si="4"/>
        <v>22</v>
      </c>
      <c r="J9" s="1430">
        <f t="shared" si="4"/>
        <v>22</v>
      </c>
      <c r="K9" s="646">
        <f t="shared" ref="K9:K74" si="5">L9-AD9</f>
        <v>138927</v>
      </c>
      <c r="L9" s="653">
        <f>L10+L27+L28+L29</f>
        <v>139853</v>
      </c>
      <c r="M9" s="653">
        <f t="shared" ref="M9:AL9" si="6">M10+M27+M28+M29</f>
        <v>40840</v>
      </c>
      <c r="N9" s="653">
        <f t="shared" si="6"/>
        <v>9111</v>
      </c>
      <c r="O9" s="653">
        <f t="shared" si="6"/>
        <v>841</v>
      </c>
      <c r="P9" s="653">
        <f t="shared" si="6"/>
        <v>0</v>
      </c>
      <c r="Q9" s="653">
        <f t="shared" si="6"/>
        <v>49</v>
      </c>
      <c r="R9" s="653">
        <f t="shared" si="6"/>
        <v>0</v>
      </c>
      <c r="S9" s="653">
        <f t="shared" si="6"/>
        <v>989</v>
      </c>
      <c r="T9" s="653">
        <f t="shared" si="6"/>
        <v>1038</v>
      </c>
      <c r="U9" s="653">
        <f t="shared" si="6"/>
        <v>49754</v>
      </c>
      <c r="V9" s="653">
        <f t="shared" si="6"/>
        <v>88835</v>
      </c>
      <c r="W9" s="653">
        <f t="shared" si="6"/>
        <v>1237</v>
      </c>
      <c r="X9" s="653">
        <f t="shared" si="6"/>
        <v>0</v>
      </c>
      <c r="Y9" s="653">
        <f t="shared" si="6"/>
        <v>7108.0000000000009</v>
      </c>
      <c r="Z9" s="653">
        <f t="shared" si="6"/>
        <v>7615.1</v>
      </c>
      <c r="AA9" s="653">
        <f t="shared" si="6"/>
        <v>459</v>
      </c>
      <c r="AB9" s="653">
        <f t="shared" si="6"/>
        <v>899</v>
      </c>
      <c r="AC9" s="653">
        <f t="shared" si="6"/>
        <v>89173</v>
      </c>
      <c r="AD9" s="653">
        <f t="shared" si="6"/>
        <v>926</v>
      </c>
      <c r="AE9" s="653">
        <f t="shared" si="6"/>
        <v>0</v>
      </c>
      <c r="AF9" s="653">
        <f t="shared" si="6"/>
        <v>0</v>
      </c>
      <c r="AG9" s="653">
        <f t="shared" si="6"/>
        <v>5315</v>
      </c>
      <c r="AH9" s="653">
        <f t="shared" si="6"/>
        <v>80</v>
      </c>
      <c r="AI9" s="653">
        <f t="shared" si="6"/>
        <v>70</v>
      </c>
      <c r="AJ9" s="653">
        <f t="shared" si="6"/>
        <v>2000</v>
      </c>
      <c r="AK9" s="653">
        <f t="shared" si="6"/>
        <v>0</v>
      </c>
      <c r="AL9" s="656">
        <f t="shared" si="6"/>
        <v>0</v>
      </c>
      <c r="AM9" s="657" t="e">
        <f>AM10+AM27+AM28+#REF!+AM29</f>
        <v>#REF!</v>
      </c>
      <c r="AN9" s="610"/>
      <c r="AO9" s="1323" t="s">
        <v>441</v>
      </c>
      <c r="AP9" s="651" t="s">
        <v>442</v>
      </c>
      <c r="AQ9" s="1320">
        <f>AQ10+AQ27+AQ28+AQ29</f>
        <v>641</v>
      </c>
      <c r="AR9" s="1320">
        <f t="shared" ref="AR9:BW9" si="7">AR10+AR27+AR28+AR29</f>
        <v>609</v>
      </c>
      <c r="AS9" s="1320">
        <f t="shared" si="7"/>
        <v>74</v>
      </c>
      <c r="AT9" s="1320">
        <f t="shared" si="7"/>
        <v>535</v>
      </c>
      <c r="AU9" s="1320">
        <f t="shared" si="7"/>
        <v>67</v>
      </c>
      <c r="AV9" s="1320">
        <f t="shared" si="7"/>
        <v>524</v>
      </c>
      <c r="AW9" s="1320">
        <f t="shared" si="7"/>
        <v>32</v>
      </c>
      <c r="AX9" s="1320">
        <f t="shared" si="7"/>
        <v>30</v>
      </c>
      <c r="AY9" s="653">
        <f>AY10+AY27+AY28+AY29</f>
        <v>143133</v>
      </c>
      <c r="AZ9" s="658">
        <f t="shared" si="7"/>
        <v>43017</v>
      </c>
      <c r="BA9" s="653">
        <f t="shared" si="7"/>
        <v>9647</v>
      </c>
      <c r="BB9" s="653">
        <f t="shared" si="7"/>
        <v>1504</v>
      </c>
      <c r="BC9" s="653">
        <f t="shared" si="7"/>
        <v>0</v>
      </c>
      <c r="BD9" s="653">
        <f t="shared" si="7"/>
        <v>0</v>
      </c>
      <c r="BE9" s="653">
        <f t="shared" si="7"/>
        <v>1115.0999999999997</v>
      </c>
      <c r="BF9" s="655">
        <f t="shared" si="7"/>
        <v>1115</v>
      </c>
      <c r="BG9" s="653">
        <f t="shared" si="7"/>
        <v>53053</v>
      </c>
      <c r="BH9" s="653">
        <f t="shared" si="7"/>
        <v>19374</v>
      </c>
      <c r="BI9" s="653">
        <f t="shared" si="7"/>
        <v>69144</v>
      </c>
      <c r="BJ9" s="653">
        <f t="shared" si="7"/>
        <v>1017</v>
      </c>
      <c r="BK9" s="653">
        <f t="shared" si="7"/>
        <v>0</v>
      </c>
      <c r="BL9" s="653">
        <f t="shared" si="7"/>
        <v>921.2</v>
      </c>
      <c r="BM9" s="655">
        <f t="shared" si="7"/>
        <v>921</v>
      </c>
      <c r="BN9" s="653">
        <f t="shared" si="7"/>
        <v>88614</v>
      </c>
      <c r="BO9" s="653">
        <f t="shared" si="7"/>
        <v>1466</v>
      </c>
      <c r="BP9" s="653">
        <f t="shared" si="7"/>
        <v>0</v>
      </c>
      <c r="BQ9" s="653">
        <f t="shared" si="7"/>
        <v>0</v>
      </c>
      <c r="BR9" s="653">
        <f t="shared" si="7"/>
        <v>474</v>
      </c>
      <c r="BS9" s="653">
        <f t="shared" si="7"/>
        <v>45</v>
      </c>
      <c r="BT9" s="653">
        <f t="shared" si="7"/>
        <v>150</v>
      </c>
      <c r="BU9" s="653">
        <f t="shared" si="7"/>
        <v>1900</v>
      </c>
      <c r="BV9" s="653">
        <f t="shared" si="7"/>
        <v>0</v>
      </c>
      <c r="BW9" s="653">
        <f t="shared" si="7"/>
        <v>0</v>
      </c>
      <c r="BY9" s="732"/>
      <c r="BZ9" s="732"/>
      <c r="CA9" s="1348" t="s">
        <v>441</v>
      </c>
      <c r="CB9" s="1348" t="s">
        <v>442</v>
      </c>
      <c r="CC9" s="1348">
        <v>623</v>
      </c>
      <c r="CD9" s="1348">
        <v>594</v>
      </c>
      <c r="CE9" s="1348">
        <v>71</v>
      </c>
      <c r="CF9" s="1348">
        <v>523</v>
      </c>
      <c r="CG9" s="1348">
        <v>63</v>
      </c>
      <c r="CH9" s="1348">
        <v>503</v>
      </c>
      <c r="CI9" s="1348">
        <v>29</v>
      </c>
      <c r="CJ9" s="1348">
        <v>29</v>
      </c>
      <c r="CK9" s="1349">
        <v>74694</v>
      </c>
      <c r="CL9" s="1349">
        <v>41514</v>
      </c>
      <c r="CM9" s="1350">
        <v>9429</v>
      </c>
      <c r="CN9" s="1350">
        <v>841</v>
      </c>
      <c r="CO9" s="1350">
        <v>0</v>
      </c>
      <c r="CP9" s="1350">
        <v>0</v>
      </c>
      <c r="CQ9" s="1350">
        <v>0</v>
      </c>
      <c r="CR9" s="1350">
        <v>989</v>
      </c>
      <c r="CS9" s="1350">
        <v>989</v>
      </c>
      <c r="CT9" s="1349">
        <v>50795</v>
      </c>
      <c r="CU9" s="1349">
        <v>22148</v>
      </c>
      <c r="CV9" s="1349">
        <v>1237</v>
      </c>
      <c r="CW9" s="1349">
        <v>0</v>
      </c>
      <c r="CX9" s="1349">
        <v>439.30000000000007</v>
      </c>
      <c r="CY9" s="1349">
        <v>946.40000000000009</v>
      </c>
      <c r="CZ9" s="1349">
        <v>459</v>
      </c>
      <c r="DA9" s="1349">
        <v>899</v>
      </c>
      <c r="DB9" s="1349">
        <v>22486</v>
      </c>
      <c r="DC9" s="1349">
        <v>1413</v>
      </c>
      <c r="DD9" s="1349">
        <v>0</v>
      </c>
      <c r="DE9" s="1349">
        <v>0</v>
      </c>
      <c r="DF9" s="1349">
        <v>0</v>
      </c>
      <c r="DG9" s="1349">
        <v>0</v>
      </c>
      <c r="DH9" s="1349">
        <v>0</v>
      </c>
      <c r="DI9" s="1349">
        <v>0</v>
      </c>
      <c r="DJ9" s="1349">
        <v>0</v>
      </c>
      <c r="DK9" s="1349">
        <v>0</v>
      </c>
      <c r="DT9" s="1323" t="s">
        <v>441</v>
      </c>
      <c r="DU9" s="651" t="s">
        <v>442</v>
      </c>
      <c r="DV9" s="1351">
        <f>DV10+DV27+DV28+DV29</f>
        <v>65159</v>
      </c>
      <c r="DW9" s="1351">
        <f t="shared" ref="DW9:EV9" si="8">DW10+DW27+DW28+DW29</f>
        <v>-674</v>
      </c>
      <c r="DX9" s="1351">
        <f t="shared" si="8"/>
        <v>-318</v>
      </c>
      <c r="DY9" s="1351">
        <f t="shared" si="8"/>
        <v>0</v>
      </c>
      <c r="DZ9" s="1351">
        <f t="shared" si="8"/>
        <v>0</v>
      </c>
      <c r="EA9" s="1351">
        <f t="shared" si="8"/>
        <v>49</v>
      </c>
      <c r="EB9" s="1351">
        <f t="shared" si="8"/>
        <v>0</v>
      </c>
      <c r="EC9" s="1351">
        <f t="shared" si="8"/>
        <v>0</v>
      </c>
      <c r="ED9" s="1351">
        <f t="shared" si="8"/>
        <v>49</v>
      </c>
      <c r="EE9" s="1351">
        <f t="shared" si="8"/>
        <v>-1041</v>
      </c>
      <c r="EF9" s="1351">
        <f t="shared" si="8"/>
        <v>66687</v>
      </c>
      <c r="EG9" s="1351">
        <f t="shared" si="8"/>
        <v>0</v>
      </c>
      <c r="EH9" s="1351">
        <f t="shared" si="8"/>
        <v>0</v>
      </c>
      <c r="EI9" s="1351">
        <f t="shared" si="8"/>
        <v>6668.7000000000007</v>
      </c>
      <c r="EJ9" s="1351">
        <f t="shared" si="8"/>
        <v>6668.7000000000007</v>
      </c>
      <c r="EK9" s="1351">
        <f t="shared" si="8"/>
        <v>0</v>
      </c>
      <c r="EL9" s="1351">
        <f t="shared" si="8"/>
        <v>0</v>
      </c>
      <c r="EM9" s="1351">
        <f t="shared" si="8"/>
        <v>66687</v>
      </c>
      <c r="EN9" s="1351">
        <f t="shared" si="8"/>
        <v>-487</v>
      </c>
      <c r="EO9" s="1351">
        <f t="shared" si="8"/>
        <v>0</v>
      </c>
      <c r="EP9" s="1351">
        <f t="shared" si="8"/>
        <v>0</v>
      </c>
      <c r="EQ9" s="1351">
        <f t="shared" si="8"/>
        <v>5315</v>
      </c>
      <c r="ER9" s="1351">
        <f t="shared" si="8"/>
        <v>80</v>
      </c>
      <c r="ES9" s="1351">
        <f t="shared" si="8"/>
        <v>70</v>
      </c>
      <c r="ET9" s="1351">
        <f t="shared" si="8"/>
        <v>2000</v>
      </c>
      <c r="EU9" s="1351">
        <f t="shared" si="8"/>
        <v>0</v>
      </c>
      <c r="EV9" s="1351">
        <f t="shared" si="8"/>
        <v>0</v>
      </c>
    </row>
    <row r="10" spans="1:152" ht="28.2" customHeight="1">
      <c r="A10" s="659">
        <v>1</v>
      </c>
      <c r="B10" s="660" t="s">
        <v>443</v>
      </c>
      <c r="C10" s="661">
        <f t="shared" ref="C10:J10" si="9">SUM(C11:C14,C16:C25)</f>
        <v>396</v>
      </c>
      <c r="D10" s="661">
        <f t="shared" si="9"/>
        <v>374</v>
      </c>
      <c r="E10" s="661">
        <f t="shared" si="9"/>
        <v>69</v>
      </c>
      <c r="F10" s="661">
        <f t="shared" si="9"/>
        <v>305</v>
      </c>
      <c r="G10" s="661">
        <f t="shared" si="9"/>
        <v>63</v>
      </c>
      <c r="H10" s="661">
        <f t="shared" si="9"/>
        <v>303</v>
      </c>
      <c r="I10" s="661">
        <f t="shared" si="9"/>
        <v>22</v>
      </c>
      <c r="J10" s="661">
        <f t="shared" si="9"/>
        <v>22</v>
      </c>
      <c r="K10" s="646">
        <f t="shared" si="5"/>
        <v>60923</v>
      </c>
      <c r="L10" s="662">
        <f>SUM(L11:L14,L16:L26)</f>
        <v>61849</v>
      </c>
      <c r="M10" s="662">
        <f t="shared" ref="M10:AC10" si="10">SUM(M11:M14,M16:M26)</f>
        <v>30172</v>
      </c>
      <c r="N10" s="662">
        <f t="shared" si="10"/>
        <v>8462</v>
      </c>
      <c r="O10" s="662">
        <f t="shared" si="10"/>
        <v>841</v>
      </c>
      <c r="P10" s="662">
        <f t="shared" si="10"/>
        <v>0</v>
      </c>
      <c r="Q10" s="662">
        <f t="shared" si="10"/>
        <v>49</v>
      </c>
      <c r="R10" s="662">
        <f t="shared" si="10"/>
        <v>0</v>
      </c>
      <c r="S10" s="662">
        <f t="shared" si="10"/>
        <v>989</v>
      </c>
      <c r="T10" s="662">
        <f t="shared" si="10"/>
        <v>1038</v>
      </c>
      <c r="U10" s="662">
        <f t="shared" si="10"/>
        <v>38437</v>
      </c>
      <c r="V10" s="662">
        <f t="shared" si="10"/>
        <v>22148</v>
      </c>
      <c r="W10" s="662">
        <f t="shared" si="10"/>
        <v>1237</v>
      </c>
      <c r="X10" s="662">
        <f t="shared" si="10"/>
        <v>0</v>
      </c>
      <c r="Y10" s="662">
        <f t="shared" si="10"/>
        <v>439.30000000000007</v>
      </c>
      <c r="Z10" s="662">
        <f t="shared" si="10"/>
        <v>946.40000000000009</v>
      </c>
      <c r="AA10" s="662">
        <f t="shared" si="10"/>
        <v>459</v>
      </c>
      <c r="AB10" s="662">
        <f t="shared" si="10"/>
        <v>899</v>
      </c>
      <c r="AC10" s="662">
        <f t="shared" si="10"/>
        <v>22486</v>
      </c>
      <c r="AD10" s="662">
        <f>SUM(AD11:AD14,AD16:AD26)</f>
        <v>926</v>
      </c>
      <c r="AE10" s="662"/>
      <c r="AF10" s="662">
        <f>SUM(AF11:AF14,AF16:AF26)</f>
        <v>0</v>
      </c>
      <c r="AG10" s="662">
        <f>SUM(AG11:AG14,AG16:AG26)</f>
        <v>5315</v>
      </c>
      <c r="AH10" s="662">
        <f t="shared" ref="AH10:AK10" si="11">SUM(AH11:AH14,AH16:AH26)</f>
        <v>80</v>
      </c>
      <c r="AI10" s="662">
        <f t="shared" si="11"/>
        <v>70</v>
      </c>
      <c r="AJ10" s="662">
        <f t="shared" si="11"/>
        <v>2000</v>
      </c>
      <c r="AK10" s="662">
        <f t="shared" si="11"/>
        <v>0</v>
      </c>
      <c r="AL10" s="664">
        <f>SUM(AL11:AL14,AL16:AL26)</f>
        <v>0</v>
      </c>
      <c r="AM10" s="662">
        <f>SUM(AM11:AM14,AM16:AM26)</f>
        <v>0</v>
      </c>
      <c r="AN10" s="610"/>
      <c r="AO10" s="659">
        <v>1</v>
      </c>
      <c r="AP10" s="660" t="s">
        <v>443</v>
      </c>
      <c r="AQ10" s="661">
        <f t="shared" ref="AQ10:AX10" si="12">SUM(AQ11:AQ14,AQ16:AQ25)</f>
        <v>473</v>
      </c>
      <c r="AR10" s="661">
        <f t="shared" si="12"/>
        <v>441</v>
      </c>
      <c r="AS10" s="661">
        <f t="shared" si="12"/>
        <v>74</v>
      </c>
      <c r="AT10" s="661">
        <f t="shared" si="12"/>
        <v>367</v>
      </c>
      <c r="AU10" s="661">
        <f t="shared" si="12"/>
        <v>67</v>
      </c>
      <c r="AV10" s="661">
        <f t="shared" si="12"/>
        <v>359</v>
      </c>
      <c r="AW10" s="661">
        <f t="shared" si="12"/>
        <v>32</v>
      </c>
      <c r="AX10" s="661">
        <f t="shared" si="12"/>
        <v>30</v>
      </c>
      <c r="AY10" s="662">
        <f>SUM(AY11:AY14,AY16:AY26)</f>
        <v>65240</v>
      </c>
      <c r="AZ10" s="665">
        <f t="shared" ref="AZ10:BW10" si="13">SUM(AZ11:AZ14,AZ16:AZ26)</f>
        <v>32471</v>
      </c>
      <c r="BA10" s="662">
        <f t="shared" si="13"/>
        <v>8914</v>
      </c>
      <c r="BB10" s="662">
        <f t="shared" si="13"/>
        <v>1504</v>
      </c>
      <c r="BC10" s="662">
        <f t="shared" si="13"/>
        <v>0</v>
      </c>
      <c r="BD10" s="662">
        <f t="shared" si="13"/>
        <v>0</v>
      </c>
      <c r="BE10" s="662">
        <f>SUM(BE11:BE14,BE16:BE26)</f>
        <v>1041.7999999999997</v>
      </c>
      <c r="BF10" s="663">
        <f t="shared" si="13"/>
        <v>1042</v>
      </c>
      <c r="BG10" s="662">
        <f t="shared" si="13"/>
        <v>41847</v>
      </c>
      <c r="BH10" s="662">
        <f t="shared" si="13"/>
        <v>19374</v>
      </c>
      <c r="BI10" s="662">
        <f t="shared" si="13"/>
        <v>2457</v>
      </c>
      <c r="BJ10" s="662">
        <f t="shared" si="13"/>
        <v>1017</v>
      </c>
      <c r="BK10" s="662">
        <f t="shared" si="13"/>
        <v>0</v>
      </c>
      <c r="BL10" s="662">
        <f t="shared" si="13"/>
        <v>921.2</v>
      </c>
      <c r="BM10" s="663">
        <f t="shared" si="13"/>
        <v>921</v>
      </c>
      <c r="BN10" s="662">
        <f t="shared" si="13"/>
        <v>21927</v>
      </c>
      <c r="BO10" s="662">
        <f t="shared" si="13"/>
        <v>1466</v>
      </c>
      <c r="BP10" s="662">
        <f t="shared" si="13"/>
        <v>0</v>
      </c>
      <c r="BQ10" s="662">
        <f t="shared" si="13"/>
        <v>0</v>
      </c>
      <c r="BR10" s="662">
        <f t="shared" si="13"/>
        <v>474</v>
      </c>
      <c r="BS10" s="662">
        <f>SUM(BS11:BS14,BS16:BS26)</f>
        <v>45</v>
      </c>
      <c r="BT10" s="662">
        <f t="shared" si="13"/>
        <v>150</v>
      </c>
      <c r="BU10" s="662">
        <f t="shared" si="13"/>
        <v>1900</v>
      </c>
      <c r="BV10" s="662">
        <f t="shared" si="13"/>
        <v>0</v>
      </c>
      <c r="BW10" s="662">
        <f t="shared" si="13"/>
        <v>0</v>
      </c>
      <c r="CA10" s="1352">
        <v>1</v>
      </c>
      <c r="CB10" s="1352" t="s">
        <v>443</v>
      </c>
      <c r="CC10" s="1352">
        <v>466</v>
      </c>
      <c r="CD10" s="1352">
        <v>437</v>
      </c>
      <c r="CE10" s="1352">
        <v>71</v>
      </c>
      <c r="CF10" s="1352">
        <v>366</v>
      </c>
      <c r="CG10" s="1352">
        <v>63</v>
      </c>
      <c r="CH10" s="1352">
        <v>353</v>
      </c>
      <c r="CI10" s="1352">
        <v>29</v>
      </c>
      <c r="CJ10" s="1352">
        <v>29</v>
      </c>
      <c r="CK10" s="1353">
        <v>63140</v>
      </c>
      <c r="CL10" s="1353">
        <v>30626</v>
      </c>
      <c r="CM10" s="1354">
        <v>8763</v>
      </c>
      <c r="CN10" s="1354">
        <v>841</v>
      </c>
      <c r="CO10" s="1354">
        <v>0</v>
      </c>
      <c r="CP10" s="1354">
        <v>0</v>
      </c>
      <c r="CQ10" s="1354">
        <v>0</v>
      </c>
      <c r="CR10" s="1354">
        <v>989</v>
      </c>
      <c r="CS10" s="1354">
        <v>989</v>
      </c>
      <c r="CT10" s="1353">
        <v>39241</v>
      </c>
      <c r="CU10" s="1353">
        <v>22148</v>
      </c>
      <c r="CV10" s="1353">
        <v>1237</v>
      </c>
      <c r="CW10" s="1353">
        <v>0</v>
      </c>
      <c r="CX10" s="1353">
        <v>439.30000000000007</v>
      </c>
      <c r="CY10" s="1353">
        <v>946.40000000000009</v>
      </c>
      <c r="CZ10" s="1353">
        <v>459</v>
      </c>
      <c r="DA10" s="1353">
        <v>899</v>
      </c>
      <c r="DB10" s="1353">
        <v>22486</v>
      </c>
      <c r="DC10" s="1353">
        <v>1413</v>
      </c>
      <c r="DD10" s="1353"/>
      <c r="DE10" s="1353">
        <v>0</v>
      </c>
      <c r="DF10" s="1353">
        <v>0</v>
      </c>
      <c r="DG10" s="1353"/>
      <c r="DH10" s="1353"/>
      <c r="DI10" s="1353"/>
      <c r="DJ10" s="1353">
        <v>0</v>
      </c>
      <c r="DK10" s="1353">
        <v>0</v>
      </c>
      <c r="DT10" s="659">
        <v>1</v>
      </c>
      <c r="DU10" s="660" t="s">
        <v>443</v>
      </c>
      <c r="DV10" s="777">
        <f>SUM(DV11:DV26)</f>
        <v>-1291</v>
      </c>
      <c r="DW10" s="777">
        <f t="shared" ref="DW10:EV10" si="14">SUM(DW11:DW26)</f>
        <v>-454</v>
      </c>
      <c r="DX10" s="777">
        <f t="shared" si="14"/>
        <v>-301</v>
      </c>
      <c r="DY10" s="777">
        <f t="shared" si="14"/>
        <v>0</v>
      </c>
      <c r="DZ10" s="777">
        <f t="shared" si="14"/>
        <v>0</v>
      </c>
      <c r="EA10" s="777">
        <f t="shared" si="14"/>
        <v>49</v>
      </c>
      <c r="EB10" s="777">
        <f t="shared" si="14"/>
        <v>0</v>
      </c>
      <c r="EC10" s="777">
        <f t="shared" si="14"/>
        <v>0</v>
      </c>
      <c r="ED10" s="777">
        <f t="shared" si="14"/>
        <v>49</v>
      </c>
      <c r="EE10" s="777">
        <f t="shared" si="14"/>
        <v>-804</v>
      </c>
      <c r="EF10" s="777">
        <f t="shared" si="14"/>
        <v>0</v>
      </c>
      <c r="EG10" s="777">
        <f t="shared" si="14"/>
        <v>0</v>
      </c>
      <c r="EH10" s="777">
        <f t="shared" si="14"/>
        <v>0</v>
      </c>
      <c r="EI10" s="777">
        <f t="shared" si="14"/>
        <v>0</v>
      </c>
      <c r="EJ10" s="777">
        <f t="shared" si="14"/>
        <v>0</v>
      </c>
      <c r="EK10" s="777">
        <f t="shared" si="14"/>
        <v>0</v>
      </c>
      <c r="EL10" s="777">
        <f t="shared" si="14"/>
        <v>0</v>
      </c>
      <c r="EM10" s="777">
        <f t="shared" si="14"/>
        <v>0</v>
      </c>
      <c r="EN10" s="777">
        <f t="shared" si="14"/>
        <v>-487</v>
      </c>
      <c r="EO10" s="777">
        <f t="shared" si="14"/>
        <v>0</v>
      </c>
      <c r="EP10" s="777">
        <f t="shared" si="14"/>
        <v>0</v>
      </c>
      <c r="EQ10" s="777">
        <f t="shared" si="14"/>
        <v>5315</v>
      </c>
      <c r="ER10" s="777">
        <f t="shared" si="14"/>
        <v>80</v>
      </c>
      <c r="ES10" s="777">
        <f t="shared" si="14"/>
        <v>70</v>
      </c>
      <c r="ET10" s="777">
        <f t="shared" si="14"/>
        <v>2000</v>
      </c>
      <c r="EU10" s="777">
        <f t="shared" si="14"/>
        <v>0</v>
      </c>
      <c r="EV10" s="777">
        <f t="shared" si="14"/>
        <v>0</v>
      </c>
    </row>
    <row r="11" spans="1:152" hidden="1">
      <c r="A11" s="659"/>
      <c r="B11" s="660" t="s">
        <v>444</v>
      </c>
      <c r="C11" s="661">
        <f>D11+I11</f>
        <v>80</v>
      </c>
      <c r="D11" s="661">
        <f>E11+F11</f>
        <v>79</v>
      </c>
      <c r="E11" s="661"/>
      <c r="F11" s="661">
        <v>79</v>
      </c>
      <c r="G11" s="661"/>
      <c r="H11" s="661">
        <v>77</v>
      </c>
      <c r="I11" s="661">
        <v>1</v>
      </c>
      <c r="J11" s="661">
        <v>1</v>
      </c>
      <c r="K11" s="646">
        <f t="shared" si="5"/>
        <v>8735</v>
      </c>
      <c r="L11" s="662">
        <f t="shared" ref="L11:L29" si="15">U11+AC11+AD11+AE11</f>
        <v>8915</v>
      </c>
      <c r="M11" s="666">
        <v>6021</v>
      </c>
      <c r="N11" s="666">
        <f>1490-45</f>
        <v>1445</v>
      </c>
      <c r="O11" s="666">
        <v>288</v>
      </c>
      <c r="P11" s="666"/>
      <c r="Q11" s="666"/>
      <c r="R11" s="666"/>
      <c r="S11" s="666">
        <v>193</v>
      </c>
      <c r="T11" s="666">
        <f>ROUND((Q11+R11+S11),0)</f>
        <v>193</v>
      </c>
      <c r="U11" s="666">
        <f>(M11+N11+O11+P11)-T11</f>
        <v>7561</v>
      </c>
      <c r="V11" s="666">
        <f>1214+67</f>
        <v>1281</v>
      </c>
      <c r="W11" s="666"/>
      <c r="X11" s="666"/>
      <c r="Y11" s="666">
        <f>Z11-BM11</f>
        <v>-0.19999999999998863</v>
      </c>
      <c r="Z11" s="666">
        <f>(V11-223)*10%</f>
        <v>105.80000000000001</v>
      </c>
      <c r="AA11" s="666">
        <v>107</v>
      </c>
      <c r="AB11" s="666">
        <f>ROUND((Y11+AA11+X11),0)</f>
        <v>107</v>
      </c>
      <c r="AC11" s="666">
        <f>(V11+W11)-AB11</f>
        <v>1174</v>
      </c>
      <c r="AD11" s="666">
        <v>180</v>
      </c>
      <c r="AE11" s="666"/>
      <c r="AF11" s="666"/>
      <c r="AG11" s="666"/>
      <c r="AH11" s="666"/>
      <c r="AI11" s="666"/>
      <c r="AJ11" s="666"/>
      <c r="AK11" s="666"/>
      <c r="AL11" s="669"/>
      <c r="AM11" s="662"/>
      <c r="AN11" s="610"/>
      <c r="AO11" s="659"/>
      <c r="AP11" s="660" t="s">
        <v>444</v>
      </c>
      <c r="AQ11" s="661">
        <f>AR11+AW11</f>
        <v>80</v>
      </c>
      <c r="AR11" s="661">
        <f>AS11+AT11</f>
        <v>79</v>
      </c>
      <c r="AS11" s="661"/>
      <c r="AT11" s="661">
        <v>79</v>
      </c>
      <c r="AU11" s="661"/>
      <c r="AV11" s="661">
        <v>79</v>
      </c>
      <c r="AW11" s="661">
        <v>1</v>
      </c>
      <c r="AX11" s="661">
        <v>1</v>
      </c>
      <c r="AY11" s="666">
        <f t="shared" ref="AY11:AY29" si="16">BG11+BN11+BO11+BP11</f>
        <v>8435</v>
      </c>
      <c r="AZ11" s="670">
        <f>5501+20</f>
        <v>5521</v>
      </c>
      <c r="BA11" s="666">
        <f>1778-450</f>
        <v>1328</v>
      </c>
      <c r="BB11" s="666">
        <v>450</v>
      </c>
      <c r="BC11" s="666"/>
      <c r="BD11" s="666"/>
      <c r="BE11" s="666">
        <f>(BA11+BB11)*10%</f>
        <v>177.8</v>
      </c>
      <c r="BF11" s="667">
        <f>ROUND(BE11,0)</f>
        <v>178</v>
      </c>
      <c r="BG11" s="666">
        <f>(AZ11+BA11+BB11+BC11)-BF11</f>
        <v>7121</v>
      </c>
      <c r="BH11" s="666">
        <f>924+140+136</f>
        <v>1200</v>
      </c>
      <c r="BI11" s="666"/>
      <c r="BJ11" s="666"/>
      <c r="BK11" s="666"/>
      <c r="BL11" s="666">
        <f>(BH11-140)*10%</f>
        <v>106</v>
      </c>
      <c r="BM11" s="667">
        <f>ROUND(BL11,0)</f>
        <v>106</v>
      </c>
      <c r="BN11" s="666">
        <f t="shared" ref="BN11:BN29" si="17">(BH11+BI11+BJ11)-BM11</f>
        <v>1094</v>
      </c>
      <c r="BO11" s="666">
        <f>60+160</f>
        <v>220</v>
      </c>
      <c r="BP11" s="666"/>
      <c r="BQ11" s="666"/>
      <c r="BR11" s="666"/>
      <c r="BS11" s="666"/>
      <c r="BT11" s="666"/>
      <c r="BU11" s="666"/>
      <c r="BV11" s="666"/>
      <c r="BW11" s="662"/>
      <c r="CA11" s="1352"/>
      <c r="CB11" s="1352" t="s">
        <v>444</v>
      </c>
      <c r="CC11" s="1352">
        <v>80</v>
      </c>
      <c r="CD11" s="1352">
        <v>79</v>
      </c>
      <c r="CE11" s="1352"/>
      <c r="CF11" s="1352">
        <v>79</v>
      </c>
      <c r="CG11" s="1352"/>
      <c r="CH11" s="1352">
        <v>77</v>
      </c>
      <c r="CI11" s="1352">
        <v>1</v>
      </c>
      <c r="CJ11" s="1352">
        <v>1</v>
      </c>
      <c r="CK11" s="1353">
        <v>8960</v>
      </c>
      <c r="CL11" s="1353">
        <v>6021</v>
      </c>
      <c r="CM11" s="1354">
        <v>1490</v>
      </c>
      <c r="CN11" s="1354">
        <v>288</v>
      </c>
      <c r="CO11" s="1354"/>
      <c r="CP11" s="1354"/>
      <c r="CQ11" s="1354">
        <v>0</v>
      </c>
      <c r="CR11" s="1354">
        <v>193</v>
      </c>
      <c r="CS11" s="1354">
        <v>193</v>
      </c>
      <c r="CT11" s="1353">
        <v>7606</v>
      </c>
      <c r="CU11" s="1353">
        <v>1281</v>
      </c>
      <c r="CV11" s="1353"/>
      <c r="CW11" s="1353"/>
      <c r="CX11" s="1353">
        <v>-0.19999999999998863</v>
      </c>
      <c r="CY11" s="1353">
        <v>105.80000000000001</v>
      </c>
      <c r="CZ11" s="1353">
        <v>107</v>
      </c>
      <c r="DA11" s="1353">
        <v>107</v>
      </c>
      <c r="DB11" s="1353">
        <v>1174</v>
      </c>
      <c r="DC11" s="1353">
        <v>180</v>
      </c>
      <c r="DD11" s="1353"/>
      <c r="DE11" s="1353"/>
      <c r="DF11" s="1353"/>
      <c r="DG11" s="1353"/>
      <c r="DH11" s="1353"/>
      <c r="DI11" s="1353"/>
      <c r="DJ11" s="1353"/>
      <c r="DK11" s="1353"/>
      <c r="DT11" s="659"/>
      <c r="DU11" s="660" t="s">
        <v>444</v>
      </c>
      <c r="DV11" s="777">
        <f>L11-CK11</f>
        <v>-45</v>
      </c>
      <c r="DW11" s="777">
        <f t="shared" ref="DW11:EV20" si="18">M11-CL11</f>
        <v>0</v>
      </c>
      <c r="DX11" s="777">
        <f t="shared" si="18"/>
        <v>-45</v>
      </c>
      <c r="DY11" s="777">
        <f t="shared" si="18"/>
        <v>0</v>
      </c>
      <c r="DZ11" s="777">
        <f t="shared" si="18"/>
        <v>0</v>
      </c>
      <c r="EA11" s="777">
        <f t="shared" si="18"/>
        <v>0</v>
      </c>
      <c r="EB11" s="777">
        <f t="shared" si="18"/>
        <v>0</v>
      </c>
      <c r="EC11" s="777">
        <f t="shared" si="18"/>
        <v>0</v>
      </c>
      <c r="ED11" s="777">
        <f t="shared" si="18"/>
        <v>0</v>
      </c>
      <c r="EE11" s="777">
        <f t="shared" si="18"/>
        <v>-45</v>
      </c>
      <c r="EF11" s="777">
        <f t="shared" si="18"/>
        <v>0</v>
      </c>
      <c r="EG11" s="777">
        <f t="shared" si="18"/>
        <v>0</v>
      </c>
      <c r="EH11" s="777">
        <f t="shared" si="18"/>
        <v>0</v>
      </c>
      <c r="EI11" s="777">
        <f t="shared" si="18"/>
        <v>0</v>
      </c>
      <c r="EJ11" s="777">
        <f t="shared" si="18"/>
        <v>0</v>
      </c>
      <c r="EK11" s="777">
        <f t="shared" si="18"/>
        <v>0</v>
      </c>
      <c r="EL11" s="777">
        <f t="shared" si="18"/>
        <v>0</v>
      </c>
      <c r="EM11" s="777">
        <f t="shared" si="18"/>
        <v>0</v>
      </c>
      <c r="EN11" s="777">
        <f t="shared" si="18"/>
        <v>0</v>
      </c>
      <c r="EO11" s="777">
        <f t="shared" si="18"/>
        <v>0</v>
      </c>
      <c r="EP11" s="777">
        <f t="shared" si="18"/>
        <v>0</v>
      </c>
      <c r="EQ11" s="777">
        <f t="shared" si="18"/>
        <v>0</v>
      </c>
      <c r="ER11" s="777">
        <f t="shared" si="18"/>
        <v>0</v>
      </c>
      <c r="ES11" s="777">
        <f t="shared" si="18"/>
        <v>0</v>
      </c>
      <c r="ET11" s="777">
        <f t="shared" si="18"/>
        <v>0</v>
      </c>
      <c r="EU11" s="777">
        <f t="shared" si="18"/>
        <v>0</v>
      </c>
      <c r="EV11" s="777">
        <f t="shared" si="18"/>
        <v>0</v>
      </c>
    </row>
    <row r="12" spans="1:152" ht="24" hidden="1" customHeight="1">
      <c r="A12" s="659"/>
      <c r="B12" s="660" t="s">
        <v>445</v>
      </c>
      <c r="C12" s="661">
        <f>D12+I12</f>
        <v>47</v>
      </c>
      <c r="D12" s="661">
        <f>E12+F12</f>
        <v>45</v>
      </c>
      <c r="E12" s="661">
        <v>7</v>
      </c>
      <c r="F12" s="661">
        <v>38</v>
      </c>
      <c r="G12" s="661">
        <v>7</v>
      </c>
      <c r="H12" s="661">
        <v>38</v>
      </c>
      <c r="I12" s="661">
        <v>2</v>
      </c>
      <c r="J12" s="661">
        <v>2</v>
      </c>
      <c r="K12" s="646">
        <f t="shared" si="5"/>
        <v>5443</v>
      </c>
      <c r="L12" s="662">
        <f t="shared" si="15"/>
        <v>5824</v>
      </c>
      <c r="M12" s="666">
        <v>3940</v>
      </c>
      <c r="N12" s="666">
        <v>1088</v>
      </c>
      <c r="O12" s="666">
        <v>37</v>
      </c>
      <c r="P12" s="666"/>
      <c r="Q12" s="666"/>
      <c r="R12" s="666"/>
      <c r="S12" s="666">
        <v>125</v>
      </c>
      <c r="T12" s="666">
        <f t="shared" ref="T12:T32" si="19">ROUND((Q12+R12+S12),0)</f>
        <v>125</v>
      </c>
      <c r="U12" s="666">
        <f t="shared" ref="U12:U29" si="20">(M12+N12+O12+P12)-T12</f>
        <v>4940</v>
      </c>
      <c r="V12" s="666">
        <f>350+55+12</f>
        <v>417</v>
      </c>
      <c r="W12" s="666">
        <v>140</v>
      </c>
      <c r="X12" s="666"/>
      <c r="Y12" s="666"/>
      <c r="Z12" s="666">
        <f>(V12-184-12)*10%</f>
        <v>22.1</v>
      </c>
      <c r="AA12" s="666">
        <v>54</v>
      </c>
      <c r="AB12" s="666">
        <f t="shared" ref="AB12:AB29" si="21">ROUND((Y12+AA12+X12),0)</f>
        <v>54</v>
      </c>
      <c r="AC12" s="666">
        <f t="shared" ref="AC12:AC29" si="22">(V12+W12)-AB12</f>
        <v>503</v>
      </c>
      <c r="AD12" s="666">
        <v>381</v>
      </c>
      <c r="AE12" s="666"/>
      <c r="AF12" s="666"/>
      <c r="AG12" s="666">
        <v>166</v>
      </c>
      <c r="AH12" s="666"/>
      <c r="AI12" s="666"/>
      <c r="AJ12" s="666"/>
      <c r="AK12" s="666"/>
      <c r="AL12" s="669"/>
      <c r="AM12" s="662"/>
      <c r="AN12" s="610"/>
      <c r="AO12" s="659"/>
      <c r="AP12" s="660" t="s">
        <v>445</v>
      </c>
      <c r="AQ12" s="661">
        <f>AR12+AW12</f>
        <v>50</v>
      </c>
      <c r="AR12" s="661">
        <f>AS12+AT12</f>
        <v>48</v>
      </c>
      <c r="AS12" s="661">
        <v>8</v>
      </c>
      <c r="AT12" s="661">
        <v>40</v>
      </c>
      <c r="AU12" s="661">
        <v>8</v>
      </c>
      <c r="AV12" s="661">
        <v>40</v>
      </c>
      <c r="AW12" s="661">
        <v>2</v>
      </c>
      <c r="AX12" s="661">
        <v>2</v>
      </c>
      <c r="AY12" s="666">
        <f t="shared" si="16"/>
        <v>5948</v>
      </c>
      <c r="AZ12" s="670">
        <f>871+2958+71</f>
        <v>3900</v>
      </c>
      <c r="BA12" s="666">
        <f>1200-37</f>
        <v>1163</v>
      </c>
      <c r="BB12" s="666">
        <v>37</v>
      </c>
      <c r="BC12" s="666"/>
      <c r="BD12" s="666"/>
      <c r="BE12" s="666">
        <f t="shared" ref="BE12:BE29" si="23">(BA12+BB12)*10%</f>
        <v>120</v>
      </c>
      <c r="BF12" s="667">
        <f>ROUND(BE12,0)</f>
        <v>120</v>
      </c>
      <c r="BG12" s="666">
        <f t="shared" ref="BG12:BG55" si="24">(AZ12+BA12+BB12+BC12)-BF12</f>
        <v>4980</v>
      </c>
      <c r="BH12" s="666">
        <f>371+118</f>
        <v>489</v>
      </c>
      <c r="BI12" s="666"/>
      <c r="BJ12" s="666">
        <v>60</v>
      </c>
      <c r="BK12" s="666"/>
      <c r="BL12" s="666">
        <f>(BH12-118)*10%</f>
        <v>37.1</v>
      </c>
      <c r="BM12" s="667">
        <f>ROUND(BL12,0)</f>
        <v>37</v>
      </c>
      <c r="BN12" s="666">
        <f t="shared" si="17"/>
        <v>512</v>
      </c>
      <c r="BO12" s="666">
        <v>456</v>
      </c>
      <c r="BP12" s="666"/>
      <c r="BQ12" s="666"/>
      <c r="BR12" s="666">
        <v>87</v>
      </c>
      <c r="BS12" s="666"/>
      <c r="BT12" s="666"/>
      <c r="BU12" s="666"/>
      <c r="BV12" s="666"/>
      <c r="BW12" s="662"/>
      <c r="CA12" s="1352"/>
      <c r="CB12" s="1352" t="s">
        <v>445</v>
      </c>
      <c r="CC12" s="1352">
        <v>50</v>
      </c>
      <c r="CD12" s="1352">
        <v>48</v>
      </c>
      <c r="CE12" s="1352">
        <v>8</v>
      </c>
      <c r="CF12" s="1352">
        <v>40</v>
      </c>
      <c r="CG12" s="1352">
        <v>7</v>
      </c>
      <c r="CH12" s="1352">
        <v>38</v>
      </c>
      <c r="CI12" s="1352">
        <v>2</v>
      </c>
      <c r="CJ12" s="1352">
        <v>2</v>
      </c>
      <c r="CK12" s="1353">
        <v>6055</v>
      </c>
      <c r="CL12" s="1353">
        <v>4096</v>
      </c>
      <c r="CM12" s="1354">
        <v>1163</v>
      </c>
      <c r="CN12" s="1354">
        <v>37</v>
      </c>
      <c r="CO12" s="1354"/>
      <c r="CP12" s="1354"/>
      <c r="CQ12" s="1354">
        <v>0</v>
      </c>
      <c r="CR12" s="1354">
        <v>125</v>
      </c>
      <c r="CS12" s="1354">
        <v>125</v>
      </c>
      <c r="CT12" s="1353">
        <v>5171</v>
      </c>
      <c r="CU12" s="1353">
        <v>417</v>
      </c>
      <c r="CV12" s="1353">
        <v>140</v>
      </c>
      <c r="CW12" s="1353"/>
      <c r="CX12" s="1353"/>
      <c r="CY12" s="1353">
        <v>22.1</v>
      </c>
      <c r="CZ12" s="1353">
        <v>54</v>
      </c>
      <c r="DA12" s="1353">
        <v>54</v>
      </c>
      <c r="DB12" s="1353">
        <v>503</v>
      </c>
      <c r="DC12" s="1353">
        <v>381</v>
      </c>
      <c r="DD12" s="1353"/>
      <c r="DE12" s="1353"/>
      <c r="DF12" s="1353"/>
      <c r="DG12" s="1353"/>
      <c r="DH12" s="1353"/>
      <c r="DI12" s="1353"/>
      <c r="DJ12" s="1353"/>
      <c r="DK12" s="1353"/>
      <c r="DT12" s="659"/>
      <c r="DU12" s="660" t="s">
        <v>445</v>
      </c>
      <c r="DV12" s="777">
        <f t="shared" ref="DV12:EK29" si="25">L12-CK12</f>
        <v>-231</v>
      </c>
      <c r="DW12" s="777">
        <f t="shared" si="18"/>
        <v>-156</v>
      </c>
      <c r="DX12" s="777">
        <f t="shared" si="18"/>
        <v>-75</v>
      </c>
      <c r="DY12" s="777">
        <f t="shared" si="18"/>
        <v>0</v>
      </c>
      <c r="DZ12" s="777">
        <f t="shared" si="18"/>
        <v>0</v>
      </c>
      <c r="EA12" s="777">
        <f t="shared" si="18"/>
        <v>0</v>
      </c>
      <c r="EB12" s="777">
        <f t="shared" si="18"/>
        <v>0</v>
      </c>
      <c r="EC12" s="777">
        <f t="shared" si="18"/>
        <v>0</v>
      </c>
      <c r="ED12" s="777">
        <f t="shared" si="18"/>
        <v>0</v>
      </c>
      <c r="EE12" s="777">
        <f t="shared" si="18"/>
        <v>-231</v>
      </c>
      <c r="EF12" s="777">
        <f t="shared" si="18"/>
        <v>0</v>
      </c>
      <c r="EG12" s="777">
        <f t="shared" si="18"/>
        <v>0</v>
      </c>
      <c r="EH12" s="777">
        <f t="shared" si="18"/>
        <v>0</v>
      </c>
      <c r="EI12" s="777">
        <f t="shared" si="18"/>
        <v>0</v>
      </c>
      <c r="EJ12" s="777">
        <f t="shared" si="18"/>
        <v>0</v>
      </c>
      <c r="EK12" s="777">
        <f t="shared" si="18"/>
        <v>0</v>
      </c>
      <c r="EL12" s="777">
        <f t="shared" si="18"/>
        <v>0</v>
      </c>
      <c r="EM12" s="777">
        <f t="shared" si="18"/>
        <v>0</v>
      </c>
      <c r="EN12" s="777">
        <f t="shared" si="18"/>
        <v>0</v>
      </c>
      <c r="EO12" s="777">
        <f t="shared" si="18"/>
        <v>0</v>
      </c>
      <c r="EP12" s="777">
        <f t="shared" si="18"/>
        <v>0</v>
      </c>
      <c r="EQ12" s="777">
        <f t="shared" si="18"/>
        <v>166</v>
      </c>
      <c r="ER12" s="777">
        <f t="shared" si="18"/>
        <v>0</v>
      </c>
      <c r="ES12" s="777">
        <f t="shared" si="18"/>
        <v>0</v>
      </c>
      <c r="ET12" s="777">
        <f t="shared" si="18"/>
        <v>0</v>
      </c>
      <c r="EU12" s="777">
        <f t="shared" si="18"/>
        <v>0</v>
      </c>
      <c r="EV12" s="777">
        <f t="shared" si="18"/>
        <v>0</v>
      </c>
    </row>
    <row r="13" spans="1:152" ht="24" hidden="1" customHeight="1">
      <c r="A13" s="659"/>
      <c r="B13" s="660" t="s">
        <v>446</v>
      </c>
      <c r="C13" s="661">
        <f>D13+I13</f>
        <v>86</v>
      </c>
      <c r="D13" s="661">
        <f>E13+F13</f>
        <v>85</v>
      </c>
      <c r="E13" s="661">
        <v>11</v>
      </c>
      <c r="F13" s="661">
        <v>74</v>
      </c>
      <c r="G13" s="661">
        <v>11</v>
      </c>
      <c r="H13" s="661">
        <v>74</v>
      </c>
      <c r="I13" s="661">
        <v>1</v>
      </c>
      <c r="J13" s="661">
        <v>1</v>
      </c>
      <c r="K13" s="646">
        <f t="shared" si="5"/>
        <v>17219</v>
      </c>
      <c r="L13" s="662">
        <f t="shared" si="15"/>
        <v>17259</v>
      </c>
      <c r="M13" s="666">
        <v>5795</v>
      </c>
      <c r="N13" s="666">
        <v>2063</v>
      </c>
      <c r="O13" s="666">
        <v>62</v>
      </c>
      <c r="P13" s="666"/>
      <c r="Q13" s="666"/>
      <c r="R13" s="666"/>
      <c r="S13" s="666">
        <v>198</v>
      </c>
      <c r="T13" s="666">
        <f t="shared" si="19"/>
        <v>198</v>
      </c>
      <c r="U13" s="666">
        <f t="shared" si="20"/>
        <v>7722</v>
      </c>
      <c r="V13" s="666">
        <f>14216-4759+129</f>
        <v>9586</v>
      </c>
      <c r="W13" s="666"/>
      <c r="X13" s="666"/>
      <c r="Y13" s="666">
        <f>Z13-BM13</f>
        <v>50.7</v>
      </c>
      <c r="Z13" s="666">
        <f>(V13-429-8500)*10%</f>
        <v>65.7</v>
      </c>
      <c r="AA13" s="666">
        <v>38</v>
      </c>
      <c r="AB13" s="666">
        <f t="shared" si="21"/>
        <v>89</v>
      </c>
      <c r="AC13" s="666">
        <f t="shared" si="22"/>
        <v>9497</v>
      </c>
      <c r="AD13" s="666">
        <v>40</v>
      </c>
      <c r="AE13" s="666"/>
      <c r="AF13" s="666"/>
      <c r="AG13" s="666">
        <v>4710</v>
      </c>
      <c r="AH13" s="666">
        <v>70</v>
      </c>
      <c r="AI13" s="666"/>
      <c r="AJ13" s="666"/>
      <c r="AK13" s="666"/>
      <c r="AL13" s="669"/>
      <c r="AM13" s="662"/>
      <c r="AN13" s="610"/>
      <c r="AO13" s="659"/>
      <c r="AP13" s="660" t="s">
        <v>446</v>
      </c>
      <c r="AQ13" s="661">
        <f>AR13+AW13</f>
        <v>91</v>
      </c>
      <c r="AR13" s="661">
        <f>AS13+AT13</f>
        <v>90</v>
      </c>
      <c r="AS13" s="661">
        <v>11</v>
      </c>
      <c r="AT13" s="661">
        <v>79</v>
      </c>
      <c r="AU13" s="661">
        <v>11</v>
      </c>
      <c r="AV13" s="661">
        <v>78</v>
      </c>
      <c r="AW13" s="661">
        <v>1</v>
      </c>
      <c r="AX13" s="661">
        <v>1</v>
      </c>
      <c r="AY13" s="666">
        <f t="shared" si="16"/>
        <v>15596</v>
      </c>
      <c r="AZ13" s="670">
        <f>961+5517+62-452</f>
        <v>6088</v>
      </c>
      <c r="BA13" s="666">
        <f>2250-250</f>
        <v>2000</v>
      </c>
      <c r="BB13" s="666">
        <v>250</v>
      </c>
      <c r="BC13" s="666"/>
      <c r="BD13" s="666"/>
      <c r="BE13" s="666">
        <f t="shared" si="23"/>
        <v>225</v>
      </c>
      <c r="BF13" s="667">
        <f>ROUND(BE13,0)</f>
        <v>225</v>
      </c>
      <c r="BG13" s="666">
        <f t="shared" si="24"/>
        <v>8113</v>
      </c>
      <c r="BH13" s="666">
        <f>3000+2000+2000+150+14+304</f>
        <v>7468</v>
      </c>
      <c r="BI13" s="666"/>
      <c r="BJ13" s="666"/>
      <c r="BK13" s="666"/>
      <c r="BL13" s="666">
        <f>(BH13-304-7000-14)*10%</f>
        <v>15</v>
      </c>
      <c r="BM13" s="667">
        <f>ROUND(BL13,0)</f>
        <v>15</v>
      </c>
      <c r="BN13" s="666">
        <f t="shared" si="17"/>
        <v>7453</v>
      </c>
      <c r="BO13" s="666">
        <v>30</v>
      </c>
      <c r="BP13" s="666"/>
      <c r="BQ13" s="666"/>
      <c r="BR13" s="666">
        <v>306</v>
      </c>
      <c r="BS13" s="666">
        <v>45</v>
      </c>
      <c r="BT13" s="666"/>
      <c r="BU13" s="666"/>
      <c r="BV13" s="666"/>
      <c r="BW13" s="662"/>
      <c r="CA13" s="1352"/>
      <c r="CB13" s="1352" t="s">
        <v>446</v>
      </c>
      <c r="CC13" s="1352">
        <v>90</v>
      </c>
      <c r="CD13" s="1352">
        <v>89</v>
      </c>
      <c r="CE13" s="1352">
        <v>11</v>
      </c>
      <c r="CF13" s="1352">
        <v>78</v>
      </c>
      <c r="CG13" s="1352">
        <v>11</v>
      </c>
      <c r="CH13" s="1352">
        <v>74</v>
      </c>
      <c r="CI13" s="1352">
        <v>1</v>
      </c>
      <c r="CJ13" s="1352">
        <v>1</v>
      </c>
      <c r="CK13" s="1353">
        <v>17553</v>
      </c>
      <c r="CL13" s="1353">
        <v>5989</v>
      </c>
      <c r="CM13" s="1354">
        <v>2163</v>
      </c>
      <c r="CN13" s="1354">
        <v>62</v>
      </c>
      <c r="CO13" s="1354"/>
      <c r="CP13" s="1354"/>
      <c r="CQ13" s="1354"/>
      <c r="CR13" s="1354">
        <v>198</v>
      </c>
      <c r="CS13" s="1354">
        <v>198</v>
      </c>
      <c r="CT13" s="1353">
        <v>8016</v>
      </c>
      <c r="CU13" s="1353">
        <v>9586</v>
      </c>
      <c r="CV13" s="1353"/>
      <c r="CW13" s="1353"/>
      <c r="CX13" s="1353">
        <v>50.7</v>
      </c>
      <c r="CY13" s="1353">
        <v>65.7</v>
      </c>
      <c r="CZ13" s="1353">
        <v>38</v>
      </c>
      <c r="DA13" s="1353">
        <v>89</v>
      </c>
      <c r="DB13" s="1353">
        <v>9497</v>
      </c>
      <c r="DC13" s="1353">
        <v>40</v>
      </c>
      <c r="DD13" s="1353"/>
      <c r="DE13" s="1353"/>
      <c r="DF13" s="1353"/>
      <c r="DG13" s="1353"/>
      <c r="DH13" s="1353"/>
      <c r="DI13" s="1353"/>
      <c r="DJ13" s="1353"/>
      <c r="DK13" s="1353"/>
      <c r="DT13" s="659"/>
      <c r="DU13" s="660" t="s">
        <v>446</v>
      </c>
      <c r="DV13" s="777">
        <f t="shared" si="25"/>
        <v>-294</v>
      </c>
      <c r="DW13" s="777">
        <f t="shared" si="18"/>
        <v>-194</v>
      </c>
      <c r="DX13" s="777">
        <f t="shared" si="18"/>
        <v>-100</v>
      </c>
      <c r="DY13" s="777">
        <f t="shared" si="18"/>
        <v>0</v>
      </c>
      <c r="DZ13" s="777">
        <f t="shared" si="18"/>
        <v>0</v>
      </c>
      <c r="EA13" s="777">
        <f t="shared" si="18"/>
        <v>0</v>
      </c>
      <c r="EB13" s="777">
        <f t="shared" si="18"/>
        <v>0</v>
      </c>
      <c r="EC13" s="777">
        <f t="shared" si="18"/>
        <v>0</v>
      </c>
      <c r="ED13" s="777">
        <f t="shared" si="18"/>
        <v>0</v>
      </c>
      <c r="EE13" s="777">
        <f t="shared" si="18"/>
        <v>-294</v>
      </c>
      <c r="EF13" s="777">
        <f t="shared" si="18"/>
        <v>0</v>
      </c>
      <c r="EG13" s="777">
        <f t="shared" si="18"/>
        <v>0</v>
      </c>
      <c r="EH13" s="777">
        <f t="shared" si="18"/>
        <v>0</v>
      </c>
      <c r="EI13" s="777">
        <f t="shared" si="18"/>
        <v>0</v>
      </c>
      <c r="EJ13" s="777">
        <f t="shared" si="18"/>
        <v>0</v>
      </c>
      <c r="EK13" s="777">
        <f t="shared" si="18"/>
        <v>0</v>
      </c>
      <c r="EL13" s="777">
        <f t="shared" si="18"/>
        <v>0</v>
      </c>
      <c r="EM13" s="777">
        <f t="shared" si="18"/>
        <v>0</v>
      </c>
      <c r="EN13" s="777">
        <f t="shared" si="18"/>
        <v>0</v>
      </c>
      <c r="EO13" s="777">
        <f t="shared" si="18"/>
        <v>0</v>
      </c>
      <c r="EP13" s="777">
        <f t="shared" si="18"/>
        <v>0</v>
      </c>
      <c r="EQ13" s="777">
        <f t="shared" si="18"/>
        <v>4710</v>
      </c>
      <c r="ER13" s="777">
        <f t="shared" si="18"/>
        <v>70</v>
      </c>
      <c r="ES13" s="777">
        <f t="shared" si="18"/>
        <v>0</v>
      </c>
      <c r="ET13" s="777">
        <f t="shared" si="18"/>
        <v>0</v>
      </c>
      <c r="EU13" s="777">
        <f t="shared" si="18"/>
        <v>0</v>
      </c>
      <c r="EV13" s="777">
        <f t="shared" si="18"/>
        <v>0</v>
      </c>
    </row>
    <row r="14" spans="1:152" ht="18.75" hidden="1" customHeight="1">
      <c r="A14" s="659"/>
      <c r="B14" s="660" t="s">
        <v>447</v>
      </c>
      <c r="C14" s="661">
        <f>D14+I14</f>
        <v>41</v>
      </c>
      <c r="D14" s="661">
        <f>E14+F14</f>
        <v>38</v>
      </c>
      <c r="E14" s="661">
        <v>10</v>
      </c>
      <c r="F14" s="661">
        <v>28</v>
      </c>
      <c r="G14" s="661">
        <v>7</v>
      </c>
      <c r="H14" s="661">
        <v>28</v>
      </c>
      <c r="I14" s="661">
        <v>3</v>
      </c>
      <c r="J14" s="661">
        <v>3</v>
      </c>
      <c r="K14" s="646">
        <f t="shared" si="5"/>
        <v>5896</v>
      </c>
      <c r="L14" s="662">
        <f t="shared" si="15"/>
        <v>5896</v>
      </c>
      <c r="M14" s="666">
        <v>3547</v>
      </c>
      <c r="N14" s="666">
        <v>972</v>
      </c>
      <c r="O14" s="666">
        <v>54</v>
      </c>
      <c r="P14" s="666"/>
      <c r="Q14" s="666"/>
      <c r="R14" s="666"/>
      <c r="S14" s="666">
        <v>113</v>
      </c>
      <c r="T14" s="666">
        <f t="shared" si="19"/>
        <v>113</v>
      </c>
      <c r="U14" s="666">
        <f t="shared" si="20"/>
        <v>4460</v>
      </c>
      <c r="V14" s="666">
        <f>1169+89</f>
        <v>1258</v>
      </c>
      <c r="W14" s="666">
        <v>195</v>
      </c>
      <c r="X14" s="666"/>
      <c r="Y14" s="666"/>
      <c r="Z14" s="666">
        <f>(V14-295-106-57)*10%</f>
        <v>80</v>
      </c>
      <c r="AA14" s="666">
        <v>17</v>
      </c>
      <c r="AB14" s="666">
        <f t="shared" si="21"/>
        <v>17</v>
      </c>
      <c r="AC14" s="666">
        <f t="shared" si="22"/>
        <v>1436</v>
      </c>
      <c r="AD14" s="666"/>
      <c r="AE14" s="666"/>
      <c r="AF14" s="666"/>
      <c r="AG14" s="666"/>
      <c r="AH14" s="666"/>
      <c r="AI14" s="666"/>
      <c r="AJ14" s="666">
        <v>1000</v>
      </c>
      <c r="AK14" s="666"/>
      <c r="AL14" s="669"/>
      <c r="AM14" s="662"/>
      <c r="AN14" s="610"/>
      <c r="AO14" s="659"/>
      <c r="AP14" s="660" t="s">
        <v>447</v>
      </c>
      <c r="AQ14" s="661">
        <f>AR14+AW14</f>
        <v>42</v>
      </c>
      <c r="AR14" s="661">
        <f>AS14+AT14</f>
        <v>39</v>
      </c>
      <c r="AS14" s="661">
        <v>10</v>
      </c>
      <c r="AT14" s="661">
        <v>29</v>
      </c>
      <c r="AU14" s="661">
        <v>8</v>
      </c>
      <c r="AV14" s="661">
        <v>29</v>
      </c>
      <c r="AW14" s="661">
        <v>3</v>
      </c>
      <c r="AX14" s="661">
        <v>3</v>
      </c>
      <c r="AY14" s="666">
        <f t="shared" si="16"/>
        <v>6803</v>
      </c>
      <c r="AZ14" s="670">
        <f>935+2285+143</f>
        <v>3363</v>
      </c>
      <c r="BA14" s="666">
        <f>1053-80</f>
        <v>973</v>
      </c>
      <c r="BB14" s="666">
        <v>80</v>
      </c>
      <c r="BC14" s="666"/>
      <c r="BD14" s="666"/>
      <c r="BE14" s="666">
        <f t="shared" si="23"/>
        <v>105.30000000000001</v>
      </c>
      <c r="BF14" s="667">
        <f>ROUND(BE14,0)</f>
        <v>105</v>
      </c>
      <c r="BG14" s="666">
        <f t="shared" si="24"/>
        <v>4311</v>
      </c>
      <c r="BH14" s="666">
        <f>800+10+26+161+1000+120</f>
        <v>2117</v>
      </c>
      <c r="BI14" s="666"/>
      <c r="BJ14" s="666">
        <v>306</v>
      </c>
      <c r="BK14" s="666"/>
      <c r="BL14" s="666">
        <f>(BH14-120-161-1000-26)*10%</f>
        <v>81</v>
      </c>
      <c r="BM14" s="667">
        <f>ROUND(BL14,0)</f>
        <v>81</v>
      </c>
      <c r="BN14" s="666">
        <f t="shared" si="17"/>
        <v>2342</v>
      </c>
      <c r="BO14" s="666">
        <v>150</v>
      </c>
      <c r="BP14" s="666"/>
      <c r="BQ14" s="666"/>
      <c r="BR14" s="666"/>
      <c r="BS14" s="666"/>
      <c r="BT14" s="666">
        <v>80</v>
      </c>
      <c r="BU14" s="666">
        <v>900</v>
      </c>
      <c r="BV14" s="666"/>
      <c r="BW14" s="662"/>
      <c r="CA14" s="1352"/>
      <c r="CB14" s="1352" t="s">
        <v>447</v>
      </c>
      <c r="CC14" s="1352">
        <v>42</v>
      </c>
      <c r="CD14" s="1352">
        <v>39</v>
      </c>
      <c r="CE14" s="1352">
        <v>10</v>
      </c>
      <c r="CF14" s="1352">
        <v>29</v>
      </c>
      <c r="CG14" s="1352">
        <v>7</v>
      </c>
      <c r="CH14" s="1352">
        <v>28</v>
      </c>
      <c r="CI14" s="1352">
        <v>3</v>
      </c>
      <c r="CJ14" s="1352">
        <v>3</v>
      </c>
      <c r="CK14" s="1353">
        <v>5936</v>
      </c>
      <c r="CL14" s="1353">
        <v>3543</v>
      </c>
      <c r="CM14" s="1354">
        <v>999</v>
      </c>
      <c r="CN14" s="1354">
        <v>54</v>
      </c>
      <c r="CO14" s="1354"/>
      <c r="CP14" s="1354"/>
      <c r="CQ14" s="1354">
        <v>0</v>
      </c>
      <c r="CR14" s="1354">
        <v>113</v>
      </c>
      <c r="CS14" s="1354">
        <v>113</v>
      </c>
      <c r="CT14" s="1353">
        <v>4483</v>
      </c>
      <c r="CU14" s="1353">
        <v>1258</v>
      </c>
      <c r="CV14" s="1353">
        <v>195</v>
      </c>
      <c r="CW14" s="1353"/>
      <c r="CX14" s="1353"/>
      <c r="CY14" s="1353">
        <v>80</v>
      </c>
      <c r="CZ14" s="1353">
        <v>17</v>
      </c>
      <c r="DA14" s="1353">
        <v>17</v>
      </c>
      <c r="DB14" s="1353">
        <v>1436</v>
      </c>
      <c r="DC14" s="1353">
        <v>17</v>
      </c>
      <c r="DD14" s="1353"/>
      <c r="DE14" s="1353"/>
      <c r="DF14" s="1353"/>
      <c r="DG14" s="1353"/>
      <c r="DH14" s="1353"/>
      <c r="DI14" s="1353"/>
      <c r="DJ14" s="1353"/>
      <c r="DK14" s="1353"/>
      <c r="DT14" s="659"/>
      <c r="DU14" s="660" t="s">
        <v>447</v>
      </c>
      <c r="DV14" s="777">
        <f t="shared" si="25"/>
        <v>-40</v>
      </c>
      <c r="DW14" s="777">
        <f t="shared" si="18"/>
        <v>4</v>
      </c>
      <c r="DX14" s="777">
        <f t="shared" si="18"/>
        <v>-27</v>
      </c>
      <c r="DY14" s="777">
        <f t="shared" si="18"/>
        <v>0</v>
      </c>
      <c r="DZ14" s="777">
        <f t="shared" si="18"/>
        <v>0</v>
      </c>
      <c r="EA14" s="777">
        <f t="shared" si="18"/>
        <v>0</v>
      </c>
      <c r="EB14" s="777">
        <f t="shared" si="18"/>
        <v>0</v>
      </c>
      <c r="EC14" s="777">
        <f t="shared" si="18"/>
        <v>0</v>
      </c>
      <c r="ED14" s="777">
        <f t="shared" si="18"/>
        <v>0</v>
      </c>
      <c r="EE14" s="777">
        <f t="shared" si="18"/>
        <v>-23</v>
      </c>
      <c r="EF14" s="777">
        <f t="shared" si="18"/>
        <v>0</v>
      </c>
      <c r="EG14" s="777">
        <f t="shared" si="18"/>
        <v>0</v>
      </c>
      <c r="EH14" s="777">
        <f t="shared" si="18"/>
        <v>0</v>
      </c>
      <c r="EI14" s="777">
        <f t="shared" si="18"/>
        <v>0</v>
      </c>
      <c r="EJ14" s="777">
        <f t="shared" si="18"/>
        <v>0</v>
      </c>
      <c r="EK14" s="777">
        <f t="shared" si="18"/>
        <v>0</v>
      </c>
      <c r="EL14" s="777">
        <f t="shared" si="18"/>
        <v>0</v>
      </c>
      <c r="EM14" s="777">
        <f t="shared" si="18"/>
        <v>0</v>
      </c>
      <c r="EN14" s="777">
        <f t="shared" si="18"/>
        <v>-17</v>
      </c>
      <c r="EO14" s="777">
        <f t="shared" si="18"/>
        <v>0</v>
      </c>
      <c r="EP14" s="777">
        <f t="shared" si="18"/>
        <v>0</v>
      </c>
      <c r="EQ14" s="777">
        <f t="shared" si="18"/>
        <v>0</v>
      </c>
      <c r="ER14" s="777">
        <f t="shared" si="18"/>
        <v>0</v>
      </c>
      <c r="ES14" s="777">
        <f t="shared" si="18"/>
        <v>0</v>
      </c>
      <c r="ET14" s="777">
        <f t="shared" si="18"/>
        <v>1000</v>
      </c>
      <c r="EU14" s="777">
        <f t="shared" si="18"/>
        <v>0</v>
      </c>
      <c r="EV14" s="777">
        <f t="shared" si="18"/>
        <v>0</v>
      </c>
    </row>
    <row r="15" spans="1:152" s="693" customFormat="1" ht="36" hidden="1" customHeight="1">
      <c r="A15" s="682"/>
      <c r="B15" s="683" t="s">
        <v>448</v>
      </c>
      <c r="C15" s="684"/>
      <c r="D15" s="684"/>
      <c r="E15" s="684"/>
      <c r="F15" s="684"/>
      <c r="G15" s="684"/>
      <c r="H15" s="684"/>
      <c r="I15" s="684"/>
      <c r="J15" s="684"/>
      <c r="K15" s="646">
        <f t="shared" si="5"/>
        <v>0</v>
      </c>
      <c r="L15" s="662">
        <f t="shared" si="15"/>
        <v>0</v>
      </c>
      <c r="M15" s="685"/>
      <c r="N15" s="685"/>
      <c r="O15" s="685"/>
      <c r="P15" s="685"/>
      <c r="Q15" s="685"/>
      <c r="R15" s="666">
        <f>((N15+O15)-(BA15+BB15))*10%</f>
        <v>0</v>
      </c>
      <c r="S15" s="685"/>
      <c r="T15" s="666">
        <f t="shared" si="19"/>
        <v>0</v>
      </c>
      <c r="U15" s="666">
        <f t="shared" si="20"/>
        <v>0</v>
      </c>
      <c r="V15" s="685"/>
      <c r="W15" s="685"/>
      <c r="X15" s="685"/>
      <c r="Y15" s="666">
        <f>Z15-BM15</f>
        <v>0</v>
      </c>
      <c r="Z15" s="666">
        <f t="shared" ref="Z15:Z29" si="26">V15*10%</f>
        <v>0</v>
      </c>
      <c r="AA15" s="685"/>
      <c r="AB15" s="666">
        <f t="shared" si="21"/>
        <v>0</v>
      </c>
      <c r="AC15" s="666">
        <f t="shared" si="22"/>
        <v>0</v>
      </c>
      <c r="AD15" s="685"/>
      <c r="AE15" s="685"/>
      <c r="AF15" s="685"/>
      <c r="AG15" s="685"/>
      <c r="AH15" s="685"/>
      <c r="AI15" s="685"/>
      <c r="AJ15" s="685"/>
      <c r="AK15" s="685"/>
      <c r="AL15" s="688"/>
      <c r="AM15" s="689"/>
      <c r="AN15" s="690"/>
      <c r="AO15" s="682"/>
      <c r="AP15" s="683" t="s">
        <v>448</v>
      </c>
      <c r="AQ15" s="684"/>
      <c r="AR15" s="684"/>
      <c r="AS15" s="684"/>
      <c r="AT15" s="684"/>
      <c r="AU15" s="684"/>
      <c r="AV15" s="684"/>
      <c r="AW15" s="684"/>
      <c r="AX15" s="684"/>
      <c r="AY15" s="685">
        <f t="shared" si="16"/>
        <v>1000</v>
      </c>
      <c r="AZ15" s="691"/>
      <c r="BA15" s="685"/>
      <c r="BB15" s="685"/>
      <c r="BC15" s="685"/>
      <c r="BD15" s="685"/>
      <c r="BE15" s="666">
        <f t="shared" si="23"/>
        <v>0</v>
      </c>
      <c r="BF15" s="686"/>
      <c r="BG15" s="685">
        <f t="shared" si="24"/>
        <v>0</v>
      </c>
      <c r="BH15" s="685">
        <v>1000</v>
      </c>
      <c r="BI15" s="685"/>
      <c r="BJ15" s="685"/>
      <c r="BK15" s="685"/>
      <c r="BL15" s="666"/>
      <c r="BM15" s="686"/>
      <c r="BN15" s="685">
        <f t="shared" si="17"/>
        <v>1000</v>
      </c>
      <c r="BO15" s="685"/>
      <c r="BP15" s="685"/>
      <c r="BQ15" s="685"/>
      <c r="BR15" s="685"/>
      <c r="BS15" s="685"/>
      <c r="BT15" s="685"/>
      <c r="BU15" s="685"/>
      <c r="BV15" s="685"/>
      <c r="BW15" s="692"/>
      <c r="BY15" s="1355"/>
      <c r="BZ15" s="1355"/>
      <c r="CA15" s="1356"/>
      <c r="CB15" s="1356" t="s">
        <v>448</v>
      </c>
      <c r="CC15" s="1356"/>
      <c r="CD15" s="1356"/>
      <c r="CE15" s="1356"/>
      <c r="CF15" s="1356"/>
      <c r="CG15" s="1356"/>
      <c r="CH15" s="1356"/>
      <c r="CI15" s="1356"/>
      <c r="CJ15" s="1356"/>
      <c r="CK15" s="1357">
        <v>0</v>
      </c>
      <c r="CL15" s="1357"/>
      <c r="CM15" s="1358"/>
      <c r="CN15" s="1358"/>
      <c r="CO15" s="1358"/>
      <c r="CP15" s="1358"/>
      <c r="CQ15" s="1358">
        <v>0</v>
      </c>
      <c r="CR15" s="1358"/>
      <c r="CS15" s="1358">
        <v>0</v>
      </c>
      <c r="CT15" s="1357">
        <v>0</v>
      </c>
      <c r="CU15" s="1357"/>
      <c r="CV15" s="1357"/>
      <c r="CW15" s="1357"/>
      <c r="CX15" s="1357">
        <v>0</v>
      </c>
      <c r="CY15" s="1357">
        <v>0</v>
      </c>
      <c r="CZ15" s="1357"/>
      <c r="DA15" s="1357">
        <v>0</v>
      </c>
      <c r="DB15" s="1357">
        <v>0</v>
      </c>
      <c r="DC15" s="1357"/>
      <c r="DD15" s="1357"/>
      <c r="DE15" s="1357"/>
      <c r="DF15" s="1357"/>
      <c r="DG15" s="1357"/>
      <c r="DH15" s="1357"/>
      <c r="DI15" s="1357"/>
      <c r="DJ15" s="1357"/>
      <c r="DK15" s="1357"/>
      <c r="DT15" s="682"/>
      <c r="DU15" s="683" t="s">
        <v>448</v>
      </c>
      <c r="DV15" s="777">
        <f t="shared" si="25"/>
        <v>0</v>
      </c>
      <c r="DW15" s="777">
        <f t="shared" si="18"/>
        <v>0</v>
      </c>
      <c r="DX15" s="777">
        <f t="shared" si="18"/>
        <v>0</v>
      </c>
      <c r="DY15" s="777">
        <f t="shared" si="18"/>
        <v>0</v>
      </c>
      <c r="DZ15" s="777">
        <f t="shared" si="18"/>
        <v>0</v>
      </c>
      <c r="EA15" s="777">
        <f t="shared" si="18"/>
        <v>0</v>
      </c>
      <c r="EB15" s="777">
        <f t="shared" si="18"/>
        <v>0</v>
      </c>
      <c r="EC15" s="777">
        <f t="shared" si="18"/>
        <v>0</v>
      </c>
      <c r="ED15" s="777">
        <f t="shared" si="18"/>
        <v>0</v>
      </c>
      <c r="EE15" s="777">
        <f t="shared" si="18"/>
        <v>0</v>
      </c>
      <c r="EF15" s="777">
        <f t="shared" si="18"/>
        <v>0</v>
      </c>
      <c r="EG15" s="777">
        <f t="shared" si="18"/>
        <v>0</v>
      </c>
      <c r="EH15" s="777">
        <f t="shared" si="18"/>
        <v>0</v>
      </c>
      <c r="EI15" s="777">
        <f t="shared" si="18"/>
        <v>0</v>
      </c>
      <c r="EJ15" s="777">
        <f t="shared" si="18"/>
        <v>0</v>
      </c>
      <c r="EK15" s="777">
        <f t="shared" si="18"/>
        <v>0</v>
      </c>
      <c r="EL15" s="777">
        <f t="shared" si="18"/>
        <v>0</v>
      </c>
      <c r="EM15" s="777">
        <f t="shared" si="18"/>
        <v>0</v>
      </c>
      <c r="EN15" s="777">
        <f t="shared" si="18"/>
        <v>0</v>
      </c>
      <c r="EO15" s="777">
        <f t="shared" si="18"/>
        <v>0</v>
      </c>
      <c r="EP15" s="777">
        <f t="shared" si="18"/>
        <v>0</v>
      </c>
      <c r="EQ15" s="777">
        <f t="shared" si="18"/>
        <v>0</v>
      </c>
      <c r="ER15" s="777">
        <f t="shared" si="18"/>
        <v>0</v>
      </c>
      <c r="ES15" s="777">
        <f t="shared" si="18"/>
        <v>0</v>
      </c>
      <c r="ET15" s="777">
        <f t="shared" si="18"/>
        <v>0</v>
      </c>
      <c r="EU15" s="777">
        <f t="shared" si="18"/>
        <v>0</v>
      </c>
      <c r="EV15" s="777">
        <f t="shared" si="18"/>
        <v>0</v>
      </c>
    </row>
    <row r="16" spans="1:152" ht="23.25" hidden="1" customHeight="1">
      <c r="A16" s="659"/>
      <c r="B16" s="660" t="s">
        <v>449</v>
      </c>
      <c r="C16" s="661">
        <f t="shared" ref="C16:C28" si="27">D16+I16</f>
        <v>21</v>
      </c>
      <c r="D16" s="661">
        <f t="shared" ref="D16:D28" si="28">E16+F16</f>
        <v>20</v>
      </c>
      <c r="E16" s="661">
        <v>14</v>
      </c>
      <c r="F16" s="661">
        <v>6</v>
      </c>
      <c r="G16" s="661">
        <v>13</v>
      </c>
      <c r="H16" s="661">
        <v>6</v>
      </c>
      <c r="I16" s="661">
        <v>1</v>
      </c>
      <c r="J16" s="661">
        <v>1</v>
      </c>
      <c r="K16" s="646">
        <f t="shared" si="5"/>
        <v>2749</v>
      </c>
      <c r="L16" s="662">
        <f t="shared" si="15"/>
        <v>3031</v>
      </c>
      <c r="M16" s="666">
        <f>1865-59</f>
        <v>1806</v>
      </c>
      <c r="N16" s="666">
        <f>487-27</f>
        <v>460</v>
      </c>
      <c r="O16" s="666">
        <v>80</v>
      </c>
      <c r="P16" s="666"/>
      <c r="Q16" s="666"/>
      <c r="R16" s="666"/>
      <c r="S16" s="666">
        <v>59</v>
      </c>
      <c r="T16" s="666">
        <f t="shared" si="19"/>
        <v>59</v>
      </c>
      <c r="U16" s="666">
        <f t="shared" si="20"/>
        <v>2287</v>
      </c>
      <c r="V16" s="666">
        <v>184</v>
      </c>
      <c r="W16" s="666">
        <f>43+275</f>
        <v>318</v>
      </c>
      <c r="X16" s="666"/>
      <c r="Y16" s="666">
        <f>Z16-BM16</f>
        <v>9.4000000000000021</v>
      </c>
      <c r="Z16" s="666">
        <f t="shared" si="26"/>
        <v>18.400000000000002</v>
      </c>
      <c r="AA16" s="666">
        <v>31</v>
      </c>
      <c r="AB16" s="666">
        <f t="shared" si="21"/>
        <v>40</v>
      </c>
      <c r="AC16" s="666">
        <f t="shared" si="22"/>
        <v>462</v>
      </c>
      <c r="AD16" s="666">
        <v>282</v>
      </c>
      <c r="AE16" s="666"/>
      <c r="AF16" s="666"/>
      <c r="AG16" s="666"/>
      <c r="AH16" s="666"/>
      <c r="AI16" s="666"/>
      <c r="AJ16" s="666">
        <v>1000</v>
      </c>
      <c r="AK16" s="666"/>
      <c r="AL16" s="669"/>
      <c r="AM16" s="662"/>
      <c r="AN16" s="610"/>
      <c r="AO16" s="659"/>
      <c r="AP16" s="660" t="s">
        <v>449</v>
      </c>
      <c r="AQ16" s="661">
        <f>AR16+AW16</f>
        <v>23</v>
      </c>
      <c r="AR16" s="661">
        <f>AS16+AT16</f>
        <v>22</v>
      </c>
      <c r="AS16" s="661">
        <v>16</v>
      </c>
      <c r="AT16" s="661">
        <v>6</v>
      </c>
      <c r="AU16" s="661">
        <v>13</v>
      </c>
      <c r="AV16" s="661">
        <v>6</v>
      </c>
      <c r="AW16" s="661">
        <v>1</v>
      </c>
      <c r="AX16" s="661">
        <v>1</v>
      </c>
      <c r="AY16" s="666">
        <f t="shared" si="16"/>
        <v>2623</v>
      </c>
      <c r="AZ16" s="670">
        <f>1345+270+66</f>
        <v>1681</v>
      </c>
      <c r="BA16" s="666">
        <f>594-94</f>
        <v>500</v>
      </c>
      <c r="BB16" s="666">
        <v>94</v>
      </c>
      <c r="BC16" s="666"/>
      <c r="BD16" s="666"/>
      <c r="BE16" s="666">
        <f t="shared" si="23"/>
        <v>59.400000000000006</v>
      </c>
      <c r="BF16" s="667">
        <f t="shared" ref="BF16:BF25" si="29">ROUND(BE16,0)</f>
        <v>59</v>
      </c>
      <c r="BG16" s="666">
        <f t="shared" si="24"/>
        <v>2216</v>
      </c>
      <c r="BH16" s="666">
        <v>94</v>
      </c>
      <c r="BI16" s="666"/>
      <c r="BJ16" s="666">
        <v>72</v>
      </c>
      <c r="BK16" s="666"/>
      <c r="BL16" s="666">
        <f>BH16*10%</f>
        <v>9.4</v>
      </c>
      <c r="BM16" s="667">
        <f t="shared" ref="BM16:BM26" si="30">ROUND(BL16,0)</f>
        <v>9</v>
      </c>
      <c r="BN16" s="666">
        <f t="shared" si="17"/>
        <v>157</v>
      </c>
      <c r="BO16" s="666">
        <v>250</v>
      </c>
      <c r="BP16" s="666"/>
      <c r="BQ16" s="666"/>
      <c r="BR16" s="666"/>
      <c r="BS16" s="666"/>
      <c r="BT16" s="666"/>
      <c r="BU16" s="666">
        <v>1000</v>
      </c>
      <c r="BV16" s="666"/>
      <c r="BW16" s="662"/>
      <c r="CA16" s="1352"/>
      <c r="CB16" s="1352" t="s">
        <v>449</v>
      </c>
      <c r="CC16" s="1352">
        <v>22</v>
      </c>
      <c r="CD16" s="1352">
        <v>21</v>
      </c>
      <c r="CE16" s="1352">
        <v>15</v>
      </c>
      <c r="CF16" s="1352">
        <v>6</v>
      </c>
      <c r="CG16" s="1352">
        <v>13</v>
      </c>
      <c r="CH16" s="1352">
        <v>6</v>
      </c>
      <c r="CI16" s="1352">
        <v>1</v>
      </c>
      <c r="CJ16" s="1352">
        <v>1</v>
      </c>
      <c r="CK16" s="1353">
        <v>3117</v>
      </c>
      <c r="CL16" s="1353">
        <v>1865</v>
      </c>
      <c r="CM16" s="1354">
        <v>487</v>
      </c>
      <c r="CN16" s="1354">
        <v>80</v>
      </c>
      <c r="CO16" s="1354"/>
      <c r="CP16" s="1354"/>
      <c r="CQ16" s="1354"/>
      <c r="CR16" s="1354">
        <v>59</v>
      </c>
      <c r="CS16" s="1354">
        <v>59</v>
      </c>
      <c r="CT16" s="1353">
        <v>2373</v>
      </c>
      <c r="CU16" s="1353">
        <v>184</v>
      </c>
      <c r="CV16" s="1353">
        <v>318</v>
      </c>
      <c r="CW16" s="1353"/>
      <c r="CX16" s="1353">
        <v>9.4000000000000021</v>
      </c>
      <c r="CY16" s="1353">
        <v>18.400000000000002</v>
      </c>
      <c r="CZ16" s="1353">
        <v>31</v>
      </c>
      <c r="DA16" s="1353">
        <v>40</v>
      </c>
      <c r="DB16" s="1353">
        <v>462</v>
      </c>
      <c r="DC16" s="1353">
        <v>282</v>
      </c>
      <c r="DD16" s="1353"/>
      <c r="DE16" s="1353"/>
      <c r="DF16" s="1353"/>
      <c r="DG16" s="1353"/>
      <c r="DH16" s="1353"/>
      <c r="DI16" s="1353"/>
      <c r="DJ16" s="1353"/>
      <c r="DK16" s="1353"/>
      <c r="DT16" s="659"/>
      <c r="DU16" s="660" t="s">
        <v>449</v>
      </c>
      <c r="DV16" s="777">
        <f t="shared" si="25"/>
        <v>-86</v>
      </c>
      <c r="DW16" s="777">
        <f t="shared" si="18"/>
        <v>-59</v>
      </c>
      <c r="DX16" s="777">
        <f t="shared" si="18"/>
        <v>-27</v>
      </c>
      <c r="DY16" s="777">
        <f t="shared" si="18"/>
        <v>0</v>
      </c>
      <c r="DZ16" s="777">
        <f t="shared" si="18"/>
        <v>0</v>
      </c>
      <c r="EA16" s="777">
        <f t="shared" si="18"/>
        <v>0</v>
      </c>
      <c r="EB16" s="777">
        <f t="shared" si="18"/>
        <v>0</v>
      </c>
      <c r="EC16" s="777">
        <f t="shared" si="18"/>
        <v>0</v>
      </c>
      <c r="ED16" s="777">
        <f t="shared" si="18"/>
        <v>0</v>
      </c>
      <c r="EE16" s="777">
        <f t="shared" si="18"/>
        <v>-86</v>
      </c>
      <c r="EF16" s="777">
        <f t="shared" si="18"/>
        <v>0</v>
      </c>
      <c r="EG16" s="777">
        <f t="shared" si="18"/>
        <v>0</v>
      </c>
      <c r="EH16" s="777">
        <f t="shared" si="18"/>
        <v>0</v>
      </c>
      <c r="EI16" s="777">
        <f t="shared" si="18"/>
        <v>0</v>
      </c>
      <c r="EJ16" s="777">
        <f t="shared" si="18"/>
        <v>0</v>
      </c>
      <c r="EK16" s="777">
        <f t="shared" si="18"/>
        <v>0</v>
      </c>
      <c r="EL16" s="777">
        <f t="shared" si="18"/>
        <v>0</v>
      </c>
      <c r="EM16" s="777">
        <f t="shared" si="18"/>
        <v>0</v>
      </c>
      <c r="EN16" s="777">
        <f t="shared" si="18"/>
        <v>0</v>
      </c>
      <c r="EO16" s="777">
        <f t="shared" si="18"/>
        <v>0</v>
      </c>
      <c r="EP16" s="777">
        <f t="shared" si="18"/>
        <v>0</v>
      </c>
      <c r="EQ16" s="777">
        <f t="shared" si="18"/>
        <v>0</v>
      </c>
      <c r="ER16" s="777">
        <f t="shared" si="18"/>
        <v>0</v>
      </c>
      <c r="ES16" s="777">
        <f t="shared" si="18"/>
        <v>0</v>
      </c>
      <c r="ET16" s="777">
        <f t="shared" si="18"/>
        <v>1000</v>
      </c>
      <c r="EU16" s="777">
        <f t="shared" si="18"/>
        <v>0</v>
      </c>
      <c r="EV16" s="777">
        <f t="shared" si="18"/>
        <v>0</v>
      </c>
    </row>
    <row r="17" spans="1:152" ht="28.5" hidden="1" customHeight="1">
      <c r="A17" s="659"/>
      <c r="B17" s="660" t="s">
        <v>450</v>
      </c>
      <c r="C17" s="661">
        <f t="shared" si="27"/>
        <v>22</v>
      </c>
      <c r="D17" s="661">
        <f t="shared" si="28"/>
        <v>21</v>
      </c>
      <c r="E17" s="661">
        <v>11</v>
      </c>
      <c r="F17" s="661">
        <v>10</v>
      </c>
      <c r="G17" s="661">
        <v>10</v>
      </c>
      <c r="H17" s="661">
        <v>10</v>
      </c>
      <c r="I17" s="661">
        <v>1</v>
      </c>
      <c r="J17" s="661">
        <v>1</v>
      </c>
      <c r="K17" s="646">
        <f t="shared" si="5"/>
        <v>5024</v>
      </c>
      <c r="L17" s="662">
        <f t="shared" si="15"/>
        <v>5024</v>
      </c>
      <c r="M17" s="666">
        <f>1054+615</f>
        <v>1669</v>
      </c>
      <c r="N17" s="666">
        <f>291+251</f>
        <v>542</v>
      </c>
      <c r="O17" s="666">
        <f>28+10</f>
        <v>38</v>
      </c>
      <c r="P17" s="666"/>
      <c r="Q17" s="666"/>
      <c r="R17" s="666"/>
      <c r="S17" s="666">
        <v>74</v>
      </c>
      <c r="T17" s="666">
        <f t="shared" si="19"/>
        <v>74</v>
      </c>
      <c r="U17" s="666">
        <f t="shared" si="20"/>
        <v>2175</v>
      </c>
      <c r="V17" s="666">
        <v>3112</v>
      </c>
      <c r="W17" s="666">
        <v>50</v>
      </c>
      <c r="X17" s="666"/>
      <c r="Y17" s="666">
        <f>Z17-BM17</f>
        <v>294.20000000000005</v>
      </c>
      <c r="Z17" s="666">
        <f t="shared" si="26"/>
        <v>311.20000000000005</v>
      </c>
      <c r="AA17" s="666">
        <v>19</v>
      </c>
      <c r="AB17" s="666">
        <f t="shared" si="21"/>
        <v>313</v>
      </c>
      <c r="AC17" s="666">
        <f t="shared" si="22"/>
        <v>2849</v>
      </c>
      <c r="AD17" s="666"/>
      <c r="AE17" s="666"/>
      <c r="AF17" s="666"/>
      <c r="AG17" s="666"/>
      <c r="AH17" s="666"/>
      <c r="AI17" s="666"/>
      <c r="AJ17" s="666"/>
      <c r="AK17" s="666"/>
      <c r="AL17" s="669"/>
      <c r="AM17" s="662"/>
      <c r="AN17" s="610"/>
      <c r="AO17" s="659"/>
      <c r="AP17" s="660" t="s">
        <v>450</v>
      </c>
      <c r="AQ17" s="661">
        <f>AR17+AW17</f>
        <v>23</v>
      </c>
      <c r="AR17" s="661">
        <f>AS17+AT17</f>
        <v>22</v>
      </c>
      <c r="AS17" s="661">
        <v>12</v>
      </c>
      <c r="AT17" s="661">
        <v>10</v>
      </c>
      <c r="AU17" s="661">
        <v>10</v>
      </c>
      <c r="AV17" s="661">
        <v>10</v>
      </c>
      <c r="AW17" s="661">
        <v>1</v>
      </c>
      <c r="AX17" s="661">
        <v>1</v>
      </c>
      <c r="AY17" s="666">
        <f t="shared" si="16"/>
        <v>4739</v>
      </c>
      <c r="AZ17" s="670">
        <f>965+62+538+16</f>
        <v>1581</v>
      </c>
      <c r="BA17" s="666">
        <f>348+261-109</f>
        <v>500</v>
      </c>
      <c r="BB17" s="666">
        <v>109</v>
      </c>
      <c r="BC17" s="666"/>
      <c r="BD17" s="666"/>
      <c r="BE17" s="666">
        <f t="shared" si="23"/>
        <v>60.900000000000006</v>
      </c>
      <c r="BF17" s="667">
        <f t="shared" si="29"/>
        <v>61</v>
      </c>
      <c r="BG17" s="666">
        <f t="shared" si="24"/>
        <v>2129</v>
      </c>
      <c r="BH17" s="666">
        <f>160+10</f>
        <v>170</v>
      </c>
      <c r="BI17" s="666">
        <f>379+2078</f>
        <v>2457</v>
      </c>
      <c r="BJ17" s="666"/>
      <c r="BK17" s="666"/>
      <c r="BL17" s="666">
        <f>BH17*10%</f>
        <v>17</v>
      </c>
      <c r="BM17" s="667">
        <f t="shared" si="30"/>
        <v>17</v>
      </c>
      <c r="BN17" s="666">
        <f t="shared" si="17"/>
        <v>2610</v>
      </c>
      <c r="BO17" s="666"/>
      <c r="BP17" s="666"/>
      <c r="BQ17" s="666"/>
      <c r="BR17" s="666"/>
      <c r="BS17" s="666"/>
      <c r="BT17" s="666"/>
      <c r="BU17" s="666"/>
      <c r="BV17" s="666"/>
      <c r="BW17" s="662"/>
      <c r="CA17" s="1352"/>
      <c r="CB17" s="1352" t="s">
        <v>450</v>
      </c>
      <c r="CC17" s="1352">
        <v>22</v>
      </c>
      <c r="CD17" s="1352">
        <v>21</v>
      </c>
      <c r="CE17" s="1352">
        <v>11</v>
      </c>
      <c r="CF17" s="1352">
        <v>10</v>
      </c>
      <c r="CG17" s="1352">
        <v>10</v>
      </c>
      <c r="CH17" s="1352">
        <v>10</v>
      </c>
      <c r="CI17" s="1352">
        <v>1</v>
      </c>
      <c r="CJ17" s="1352">
        <v>1</v>
      </c>
      <c r="CK17" s="1353">
        <v>5337</v>
      </c>
      <c r="CL17" s="1353">
        <v>1669</v>
      </c>
      <c r="CM17" s="1354">
        <v>542</v>
      </c>
      <c r="CN17" s="1354">
        <v>38</v>
      </c>
      <c r="CO17" s="1354"/>
      <c r="CP17" s="1354"/>
      <c r="CQ17" s="1354"/>
      <c r="CR17" s="1354">
        <v>74</v>
      </c>
      <c r="CS17" s="1354">
        <v>74</v>
      </c>
      <c r="CT17" s="1353">
        <v>2175</v>
      </c>
      <c r="CU17" s="1353">
        <v>3112</v>
      </c>
      <c r="CV17" s="1353">
        <v>50</v>
      </c>
      <c r="CW17" s="1353"/>
      <c r="CX17" s="1353">
        <v>294.20000000000005</v>
      </c>
      <c r="CY17" s="1353">
        <v>311.20000000000005</v>
      </c>
      <c r="CZ17" s="1353">
        <v>19</v>
      </c>
      <c r="DA17" s="1353">
        <v>313</v>
      </c>
      <c r="DB17" s="1353">
        <v>2849</v>
      </c>
      <c r="DC17" s="1353">
        <v>313</v>
      </c>
      <c r="DD17" s="1353"/>
      <c r="DE17" s="1353"/>
      <c r="DF17" s="1353"/>
      <c r="DG17" s="1353"/>
      <c r="DH17" s="1353"/>
      <c r="DI17" s="1353"/>
      <c r="DJ17" s="1353"/>
      <c r="DK17" s="1353"/>
      <c r="DT17" s="659"/>
      <c r="DU17" s="660" t="s">
        <v>450</v>
      </c>
      <c r="DV17" s="777">
        <f t="shared" si="25"/>
        <v>-313</v>
      </c>
      <c r="DW17" s="777">
        <f t="shared" si="18"/>
        <v>0</v>
      </c>
      <c r="DX17" s="777">
        <f t="shared" si="18"/>
        <v>0</v>
      </c>
      <c r="DY17" s="777">
        <f t="shared" si="18"/>
        <v>0</v>
      </c>
      <c r="DZ17" s="777">
        <f t="shared" si="18"/>
        <v>0</v>
      </c>
      <c r="EA17" s="777">
        <f t="shared" si="18"/>
        <v>0</v>
      </c>
      <c r="EB17" s="777">
        <f t="shared" si="18"/>
        <v>0</v>
      </c>
      <c r="EC17" s="777">
        <f t="shared" si="18"/>
        <v>0</v>
      </c>
      <c r="ED17" s="777">
        <f t="shared" si="18"/>
        <v>0</v>
      </c>
      <c r="EE17" s="777">
        <f t="shared" si="18"/>
        <v>0</v>
      </c>
      <c r="EF17" s="777">
        <f t="shared" si="18"/>
        <v>0</v>
      </c>
      <c r="EG17" s="777">
        <f t="shared" si="18"/>
        <v>0</v>
      </c>
      <c r="EH17" s="777">
        <f t="shared" si="18"/>
        <v>0</v>
      </c>
      <c r="EI17" s="777">
        <f t="shared" si="18"/>
        <v>0</v>
      </c>
      <c r="EJ17" s="777">
        <f t="shared" si="18"/>
        <v>0</v>
      </c>
      <c r="EK17" s="777">
        <f t="shared" si="18"/>
        <v>0</v>
      </c>
      <c r="EL17" s="777">
        <f t="shared" si="18"/>
        <v>0</v>
      </c>
      <c r="EM17" s="777">
        <f t="shared" si="18"/>
        <v>0</v>
      </c>
      <c r="EN17" s="777">
        <f t="shared" si="18"/>
        <v>-313</v>
      </c>
      <c r="EO17" s="777">
        <f t="shared" si="18"/>
        <v>0</v>
      </c>
      <c r="EP17" s="777">
        <f t="shared" si="18"/>
        <v>0</v>
      </c>
      <c r="EQ17" s="777">
        <f t="shared" si="18"/>
        <v>0</v>
      </c>
      <c r="ER17" s="777">
        <f t="shared" si="18"/>
        <v>0</v>
      </c>
      <c r="ES17" s="777">
        <f t="shared" si="18"/>
        <v>0</v>
      </c>
      <c r="ET17" s="777">
        <f t="shared" si="18"/>
        <v>0</v>
      </c>
      <c r="EU17" s="777">
        <f t="shared" si="18"/>
        <v>0</v>
      </c>
      <c r="EV17" s="777">
        <f t="shared" si="18"/>
        <v>0</v>
      </c>
    </row>
    <row r="18" spans="1:152" ht="38.25" hidden="1" customHeight="1">
      <c r="A18" s="659"/>
      <c r="B18" s="660" t="s">
        <v>451</v>
      </c>
      <c r="C18" s="661">
        <f t="shared" si="27"/>
        <v>20</v>
      </c>
      <c r="D18" s="661">
        <f t="shared" si="28"/>
        <v>19</v>
      </c>
      <c r="E18" s="661">
        <v>6</v>
      </c>
      <c r="F18" s="661">
        <v>13</v>
      </c>
      <c r="G18" s="661">
        <v>6</v>
      </c>
      <c r="H18" s="661">
        <v>13</v>
      </c>
      <c r="I18" s="661">
        <v>1</v>
      </c>
      <c r="J18" s="661">
        <v>1</v>
      </c>
      <c r="K18" s="646">
        <f t="shared" si="5"/>
        <v>2892</v>
      </c>
      <c r="L18" s="662">
        <f t="shared" si="15"/>
        <v>2892</v>
      </c>
      <c r="M18" s="666">
        <v>1626</v>
      </c>
      <c r="N18" s="666">
        <v>463</v>
      </c>
      <c r="O18" s="666">
        <v>50</v>
      </c>
      <c r="P18" s="666"/>
      <c r="Q18" s="666"/>
      <c r="R18" s="666"/>
      <c r="S18" s="666">
        <v>54</v>
      </c>
      <c r="T18" s="666">
        <f t="shared" si="19"/>
        <v>54</v>
      </c>
      <c r="U18" s="666">
        <f t="shared" si="20"/>
        <v>2085</v>
      </c>
      <c r="V18" s="666">
        <v>904</v>
      </c>
      <c r="W18" s="666"/>
      <c r="X18" s="666"/>
      <c r="Y18" s="666">
        <f>Z18-BM18</f>
        <v>16.700000000000003</v>
      </c>
      <c r="Z18" s="666">
        <f>(V18-17)*10%</f>
        <v>88.7</v>
      </c>
      <c r="AA18" s="666">
        <v>80</v>
      </c>
      <c r="AB18" s="666">
        <f t="shared" si="21"/>
        <v>97</v>
      </c>
      <c r="AC18" s="666">
        <f t="shared" si="22"/>
        <v>807</v>
      </c>
      <c r="AD18" s="666"/>
      <c r="AE18" s="666"/>
      <c r="AF18" s="666"/>
      <c r="AG18" s="666">
        <v>135</v>
      </c>
      <c r="AH18" s="666"/>
      <c r="AI18" s="666"/>
      <c r="AJ18" s="666"/>
      <c r="AK18" s="666"/>
      <c r="AL18" s="669"/>
      <c r="AM18" s="662"/>
      <c r="AN18" s="610"/>
      <c r="AO18" s="659"/>
      <c r="AP18" s="660" t="s">
        <v>451</v>
      </c>
      <c r="AQ18" s="661">
        <f>AR18+AW18</f>
        <v>21</v>
      </c>
      <c r="AR18" s="661">
        <f>AS18+AT18</f>
        <v>20</v>
      </c>
      <c r="AS18" s="661">
        <v>6</v>
      </c>
      <c r="AT18" s="661">
        <v>14</v>
      </c>
      <c r="AU18" s="661">
        <v>6</v>
      </c>
      <c r="AV18" s="661">
        <v>14</v>
      </c>
      <c r="AW18" s="661">
        <v>1</v>
      </c>
      <c r="AX18" s="661">
        <v>1</v>
      </c>
      <c r="AY18" s="666">
        <f t="shared" si="16"/>
        <v>2705</v>
      </c>
      <c r="AZ18" s="670">
        <f>623+902+37</f>
        <v>1562</v>
      </c>
      <c r="BA18" s="666">
        <f>540-140</f>
        <v>400</v>
      </c>
      <c r="BB18" s="666">
        <v>140</v>
      </c>
      <c r="BC18" s="666"/>
      <c r="BD18" s="666"/>
      <c r="BE18" s="666">
        <f t="shared" si="23"/>
        <v>54</v>
      </c>
      <c r="BF18" s="667">
        <f t="shared" si="29"/>
        <v>54</v>
      </c>
      <c r="BG18" s="666">
        <f t="shared" si="24"/>
        <v>2048</v>
      </c>
      <c r="BH18" s="666">
        <f>132+315+72+10+200</f>
        <v>729</v>
      </c>
      <c r="BI18" s="666"/>
      <c r="BJ18" s="666"/>
      <c r="BK18" s="666"/>
      <c r="BL18" s="666">
        <f>(BH18-10)*10%</f>
        <v>71.900000000000006</v>
      </c>
      <c r="BM18" s="667">
        <f t="shared" si="30"/>
        <v>72</v>
      </c>
      <c r="BN18" s="666">
        <f t="shared" si="17"/>
        <v>657</v>
      </c>
      <c r="BO18" s="666"/>
      <c r="BP18" s="666"/>
      <c r="BQ18" s="666"/>
      <c r="BR18" s="666">
        <v>53</v>
      </c>
      <c r="BS18" s="666"/>
      <c r="BT18" s="666"/>
      <c r="BU18" s="666"/>
      <c r="BV18" s="666"/>
      <c r="BW18" s="662"/>
      <c r="CA18" s="1352"/>
      <c r="CB18" s="1352" t="s">
        <v>451</v>
      </c>
      <c r="CC18" s="1352">
        <v>21</v>
      </c>
      <c r="CD18" s="1352">
        <v>20</v>
      </c>
      <c r="CE18" s="1352">
        <v>6</v>
      </c>
      <c r="CF18" s="1352">
        <v>14</v>
      </c>
      <c r="CG18" s="1352">
        <v>6</v>
      </c>
      <c r="CH18" s="1352">
        <v>13</v>
      </c>
      <c r="CI18" s="1352">
        <v>1</v>
      </c>
      <c r="CJ18" s="1352">
        <v>1</v>
      </c>
      <c r="CK18" s="1353">
        <v>3065</v>
      </c>
      <c r="CL18" s="1353">
        <v>1675</v>
      </c>
      <c r="CM18" s="1354">
        <v>490</v>
      </c>
      <c r="CN18" s="1354">
        <v>50</v>
      </c>
      <c r="CO18" s="1354"/>
      <c r="CP18" s="1354"/>
      <c r="CQ18" s="1354">
        <v>0</v>
      </c>
      <c r="CR18" s="1354">
        <v>54</v>
      </c>
      <c r="CS18" s="1354">
        <v>54</v>
      </c>
      <c r="CT18" s="1353">
        <v>2161</v>
      </c>
      <c r="CU18" s="1353">
        <v>904</v>
      </c>
      <c r="CV18" s="1353"/>
      <c r="CW18" s="1353"/>
      <c r="CX18" s="1353">
        <v>16.700000000000003</v>
      </c>
      <c r="CY18" s="1353">
        <v>88.7</v>
      </c>
      <c r="CZ18" s="1353">
        <v>80</v>
      </c>
      <c r="DA18" s="1353">
        <v>97</v>
      </c>
      <c r="DB18" s="1353">
        <v>807</v>
      </c>
      <c r="DC18" s="1353">
        <v>97</v>
      </c>
      <c r="DD18" s="1353"/>
      <c r="DE18" s="1353"/>
      <c r="DF18" s="1353"/>
      <c r="DG18" s="1353"/>
      <c r="DH18" s="1353"/>
      <c r="DI18" s="1353"/>
      <c r="DJ18" s="1353"/>
      <c r="DK18" s="1353"/>
      <c r="DT18" s="659"/>
      <c r="DU18" s="660" t="s">
        <v>451</v>
      </c>
      <c r="DV18" s="777">
        <f t="shared" si="25"/>
        <v>-173</v>
      </c>
      <c r="DW18" s="777">
        <f t="shared" si="18"/>
        <v>-49</v>
      </c>
      <c r="DX18" s="777">
        <f t="shared" si="18"/>
        <v>-27</v>
      </c>
      <c r="DY18" s="777">
        <f t="shared" si="18"/>
        <v>0</v>
      </c>
      <c r="DZ18" s="777">
        <f t="shared" si="18"/>
        <v>0</v>
      </c>
      <c r="EA18" s="777">
        <f t="shared" si="18"/>
        <v>0</v>
      </c>
      <c r="EB18" s="777">
        <f t="shared" si="18"/>
        <v>0</v>
      </c>
      <c r="EC18" s="777">
        <f t="shared" si="18"/>
        <v>0</v>
      </c>
      <c r="ED18" s="777">
        <f t="shared" si="18"/>
        <v>0</v>
      </c>
      <c r="EE18" s="777">
        <f t="shared" si="18"/>
        <v>-76</v>
      </c>
      <c r="EF18" s="777">
        <f t="shared" si="18"/>
        <v>0</v>
      </c>
      <c r="EG18" s="777">
        <f t="shared" si="18"/>
        <v>0</v>
      </c>
      <c r="EH18" s="777">
        <f t="shared" si="18"/>
        <v>0</v>
      </c>
      <c r="EI18" s="777">
        <f t="shared" si="18"/>
        <v>0</v>
      </c>
      <c r="EJ18" s="777">
        <f t="shared" si="18"/>
        <v>0</v>
      </c>
      <c r="EK18" s="777">
        <f t="shared" si="18"/>
        <v>0</v>
      </c>
      <c r="EL18" s="777">
        <f t="shared" si="18"/>
        <v>0</v>
      </c>
      <c r="EM18" s="777">
        <f t="shared" si="18"/>
        <v>0</v>
      </c>
      <c r="EN18" s="777">
        <f t="shared" si="18"/>
        <v>-97</v>
      </c>
      <c r="EO18" s="777">
        <f t="shared" si="18"/>
        <v>0</v>
      </c>
      <c r="EP18" s="777">
        <f t="shared" si="18"/>
        <v>0</v>
      </c>
      <c r="EQ18" s="777">
        <f t="shared" si="18"/>
        <v>135</v>
      </c>
      <c r="ER18" s="777">
        <f t="shared" si="18"/>
        <v>0</v>
      </c>
      <c r="ES18" s="777">
        <f t="shared" si="18"/>
        <v>0</v>
      </c>
      <c r="ET18" s="777">
        <f t="shared" si="18"/>
        <v>0</v>
      </c>
      <c r="EU18" s="777">
        <f t="shared" si="18"/>
        <v>0</v>
      </c>
      <c r="EV18" s="777">
        <f t="shared" si="18"/>
        <v>0</v>
      </c>
    </row>
    <row r="19" spans="1:152" ht="21.75" hidden="1" customHeight="1">
      <c r="A19" s="659"/>
      <c r="B19" s="660" t="s">
        <v>452</v>
      </c>
      <c r="C19" s="661">
        <f t="shared" si="27"/>
        <v>0</v>
      </c>
      <c r="D19" s="661">
        <f t="shared" si="28"/>
        <v>0</v>
      </c>
      <c r="E19" s="661"/>
      <c r="F19" s="661">
        <f>44-44</f>
        <v>0</v>
      </c>
      <c r="G19" s="661"/>
      <c r="H19" s="661">
        <f>42-42</f>
        <v>0</v>
      </c>
      <c r="I19" s="661">
        <f>3-3</f>
        <v>0</v>
      </c>
      <c r="J19" s="661">
        <f>3-3</f>
        <v>0</v>
      </c>
      <c r="K19" s="646">
        <f t="shared" si="5"/>
        <v>0</v>
      </c>
      <c r="L19" s="662">
        <f t="shared" si="15"/>
        <v>0</v>
      </c>
      <c r="M19" s="666"/>
      <c r="N19" s="666"/>
      <c r="O19" s="666"/>
      <c r="P19" s="666"/>
      <c r="Q19" s="666"/>
      <c r="R19" s="666"/>
      <c r="S19" s="666"/>
      <c r="T19" s="666">
        <f t="shared" si="19"/>
        <v>0</v>
      </c>
      <c r="U19" s="666">
        <f t="shared" si="20"/>
        <v>0</v>
      </c>
      <c r="V19" s="666"/>
      <c r="W19" s="666"/>
      <c r="X19" s="666"/>
      <c r="Y19" s="666"/>
      <c r="Z19" s="666">
        <f t="shared" si="26"/>
        <v>0</v>
      </c>
      <c r="AA19" s="666"/>
      <c r="AB19" s="666">
        <f t="shared" si="21"/>
        <v>0</v>
      </c>
      <c r="AC19" s="666">
        <f t="shared" si="22"/>
        <v>0</v>
      </c>
      <c r="AD19" s="666">
        <f>(V19+W19+X19)-AC19</f>
        <v>0</v>
      </c>
      <c r="AE19" s="666"/>
      <c r="AF19" s="666"/>
      <c r="AG19" s="666"/>
      <c r="AH19" s="666"/>
      <c r="AI19" s="666"/>
      <c r="AJ19" s="666"/>
      <c r="AK19" s="666"/>
      <c r="AL19" s="669"/>
      <c r="AM19" s="662"/>
      <c r="AN19" s="610"/>
      <c r="AO19" s="659"/>
      <c r="AP19" s="660" t="s">
        <v>452</v>
      </c>
      <c r="AQ19" s="661">
        <f>AR19+AW19</f>
        <v>47</v>
      </c>
      <c r="AR19" s="661">
        <f>AS19+AT19</f>
        <v>44</v>
      </c>
      <c r="AS19" s="661"/>
      <c r="AT19" s="661">
        <v>44</v>
      </c>
      <c r="AU19" s="661"/>
      <c r="AV19" s="661">
        <v>42</v>
      </c>
      <c r="AW19" s="661">
        <v>3</v>
      </c>
      <c r="AX19" s="661">
        <v>3</v>
      </c>
      <c r="AY19" s="666">
        <f t="shared" si="16"/>
        <v>4932</v>
      </c>
      <c r="AZ19" s="670">
        <f>2714+116-196</f>
        <v>2634</v>
      </c>
      <c r="BA19" s="666">
        <v>400</v>
      </c>
      <c r="BB19" s="666">
        <v>73</v>
      </c>
      <c r="BC19" s="666"/>
      <c r="BD19" s="666"/>
      <c r="BE19" s="666">
        <f t="shared" si="23"/>
        <v>47.300000000000004</v>
      </c>
      <c r="BF19" s="667">
        <f t="shared" si="29"/>
        <v>47</v>
      </c>
      <c r="BG19" s="666">
        <f t="shared" si="24"/>
        <v>3060</v>
      </c>
      <c r="BH19" s="666">
        <f>950+1152-150</f>
        <v>1952</v>
      </c>
      <c r="BI19" s="666"/>
      <c r="BJ19" s="666"/>
      <c r="BK19" s="666"/>
      <c r="BL19" s="666">
        <f>(BH19-1152)*10%</f>
        <v>80</v>
      </c>
      <c r="BM19" s="667">
        <f t="shared" si="30"/>
        <v>80</v>
      </c>
      <c r="BN19" s="666">
        <f t="shared" si="17"/>
        <v>1872</v>
      </c>
      <c r="BO19" s="666"/>
      <c r="BP19" s="666"/>
      <c r="BQ19" s="666"/>
      <c r="BR19" s="666"/>
      <c r="BS19" s="666"/>
      <c r="BT19" s="666"/>
      <c r="BU19" s="666"/>
      <c r="BV19" s="666"/>
      <c r="BW19" s="662"/>
      <c r="CA19" s="1352"/>
      <c r="CB19" s="1352" t="s">
        <v>452</v>
      </c>
      <c r="CC19" s="1352">
        <v>47</v>
      </c>
      <c r="CD19" s="1352">
        <v>44</v>
      </c>
      <c r="CE19" s="1352"/>
      <c r="CF19" s="1352">
        <v>44</v>
      </c>
      <c r="CG19" s="1352"/>
      <c r="CH19" s="1352">
        <v>42</v>
      </c>
      <c r="CI19" s="1352">
        <v>3</v>
      </c>
      <c r="CJ19" s="1352">
        <v>3</v>
      </c>
      <c r="CK19" s="1353">
        <v>0</v>
      </c>
      <c r="CL19" s="1353"/>
      <c r="CM19" s="1354"/>
      <c r="CN19" s="1354"/>
      <c r="CO19" s="1354"/>
      <c r="CP19" s="1354"/>
      <c r="CQ19" s="1354"/>
      <c r="CR19" s="1354"/>
      <c r="CS19" s="1354">
        <v>0</v>
      </c>
      <c r="CT19" s="1353">
        <v>0</v>
      </c>
      <c r="CU19" s="1353"/>
      <c r="CV19" s="1353"/>
      <c r="CW19" s="1353"/>
      <c r="CX19" s="1353"/>
      <c r="CY19" s="1353">
        <v>0</v>
      </c>
      <c r="CZ19" s="1353"/>
      <c r="DA19" s="1353">
        <v>0</v>
      </c>
      <c r="DB19" s="1353">
        <v>0</v>
      </c>
      <c r="DC19" s="1353">
        <v>0</v>
      </c>
      <c r="DD19" s="1353"/>
      <c r="DE19" s="1353"/>
      <c r="DF19" s="1353"/>
      <c r="DG19" s="1353"/>
      <c r="DH19" s="1353"/>
      <c r="DI19" s="1353"/>
      <c r="DJ19" s="1353"/>
      <c r="DK19" s="1353"/>
      <c r="DT19" s="659"/>
      <c r="DU19" s="660" t="s">
        <v>452</v>
      </c>
      <c r="DV19" s="777">
        <f t="shared" si="25"/>
        <v>0</v>
      </c>
      <c r="DW19" s="777">
        <f t="shared" si="18"/>
        <v>0</v>
      </c>
      <c r="DX19" s="777">
        <f t="shared" si="18"/>
        <v>0</v>
      </c>
      <c r="DY19" s="777">
        <f t="shared" si="18"/>
        <v>0</v>
      </c>
      <c r="DZ19" s="777">
        <f t="shared" si="18"/>
        <v>0</v>
      </c>
      <c r="EA19" s="777">
        <f t="shared" si="18"/>
        <v>0</v>
      </c>
      <c r="EB19" s="777">
        <f t="shared" si="18"/>
        <v>0</v>
      </c>
      <c r="EC19" s="777">
        <f t="shared" si="18"/>
        <v>0</v>
      </c>
      <c r="ED19" s="777">
        <f t="shared" si="18"/>
        <v>0</v>
      </c>
      <c r="EE19" s="777">
        <f t="shared" si="18"/>
        <v>0</v>
      </c>
      <c r="EF19" s="777">
        <f t="shared" si="18"/>
        <v>0</v>
      </c>
      <c r="EG19" s="777">
        <f t="shared" si="18"/>
        <v>0</v>
      </c>
      <c r="EH19" s="777">
        <f t="shared" si="18"/>
        <v>0</v>
      </c>
      <c r="EI19" s="777">
        <f t="shared" si="18"/>
        <v>0</v>
      </c>
      <c r="EJ19" s="777">
        <f t="shared" si="18"/>
        <v>0</v>
      </c>
      <c r="EK19" s="777">
        <f t="shared" si="18"/>
        <v>0</v>
      </c>
      <c r="EL19" s="777">
        <f t="shared" si="18"/>
        <v>0</v>
      </c>
      <c r="EM19" s="777">
        <f t="shared" si="18"/>
        <v>0</v>
      </c>
      <c r="EN19" s="777">
        <f t="shared" si="18"/>
        <v>0</v>
      </c>
      <c r="EO19" s="777">
        <f t="shared" si="18"/>
        <v>0</v>
      </c>
      <c r="EP19" s="777">
        <f t="shared" si="18"/>
        <v>0</v>
      </c>
      <c r="EQ19" s="777">
        <f t="shared" si="18"/>
        <v>0</v>
      </c>
      <c r="ER19" s="777">
        <f t="shared" si="18"/>
        <v>0</v>
      </c>
      <c r="ES19" s="777">
        <f t="shared" si="18"/>
        <v>0</v>
      </c>
      <c r="ET19" s="777">
        <f t="shared" si="18"/>
        <v>0</v>
      </c>
      <c r="EU19" s="777">
        <f t="shared" si="18"/>
        <v>0</v>
      </c>
      <c r="EV19" s="777">
        <f t="shared" si="18"/>
        <v>0</v>
      </c>
    </row>
    <row r="20" spans="1:152" ht="25.5" hidden="1" customHeight="1">
      <c r="A20" s="659"/>
      <c r="B20" s="660" t="s">
        <v>453</v>
      </c>
      <c r="C20" s="661">
        <f t="shared" si="27"/>
        <v>0</v>
      </c>
      <c r="D20" s="661">
        <f t="shared" si="28"/>
        <v>0</v>
      </c>
      <c r="E20" s="661"/>
      <c r="F20" s="661"/>
      <c r="G20" s="661"/>
      <c r="H20" s="661"/>
      <c r="I20" s="661"/>
      <c r="J20" s="661"/>
      <c r="K20" s="646">
        <f t="shared" si="5"/>
        <v>0</v>
      </c>
      <c r="L20" s="662">
        <f t="shared" si="15"/>
        <v>0</v>
      </c>
      <c r="M20" s="666"/>
      <c r="N20" s="666"/>
      <c r="O20" s="666"/>
      <c r="P20" s="666"/>
      <c r="Q20" s="666"/>
      <c r="R20" s="666">
        <f>((N20+O20)-(BA20+BB20))*10%</f>
        <v>0</v>
      </c>
      <c r="S20" s="666"/>
      <c r="T20" s="666">
        <f t="shared" si="19"/>
        <v>0</v>
      </c>
      <c r="U20" s="666">
        <f t="shared" si="20"/>
        <v>0</v>
      </c>
      <c r="V20" s="666"/>
      <c r="W20" s="666"/>
      <c r="X20" s="666"/>
      <c r="Y20" s="666">
        <f>Z20-BM20</f>
        <v>0</v>
      </c>
      <c r="Z20" s="666">
        <f t="shared" si="26"/>
        <v>0</v>
      </c>
      <c r="AA20" s="666"/>
      <c r="AB20" s="666">
        <f t="shared" si="21"/>
        <v>0</v>
      </c>
      <c r="AC20" s="666">
        <f t="shared" si="22"/>
        <v>0</v>
      </c>
      <c r="AD20" s="666"/>
      <c r="AE20" s="666"/>
      <c r="AF20" s="666"/>
      <c r="AG20" s="666"/>
      <c r="AH20" s="666"/>
      <c r="AI20" s="666"/>
      <c r="AJ20" s="666"/>
      <c r="AK20" s="666"/>
      <c r="AL20" s="664"/>
      <c r="AN20" s="610"/>
      <c r="AO20" s="659"/>
      <c r="AP20" s="660" t="s">
        <v>453</v>
      </c>
      <c r="AQ20" s="661">
        <f t="shared" ref="AQ20:AQ28" si="31">AR20+AW20</f>
        <v>0</v>
      </c>
      <c r="AR20" s="661">
        <f t="shared" ref="AR20:AR28" si="32">AS20+AT20</f>
        <v>0</v>
      </c>
      <c r="AS20" s="661"/>
      <c r="AT20" s="661"/>
      <c r="AU20" s="661"/>
      <c r="AV20" s="661"/>
      <c r="AW20" s="661"/>
      <c r="AX20" s="661"/>
      <c r="AY20" s="666">
        <f t="shared" si="16"/>
        <v>0</v>
      </c>
      <c r="AZ20" s="670"/>
      <c r="BA20" s="666"/>
      <c r="BB20" s="666"/>
      <c r="BC20" s="666"/>
      <c r="BD20" s="666"/>
      <c r="BE20" s="666">
        <f t="shared" si="23"/>
        <v>0</v>
      </c>
      <c r="BF20" s="667">
        <f t="shared" si="29"/>
        <v>0</v>
      </c>
      <c r="BG20" s="666">
        <f t="shared" si="24"/>
        <v>0</v>
      </c>
      <c r="BH20" s="666"/>
      <c r="BI20" s="666"/>
      <c r="BJ20" s="666"/>
      <c r="BK20" s="666"/>
      <c r="BL20" s="666">
        <f>BH20*10%</f>
        <v>0</v>
      </c>
      <c r="BM20" s="667">
        <f t="shared" si="30"/>
        <v>0</v>
      </c>
      <c r="BN20" s="666">
        <f t="shared" si="17"/>
        <v>0</v>
      </c>
      <c r="BO20" s="666"/>
      <c r="BP20" s="666"/>
      <c r="BQ20" s="666"/>
      <c r="BR20" s="666"/>
      <c r="BS20" s="666"/>
      <c r="BT20" s="666"/>
      <c r="BU20" s="666"/>
      <c r="BV20" s="666"/>
      <c r="BW20" s="662"/>
      <c r="CA20" s="1352"/>
      <c r="CB20" s="1352" t="s">
        <v>453</v>
      </c>
      <c r="CC20" s="1352">
        <v>0</v>
      </c>
      <c r="CD20" s="1352">
        <v>0</v>
      </c>
      <c r="CE20" s="1352"/>
      <c r="CF20" s="1352"/>
      <c r="CG20" s="1352"/>
      <c r="CH20" s="1352"/>
      <c r="CI20" s="1352"/>
      <c r="CJ20" s="1352"/>
      <c r="CK20" s="1353">
        <v>0</v>
      </c>
      <c r="CL20" s="1353"/>
      <c r="CM20" s="1354"/>
      <c r="CN20" s="1354"/>
      <c r="CO20" s="1354"/>
      <c r="CP20" s="1354"/>
      <c r="CQ20" s="1354">
        <v>0</v>
      </c>
      <c r="CR20" s="1354"/>
      <c r="CS20" s="1354">
        <v>0</v>
      </c>
      <c r="CT20" s="1353">
        <v>0</v>
      </c>
      <c r="CU20" s="1353"/>
      <c r="CV20" s="1353"/>
      <c r="CW20" s="1353"/>
      <c r="CX20" s="1353">
        <v>0</v>
      </c>
      <c r="CY20" s="1353">
        <v>0</v>
      </c>
      <c r="CZ20" s="1353"/>
      <c r="DA20" s="1353">
        <v>0</v>
      </c>
      <c r="DB20" s="1353">
        <v>0</v>
      </c>
      <c r="DC20" s="1353"/>
      <c r="DD20" s="1353"/>
      <c r="DE20" s="1353"/>
      <c r="DF20" s="1353"/>
      <c r="DG20" s="1353"/>
      <c r="DH20" s="1353"/>
      <c r="DI20" s="1353"/>
      <c r="DJ20" s="1353"/>
      <c r="DK20" s="1353"/>
      <c r="DT20" s="659"/>
      <c r="DU20" s="660" t="s">
        <v>453</v>
      </c>
      <c r="DV20" s="777">
        <f t="shared" si="25"/>
        <v>0</v>
      </c>
      <c r="DW20" s="777">
        <f t="shared" si="18"/>
        <v>0</v>
      </c>
      <c r="DX20" s="777">
        <f t="shared" si="18"/>
        <v>0</v>
      </c>
      <c r="DY20" s="777">
        <f t="shared" si="18"/>
        <v>0</v>
      </c>
      <c r="DZ20" s="777">
        <f t="shared" si="18"/>
        <v>0</v>
      </c>
      <c r="EA20" s="777">
        <f t="shared" si="18"/>
        <v>0</v>
      </c>
      <c r="EB20" s="777">
        <f t="shared" si="18"/>
        <v>0</v>
      </c>
      <c r="EC20" s="777">
        <f t="shared" si="18"/>
        <v>0</v>
      </c>
      <c r="ED20" s="777">
        <f t="shared" si="18"/>
        <v>0</v>
      </c>
      <c r="EE20" s="777">
        <f t="shared" si="18"/>
        <v>0</v>
      </c>
      <c r="EF20" s="777">
        <f t="shared" si="18"/>
        <v>0</v>
      </c>
      <c r="EG20" s="777">
        <f t="shared" si="18"/>
        <v>0</v>
      </c>
      <c r="EH20" s="777">
        <f t="shared" si="18"/>
        <v>0</v>
      </c>
      <c r="EI20" s="777">
        <f t="shared" si="18"/>
        <v>0</v>
      </c>
      <c r="EJ20" s="777">
        <f t="shared" si="18"/>
        <v>0</v>
      </c>
      <c r="EK20" s="777">
        <f t="shared" si="18"/>
        <v>0</v>
      </c>
      <c r="EL20" s="777">
        <f t="shared" si="18"/>
        <v>0</v>
      </c>
      <c r="EM20" s="777">
        <f t="shared" si="18"/>
        <v>0</v>
      </c>
      <c r="EN20" s="777">
        <f t="shared" si="18"/>
        <v>0</v>
      </c>
      <c r="EO20" s="777">
        <f t="shared" si="18"/>
        <v>0</v>
      </c>
      <c r="EP20" s="777">
        <f t="shared" si="18"/>
        <v>0</v>
      </c>
      <c r="EQ20" s="777">
        <f t="shared" si="18"/>
        <v>0</v>
      </c>
      <c r="ER20" s="777">
        <f t="shared" ref="ER20:EV29" si="33">AH20-DG20</f>
        <v>0</v>
      </c>
      <c r="ES20" s="777">
        <f t="shared" si="33"/>
        <v>0</v>
      </c>
      <c r="ET20" s="777">
        <f t="shared" si="33"/>
        <v>0</v>
      </c>
      <c r="EU20" s="777">
        <f t="shared" si="33"/>
        <v>0</v>
      </c>
      <c r="EV20" s="777">
        <f t="shared" si="33"/>
        <v>0</v>
      </c>
    </row>
    <row r="21" spans="1:152" ht="29.25" hidden="1" customHeight="1">
      <c r="A21" s="659"/>
      <c r="B21" s="660" t="s">
        <v>454</v>
      </c>
      <c r="C21" s="661">
        <f t="shared" si="27"/>
        <v>22</v>
      </c>
      <c r="D21" s="661">
        <f t="shared" si="28"/>
        <v>20</v>
      </c>
      <c r="E21" s="661"/>
      <c r="F21" s="661">
        <v>20</v>
      </c>
      <c r="G21" s="661"/>
      <c r="H21" s="661">
        <v>20</v>
      </c>
      <c r="I21" s="661">
        <v>2</v>
      </c>
      <c r="J21" s="661">
        <v>2</v>
      </c>
      <c r="K21" s="646">
        <f t="shared" si="5"/>
        <v>5270</v>
      </c>
      <c r="L21" s="662">
        <f t="shared" si="15"/>
        <v>5280</v>
      </c>
      <c r="M21" s="666">
        <v>1563</v>
      </c>
      <c r="N21" s="666">
        <v>444</v>
      </c>
      <c r="O21" s="666">
        <v>42</v>
      </c>
      <c r="P21" s="666"/>
      <c r="Q21" s="666">
        <v>49</v>
      </c>
      <c r="R21" s="666">
        <f>((N21+O21)-(BA21+BB21))*10%</f>
        <v>0</v>
      </c>
      <c r="S21" s="666"/>
      <c r="T21" s="666">
        <f t="shared" si="19"/>
        <v>49</v>
      </c>
      <c r="U21" s="666">
        <f t="shared" si="20"/>
        <v>2000</v>
      </c>
      <c r="V21" s="666">
        <v>2846</v>
      </c>
      <c r="W21" s="666">
        <v>424</v>
      </c>
      <c r="X21" s="666"/>
      <c r="Y21" s="666"/>
      <c r="Z21" s="666">
        <f>(V21-2818-28)*10%</f>
        <v>0</v>
      </c>
      <c r="AA21" s="666"/>
      <c r="AB21" s="666">
        <f t="shared" si="21"/>
        <v>0</v>
      </c>
      <c r="AC21" s="666">
        <f t="shared" si="22"/>
        <v>3270</v>
      </c>
      <c r="AD21" s="666">
        <v>10</v>
      </c>
      <c r="AE21" s="666"/>
      <c r="AF21" s="666"/>
      <c r="AG21" s="666"/>
      <c r="AH21" s="666"/>
      <c r="AI21" s="666"/>
      <c r="AJ21" s="666"/>
      <c r="AK21" s="666"/>
      <c r="AL21" s="666"/>
      <c r="AM21" s="662"/>
      <c r="AN21" s="608"/>
      <c r="AO21" s="659"/>
      <c r="AP21" s="660" t="s">
        <v>454</v>
      </c>
      <c r="AQ21" s="661">
        <f t="shared" si="31"/>
        <v>22</v>
      </c>
      <c r="AR21" s="661">
        <f t="shared" si="32"/>
        <v>20</v>
      </c>
      <c r="AS21" s="661"/>
      <c r="AT21" s="661">
        <v>20</v>
      </c>
      <c r="AU21" s="661"/>
      <c r="AV21" s="661">
        <v>18</v>
      </c>
      <c r="AW21" s="661">
        <v>2</v>
      </c>
      <c r="AX21" s="661">
        <v>2</v>
      </c>
      <c r="AY21" s="666">
        <f t="shared" si="16"/>
        <v>2675</v>
      </c>
      <c r="AZ21" s="666">
        <f>980+73+248+3+7+108</f>
        <v>1419</v>
      </c>
      <c r="BA21" s="666">
        <v>400</v>
      </c>
      <c r="BB21" s="666">
        <v>86</v>
      </c>
      <c r="BC21" s="666"/>
      <c r="BD21" s="666"/>
      <c r="BE21" s="666">
        <f t="shared" si="23"/>
        <v>48.6</v>
      </c>
      <c r="BF21" s="666">
        <f t="shared" si="29"/>
        <v>49</v>
      </c>
      <c r="BG21" s="666">
        <f t="shared" si="24"/>
        <v>1856</v>
      </c>
      <c r="BH21" s="666">
        <f>87+496</f>
        <v>583</v>
      </c>
      <c r="BI21" s="666"/>
      <c r="BJ21" s="666">
        <f>18+30+14+77+99+48</f>
        <v>286</v>
      </c>
      <c r="BK21" s="666"/>
      <c r="BL21" s="666">
        <f>(BH21-87)*10%</f>
        <v>49.6</v>
      </c>
      <c r="BM21" s="666">
        <f t="shared" si="30"/>
        <v>50</v>
      </c>
      <c r="BN21" s="666">
        <f t="shared" si="17"/>
        <v>819</v>
      </c>
      <c r="BO21" s="666"/>
      <c r="BP21" s="666"/>
      <c r="BQ21" s="666"/>
      <c r="BR21" s="666"/>
      <c r="BS21" s="666"/>
      <c r="BT21" s="666"/>
      <c r="BU21" s="666"/>
      <c r="BV21" s="666"/>
      <c r="BW21" s="662"/>
      <c r="CA21" s="1352"/>
      <c r="CB21" s="1352" t="s">
        <v>454</v>
      </c>
      <c r="CC21" s="1352">
        <v>22</v>
      </c>
      <c r="CD21" s="1352">
        <v>20</v>
      </c>
      <c r="CE21" s="1352"/>
      <c r="CF21" s="1352">
        <v>20</v>
      </c>
      <c r="CG21" s="1352"/>
      <c r="CH21" s="1352">
        <v>20</v>
      </c>
      <c r="CI21" s="1352">
        <v>2</v>
      </c>
      <c r="CJ21" s="1352">
        <v>2</v>
      </c>
      <c r="CK21" s="1353">
        <v>5329</v>
      </c>
      <c r="CL21" s="1353">
        <v>1563</v>
      </c>
      <c r="CM21" s="1354">
        <v>444</v>
      </c>
      <c r="CN21" s="1354">
        <v>42</v>
      </c>
      <c r="CO21" s="1354"/>
      <c r="CP21" s="1354"/>
      <c r="CQ21" s="1354">
        <v>0</v>
      </c>
      <c r="CR21" s="1354"/>
      <c r="CS21" s="1354">
        <v>0</v>
      </c>
      <c r="CT21" s="1353">
        <v>2049</v>
      </c>
      <c r="CU21" s="1353">
        <v>2846</v>
      </c>
      <c r="CV21" s="1353">
        <v>424</v>
      </c>
      <c r="CW21" s="1353"/>
      <c r="CX21" s="1353"/>
      <c r="CY21" s="1353">
        <v>0</v>
      </c>
      <c r="CZ21" s="1353"/>
      <c r="DA21" s="1353">
        <v>0</v>
      </c>
      <c r="DB21" s="1353">
        <v>3270</v>
      </c>
      <c r="DC21" s="1353">
        <v>10</v>
      </c>
      <c r="DD21" s="1353"/>
      <c r="DE21" s="1353"/>
      <c r="DF21" s="1353"/>
      <c r="DG21" s="1353"/>
      <c r="DH21" s="1353"/>
      <c r="DI21" s="1353"/>
      <c r="DJ21" s="1353"/>
      <c r="DK21" s="1353"/>
      <c r="DT21" s="659"/>
      <c r="DU21" s="660" t="s">
        <v>454</v>
      </c>
      <c r="DV21" s="777">
        <f t="shared" si="25"/>
        <v>-49</v>
      </c>
      <c r="DW21" s="777">
        <f t="shared" si="25"/>
        <v>0</v>
      </c>
      <c r="DX21" s="777">
        <f t="shared" si="25"/>
        <v>0</v>
      </c>
      <c r="DY21" s="777">
        <f t="shared" si="25"/>
        <v>0</v>
      </c>
      <c r="DZ21" s="777">
        <f t="shared" si="25"/>
        <v>0</v>
      </c>
      <c r="EA21" s="777">
        <f t="shared" si="25"/>
        <v>49</v>
      </c>
      <c r="EB21" s="777">
        <f t="shared" si="25"/>
        <v>0</v>
      </c>
      <c r="EC21" s="777">
        <f t="shared" si="25"/>
        <v>0</v>
      </c>
      <c r="ED21" s="777">
        <f t="shared" si="25"/>
        <v>49</v>
      </c>
      <c r="EE21" s="777">
        <f t="shared" si="25"/>
        <v>-49</v>
      </c>
      <c r="EF21" s="777">
        <f t="shared" si="25"/>
        <v>0</v>
      </c>
      <c r="EG21" s="777">
        <f t="shared" si="25"/>
        <v>0</v>
      </c>
      <c r="EH21" s="777">
        <f t="shared" si="25"/>
        <v>0</v>
      </c>
      <c r="EI21" s="777">
        <f t="shared" si="25"/>
        <v>0</v>
      </c>
      <c r="EJ21" s="777">
        <f t="shared" si="25"/>
        <v>0</v>
      </c>
      <c r="EK21" s="777">
        <f t="shared" si="25"/>
        <v>0</v>
      </c>
      <c r="EL21" s="777">
        <f t="shared" ref="EL21:EQ29" si="34">AB21-DA21</f>
        <v>0</v>
      </c>
      <c r="EM21" s="777">
        <f t="shared" si="34"/>
        <v>0</v>
      </c>
      <c r="EN21" s="777">
        <f t="shared" si="34"/>
        <v>0</v>
      </c>
      <c r="EO21" s="777">
        <f t="shared" si="34"/>
        <v>0</v>
      </c>
      <c r="EP21" s="777">
        <f t="shared" si="34"/>
        <v>0</v>
      </c>
      <c r="EQ21" s="777">
        <f t="shared" si="34"/>
        <v>0</v>
      </c>
      <c r="ER21" s="777">
        <f t="shared" si="33"/>
        <v>0</v>
      </c>
      <c r="ES21" s="777">
        <f t="shared" si="33"/>
        <v>0</v>
      </c>
      <c r="ET21" s="777">
        <f t="shared" si="33"/>
        <v>0</v>
      </c>
      <c r="EU21" s="777">
        <f t="shared" si="33"/>
        <v>0</v>
      </c>
      <c r="EV21" s="777">
        <f t="shared" si="33"/>
        <v>0</v>
      </c>
    </row>
    <row r="22" spans="1:152" ht="33.75" hidden="1" customHeight="1">
      <c r="A22" s="659"/>
      <c r="B22" s="660" t="s">
        <v>455</v>
      </c>
      <c r="C22" s="661">
        <f t="shared" si="27"/>
        <v>0</v>
      </c>
      <c r="D22" s="661">
        <f t="shared" si="28"/>
        <v>0</v>
      </c>
      <c r="E22" s="661"/>
      <c r="F22" s="661"/>
      <c r="G22" s="661"/>
      <c r="H22" s="661"/>
      <c r="I22" s="661"/>
      <c r="J22" s="661"/>
      <c r="K22" s="646">
        <f t="shared" si="5"/>
        <v>540</v>
      </c>
      <c r="L22" s="662">
        <f t="shared" si="15"/>
        <v>540</v>
      </c>
      <c r="M22" s="666"/>
      <c r="N22" s="666"/>
      <c r="O22" s="666"/>
      <c r="P22" s="666"/>
      <c r="Q22" s="666"/>
      <c r="R22" s="666">
        <f>((N22+O22)-(BA22+BB22))*10%</f>
        <v>0</v>
      </c>
      <c r="S22" s="666"/>
      <c r="T22" s="666">
        <f t="shared" si="19"/>
        <v>0</v>
      </c>
      <c r="U22" s="666">
        <f t="shared" si="20"/>
        <v>0</v>
      </c>
      <c r="V22" s="666">
        <v>600</v>
      </c>
      <c r="W22" s="666"/>
      <c r="X22" s="666"/>
      <c r="Y22" s="666">
        <f>Z22-BM22</f>
        <v>9</v>
      </c>
      <c r="Z22" s="666">
        <f t="shared" si="26"/>
        <v>60</v>
      </c>
      <c r="AA22" s="666">
        <v>51</v>
      </c>
      <c r="AB22" s="666">
        <f t="shared" si="21"/>
        <v>60</v>
      </c>
      <c r="AC22" s="666">
        <f t="shared" si="22"/>
        <v>540</v>
      </c>
      <c r="AD22" s="666"/>
      <c r="AE22" s="666"/>
      <c r="AF22" s="666"/>
      <c r="AG22" s="666"/>
      <c r="AH22" s="666"/>
      <c r="AI22" s="666"/>
      <c r="AJ22" s="666"/>
      <c r="AK22" s="666"/>
      <c r="AL22" s="669"/>
      <c r="AM22" s="662"/>
      <c r="AN22" s="610"/>
      <c r="AO22" s="659"/>
      <c r="AP22" s="660" t="s">
        <v>455</v>
      </c>
      <c r="AQ22" s="661">
        <f t="shared" si="31"/>
        <v>0</v>
      </c>
      <c r="AR22" s="661">
        <f t="shared" si="32"/>
        <v>0</v>
      </c>
      <c r="AS22" s="661"/>
      <c r="AT22" s="661"/>
      <c r="AU22" s="661"/>
      <c r="AV22" s="661"/>
      <c r="AW22" s="661"/>
      <c r="AX22" s="661"/>
      <c r="AY22" s="666">
        <f t="shared" si="16"/>
        <v>459</v>
      </c>
      <c r="AZ22" s="670"/>
      <c r="BA22" s="666"/>
      <c r="BB22" s="666"/>
      <c r="BC22" s="666"/>
      <c r="BD22" s="666"/>
      <c r="BE22" s="666">
        <f t="shared" si="23"/>
        <v>0</v>
      </c>
      <c r="BF22" s="667">
        <f t="shared" si="29"/>
        <v>0</v>
      </c>
      <c r="BG22" s="666">
        <f t="shared" si="24"/>
        <v>0</v>
      </c>
      <c r="BH22" s="666">
        <v>510</v>
      </c>
      <c r="BI22" s="666"/>
      <c r="BJ22" s="666"/>
      <c r="BK22" s="666"/>
      <c r="BL22" s="666">
        <f>BH22*10%</f>
        <v>51</v>
      </c>
      <c r="BM22" s="667">
        <f t="shared" si="30"/>
        <v>51</v>
      </c>
      <c r="BN22" s="666">
        <f t="shared" si="17"/>
        <v>459</v>
      </c>
      <c r="BO22" s="666"/>
      <c r="BP22" s="666"/>
      <c r="BQ22" s="666"/>
      <c r="BR22" s="666"/>
      <c r="BS22" s="666"/>
      <c r="BT22" s="666"/>
      <c r="BU22" s="666"/>
      <c r="BV22" s="666"/>
      <c r="BW22" s="662"/>
      <c r="CA22" s="1352"/>
      <c r="CB22" s="1352" t="s">
        <v>455</v>
      </c>
      <c r="CC22" s="1352">
        <v>0</v>
      </c>
      <c r="CD22" s="1352">
        <v>0</v>
      </c>
      <c r="CE22" s="1352"/>
      <c r="CF22" s="1352"/>
      <c r="CG22" s="1352"/>
      <c r="CH22" s="1352"/>
      <c r="CI22" s="1352"/>
      <c r="CJ22" s="1352"/>
      <c r="CK22" s="1353">
        <v>600</v>
      </c>
      <c r="CL22" s="1353"/>
      <c r="CM22" s="1354"/>
      <c r="CN22" s="1354"/>
      <c r="CO22" s="1354"/>
      <c r="CP22" s="1354"/>
      <c r="CQ22" s="1354">
        <v>0</v>
      </c>
      <c r="CR22" s="1354"/>
      <c r="CS22" s="1354">
        <v>0</v>
      </c>
      <c r="CT22" s="1353">
        <v>0</v>
      </c>
      <c r="CU22" s="1353">
        <v>600</v>
      </c>
      <c r="CV22" s="1353"/>
      <c r="CW22" s="1353"/>
      <c r="CX22" s="1353">
        <v>9</v>
      </c>
      <c r="CY22" s="1353">
        <v>60</v>
      </c>
      <c r="CZ22" s="1353">
        <v>51</v>
      </c>
      <c r="DA22" s="1353">
        <v>60</v>
      </c>
      <c r="DB22" s="1353">
        <v>540</v>
      </c>
      <c r="DC22" s="1353">
        <v>60</v>
      </c>
      <c r="DD22" s="1353"/>
      <c r="DE22" s="1353"/>
      <c r="DF22" s="1353"/>
      <c r="DG22" s="1353"/>
      <c r="DH22" s="1353"/>
      <c r="DI22" s="1353"/>
      <c r="DJ22" s="1353"/>
      <c r="DK22" s="1353"/>
      <c r="DT22" s="659"/>
      <c r="DU22" s="660" t="s">
        <v>455</v>
      </c>
      <c r="DV22" s="777">
        <f t="shared" si="25"/>
        <v>-60</v>
      </c>
      <c r="DW22" s="777">
        <f t="shared" si="25"/>
        <v>0</v>
      </c>
      <c r="DX22" s="777">
        <f t="shared" si="25"/>
        <v>0</v>
      </c>
      <c r="DY22" s="777">
        <f t="shared" si="25"/>
        <v>0</v>
      </c>
      <c r="DZ22" s="777">
        <f t="shared" si="25"/>
        <v>0</v>
      </c>
      <c r="EA22" s="777">
        <f t="shared" si="25"/>
        <v>0</v>
      </c>
      <c r="EB22" s="777">
        <f t="shared" si="25"/>
        <v>0</v>
      </c>
      <c r="EC22" s="777">
        <f t="shared" si="25"/>
        <v>0</v>
      </c>
      <c r="ED22" s="777">
        <f t="shared" si="25"/>
        <v>0</v>
      </c>
      <c r="EE22" s="777">
        <f t="shared" si="25"/>
        <v>0</v>
      </c>
      <c r="EF22" s="777">
        <f t="shared" si="25"/>
        <v>0</v>
      </c>
      <c r="EG22" s="777">
        <f t="shared" si="25"/>
        <v>0</v>
      </c>
      <c r="EH22" s="777">
        <f t="shared" si="25"/>
        <v>0</v>
      </c>
      <c r="EI22" s="777">
        <f t="shared" si="25"/>
        <v>0</v>
      </c>
      <c r="EJ22" s="777">
        <f t="shared" si="25"/>
        <v>0</v>
      </c>
      <c r="EK22" s="777">
        <f t="shared" si="25"/>
        <v>0</v>
      </c>
      <c r="EL22" s="777">
        <f t="shared" si="34"/>
        <v>0</v>
      </c>
      <c r="EM22" s="777">
        <f t="shared" si="34"/>
        <v>0</v>
      </c>
      <c r="EN22" s="777">
        <f t="shared" si="34"/>
        <v>-60</v>
      </c>
      <c r="EO22" s="777">
        <f t="shared" si="34"/>
        <v>0</v>
      </c>
      <c r="EP22" s="777">
        <f t="shared" si="34"/>
        <v>0</v>
      </c>
      <c r="EQ22" s="777">
        <f t="shared" si="34"/>
        <v>0</v>
      </c>
      <c r="ER22" s="777">
        <f t="shared" si="33"/>
        <v>0</v>
      </c>
      <c r="ES22" s="777">
        <f t="shared" si="33"/>
        <v>0</v>
      </c>
      <c r="ET22" s="777">
        <f t="shared" si="33"/>
        <v>0</v>
      </c>
      <c r="EU22" s="777">
        <f t="shared" si="33"/>
        <v>0</v>
      </c>
      <c r="EV22" s="777">
        <f t="shared" si="33"/>
        <v>0</v>
      </c>
    </row>
    <row r="23" spans="1:152" ht="21" hidden="1" customHeight="1">
      <c r="A23" s="659"/>
      <c r="B23" s="660" t="s">
        <v>456</v>
      </c>
      <c r="C23" s="661">
        <f t="shared" si="27"/>
        <v>0</v>
      </c>
      <c r="D23" s="661">
        <f t="shared" si="28"/>
        <v>0</v>
      </c>
      <c r="E23" s="661"/>
      <c r="F23" s="661">
        <f>9-9</f>
        <v>0</v>
      </c>
      <c r="G23" s="661"/>
      <c r="H23" s="661">
        <f>8-8</f>
        <v>0</v>
      </c>
      <c r="I23" s="661">
        <f>4-4</f>
        <v>0</v>
      </c>
      <c r="J23" s="661">
        <f>4-4</f>
        <v>0</v>
      </c>
      <c r="K23" s="646">
        <f t="shared" si="5"/>
        <v>0</v>
      </c>
      <c r="L23" s="662">
        <f t="shared" si="15"/>
        <v>0</v>
      </c>
      <c r="M23" s="666"/>
      <c r="N23" s="666"/>
      <c r="O23" s="666"/>
      <c r="P23" s="666"/>
      <c r="Q23" s="666"/>
      <c r="R23" s="666"/>
      <c r="S23" s="666"/>
      <c r="T23" s="666">
        <f t="shared" si="19"/>
        <v>0</v>
      </c>
      <c r="U23" s="666">
        <f t="shared" si="20"/>
        <v>0</v>
      </c>
      <c r="V23" s="666"/>
      <c r="W23" s="666"/>
      <c r="X23" s="666"/>
      <c r="Y23" s="666">
        <f>Z23-BM23</f>
        <v>0</v>
      </c>
      <c r="Z23" s="666">
        <f t="shared" si="26"/>
        <v>0</v>
      </c>
      <c r="AA23" s="666"/>
      <c r="AB23" s="666">
        <f t="shared" si="21"/>
        <v>0</v>
      </c>
      <c r="AC23" s="666">
        <f t="shared" si="22"/>
        <v>0</v>
      </c>
      <c r="AD23" s="666">
        <f>(V23+W23+X23)-AC23</f>
        <v>0</v>
      </c>
      <c r="AE23" s="666"/>
      <c r="AF23" s="666"/>
      <c r="AG23" s="666">
        <v>7</v>
      </c>
      <c r="AH23" s="666"/>
      <c r="AI23" s="666"/>
      <c r="AJ23" s="666"/>
      <c r="AK23" s="666"/>
      <c r="AL23" s="669"/>
      <c r="AM23" s="662"/>
      <c r="AN23" s="610"/>
      <c r="AO23" s="659"/>
      <c r="AP23" s="660" t="s">
        <v>456</v>
      </c>
      <c r="AQ23" s="661">
        <f t="shared" si="31"/>
        <v>15</v>
      </c>
      <c r="AR23" s="661">
        <f t="shared" si="32"/>
        <v>9</v>
      </c>
      <c r="AS23" s="661"/>
      <c r="AT23" s="661">
        <v>9</v>
      </c>
      <c r="AU23" s="661"/>
      <c r="AV23" s="661">
        <v>9</v>
      </c>
      <c r="AW23" s="661">
        <v>6</v>
      </c>
      <c r="AX23" s="661">
        <v>4</v>
      </c>
      <c r="AY23" s="666">
        <f t="shared" si="16"/>
        <v>1137</v>
      </c>
      <c r="AZ23" s="670">
        <f>606+137</f>
        <v>743</v>
      </c>
      <c r="BA23" s="666">
        <f>235-35</f>
        <v>200</v>
      </c>
      <c r="BB23" s="666">
        <v>35</v>
      </c>
      <c r="BC23" s="666"/>
      <c r="BD23" s="666"/>
      <c r="BE23" s="666">
        <f t="shared" si="23"/>
        <v>23.5</v>
      </c>
      <c r="BF23" s="667">
        <f t="shared" si="29"/>
        <v>24</v>
      </c>
      <c r="BG23" s="666">
        <f t="shared" si="24"/>
        <v>954</v>
      </c>
      <c r="BH23" s="666"/>
      <c r="BI23" s="666"/>
      <c r="BJ23" s="666">
        <f>80+13+40+50</f>
        <v>183</v>
      </c>
      <c r="BK23" s="666"/>
      <c r="BL23" s="666">
        <f>BH23*10%</f>
        <v>0</v>
      </c>
      <c r="BM23" s="667">
        <f t="shared" si="30"/>
        <v>0</v>
      </c>
      <c r="BN23" s="666">
        <f t="shared" si="17"/>
        <v>183</v>
      </c>
      <c r="BO23" s="666"/>
      <c r="BP23" s="666"/>
      <c r="BQ23" s="666"/>
      <c r="BR23" s="666"/>
      <c r="BS23" s="666"/>
      <c r="BT23" s="666"/>
      <c r="BU23" s="666"/>
      <c r="BV23" s="666"/>
      <c r="BW23" s="662"/>
      <c r="CA23" s="1352"/>
      <c r="CB23" s="1352" t="s">
        <v>456</v>
      </c>
      <c r="CC23" s="1352">
        <v>13</v>
      </c>
      <c r="CD23" s="1352">
        <v>9</v>
      </c>
      <c r="CE23" s="1352"/>
      <c r="CF23" s="1352">
        <v>9</v>
      </c>
      <c r="CG23" s="1352"/>
      <c r="CH23" s="1352">
        <v>8</v>
      </c>
      <c r="CI23" s="1352">
        <v>4</v>
      </c>
      <c r="CJ23" s="1352">
        <v>4</v>
      </c>
      <c r="CK23" s="1353">
        <v>0</v>
      </c>
      <c r="CL23" s="1353"/>
      <c r="CM23" s="1354"/>
      <c r="CN23" s="1354"/>
      <c r="CO23" s="1354"/>
      <c r="CP23" s="1354"/>
      <c r="CQ23" s="1354"/>
      <c r="CR23" s="1354"/>
      <c r="CS23" s="1354">
        <v>0</v>
      </c>
      <c r="CT23" s="1353">
        <v>0</v>
      </c>
      <c r="CU23" s="1353"/>
      <c r="CV23" s="1353"/>
      <c r="CW23" s="1353"/>
      <c r="CX23" s="1353">
        <v>0</v>
      </c>
      <c r="CY23" s="1353">
        <v>0</v>
      </c>
      <c r="CZ23" s="1353"/>
      <c r="DA23" s="1353">
        <v>0</v>
      </c>
      <c r="DB23" s="1353">
        <v>0</v>
      </c>
      <c r="DC23" s="1353">
        <v>0</v>
      </c>
      <c r="DD23" s="1353"/>
      <c r="DE23" s="1353"/>
      <c r="DF23" s="1353"/>
      <c r="DG23" s="1353"/>
      <c r="DH23" s="1353"/>
      <c r="DI23" s="1353"/>
      <c r="DJ23" s="1353"/>
      <c r="DK23" s="1353"/>
      <c r="DT23" s="659"/>
      <c r="DU23" s="660" t="s">
        <v>456</v>
      </c>
      <c r="DV23" s="777">
        <f t="shared" si="25"/>
        <v>0</v>
      </c>
      <c r="DW23" s="777">
        <f t="shared" si="25"/>
        <v>0</v>
      </c>
      <c r="DX23" s="777">
        <f t="shared" si="25"/>
        <v>0</v>
      </c>
      <c r="DY23" s="777">
        <f t="shared" si="25"/>
        <v>0</v>
      </c>
      <c r="DZ23" s="777">
        <f t="shared" si="25"/>
        <v>0</v>
      </c>
      <c r="EA23" s="777">
        <f t="shared" si="25"/>
        <v>0</v>
      </c>
      <c r="EB23" s="777">
        <f t="shared" si="25"/>
        <v>0</v>
      </c>
      <c r="EC23" s="777">
        <f t="shared" si="25"/>
        <v>0</v>
      </c>
      <c r="ED23" s="777">
        <f t="shared" si="25"/>
        <v>0</v>
      </c>
      <c r="EE23" s="777">
        <f t="shared" si="25"/>
        <v>0</v>
      </c>
      <c r="EF23" s="777">
        <f t="shared" si="25"/>
        <v>0</v>
      </c>
      <c r="EG23" s="777">
        <f t="shared" si="25"/>
        <v>0</v>
      </c>
      <c r="EH23" s="777">
        <f t="shared" si="25"/>
        <v>0</v>
      </c>
      <c r="EI23" s="777">
        <f t="shared" si="25"/>
        <v>0</v>
      </c>
      <c r="EJ23" s="777">
        <f t="shared" si="25"/>
        <v>0</v>
      </c>
      <c r="EK23" s="777">
        <f t="shared" si="25"/>
        <v>0</v>
      </c>
      <c r="EL23" s="777">
        <f t="shared" si="34"/>
        <v>0</v>
      </c>
      <c r="EM23" s="777">
        <f t="shared" si="34"/>
        <v>0</v>
      </c>
      <c r="EN23" s="777">
        <f t="shared" si="34"/>
        <v>0</v>
      </c>
      <c r="EO23" s="777">
        <f t="shared" si="34"/>
        <v>0</v>
      </c>
      <c r="EP23" s="777">
        <f t="shared" si="34"/>
        <v>0</v>
      </c>
      <c r="EQ23" s="777">
        <f t="shared" si="34"/>
        <v>7</v>
      </c>
      <c r="ER23" s="777">
        <f t="shared" si="33"/>
        <v>0</v>
      </c>
      <c r="ES23" s="777">
        <f t="shared" si="33"/>
        <v>0</v>
      </c>
      <c r="ET23" s="777">
        <f t="shared" si="33"/>
        <v>0</v>
      </c>
      <c r="EU23" s="777">
        <f t="shared" si="33"/>
        <v>0</v>
      </c>
      <c r="EV23" s="777">
        <f t="shared" si="33"/>
        <v>0</v>
      </c>
    </row>
    <row r="24" spans="1:152" ht="23.25" hidden="1" customHeight="1">
      <c r="A24" s="659"/>
      <c r="B24" s="660" t="s">
        <v>457</v>
      </c>
      <c r="C24" s="661">
        <f t="shared" si="27"/>
        <v>0</v>
      </c>
      <c r="D24" s="661">
        <f t="shared" si="28"/>
        <v>0</v>
      </c>
      <c r="E24" s="661"/>
      <c r="F24" s="661"/>
      <c r="G24" s="661"/>
      <c r="H24" s="661"/>
      <c r="I24" s="661"/>
      <c r="J24" s="661"/>
      <c r="K24" s="646">
        <f t="shared" si="5"/>
        <v>0</v>
      </c>
      <c r="L24" s="662">
        <f t="shared" si="15"/>
        <v>0</v>
      </c>
      <c r="M24" s="666"/>
      <c r="N24" s="666"/>
      <c r="O24" s="666"/>
      <c r="P24" s="666"/>
      <c r="Q24" s="666"/>
      <c r="R24" s="666">
        <f>((N24+O24)-(BA24+BB24))*10%</f>
        <v>0</v>
      </c>
      <c r="S24" s="666"/>
      <c r="T24" s="666">
        <f t="shared" si="19"/>
        <v>0</v>
      </c>
      <c r="U24" s="666">
        <f t="shared" si="20"/>
        <v>0</v>
      </c>
      <c r="V24" s="666"/>
      <c r="W24" s="666"/>
      <c r="X24" s="666"/>
      <c r="Y24" s="666">
        <f>Z24-BM24</f>
        <v>0</v>
      </c>
      <c r="Z24" s="666">
        <f t="shared" si="26"/>
        <v>0</v>
      </c>
      <c r="AA24" s="666"/>
      <c r="AB24" s="666">
        <f t="shared" si="21"/>
        <v>0</v>
      </c>
      <c r="AC24" s="666">
        <f t="shared" si="22"/>
        <v>0</v>
      </c>
      <c r="AD24" s="666"/>
      <c r="AE24" s="666"/>
      <c r="AF24" s="666"/>
      <c r="AG24" s="666"/>
      <c r="AH24" s="666"/>
      <c r="AI24" s="666"/>
      <c r="AJ24" s="666"/>
      <c r="AK24" s="666"/>
      <c r="AL24" s="664"/>
      <c r="AN24" s="610"/>
      <c r="AO24" s="659"/>
      <c r="AP24" s="660" t="s">
        <v>457</v>
      </c>
      <c r="AQ24" s="661">
        <f t="shared" si="31"/>
        <v>0</v>
      </c>
      <c r="AR24" s="661">
        <f t="shared" si="32"/>
        <v>0</v>
      </c>
      <c r="AS24" s="661"/>
      <c r="AT24" s="661"/>
      <c r="AU24" s="661"/>
      <c r="AV24" s="661"/>
      <c r="AW24" s="661"/>
      <c r="AX24" s="661"/>
      <c r="AY24" s="666">
        <f t="shared" si="16"/>
        <v>0</v>
      </c>
      <c r="AZ24" s="670"/>
      <c r="BA24" s="666"/>
      <c r="BB24" s="666"/>
      <c r="BC24" s="666"/>
      <c r="BD24" s="666"/>
      <c r="BE24" s="666">
        <f t="shared" si="23"/>
        <v>0</v>
      </c>
      <c r="BF24" s="667">
        <f t="shared" si="29"/>
        <v>0</v>
      </c>
      <c r="BG24" s="666">
        <f t="shared" si="24"/>
        <v>0</v>
      </c>
      <c r="BH24" s="666"/>
      <c r="BI24" s="666"/>
      <c r="BJ24" s="666"/>
      <c r="BK24" s="666"/>
      <c r="BL24" s="666">
        <f>BH24*10%</f>
        <v>0</v>
      </c>
      <c r="BM24" s="667">
        <f t="shared" si="30"/>
        <v>0</v>
      </c>
      <c r="BN24" s="666">
        <f t="shared" si="17"/>
        <v>0</v>
      </c>
      <c r="BO24" s="666"/>
      <c r="BP24" s="666"/>
      <c r="BQ24" s="666"/>
      <c r="BR24" s="666"/>
      <c r="BS24" s="666"/>
      <c r="BT24" s="666"/>
      <c r="BU24" s="666"/>
      <c r="BV24" s="666"/>
      <c r="BW24" s="662"/>
      <c r="CA24" s="1352"/>
      <c r="CB24" s="1352" t="s">
        <v>457</v>
      </c>
      <c r="CC24" s="1352">
        <v>0</v>
      </c>
      <c r="CD24" s="1352">
        <v>0</v>
      </c>
      <c r="CE24" s="1352"/>
      <c r="CF24" s="1352"/>
      <c r="CG24" s="1352"/>
      <c r="CH24" s="1352"/>
      <c r="CI24" s="1352"/>
      <c r="CJ24" s="1352"/>
      <c r="CK24" s="1353">
        <v>0</v>
      </c>
      <c r="CL24" s="1353"/>
      <c r="CM24" s="1354"/>
      <c r="CN24" s="1354"/>
      <c r="CO24" s="1354"/>
      <c r="CP24" s="1354"/>
      <c r="CQ24" s="1354">
        <v>0</v>
      </c>
      <c r="CR24" s="1354"/>
      <c r="CS24" s="1354">
        <v>0</v>
      </c>
      <c r="CT24" s="1353">
        <v>0</v>
      </c>
      <c r="CU24" s="1353"/>
      <c r="CV24" s="1353"/>
      <c r="CW24" s="1353"/>
      <c r="CX24" s="1353">
        <v>0</v>
      </c>
      <c r="CY24" s="1353">
        <v>0</v>
      </c>
      <c r="CZ24" s="1353"/>
      <c r="DA24" s="1353">
        <v>0</v>
      </c>
      <c r="DB24" s="1353">
        <v>0</v>
      </c>
      <c r="DC24" s="1353"/>
      <c r="DD24" s="1353"/>
      <c r="DE24" s="1353"/>
      <c r="DF24" s="1353"/>
      <c r="DG24" s="1353"/>
      <c r="DH24" s="1353"/>
      <c r="DI24" s="1353"/>
      <c r="DJ24" s="1353"/>
      <c r="DK24" s="1353"/>
      <c r="DT24" s="659"/>
      <c r="DU24" s="660" t="s">
        <v>457</v>
      </c>
      <c r="DV24" s="777">
        <f t="shared" si="25"/>
        <v>0</v>
      </c>
      <c r="DW24" s="777">
        <f t="shared" si="25"/>
        <v>0</v>
      </c>
      <c r="DX24" s="777">
        <f t="shared" si="25"/>
        <v>0</v>
      </c>
      <c r="DY24" s="777">
        <f t="shared" si="25"/>
        <v>0</v>
      </c>
      <c r="DZ24" s="777">
        <f t="shared" si="25"/>
        <v>0</v>
      </c>
      <c r="EA24" s="777">
        <f t="shared" si="25"/>
        <v>0</v>
      </c>
      <c r="EB24" s="777">
        <f t="shared" si="25"/>
        <v>0</v>
      </c>
      <c r="EC24" s="777">
        <f t="shared" si="25"/>
        <v>0</v>
      </c>
      <c r="ED24" s="777">
        <f t="shared" si="25"/>
        <v>0</v>
      </c>
      <c r="EE24" s="777">
        <f t="shared" si="25"/>
        <v>0</v>
      </c>
      <c r="EF24" s="777">
        <f t="shared" si="25"/>
        <v>0</v>
      </c>
      <c r="EG24" s="777">
        <f t="shared" si="25"/>
        <v>0</v>
      </c>
      <c r="EH24" s="777">
        <f t="shared" si="25"/>
        <v>0</v>
      </c>
      <c r="EI24" s="777">
        <f t="shared" si="25"/>
        <v>0</v>
      </c>
      <c r="EJ24" s="777">
        <f t="shared" si="25"/>
        <v>0</v>
      </c>
      <c r="EK24" s="777">
        <f t="shared" si="25"/>
        <v>0</v>
      </c>
      <c r="EL24" s="777">
        <f t="shared" si="34"/>
        <v>0</v>
      </c>
      <c r="EM24" s="777">
        <f t="shared" si="34"/>
        <v>0</v>
      </c>
      <c r="EN24" s="777">
        <f t="shared" si="34"/>
        <v>0</v>
      </c>
      <c r="EO24" s="777">
        <f t="shared" si="34"/>
        <v>0</v>
      </c>
      <c r="EP24" s="777">
        <f t="shared" si="34"/>
        <v>0</v>
      </c>
      <c r="EQ24" s="777">
        <f t="shared" si="34"/>
        <v>0</v>
      </c>
      <c r="ER24" s="777">
        <f t="shared" si="33"/>
        <v>0</v>
      </c>
      <c r="ES24" s="777">
        <f t="shared" si="33"/>
        <v>0</v>
      </c>
      <c r="ET24" s="777">
        <f t="shared" si="33"/>
        <v>0</v>
      </c>
      <c r="EU24" s="777">
        <f t="shared" si="33"/>
        <v>0</v>
      </c>
      <c r="EV24" s="777">
        <f t="shared" si="33"/>
        <v>0</v>
      </c>
    </row>
    <row r="25" spans="1:152" s="698" customFormat="1" ht="29.25" hidden="1" customHeight="1">
      <c r="A25" s="659"/>
      <c r="B25" s="660" t="s">
        <v>458</v>
      </c>
      <c r="C25" s="661">
        <f t="shared" si="27"/>
        <v>57</v>
      </c>
      <c r="D25" s="661">
        <f t="shared" si="28"/>
        <v>47</v>
      </c>
      <c r="E25" s="661">
        <v>10</v>
      </c>
      <c r="F25" s="661">
        <v>37</v>
      </c>
      <c r="G25" s="661">
        <v>9</v>
      </c>
      <c r="H25" s="661">
        <v>37</v>
      </c>
      <c r="I25" s="661">
        <v>10</v>
      </c>
      <c r="J25" s="661">
        <v>10</v>
      </c>
      <c r="K25" s="646">
        <f t="shared" si="5"/>
        <v>7155</v>
      </c>
      <c r="L25" s="662">
        <f t="shared" si="15"/>
        <v>7188</v>
      </c>
      <c r="M25" s="666">
        <v>4205</v>
      </c>
      <c r="N25" s="666">
        <v>985</v>
      </c>
      <c r="O25" s="666">
        <v>190</v>
      </c>
      <c r="P25" s="666"/>
      <c r="Q25" s="666"/>
      <c r="R25" s="666"/>
      <c r="S25" s="666">
        <f>70+103</f>
        <v>173</v>
      </c>
      <c r="T25" s="666">
        <f t="shared" si="19"/>
        <v>173</v>
      </c>
      <c r="U25" s="666">
        <f t="shared" si="20"/>
        <v>5207</v>
      </c>
      <c r="V25" s="666">
        <f>2000-40</f>
        <v>1960</v>
      </c>
      <c r="W25" s="666">
        <v>110</v>
      </c>
      <c r="X25" s="666"/>
      <c r="Y25" s="666">
        <f>Z25-BM25</f>
        <v>59.5</v>
      </c>
      <c r="Z25" s="666">
        <f>(V25-15)*10%</f>
        <v>194.5</v>
      </c>
      <c r="AA25" s="666">
        <f>31+31</f>
        <v>62</v>
      </c>
      <c r="AB25" s="666">
        <f t="shared" si="21"/>
        <v>122</v>
      </c>
      <c r="AC25" s="666">
        <f t="shared" si="22"/>
        <v>1948</v>
      </c>
      <c r="AD25" s="666">
        <v>33</v>
      </c>
      <c r="AE25" s="666"/>
      <c r="AF25" s="666"/>
      <c r="AG25" s="666">
        <v>297</v>
      </c>
      <c r="AH25" s="666">
        <v>10</v>
      </c>
      <c r="AI25" s="666">
        <v>70</v>
      </c>
      <c r="AJ25" s="666"/>
      <c r="AK25" s="666"/>
      <c r="AL25" s="668"/>
      <c r="AM25" s="697"/>
      <c r="AN25" s="610"/>
      <c r="AO25" s="694"/>
      <c r="AP25" s="695" t="s">
        <v>458</v>
      </c>
      <c r="AQ25" s="696">
        <f t="shared" si="31"/>
        <v>59</v>
      </c>
      <c r="AR25" s="696">
        <f t="shared" si="32"/>
        <v>48</v>
      </c>
      <c r="AS25" s="696">
        <v>11</v>
      </c>
      <c r="AT25" s="696">
        <v>37</v>
      </c>
      <c r="AU25" s="696">
        <v>11</v>
      </c>
      <c r="AV25" s="696">
        <v>34</v>
      </c>
      <c r="AW25" s="696">
        <v>11</v>
      </c>
      <c r="AX25" s="696">
        <v>11</v>
      </c>
      <c r="AY25" s="668">
        <f t="shared" si="16"/>
        <v>6778</v>
      </c>
      <c r="AZ25" s="668">
        <f>1158+2232+700-111</f>
        <v>3979</v>
      </c>
      <c r="BA25" s="668">
        <f>1200-150</f>
        <v>1050</v>
      </c>
      <c r="BB25" s="668">
        <v>150</v>
      </c>
      <c r="BC25" s="668"/>
      <c r="BD25" s="668"/>
      <c r="BE25" s="666">
        <f t="shared" si="23"/>
        <v>120</v>
      </c>
      <c r="BF25" s="668">
        <f t="shared" si="29"/>
        <v>120</v>
      </c>
      <c r="BG25" s="668">
        <f t="shared" si="24"/>
        <v>5059</v>
      </c>
      <c r="BH25" s="668">
        <v>1384</v>
      </c>
      <c r="BI25" s="668"/>
      <c r="BJ25" s="668">
        <v>110</v>
      </c>
      <c r="BK25" s="668"/>
      <c r="BL25" s="666">
        <f>(BH25-30)*10%</f>
        <v>135.4</v>
      </c>
      <c r="BM25" s="668">
        <f t="shared" si="30"/>
        <v>135</v>
      </c>
      <c r="BN25" s="668">
        <f t="shared" si="17"/>
        <v>1359</v>
      </c>
      <c r="BO25" s="668">
        <v>360</v>
      </c>
      <c r="BP25" s="668"/>
      <c r="BQ25" s="668"/>
      <c r="BR25" s="668">
        <v>28</v>
      </c>
      <c r="BS25" s="668"/>
      <c r="BT25" s="668">
        <v>70</v>
      </c>
      <c r="BU25" s="668"/>
      <c r="BV25" s="668"/>
      <c r="BW25" s="697"/>
      <c r="BY25" s="891"/>
      <c r="BZ25" s="891"/>
      <c r="CA25" s="1352"/>
      <c r="CB25" s="1352" t="s">
        <v>458</v>
      </c>
      <c r="CC25" s="1352">
        <v>57</v>
      </c>
      <c r="CD25" s="1352">
        <v>47</v>
      </c>
      <c r="CE25" s="1352">
        <v>10</v>
      </c>
      <c r="CF25" s="1352">
        <v>37</v>
      </c>
      <c r="CG25" s="1352">
        <v>9</v>
      </c>
      <c r="CH25" s="1352">
        <v>37</v>
      </c>
      <c r="CI25" s="1352">
        <v>10</v>
      </c>
      <c r="CJ25" s="1352">
        <v>10</v>
      </c>
      <c r="CK25" s="1353">
        <v>7188</v>
      </c>
      <c r="CL25" s="1353">
        <v>4205</v>
      </c>
      <c r="CM25" s="1354">
        <v>985</v>
      </c>
      <c r="CN25" s="1354">
        <v>190</v>
      </c>
      <c r="CO25" s="1354"/>
      <c r="CP25" s="1354"/>
      <c r="CQ25" s="1354"/>
      <c r="CR25" s="1354">
        <v>173</v>
      </c>
      <c r="CS25" s="1354">
        <v>173</v>
      </c>
      <c r="CT25" s="1353">
        <v>5207</v>
      </c>
      <c r="CU25" s="1353">
        <v>1960</v>
      </c>
      <c r="CV25" s="1353">
        <v>110</v>
      </c>
      <c r="CW25" s="1353"/>
      <c r="CX25" s="1353">
        <v>59.5</v>
      </c>
      <c r="CY25" s="1353">
        <v>194.5</v>
      </c>
      <c r="CZ25" s="1353">
        <v>62</v>
      </c>
      <c r="DA25" s="1353">
        <v>122</v>
      </c>
      <c r="DB25" s="1353">
        <v>1948</v>
      </c>
      <c r="DC25" s="1353">
        <v>33</v>
      </c>
      <c r="DD25" s="1353"/>
      <c r="DE25" s="1353"/>
      <c r="DF25" s="1353"/>
      <c r="DG25" s="1353"/>
      <c r="DH25" s="1353"/>
      <c r="DI25" s="1353"/>
      <c r="DJ25" s="1353"/>
      <c r="DK25" s="1353"/>
      <c r="DT25" s="694"/>
      <c r="DU25" s="695" t="s">
        <v>458</v>
      </c>
      <c r="DV25" s="777">
        <f t="shared" si="25"/>
        <v>0</v>
      </c>
      <c r="DW25" s="777">
        <f t="shared" si="25"/>
        <v>0</v>
      </c>
      <c r="DX25" s="777">
        <f t="shared" si="25"/>
        <v>0</v>
      </c>
      <c r="DY25" s="777">
        <f t="shared" si="25"/>
        <v>0</v>
      </c>
      <c r="DZ25" s="777">
        <f t="shared" si="25"/>
        <v>0</v>
      </c>
      <c r="EA25" s="777">
        <f t="shared" si="25"/>
        <v>0</v>
      </c>
      <c r="EB25" s="777">
        <f t="shared" si="25"/>
        <v>0</v>
      </c>
      <c r="EC25" s="777">
        <f t="shared" si="25"/>
        <v>0</v>
      </c>
      <c r="ED25" s="777">
        <f t="shared" si="25"/>
        <v>0</v>
      </c>
      <c r="EE25" s="777">
        <f t="shared" si="25"/>
        <v>0</v>
      </c>
      <c r="EF25" s="777">
        <f t="shared" si="25"/>
        <v>0</v>
      </c>
      <c r="EG25" s="777">
        <f t="shared" si="25"/>
        <v>0</v>
      </c>
      <c r="EH25" s="777">
        <f t="shared" si="25"/>
        <v>0</v>
      </c>
      <c r="EI25" s="777">
        <f t="shared" si="25"/>
        <v>0</v>
      </c>
      <c r="EJ25" s="777">
        <f t="shared" si="25"/>
        <v>0</v>
      </c>
      <c r="EK25" s="777">
        <f t="shared" si="25"/>
        <v>0</v>
      </c>
      <c r="EL25" s="777">
        <f t="shared" si="34"/>
        <v>0</v>
      </c>
      <c r="EM25" s="777">
        <f t="shared" si="34"/>
        <v>0</v>
      </c>
      <c r="EN25" s="777">
        <f t="shared" si="34"/>
        <v>0</v>
      </c>
      <c r="EO25" s="777">
        <f t="shared" si="34"/>
        <v>0</v>
      </c>
      <c r="EP25" s="777">
        <f t="shared" si="34"/>
        <v>0</v>
      </c>
      <c r="EQ25" s="777">
        <f t="shared" si="34"/>
        <v>297</v>
      </c>
      <c r="ER25" s="777">
        <f t="shared" si="33"/>
        <v>10</v>
      </c>
      <c r="ES25" s="777">
        <f t="shared" si="33"/>
        <v>70</v>
      </c>
      <c r="ET25" s="777">
        <f t="shared" si="33"/>
        <v>0</v>
      </c>
      <c r="EU25" s="777">
        <f t="shared" si="33"/>
        <v>0</v>
      </c>
      <c r="EV25" s="777">
        <f t="shared" si="33"/>
        <v>0</v>
      </c>
    </row>
    <row r="26" spans="1:152" ht="29.25" hidden="1" customHeight="1">
      <c r="A26" s="659"/>
      <c r="B26" s="660" t="s">
        <v>459</v>
      </c>
      <c r="C26" s="661">
        <f t="shared" si="27"/>
        <v>0</v>
      </c>
      <c r="D26" s="661">
        <f t="shared" si="28"/>
        <v>0</v>
      </c>
      <c r="E26" s="661"/>
      <c r="F26" s="661"/>
      <c r="G26" s="661"/>
      <c r="H26" s="661"/>
      <c r="I26" s="661"/>
      <c r="J26" s="661"/>
      <c r="K26" s="646">
        <f t="shared" si="5"/>
        <v>0</v>
      </c>
      <c r="L26" s="662">
        <f t="shared" si="15"/>
        <v>0</v>
      </c>
      <c r="M26" s="666"/>
      <c r="N26" s="666"/>
      <c r="O26" s="666"/>
      <c r="P26" s="666"/>
      <c r="Q26" s="666"/>
      <c r="R26" s="666">
        <f>((N26+O26)-(BA26+BB26))*10%</f>
        <v>0</v>
      </c>
      <c r="S26" s="666"/>
      <c r="T26" s="666">
        <f t="shared" si="19"/>
        <v>0</v>
      </c>
      <c r="U26" s="666">
        <f t="shared" si="20"/>
        <v>0</v>
      </c>
      <c r="V26" s="666"/>
      <c r="W26" s="666"/>
      <c r="X26" s="666"/>
      <c r="Y26" s="666"/>
      <c r="Z26" s="666">
        <f t="shared" si="26"/>
        <v>0</v>
      </c>
      <c r="AA26" s="666"/>
      <c r="AB26" s="666">
        <f t="shared" si="21"/>
        <v>0</v>
      </c>
      <c r="AC26" s="666">
        <f t="shared" si="22"/>
        <v>0</v>
      </c>
      <c r="AD26" s="666"/>
      <c r="AE26" s="666"/>
      <c r="AF26" s="666"/>
      <c r="AG26" s="666"/>
      <c r="AH26" s="666"/>
      <c r="AI26" s="666"/>
      <c r="AJ26" s="666"/>
      <c r="AK26" s="666"/>
      <c r="AL26" s="664"/>
      <c r="AN26" s="610"/>
      <c r="AO26" s="659"/>
      <c r="AP26" s="660" t="s">
        <v>459</v>
      </c>
      <c r="AQ26" s="661">
        <f>AR26+AW26</f>
        <v>0</v>
      </c>
      <c r="AR26" s="661">
        <f>AS26+AT26</f>
        <v>0</v>
      </c>
      <c r="AS26" s="661"/>
      <c r="AT26" s="661"/>
      <c r="AU26" s="661"/>
      <c r="AV26" s="661"/>
      <c r="AW26" s="661"/>
      <c r="AX26" s="661"/>
      <c r="AY26" s="666">
        <f t="shared" si="16"/>
        <v>2410</v>
      </c>
      <c r="AZ26" s="670"/>
      <c r="BA26" s="666"/>
      <c r="BB26" s="666"/>
      <c r="BC26" s="666"/>
      <c r="BD26" s="666"/>
      <c r="BE26" s="666">
        <f t="shared" si="23"/>
        <v>0</v>
      </c>
      <c r="BF26" s="667"/>
      <c r="BG26" s="666">
        <f>(AZ26+BA26+BB26+BC26)-BF26</f>
        <v>0</v>
      </c>
      <c r="BH26" s="666">
        <v>2678</v>
      </c>
      <c r="BI26" s="666"/>
      <c r="BJ26" s="666"/>
      <c r="BK26" s="666"/>
      <c r="BL26" s="666">
        <f>BH26*10%</f>
        <v>267.8</v>
      </c>
      <c r="BM26" s="667">
        <f t="shared" si="30"/>
        <v>268</v>
      </c>
      <c r="BN26" s="666">
        <f t="shared" si="17"/>
        <v>2410</v>
      </c>
      <c r="BO26" s="666"/>
      <c r="BP26" s="666"/>
      <c r="BQ26" s="666"/>
      <c r="BR26" s="666"/>
      <c r="BS26" s="666"/>
      <c r="BT26" s="666"/>
      <c r="BU26" s="666"/>
      <c r="BV26" s="666"/>
      <c r="BW26" s="662"/>
      <c r="CA26" s="1352"/>
      <c r="CB26" s="1352" t="s">
        <v>459</v>
      </c>
      <c r="CC26" s="1352">
        <v>0</v>
      </c>
      <c r="CD26" s="1352">
        <v>0</v>
      </c>
      <c r="CE26" s="1352"/>
      <c r="CF26" s="1352"/>
      <c r="CG26" s="1352"/>
      <c r="CH26" s="1352"/>
      <c r="CI26" s="1352"/>
      <c r="CJ26" s="1352"/>
      <c r="CK26" s="1353">
        <v>0</v>
      </c>
      <c r="CL26" s="1353"/>
      <c r="CM26" s="1354"/>
      <c r="CN26" s="1354"/>
      <c r="CO26" s="1354"/>
      <c r="CP26" s="1354"/>
      <c r="CQ26" s="1354">
        <v>0</v>
      </c>
      <c r="CR26" s="1354"/>
      <c r="CS26" s="1354">
        <v>0</v>
      </c>
      <c r="CT26" s="1353">
        <v>0</v>
      </c>
      <c r="CU26" s="1353"/>
      <c r="CV26" s="1353"/>
      <c r="CW26" s="1353"/>
      <c r="CX26" s="1353"/>
      <c r="CY26" s="1353">
        <v>0</v>
      </c>
      <c r="CZ26" s="1353"/>
      <c r="DA26" s="1353">
        <v>0</v>
      </c>
      <c r="DB26" s="1353">
        <v>0</v>
      </c>
      <c r="DC26" s="1353"/>
      <c r="DD26" s="1353"/>
      <c r="DE26" s="1353"/>
      <c r="DF26" s="1353"/>
      <c r="DG26" s="1353"/>
      <c r="DH26" s="1353"/>
      <c r="DI26" s="1353"/>
      <c r="DJ26" s="1353"/>
      <c r="DK26" s="1353"/>
      <c r="DT26" s="659"/>
      <c r="DU26" s="660" t="s">
        <v>459</v>
      </c>
      <c r="DV26" s="777">
        <f t="shared" si="25"/>
        <v>0</v>
      </c>
      <c r="DW26" s="777">
        <f t="shared" si="25"/>
        <v>0</v>
      </c>
      <c r="DX26" s="777">
        <f t="shared" si="25"/>
        <v>0</v>
      </c>
      <c r="DY26" s="777">
        <f t="shared" si="25"/>
        <v>0</v>
      </c>
      <c r="DZ26" s="777">
        <f t="shared" si="25"/>
        <v>0</v>
      </c>
      <c r="EA26" s="777">
        <f t="shared" si="25"/>
        <v>0</v>
      </c>
      <c r="EB26" s="777">
        <f t="shared" si="25"/>
        <v>0</v>
      </c>
      <c r="EC26" s="777">
        <f t="shared" si="25"/>
        <v>0</v>
      </c>
      <c r="ED26" s="777">
        <f t="shared" si="25"/>
        <v>0</v>
      </c>
      <c r="EE26" s="777">
        <f t="shared" si="25"/>
        <v>0</v>
      </c>
      <c r="EF26" s="777">
        <f t="shared" si="25"/>
        <v>0</v>
      </c>
      <c r="EG26" s="777">
        <f t="shared" si="25"/>
        <v>0</v>
      </c>
      <c r="EH26" s="777">
        <f t="shared" si="25"/>
        <v>0</v>
      </c>
      <c r="EI26" s="777">
        <f t="shared" si="25"/>
        <v>0</v>
      </c>
      <c r="EJ26" s="777">
        <f t="shared" si="25"/>
        <v>0</v>
      </c>
      <c r="EK26" s="777">
        <f t="shared" si="25"/>
        <v>0</v>
      </c>
      <c r="EL26" s="777">
        <f t="shared" si="34"/>
        <v>0</v>
      </c>
      <c r="EM26" s="777">
        <f t="shared" si="34"/>
        <v>0</v>
      </c>
      <c r="EN26" s="777">
        <f t="shared" si="34"/>
        <v>0</v>
      </c>
      <c r="EO26" s="777">
        <f t="shared" si="34"/>
        <v>0</v>
      </c>
      <c r="EP26" s="777">
        <f t="shared" si="34"/>
        <v>0</v>
      </c>
      <c r="EQ26" s="777">
        <f t="shared" si="34"/>
        <v>0</v>
      </c>
      <c r="ER26" s="777">
        <f t="shared" si="33"/>
        <v>0</v>
      </c>
      <c r="ES26" s="777">
        <f t="shared" si="33"/>
        <v>0</v>
      </c>
      <c r="ET26" s="777">
        <f t="shared" si="33"/>
        <v>0</v>
      </c>
      <c r="EU26" s="777">
        <f t="shared" si="33"/>
        <v>0</v>
      </c>
      <c r="EV26" s="777">
        <f t="shared" si="33"/>
        <v>0</v>
      </c>
    </row>
    <row r="27" spans="1:152" ht="25.5" customHeight="1">
      <c r="A27" s="659">
        <v>2</v>
      </c>
      <c r="B27" s="660" t="s">
        <v>460</v>
      </c>
      <c r="C27" s="661">
        <f t="shared" si="27"/>
        <v>146</v>
      </c>
      <c r="D27" s="661">
        <f t="shared" si="28"/>
        <v>146</v>
      </c>
      <c r="E27" s="661"/>
      <c r="F27" s="661">
        <v>146</v>
      </c>
      <c r="G27" s="661"/>
      <c r="H27" s="661">
        <v>146</v>
      </c>
      <c r="I27" s="661"/>
      <c r="J27" s="661"/>
      <c r="K27" s="646">
        <f t="shared" si="5"/>
        <v>11317</v>
      </c>
      <c r="L27" s="662">
        <f t="shared" si="15"/>
        <v>11317</v>
      </c>
      <c r="M27" s="666">
        <v>10668</v>
      </c>
      <c r="N27" s="666">
        <v>649</v>
      </c>
      <c r="O27" s="666"/>
      <c r="P27" s="666"/>
      <c r="Q27" s="666"/>
      <c r="R27" s="666"/>
      <c r="S27" s="666"/>
      <c r="T27" s="666">
        <f>ROUND((Q27+R27+S27),0)</f>
        <v>0</v>
      </c>
      <c r="U27" s="666">
        <f t="shared" si="20"/>
        <v>11317</v>
      </c>
      <c r="V27" s="666"/>
      <c r="W27" s="666"/>
      <c r="X27" s="666"/>
      <c r="Y27" s="666">
        <f>Z27-BM27</f>
        <v>0</v>
      </c>
      <c r="Z27" s="666">
        <f>V27*10%</f>
        <v>0</v>
      </c>
      <c r="AA27" s="666"/>
      <c r="AB27" s="666">
        <f t="shared" si="21"/>
        <v>0</v>
      </c>
      <c r="AC27" s="666">
        <f t="shared" si="22"/>
        <v>0</v>
      </c>
      <c r="AD27" s="666">
        <f>(V27+W27+X27)-AC27</f>
        <v>0</v>
      </c>
      <c r="AE27" s="666"/>
      <c r="AF27" s="666"/>
      <c r="AG27" s="666"/>
      <c r="AH27" s="666"/>
      <c r="AI27" s="666"/>
      <c r="AJ27" s="666"/>
      <c r="AK27" s="666"/>
      <c r="AL27" s="669"/>
      <c r="AM27" s="662"/>
      <c r="AN27" s="610"/>
      <c r="AO27" s="659">
        <v>2</v>
      </c>
      <c r="AP27" s="660" t="s">
        <v>460</v>
      </c>
      <c r="AQ27" s="661">
        <f t="shared" si="31"/>
        <v>168</v>
      </c>
      <c r="AR27" s="661">
        <f t="shared" si="32"/>
        <v>168</v>
      </c>
      <c r="AS27" s="661"/>
      <c r="AT27" s="661">
        <v>168</v>
      </c>
      <c r="AU27" s="661"/>
      <c r="AV27" s="661">
        <v>165</v>
      </c>
      <c r="AW27" s="661"/>
      <c r="AX27" s="661"/>
      <c r="AY27" s="666">
        <f t="shared" si="16"/>
        <v>11206</v>
      </c>
      <c r="AZ27" s="670">
        <f>7233+1700+1613</f>
        <v>10546</v>
      </c>
      <c r="BA27" s="666">
        <f>436+297</f>
        <v>733</v>
      </c>
      <c r="BB27" s="666"/>
      <c r="BC27" s="666"/>
      <c r="BD27" s="666"/>
      <c r="BE27" s="666">
        <f t="shared" si="23"/>
        <v>73.3</v>
      </c>
      <c r="BF27" s="667">
        <f>ROUND(BE27,0)</f>
        <v>73</v>
      </c>
      <c r="BG27" s="666">
        <f t="shared" si="24"/>
        <v>11206</v>
      </c>
      <c r="BH27" s="666"/>
      <c r="BI27" s="666"/>
      <c r="BJ27" s="666"/>
      <c r="BK27" s="666"/>
      <c r="BL27" s="666">
        <f>BH27*10%</f>
        <v>0</v>
      </c>
      <c r="BM27" s="667"/>
      <c r="BN27" s="666">
        <f t="shared" si="17"/>
        <v>0</v>
      </c>
      <c r="BO27" s="666"/>
      <c r="BP27" s="666"/>
      <c r="BQ27" s="666"/>
      <c r="BR27" s="666"/>
      <c r="BS27" s="666"/>
      <c r="BT27" s="666"/>
      <c r="BU27" s="666"/>
      <c r="BV27" s="666"/>
      <c r="BW27" s="662"/>
      <c r="CA27" s="1352">
        <v>2</v>
      </c>
      <c r="CB27" s="1352" t="s">
        <v>460</v>
      </c>
      <c r="CC27" s="1352">
        <v>157</v>
      </c>
      <c r="CD27" s="1352">
        <v>157</v>
      </c>
      <c r="CE27" s="1352"/>
      <c r="CF27" s="1352">
        <v>157</v>
      </c>
      <c r="CG27" s="1352"/>
      <c r="CH27" s="1352">
        <v>150</v>
      </c>
      <c r="CI27" s="1352"/>
      <c r="CJ27" s="1352"/>
      <c r="CK27" s="1353">
        <v>11554</v>
      </c>
      <c r="CL27" s="1353">
        <v>10888</v>
      </c>
      <c r="CM27" s="1354">
        <v>666</v>
      </c>
      <c r="CN27" s="1354"/>
      <c r="CO27" s="1354"/>
      <c r="CP27" s="1354"/>
      <c r="CQ27" s="1354"/>
      <c r="CR27" s="1354"/>
      <c r="CS27" s="1354">
        <v>0</v>
      </c>
      <c r="CT27" s="1353">
        <v>11554</v>
      </c>
      <c r="CU27" s="1353"/>
      <c r="CV27" s="1353"/>
      <c r="CW27" s="1353"/>
      <c r="CX27" s="1353">
        <v>0</v>
      </c>
      <c r="CY27" s="1353">
        <v>0</v>
      </c>
      <c r="CZ27" s="1353"/>
      <c r="DA27" s="1353">
        <v>0</v>
      </c>
      <c r="DB27" s="1353">
        <v>0</v>
      </c>
      <c r="DC27" s="1353">
        <v>0</v>
      </c>
      <c r="DD27" s="1353"/>
      <c r="DE27" s="1353"/>
      <c r="DF27" s="1353"/>
      <c r="DG27" s="1353"/>
      <c r="DH27" s="1353"/>
      <c r="DI27" s="1353"/>
      <c r="DJ27" s="1353"/>
      <c r="DK27" s="1353"/>
      <c r="DT27" s="659">
        <v>2</v>
      </c>
      <c r="DU27" s="660" t="s">
        <v>460</v>
      </c>
      <c r="DV27" s="777">
        <f t="shared" si="25"/>
        <v>-237</v>
      </c>
      <c r="DW27" s="777">
        <f t="shared" si="25"/>
        <v>-220</v>
      </c>
      <c r="DX27" s="777">
        <f t="shared" si="25"/>
        <v>-17</v>
      </c>
      <c r="DY27" s="777">
        <f t="shared" si="25"/>
        <v>0</v>
      </c>
      <c r="DZ27" s="777">
        <f t="shared" si="25"/>
        <v>0</v>
      </c>
      <c r="EA27" s="777">
        <f t="shared" si="25"/>
        <v>0</v>
      </c>
      <c r="EB27" s="777">
        <f t="shared" si="25"/>
        <v>0</v>
      </c>
      <c r="EC27" s="777">
        <f t="shared" si="25"/>
        <v>0</v>
      </c>
      <c r="ED27" s="777">
        <f t="shared" si="25"/>
        <v>0</v>
      </c>
      <c r="EE27" s="777">
        <f t="shared" si="25"/>
        <v>-237</v>
      </c>
      <c r="EF27" s="777">
        <f t="shared" si="25"/>
        <v>0</v>
      </c>
      <c r="EG27" s="777">
        <f t="shared" si="25"/>
        <v>0</v>
      </c>
      <c r="EH27" s="777">
        <f t="shared" si="25"/>
        <v>0</v>
      </c>
      <c r="EI27" s="777">
        <f t="shared" si="25"/>
        <v>0</v>
      </c>
      <c r="EJ27" s="777">
        <f t="shared" si="25"/>
        <v>0</v>
      </c>
      <c r="EK27" s="777">
        <f t="shared" si="25"/>
        <v>0</v>
      </c>
      <c r="EL27" s="777">
        <f t="shared" si="34"/>
        <v>0</v>
      </c>
      <c r="EM27" s="777">
        <f t="shared" si="34"/>
        <v>0</v>
      </c>
      <c r="EN27" s="777">
        <f t="shared" si="34"/>
        <v>0</v>
      </c>
      <c r="EO27" s="777">
        <f t="shared" si="34"/>
        <v>0</v>
      </c>
      <c r="EP27" s="777">
        <f t="shared" si="34"/>
        <v>0</v>
      </c>
      <c r="EQ27" s="777">
        <f t="shared" si="34"/>
        <v>0</v>
      </c>
      <c r="ER27" s="777">
        <f t="shared" si="33"/>
        <v>0</v>
      </c>
      <c r="ES27" s="777">
        <f t="shared" si="33"/>
        <v>0</v>
      </c>
      <c r="ET27" s="777">
        <f t="shared" si="33"/>
        <v>0</v>
      </c>
      <c r="EU27" s="777">
        <f t="shared" si="33"/>
        <v>0</v>
      </c>
      <c r="EV27" s="777">
        <f t="shared" si="33"/>
        <v>0</v>
      </c>
    </row>
    <row r="28" spans="1:152" ht="25.5" customHeight="1">
      <c r="A28" s="659">
        <v>3</v>
      </c>
      <c r="B28" s="660" t="s">
        <v>461</v>
      </c>
      <c r="C28" s="661">
        <f t="shared" si="27"/>
        <v>0</v>
      </c>
      <c r="D28" s="661">
        <f t="shared" si="28"/>
        <v>0</v>
      </c>
      <c r="E28" s="661"/>
      <c r="F28" s="661"/>
      <c r="G28" s="661"/>
      <c r="H28" s="661"/>
      <c r="I28" s="661"/>
      <c r="J28" s="661"/>
      <c r="K28" s="646">
        <f t="shared" si="5"/>
        <v>66687</v>
      </c>
      <c r="L28" s="662">
        <f t="shared" si="15"/>
        <v>66687</v>
      </c>
      <c r="M28" s="662"/>
      <c r="N28" s="662"/>
      <c r="O28" s="662"/>
      <c r="P28" s="662"/>
      <c r="Q28" s="662"/>
      <c r="R28" s="666">
        <f>(N28+O28)*10%</f>
        <v>0</v>
      </c>
      <c r="S28" s="666"/>
      <c r="T28" s="666">
        <f t="shared" si="19"/>
        <v>0</v>
      </c>
      <c r="U28" s="666">
        <f t="shared" si="20"/>
        <v>0</v>
      </c>
      <c r="V28" s="662">
        <v>66687</v>
      </c>
      <c r="W28" s="662"/>
      <c r="X28" s="662"/>
      <c r="Y28" s="666">
        <f>Z28-BM28</f>
        <v>6668.7000000000007</v>
      </c>
      <c r="Z28" s="666">
        <f t="shared" si="26"/>
        <v>6668.7000000000007</v>
      </c>
      <c r="AA28" s="662"/>
      <c r="AB28" s="666"/>
      <c r="AC28" s="666">
        <f t="shared" si="22"/>
        <v>66687</v>
      </c>
      <c r="AD28" s="662"/>
      <c r="AE28" s="662"/>
      <c r="AF28" s="662"/>
      <c r="AG28" s="662"/>
      <c r="AH28" s="662"/>
      <c r="AI28" s="662"/>
      <c r="AJ28" s="662"/>
      <c r="AK28" s="662"/>
      <c r="AL28" s="664"/>
      <c r="AN28" s="610"/>
      <c r="AO28" s="659">
        <v>3</v>
      </c>
      <c r="AP28" s="660" t="s">
        <v>461</v>
      </c>
      <c r="AQ28" s="661">
        <f t="shared" si="31"/>
        <v>0</v>
      </c>
      <c r="AR28" s="661">
        <f t="shared" si="32"/>
        <v>0</v>
      </c>
      <c r="AS28" s="661"/>
      <c r="AT28" s="661"/>
      <c r="AU28" s="661"/>
      <c r="AV28" s="661"/>
      <c r="AW28" s="661"/>
      <c r="AX28" s="661"/>
      <c r="AY28" s="666">
        <f t="shared" si="16"/>
        <v>66687</v>
      </c>
      <c r="AZ28" s="665"/>
      <c r="BA28" s="662"/>
      <c r="BB28" s="662"/>
      <c r="BC28" s="662"/>
      <c r="BD28" s="662"/>
      <c r="BE28" s="666">
        <f t="shared" si="23"/>
        <v>0</v>
      </c>
      <c r="BF28" s="667">
        <f>ROUND(BE28,0)</f>
        <v>0</v>
      </c>
      <c r="BG28" s="666">
        <f t="shared" si="24"/>
        <v>0</v>
      </c>
      <c r="BH28" s="662"/>
      <c r="BI28" s="662">
        <f>46987+19700</f>
        <v>66687</v>
      </c>
      <c r="BJ28" s="662"/>
      <c r="BK28" s="662"/>
      <c r="BL28" s="666">
        <f>BH28*10%</f>
        <v>0</v>
      </c>
      <c r="BM28" s="663"/>
      <c r="BN28" s="666">
        <f t="shared" si="17"/>
        <v>66687</v>
      </c>
      <c r="BO28" s="662"/>
      <c r="BP28" s="662"/>
      <c r="BQ28" s="662"/>
      <c r="BR28" s="662"/>
      <c r="BS28" s="662"/>
      <c r="BT28" s="662"/>
      <c r="BU28" s="662"/>
      <c r="BV28" s="662"/>
      <c r="BW28" s="662"/>
      <c r="CA28" s="1352">
        <v>3</v>
      </c>
      <c r="CB28" s="1352" t="s">
        <v>461</v>
      </c>
      <c r="CC28" s="1352">
        <v>0</v>
      </c>
      <c r="CD28" s="1352">
        <v>0</v>
      </c>
      <c r="CE28" s="1352"/>
      <c r="CF28" s="1352"/>
      <c r="CG28" s="1352"/>
      <c r="CH28" s="1352"/>
      <c r="CI28" s="1352"/>
      <c r="CJ28" s="1352"/>
      <c r="CK28" s="1353">
        <v>0</v>
      </c>
      <c r="CL28" s="1353"/>
      <c r="CM28" s="1354"/>
      <c r="CN28" s="1354"/>
      <c r="CO28" s="1354"/>
      <c r="CP28" s="1354"/>
      <c r="CQ28" s="1354">
        <v>0</v>
      </c>
      <c r="CR28" s="1354"/>
      <c r="CS28" s="1354">
        <v>0</v>
      </c>
      <c r="CT28" s="1353">
        <v>0</v>
      </c>
      <c r="CU28" s="1353"/>
      <c r="CV28" s="1353"/>
      <c r="CW28" s="1353"/>
      <c r="CX28" s="1353">
        <v>0</v>
      </c>
      <c r="CY28" s="1353">
        <v>0</v>
      </c>
      <c r="CZ28" s="1353"/>
      <c r="DA28" s="1353">
        <v>0</v>
      </c>
      <c r="DB28" s="1353">
        <v>0</v>
      </c>
      <c r="DC28" s="1353"/>
      <c r="DD28" s="1353"/>
      <c r="DE28" s="1353"/>
      <c r="DF28" s="1353"/>
      <c r="DG28" s="1353"/>
      <c r="DH28" s="1353"/>
      <c r="DI28" s="1353"/>
      <c r="DJ28" s="1353"/>
      <c r="DK28" s="1353"/>
      <c r="DT28" s="659">
        <v>3</v>
      </c>
      <c r="DU28" s="660" t="s">
        <v>461</v>
      </c>
      <c r="DV28" s="777">
        <f t="shared" si="25"/>
        <v>66687</v>
      </c>
      <c r="DW28" s="777">
        <f t="shared" si="25"/>
        <v>0</v>
      </c>
      <c r="DX28" s="777">
        <f t="shared" si="25"/>
        <v>0</v>
      </c>
      <c r="DY28" s="777">
        <f t="shared" si="25"/>
        <v>0</v>
      </c>
      <c r="DZ28" s="777">
        <f t="shared" si="25"/>
        <v>0</v>
      </c>
      <c r="EA28" s="777">
        <f t="shared" si="25"/>
        <v>0</v>
      </c>
      <c r="EB28" s="777">
        <f t="shared" si="25"/>
        <v>0</v>
      </c>
      <c r="EC28" s="777">
        <f t="shared" si="25"/>
        <v>0</v>
      </c>
      <c r="ED28" s="777">
        <f t="shared" si="25"/>
        <v>0</v>
      </c>
      <c r="EE28" s="777">
        <f t="shared" si="25"/>
        <v>0</v>
      </c>
      <c r="EF28" s="777">
        <f t="shared" si="25"/>
        <v>66687</v>
      </c>
      <c r="EG28" s="777">
        <f t="shared" si="25"/>
        <v>0</v>
      </c>
      <c r="EH28" s="777">
        <f t="shared" si="25"/>
        <v>0</v>
      </c>
      <c r="EI28" s="777">
        <f t="shared" si="25"/>
        <v>6668.7000000000007</v>
      </c>
      <c r="EJ28" s="777">
        <f t="shared" si="25"/>
        <v>6668.7000000000007</v>
      </c>
      <c r="EK28" s="777">
        <f t="shared" si="25"/>
        <v>0</v>
      </c>
      <c r="EL28" s="777">
        <f t="shared" si="34"/>
        <v>0</v>
      </c>
      <c r="EM28" s="777">
        <f t="shared" si="34"/>
        <v>66687</v>
      </c>
      <c r="EN28" s="777">
        <f t="shared" si="34"/>
        <v>0</v>
      </c>
      <c r="EO28" s="777">
        <f t="shared" si="34"/>
        <v>0</v>
      </c>
      <c r="EP28" s="777">
        <f t="shared" si="34"/>
        <v>0</v>
      </c>
      <c r="EQ28" s="777">
        <f t="shared" si="34"/>
        <v>0</v>
      </c>
      <c r="ER28" s="777">
        <f t="shared" si="33"/>
        <v>0</v>
      </c>
      <c r="ES28" s="777">
        <f t="shared" si="33"/>
        <v>0</v>
      </c>
      <c r="ET28" s="777">
        <f t="shared" si="33"/>
        <v>0</v>
      </c>
      <c r="EU28" s="777">
        <f t="shared" si="33"/>
        <v>0</v>
      </c>
      <c r="EV28" s="777">
        <f t="shared" si="33"/>
        <v>0</v>
      </c>
    </row>
    <row r="29" spans="1:152" ht="33.75" customHeight="1">
      <c r="A29" s="659">
        <v>4</v>
      </c>
      <c r="B29" s="660" t="s">
        <v>462</v>
      </c>
      <c r="C29" s="661"/>
      <c r="D29" s="661"/>
      <c r="E29" s="661"/>
      <c r="F29" s="661"/>
      <c r="G29" s="661"/>
      <c r="H29" s="661"/>
      <c r="I29" s="661"/>
      <c r="J29" s="661"/>
      <c r="K29" s="646">
        <f t="shared" si="5"/>
        <v>0</v>
      </c>
      <c r="L29" s="662">
        <f t="shared" si="15"/>
        <v>0</v>
      </c>
      <c r="M29" s="662"/>
      <c r="N29" s="662"/>
      <c r="O29" s="662"/>
      <c r="P29" s="662"/>
      <c r="Q29" s="662"/>
      <c r="R29" s="666">
        <f>(N29+O29)*10%</f>
        <v>0</v>
      </c>
      <c r="S29" s="666"/>
      <c r="T29" s="666">
        <f t="shared" si="19"/>
        <v>0</v>
      </c>
      <c r="U29" s="666">
        <f t="shared" si="20"/>
        <v>0</v>
      </c>
      <c r="V29" s="662"/>
      <c r="W29" s="662"/>
      <c r="X29" s="662"/>
      <c r="Y29" s="666">
        <f>Z29-BM29</f>
        <v>0</v>
      </c>
      <c r="Z29" s="666">
        <f t="shared" si="26"/>
        <v>0</v>
      </c>
      <c r="AA29" s="662"/>
      <c r="AB29" s="666">
        <f t="shared" si="21"/>
        <v>0</v>
      </c>
      <c r="AC29" s="666">
        <f t="shared" si="22"/>
        <v>0</v>
      </c>
      <c r="AD29" s="662"/>
      <c r="AE29" s="662"/>
      <c r="AF29" s="662"/>
      <c r="AG29" s="662"/>
      <c r="AH29" s="662"/>
      <c r="AI29" s="662"/>
      <c r="AJ29" s="662"/>
      <c r="AK29" s="662"/>
      <c r="AL29" s="664"/>
      <c r="AN29" s="610"/>
      <c r="AO29" s="659">
        <v>4</v>
      </c>
      <c r="AP29" s="660" t="s">
        <v>462</v>
      </c>
      <c r="AQ29" s="661"/>
      <c r="AR29" s="661"/>
      <c r="AS29" s="661"/>
      <c r="AT29" s="661"/>
      <c r="AU29" s="661"/>
      <c r="AV29" s="661"/>
      <c r="AW29" s="661"/>
      <c r="AX29" s="661"/>
      <c r="AY29" s="666">
        <f t="shared" si="16"/>
        <v>0</v>
      </c>
      <c r="AZ29" s="665"/>
      <c r="BA29" s="662"/>
      <c r="BB29" s="662"/>
      <c r="BC29" s="662"/>
      <c r="BD29" s="662"/>
      <c r="BE29" s="666">
        <f t="shared" si="23"/>
        <v>0</v>
      </c>
      <c r="BF29" s="667">
        <f>ROUND(BE29,0)</f>
        <v>0</v>
      </c>
      <c r="BG29" s="666">
        <f t="shared" si="24"/>
        <v>0</v>
      </c>
      <c r="BH29" s="662"/>
      <c r="BI29" s="662"/>
      <c r="BJ29" s="662"/>
      <c r="BK29" s="662"/>
      <c r="BL29" s="666">
        <f>BH29*10%</f>
        <v>0</v>
      </c>
      <c r="BM29" s="663"/>
      <c r="BN29" s="666">
        <f t="shared" si="17"/>
        <v>0</v>
      </c>
      <c r="BO29" s="662"/>
      <c r="BP29" s="662"/>
      <c r="BQ29" s="662"/>
      <c r="BR29" s="662"/>
      <c r="BS29" s="662"/>
      <c r="BT29" s="662"/>
      <c r="BU29" s="662"/>
      <c r="BV29" s="662"/>
      <c r="BW29" s="662"/>
      <c r="CA29" s="1352">
        <v>4</v>
      </c>
      <c r="CB29" s="1352" t="s">
        <v>462</v>
      </c>
      <c r="CC29" s="1352"/>
      <c r="CD29" s="1352"/>
      <c r="CE29" s="1352"/>
      <c r="CF29" s="1352"/>
      <c r="CG29" s="1352"/>
      <c r="CH29" s="1352"/>
      <c r="CI29" s="1352"/>
      <c r="CJ29" s="1352"/>
      <c r="CK29" s="1353">
        <v>0</v>
      </c>
      <c r="CL29" s="1353"/>
      <c r="CM29" s="1354"/>
      <c r="CN29" s="1354"/>
      <c r="CO29" s="1354"/>
      <c r="CP29" s="1354"/>
      <c r="CQ29" s="1354">
        <v>0</v>
      </c>
      <c r="CR29" s="1354"/>
      <c r="CS29" s="1354">
        <v>0</v>
      </c>
      <c r="CT29" s="1353">
        <v>0</v>
      </c>
      <c r="CU29" s="1353"/>
      <c r="CV29" s="1353"/>
      <c r="CW29" s="1353"/>
      <c r="CX29" s="1353">
        <v>0</v>
      </c>
      <c r="CY29" s="1353">
        <v>0</v>
      </c>
      <c r="CZ29" s="1353"/>
      <c r="DA29" s="1353">
        <v>0</v>
      </c>
      <c r="DB29" s="1353">
        <v>0</v>
      </c>
      <c r="DC29" s="1353"/>
      <c r="DD29" s="1353"/>
      <c r="DE29" s="1353"/>
      <c r="DF29" s="1353"/>
      <c r="DG29" s="1353"/>
      <c r="DH29" s="1353"/>
      <c r="DI29" s="1353"/>
      <c r="DJ29" s="1353"/>
      <c r="DK29" s="1353"/>
      <c r="DT29" s="659">
        <v>4</v>
      </c>
      <c r="DU29" s="660" t="s">
        <v>462</v>
      </c>
      <c r="DV29" s="777">
        <f t="shared" si="25"/>
        <v>0</v>
      </c>
      <c r="DW29" s="777">
        <f t="shared" si="25"/>
        <v>0</v>
      </c>
      <c r="DX29" s="777">
        <f t="shared" si="25"/>
        <v>0</v>
      </c>
      <c r="DY29" s="777">
        <f t="shared" si="25"/>
        <v>0</v>
      </c>
      <c r="DZ29" s="777">
        <f t="shared" si="25"/>
        <v>0</v>
      </c>
      <c r="EA29" s="777">
        <f t="shared" si="25"/>
        <v>0</v>
      </c>
      <c r="EB29" s="777">
        <f t="shared" si="25"/>
        <v>0</v>
      </c>
      <c r="EC29" s="777">
        <f t="shared" si="25"/>
        <v>0</v>
      </c>
      <c r="ED29" s="777">
        <f t="shared" si="25"/>
        <v>0</v>
      </c>
      <c r="EE29" s="777">
        <f t="shared" si="25"/>
        <v>0</v>
      </c>
      <c r="EF29" s="777">
        <f t="shared" si="25"/>
        <v>0</v>
      </c>
      <c r="EG29" s="777">
        <f t="shared" si="25"/>
        <v>0</v>
      </c>
      <c r="EH29" s="777">
        <f t="shared" si="25"/>
        <v>0</v>
      </c>
      <c r="EI29" s="777">
        <f t="shared" si="25"/>
        <v>0</v>
      </c>
      <c r="EJ29" s="777">
        <f t="shared" si="25"/>
        <v>0</v>
      </c>
      <c r="EK29" s="777">
        <f t="shared" si="25"/>
        <v>0</v>
      </c>
      <c r="EL29" s="777">
        <f t="shared" si="34"/>
        <v>0</v>
      </c>
      <c r="EM29" s="777">
        <f t="shared" si="34"/>
        <v>0</v>
      </c>
      <c r="EN29" s="777">
        <f t="shared" si="34"/>
        <v>0</v>
      </c>
      <c r="EO29" s="777">
        <f t="shared" si="34"/>
        <v>0</v>
      </c>
      <c r="EP29" s="777">
        <f t="shared" si="34"/>
        <v>0</v>
      </c>
      <c r="EQ29" s="777">
        <f t="shared" si="34"/>
        <v>0</v>
      </c>
      <c r="ER29" s="777">
        <f t="shared" si="33"/>
        <v>0</v>
      </c>
      <c r="ES29" s="777">
        <f t="shared" si="33"/>
        <v>0</v>
      </c>
      <c r="ET29" s="777">
        <f t="shared" si="33"/>
        <v>0</v>
      </c>
      <c r="EU29" s="777">
        <f t="shared" si="33"/>
        <v>0</v>
      </c>
      <c r="EV29" s="777">
        <f t="shared" si="33"/>
        <v>0</v>
      </c>
    </row>
    <row r="30" spans="1:152" s="699" customFormat="1" ht="24.75" customHeight="1">
      <c r="A30" s="1429" t="s">
        <v>463</v>
      </c>
      <c r="B30" s="651" t="s">
        <v>464</v>
      </c>
      <c r="C30" s="1430">
        <f t="shared" ref="C30:AM30" si="35">C31+C32</f>
        <v>35</v>
      </c>
      <c r="D30" s="1430">
        <f t="shared" si="35"/>
        <v>30</v>
      </c>
      <c r="E30" s="1430">
        <f t="shared" si="35"/>
        <v>0</v>
      </c>
      <c r="F30" s="1430">
        <f t="shared" si="35"/>
        <v>30</v>
      </c>
      <c r="G30" s="1430">
        <f t="shared" si="35"/>
        <v>0</v>
      </c>
      <c r="H30" s="1430">
        <f t="shared" si="35"/>
        <v>30</v>
      </c>
      <c r="I30" s="1430">
        <f t="shared" si="35"/>
        <v>5</v>
      </c>
      <c r="J30" s="1430">
        <f t="shared" si="35"/>
        <v>5</v>
      </c>
      <c r="K30" s="646">
        <f t="shared" si="5"/>
        <v>53768</v>
      </c>
      <c r="L30" s="653">
        <f>L31+L32+L33</f>
        <v>53788</v>
      </c>
      <c r="M30" s="1718">
        <f t="shared" ref="M30:AK30" si="36">M31+M32+M33</f>
        <v>2340</v>
      </c>
      <c r="N30" s="1718">
        <f t="shared" si="36"/>
        <v>621</v>
      </c>
      <c r="O30" s="1718">
        <f t="shared" si="36"/>
        <v>113</v>
      </c>
      <c r="P30" s="1718">
        <f t="shared" si="36"/>
        <v>0</v>
      </c>
      <c r="Q30" s="1718">
        <f t="shared" si="36"/>
        <v>0</v>
      </c>
      <c r="R30" s="1718">
        <f t="shared" si="36"/>
        <v>0</v>
      </c>
      <c r="S30" s="1718">
        <f t="shared" si="36"/>
        <v>78</v>
      </c>
      <c r="T30" s="1718">
        <f t="shared" si="36"/>
        <v>78</v>
      </c>
      <c r="U30" s="1718">
        <f t="shared" si="36"/>
        <v>2996</v>
      </c>
      <c r="V30" s="1718">
        <f t="shared" si="36"/>
        <v>48475</v>
      </c>
      <c r="W30" s="1718">
        <f t="shared" si="36"/>
        <v>2854</v>
      </c>
      <c r="X30" s="1718">
        <f t="shared" si="36"/>
        <v>0</v>
      </c>
      <c r="Y30" s="1718">
        <f t="shared" si="36"/>
        <v>52</v>
      </c>
      <c r="Z30" s="1718">
        <f t="shared" si="36"/>
        <v>580.29999999999995</v>
      </c>
      <c r="AA30" s="1718">
        <f t="shared" si="36"/>
        <v>505</v>
      </c>
      <c r="AB30" s="1718">
        <f t="shared" si="36"/>
        <v>557</v>
      </c>
      <c r="AC30" s="1718">
        <f t="shared" si="36"/>
        <v>50772</v>
      </c>
      <c r="AD30" s="1718">
        <f t="shared" si="36"/>
        <v>20</v>
      </c>
      <c r="AE30" s="1718">
        <f t="shared" si="36"/>
        <v>0</v>
      </c>
      <c r="AF30" s="1718">
        <f t="shared" si="36"/>
        <v>0</v>
      </c>
      <c r="AG30" s="1718">
        <f t="shared" si="36"/>
        <v>0</v>
      </c>
      <c r="AH30" s="1718">
        <f t="shared" si="36"/>
        <v>0</v>
      </c>
      <c r="AI30" s="1718">
        <f t="shared" si="36"/>
        <v>0</v>
      </c>
      <c r="AJ30" s="1718">
        <f t="shared" si="36"/>
        <v>29244</v>
      </c>
      <c r="AK30" s="1718">
        <f t="shared" si="36"/>
        <v>0</v>
      </c>
      <c r="AL30" s="656">
        <f t="shared" si="35"/>
        <v>0</v>
      </c>
      <c r="AM30" s="657">
        <f t="shared" si="35"/>
        <v>0</v>
      </c>
      <c r="AN30" s="610"/>
      <c r="AO30" s="1323" t="s">
        <v>463</v>
      </c>
      <c r="AP30" s="651" t="s">
        <v>464</v>
      </c>
      <c r="AQ30" s="1320">
        <f>AQ31+AQ32</f>
        <v>36</v>
      </c>
      <c r="AR30" s="1320">
        <f t="shared" ref="AR30:BW30" si="37">AR31+AR32</f>
        <v>32</v>
      </c>
      <c r="AS30" s="1320">
        <f t="shared" si="37"/>
        <v>0</v>
      </c>
      <c r="AT30" s="1320">
        <f t="shared" si="37"/>
        <v>32</v>
      </c>
      <c r="AU30" s="1320">
        <f t="shared" si="37"/>
        <v>0</v>
      </c>
      <c r="AV30" s="1320">
        <f t="shared" si="37"/>
        <v>32</v>
      </c>
      <c r="AW30" s="1320">
        <f t="shared" si="37"/>
        <v>4</v>
      </c>
      <c r="AX30" s="1320">
        <f t="shared" si="37"/>
        <v>4</v>
      </c>
      <c r="AY30" s="653">
        <f t="shared" si="37"/>
        <v>40643</v>
      </c>
      <c r="AZ30" s="658">
        <f t="shared" si="37"/>
        <v>2246</v>
      </c>
      <c r="BA30" s="653">
        <f t="shared" si="37"/>
        <v>649</v>
      </c>
      <c r="BB30" s="653">
        <f t="shared" si="37"/>
        <v>137</v>
      </c>
      <c r="BC30" s="653">
        <f t="shared" si="37"/>
        <v>0</v>
      </c>
      <c r="BD30" s="653">
        <f t="shared" si="37"/>
        <v>0</v>
      </c>
      <c r="BE30" s="653">
        <f t="shared" si="37"/>
        <v>78.600000000000009</v>
      </c>
      <c r="BF30" s="655">
        <f t="shared" si="37"/>
        <v>79</v>
      </c>
      <c r="BG30" s="653">
        <f t="shared" si="37"/>
        <v>2953</v>
      </c>
      <c r="BH30" s="653">
        <f t="shared" si="37"/>
        <v>8023</v>
      </c>
      <c r="BI30" s="653">
        <f t="shared" si="37"/>
        <v>30000</v>
      </c>
      <c r="BJ30" s="653">
        <f t="shared" si="37"/>
        <v>202</v>
      </c>
      <c r="BK30" s="653">
        <f t="shared" si="37"/>
        <v>0</v>
      </c>
      <c r="BL30" s="653">
        <f t="shared" si="37"/>
        <v>551.20000000000005</v>
      </c>
      <c r="BM30" s="655">
        <f t="shared" si="37"/>
        <v>551</v>
      </c>
      <c r="BN30" s="653">
        <f t="shared" si="37"/>
        <v>37674</v>
      </c>
      <c r="BO30" s="653">
        <f t="shared" si="37"/>
        <v>16</v>
      </c>
      <c r="BP30" s="653">
        <f t="shared" si="37"/>
        <v>0</v>
      </c>
      <c r="BQ30" s="653">
        <f t="shared" si="37"/>
        <v>0</v>
      </c>
      <c r="BR30" s="653">
        <f>BR31+BR32</f>
        <v>0</v>
      </c>
      <c r="BS30" s="653">
        <f>BS31+BS32</f>
        <v>0</v>
      </c>
      <c r="BT30" s="653">
        <f t="shared" si="37"/>
        <v>0</v>
      </c>
      <c r="BU30" s="653">
        <f t="shared" si="37"/>
        <v>0</v>
      </c>
      <c r="BV30" s="653">
        <f t="shared" si="37"/>
        <v>0</v>
      </c>
      <c r="BW30" s="653">
        <f t="shared" si="37"/>
        <v>0</v>
      </c>
      <c r="BY30" s="1359"/>
      <c r="BZ30" s="1359"/>
      <c r="CA30" s="1360" t="s">
        <v>463</v>
      </c>
      <c r="CB30" s="1360" t="s">
        <v>464</v>
      </c>
      <c r="CC30" s="1360">
        <v>37</v>
      </c>
      <c r="CD30" s="1360">
        <v>32</v>
      </c>
      <c r="CE30" s="1360">
        <v>0</v>
      </c>
      <c r="CF30" s="1360">
        <v>32</v>
      </c>
      <c r="CG30" s="1360">
        <v>0</v>
      </c>
      <c r="CH30" s="1360">
        <v>31</v>
      </c>
      <c r="CI30" s="1360">
        <v>5</v>
      </c>
      <c r="CJ30" s="1360">
        <v>5</v>
      </c>
      <c r="CK30" s="1361">
        <v>49621</v>
      </c>
      <c r="CL30" s="1361">
        <v>2389</v>
      </c>
      <c r="CM30" s="1362">
        <v>672</v>
      </c>
      <c r="CN30" s="1362">
        <v>113</v>
      </c>
      <c r="CO30" s="1362">
        <v>0</v>
      </c>
      <c r="CP30" s="1362">
        <v>0</v>
      </c>
      <c r="CQ30" s="1362">
        <v>-0.1</v>
      </c>
      <c r="CR30" s="1362">
        <v>78</v>
      </c>
      <c r="CS30" s="1362">
        <v>78</v>
      </c>
      <c r="CT30" s="1361">
        <v>3096</v>
      </c>
      <c r="CU30" s="1361">
        <v>48475</v>
      </c>
      <c r="CV30" s="1361">
        <v>2854</v>
      </c>
      <c r="CW30" s="1361">
        <v>0</v>
      </c>
      <c r="CX30" s="1361">
        <v>4319.2</v>
      </c>
      <c r="CY30" s="1361">
        <v>4847.5</v>
      </c>
      <c r="CZ30" s="1361">
        <v>505</v>
      </c>
      <c r="DA30" s="1361">
        <v>4824</v>
      </c>
      <c r="DB30" s="1361">
        <v>46505</v>
      </c>
      <c r="DC30" s="1361">
        <v>20</v>
      </c>
      <c r="DD30" s="1361">
        <v>0</v>
      </c>
      <c r="DE30" s="1361">
        <v>0</v>
      </c>
      <c r="DF30" s="1361">
        <v>0</v>
      </c>
      <c r="DG30" s="1361">
        <v>0</v>
      </c>
      <c r="DH30" s="1361">
        <v>0</v>
      </c>
      <c r="DI30" s="1361">
        <v>0</v>
      </c>
      <c r="DJ30" s="1361">
        <v>0</v>
      </c>
      <c r="DK30" s="1361">
        <v>0</v>
      </c>
      <c r="DT30" s="1323" t="s">
        <v>463</v>
      </c>
      <c r="DU30" s="651" t="s">
        <v>464</v>
      </c>
      <c r="DV30" s="1363">
        <f>SUM(DV31:DV32)</f>
        <v>4167</v>
      </c>
      <c r="DW30" s="1363">
        <f t="shared" ref="DW30:EV30" si="38">SUM(DW31:DW32)</f>
        <v>-49</v>
      </c>
      <c r="DX30" s="1363">
        <f t="shared" si="38"/>
        <v>-51</v>
      </c>
      <c r="DY30" s="1363">
        <f t="shared" si="38"/>
        <v>0</v>
      </c>
      <c r="DZ30" s="1363">
        <f t="shared" si="38"/>
        <v>0</v>
      </c>
      <c r="EA30" s="1363">
        <f t="shared" si="38"/>
        <v>0</v>
      </c>
      <c r="EB30" s="1363">
        <f t="shared" si="38"/>
        <v>0.1</v>
      </c>
      <c r="EC30" s="1363">
        <f t="shared" si="38"/>
        <v>0</v>
      </c>
      <c r="ED30" s="1363">
        <f t="shared" si="38"/>
        <v>0</v>
      </c>
      <c r="EE30" s="1363">
        <f t="shared" si="38"/>
        <v>-100</v>
      </c>
      <c r="EF30" s="1363">
        <f t="shared" si="38"/>
        <v>0</v>
      </c>
      <c r="EG30" s="1363">
        <f t="shared" si="38"/>
        <v>0</v>
      </c>
      <c r="EH30" s="1363">
        <f t="shared" si="38"/>
        <v>0</v>
      </c>
      <c r="EI30" s="1363">
        <f t="shared" si="38"/>
        <v>-4267.2</v>
      </c>
      <c r="EJ30" s="1363">
        <f t="shared" si="38"/>
        <v>-4267.2</v>
      </c>
      <c r="EK30" s="1363">
        <f t="shared" si="38"/>
        <v>0</v>
      </c>
      <c r="EL30" s="1363">
        <f t="shared" si="38"/>
        <v>-4267</v>
      </c>
      <c r="EM30" s="1363">
        <f t="shared" si="38"/>
        <v>4267</v>
      </c>
      <c r="EN30" s="1363">
        <f t="shared" si="38"/>
        <v>0</v>
      </c>
      <c r="EO30" s="1363">
        <f t="shared" si="38"/>
        <v>0</v>
      </c>
      <c r="EP30" s="1363">
        <f t="shared" si="38"/>
        <v>0</v>
      </c>
      <c r="EQ30" s="1363">
        <f t="shared" si="38"/>
        <v>0</v>
      </c>
      <c r="ER30" s="1363">
        <f t="shared" si="38"/>
        <v>0</v>
      </c>
      <c r="ES30" s="1363">
        <f t="shared" si="38"/>
        <v>0</v>
      </c>
      <c r="ET30" s="1363">
        <f t="shared" si="38"/>
        <v>0</v>
      </c>
      <c r="EU30" s="1363">
        <f t="shared" si="38"/>
        <v>0</v>
      </c>
      <c r="EV30" s="1363">
        <f t="shared" si="38"/>
        <v>0</v>
      </c>
    </row>
    <row r="31" spans="1:152" ht="36.75" customHeight="1">
      <c r="A31" s="659">
        <v>5</v>
      </c>
      <c r="B31" s="660" t="s">
        <v>465</v>
      </c>
      <c r="C31" s="661">
        <f>D31+I31</f>
        <v>31</v>
      </c>
      <c r="D31" s="661">
        <f>E31+F31</f>
        <v>27</v>
      </c>
      <c r="E31" s="661"/>
      <c r="F31" s="661">
        <v>27</v>
      </c>
      <c r="G31" s="661"/>
      <c r="H31" s="661">
        <v>27</v>
      </c>
      <c r="I31" s="661">
        <v>4</v>
      </c>
      <c r="J31" s="661">
        <v>4</v>
      </c>
      <c r="K31" s="646">
        <f t="shared" si="5"/>
        <v>51134</v>
      </c>
      <c r="L31" s="662">
        <f>U31+AC31+AD31+AE31</f>
        <v>51154</v>
      </c>
      <c r="M31" s="662">
        <v>2080</v>
      </c>
      <c r="N31" s="662">
        <v>558</v>
      </c>
      <c r="O31" s="662">
        <v>98</v>
      </c>
      <c r="P31" s="662"/>
      <c r="Q31" s="662"/>
      <c r="R31" s="666"/>
      <c r="S31" s="666">
        <v>68</v>
      </c>
      <c r="T31" s="666">
        <f t="shared" si="19"/>
        <v>68</v>
      </c>
      <c r="U31" s="666">
        <f>(M31+N31+O31+P31)-T31</f>
        <v>2668</v>
      </c>
      <c r="V31" s="662">
        <v>47722</v>
      </c>
      <c r="W31" s="662">
        <v>1202</v>
      </c>
      <c r="X31" s="662"/>
      <c r="Y31" s="666">
        <f>Z31-BM31</f>
        <v>52</v>
      </c>
      <c r="Z31" s="666">
        <f>(V31-740-1932-40000)*10%</f>
        <v>505</v>
      </c>
      <c r="AA31" s="666">
        <v>406</v>
      </c>
      <c r="AB31" s="666">
        <f>ROUND((Y31+AA31+X31),0)</f>
        <v>458</v>
      </c>
      <c r="AC31" s="666">
        <f>(V31+W31)-AB31</f>
        <v>48466</v>
      </c>
      <c r="AD31" s="662">
        <v>20</v>
      </c>
      <c r="AE31" s="662"/>
      <c r="AF31" s="662"/>
      <c r="AG31" s="662"/>
      <c r="AH31" s="662"/>
      <c r="AI31" s="662"/>
      <c r="AJ31" s="662"/>
      <c r="AK31" s="662"/>
      <c r="AL31" s="664"/>
      <c r="AN31" s="610"/>
      <c r="AO31" s="659">
        <v>5</v>
      </c>
      <c r="AP31" s="660" t="s">
        <v>465</v>
      </c>
      <c r="AQ31" s="661">
        <f>AR31+AW31</f>
        <v>32</v>
      </c>
      <c r="AR31" s="661">
        <f>AS31+AT31</f>
        <v>28</v>
      </c>
      <c r="AS31" s="661"/>
      <c r="AT31" s="661">
        <v>28</v>
      </c>
      <c r="AU31" s="661"/>
      <c r="AV31" s="661">
        <v>28</v>
      </c>
      <c r="AW31" s="661">
        <v>4</v>
      </c>
      <c r="AX31" s="661">
        <v>4</v>
      </c>
      <c r="AY31" s="666">
        <f>BG31+BN31+BO31+BP31</f>
        <v>39331</v>
      </c>
      <c r="AZ31" s="665">
        <f>1714+198</f>
        <v>1912</v>
      </c>
      <c r="BA31" s="662">
        <f>681-127</f>
        <v>554</v>
      </c>
      <c r="BB31" s="662">
        <v>127</v>
      </c>
      <c r="BC31" s="662"/>
      <c r="BD31" s="662"/>
      <c r="BE31" s="666">
        <f>(BA31+BB31)*10%</f>
        <v>68.100000000000009</v>
      </c>
      <c r="BF31" s="667">
        <f>ROUND(BE31,0)</f>
        <v>68</v>
      </c>
      <c r="BG31" s="666">
        <f>(AZ31+BA31+BB31+BC31)-BF31</f>
        <v>2525</v>
      </c>
      <c r="BH31" s="662">
        <f>39541-30000-2500</f>
        <v>7041</v>
      </c>
      <c r="BI31" s="662">
        <v>30000</v>
      </c>
      <c r="BJ31" s="662">
        <v>202</v>
      </c>
      <c r="BK31" s="662"/>
      <c r="BL31" s="666">
        <f>(BH31-1819-692)*10%</f>
        <v>453</v>
      </c>
      <c r="BM31" s="667">
        <f>ROUND(BL31,0)</f>
        <v>453</v>
      </c>
      <c r="BN31" s="666">
        <f>(BH31+BI31+BJ31)-BM31</f>
        <v>36790</v>
      </c>
      <c r="BO31" s="662">
        <v>16</v>
      </c>
      <c r="BP31" s="662"/>
      <c r="BQ31" s="662"/>
      <c r="BR31" s="662"/>
      <c r="BS31" s="662"/>
      <c r="BT31" s="662"/>
      <c r="BU31" s="662"/>
      <c r="BV31" s="662"/>
      <c r="BW31" s="662"/>
      <c r="CA31" s="1352">
        <v>5</v>
      </c>
      <c r="CB31" s="1352" t="s">
        <v>465</v>
      </c>
      <c r="CC31" s="1352">
        <v>32</v>
      </c>
      <c r="CD31" s="1352">
        <v>28</v>
      </c>
      <c r="CE31" s="1352"/>
      <c r="CF31" s="1352">
        <v>28</v>
      </c>
      <c r="CG31" s="1352"/>
      <c r="CH31" s="1352">
        <v>28</v>
      </c>
      <c r="CI31" s="1352">
        <v>4</v>
      </c>
      <c r="CJ31" s="1352">
        <v>4</v>
      </c>
      <c r="CK31" s="1353">
        <v>46912</v>
      </c>
      <c r="CL31" s="1353">
        <v>2081</v>
      </c>
      <c r="CM31" s="1354">
        <v>582</v>
      </c>
      <c r="CN31" s="1354">
        <v>98</v>
      </c>
      <c r="CO31" s="1354"/>
      <c r="CP31" s="1354"/>
      <c r="CQ31" s="1354">
        <v>-0.1</v>
      </c>
      <c r="CR31" s="1354">
        <v>68</v>
      </c>
      <c r="CS31" s="1354">
        <v>68</v>
      </c>
      <c r="CT31" s="1353">
        <v>2693</v>
      </c>
      <c r="CU31" s="1353">
        <v>47722</v>
      </c>
      <c r="CV31" s="1353">
        <v>1202</v>
      </c>
      <c r="CW31" s="1353"/>
      <c r="CX31" s="1353">
        <v>4319.2</v>
      </c>
      <c r="CY31" s="1353">
        <v>4772.2</v>
      </c>
      <c r="CZ31" s="1353">
        <v>406</v>
      </c>
      <c r="DA31" s="1353">
        <v>4725</v>
      </c>
      <c r="DB31" s="1353">
        <v>44199</v>
      </c>
      <c r="DC31" s="1353">
        <v>20</v>
      </c>
      <c r="DD31" s="1353"/>
      <c r="DE31" s="1353"/>
      <c r="DF31" s="1353"/>
      <c r="DG31" s="1353"/>
      <c r="DH31" s="1353"/>
      <c r="DI31" s="1353"/>
      <c r="DJ31" s="1353"/>
      <c r="DK31" s="1353"/>
      <c r="DT31" s="659">
        <v>5</v>
      </c>
      <c r="DU31" s="660" t="s">
        <v>465</v>
      </c>
      <c r="DV31" s="777">
        <f t="shared" ref="DV31:EK32" si="39">L31-CK31</f>
        <v>4242</v>
      </c>
      <c r="DW31" s="777">
        <f t="shared" si="39"/>
        <v>-1</v>
      </c>
      <c r="DX31" s="777">
        <f t="shared" si="39"/>
        <v>-24</v>
      </c>
      <c r="DY31" s="777">
        <f t="shared" si="39"/>
        <v>0</v>
      </c>
      <c r="DZ31" s="777">
        <f t="shared" si="39"/>
        <v>0</v>
      </c>
      <c r="EA31" s="777">
        <f t="shared" si="39"/>
        <v>0</v>
      </c>
      <c r="EB31" s="777">
        <f t="shared" si="39"/>
        <v>0.1</v>
      </c>
      <c r="EC31" s="777">
        <f t="shared" si="39"/>
        <v>0</v>
      </c>
      <c r="ED31" s="777">
        <f t="shared" si="39"/>
        <v>0</v>
      </c>
      <c r="EE31" s="777">
        <f t="shared" si="39"/>
        <v>-25</v>
      </c>
      <c r="EF31" s="777">
        <f t="shared" si="39"/>
        <v>0</v>
      </c>
      <c r="EG31" s="777">
        <f t="shared" si="39"/>
        <v>0</v>
      </c>
      <c r="EH31" s="777">
        <f t="shared" si="39"/>
        <v>0</v>
      </c>
      <c r="EI31" s="777">
        <f t="shared" si="39"/>
        <v>-4267.2</v>
      </c>
      <c r="EJ31" s="777">
        <f t="shared" si="39"/>
        <v>-4267.2</v>
      </c>
      <c r="EK31" s="777">
        <f t="shared" si="39"/>
        <v>0</v>
      </c>
      <c r="EL31" s="777">
        <f t="shared" ref="EL31:EV32" si="40">AB31-DA31</f>
        <v>-4267</v>
      </c>
      <c r="EM31" s="777">
        <f t="shared" si="40"/>
        <v>4267</v>
      </c>
      <c r="EN31" s="777">
        <f t="shared" si="40"/>
        <v>0</v>
      </c>
      <c r="EO31" s="777">
        <f t="shared" si="40"/>
        <v>0</v>
      </c>
      <c r="EP31" s="777">
        <f t="shared" si="40"/>
        <v>0</v>
      </c>
      <c r="EQ31" s="777">
        <f t="shared" si="40"/>
        <v>0</v>
      </c>
      <c r="ER31" s="777">
        <f t="shared" si="40"/>
        <v>0</v>
      </c>
      <c r="ES31" s="777">
        <f t="shared" si="40"/>
        <v>0</v>
      </c>
      <c r="ET31" s="777">
        <f t="shared" si="40"/>
        <v>0</v>
      </c>
      <c r="EU31" s="777">
        <f t="shared" si="40"/>
        <v>0</v>
      </c>
      <c r="EV31" s="777">
        <f t="shared" si="40"/>
        <v>0</v>
      </c>
    </row>
    <row r="32" spans="1:152" ht="28.5" customHeight="1">
      <c r="A32" s="659">
        <v>6</v>
      </c>
      <c r="B32" s="660" t="s">
        <v>466</v>
      </c>
      <c r="C32" s="661">
        <f>D32+I32</f>
        <v>4</v>
      </c>
      <c r="D32" s="661">
        <f>E32+F32</f>
        <v>3</v>
      </c>
      <c r="E32" s="661"/>
      <c r="F32" s="661">
        <v>3</v>
      </c>
      <c r="G32" s="661"/>
      <c r="H32" s="661">
        <v>3</v>
      </c>
      <c r="I32" s="661">
        <v>1</v>
      </c>
      <c r="J32" s="661">
        <v>1</v>
      </c>
      <c r="K32" s="646">
        <f t="shared" si="5"/>
        <v>2634</v>
      </c>
      <c r="L32" s="662">
        <f>U32+AC32+AD32+AE32</f>
        <v>2634</v>
      </c>
      <c r="M32" s="666">
        <v>260</v>
      </c>
      <c r="N32" s="666">
        <v>63</v>
      </c>
      <c r="O32" s="666">
        <v>15</v>
      </c>
      <c r="P32" s="666"/>
      <c r="Q32" s="666"/>
      <c r="R32" s="666"/>
      <c r="S32" s="666">
        <v>10</v>
      </c>
      <c r="T32" s="666">
        <f t="shared" si="19"/>
        <v>10</v>
      </c>
      <c r="U32" s="666">
        <f>(M32+N32+O32+P32)-T32</f>
        <v>328</v>
      </c>
      <c r="V32" s="666">
        <v>753</v>
      </c>
      <c r="W32" s="666">
        <v>1652</v>
      </c>
      <c r="X32" s="666"/>
      <c r="Y32" s="666"/>
      <c r="Z32" s="666">
        <f>V32*10%</f>
        <v>75.3</v>
      </c>
      <c r="AA32" s="666">
        <v>99</v>
      </c>
      <c r="AB32" s="666">
        <f>ROUND((Y32+AA32+X32),0)</f>
        <v>99</v>
      </c>
      <c r="AC32" s="666">
        <f>(V32+W32)-AB32</f>
        <v>2306</v>
      </c>
      <c r="AD32" s="666"/>
      <c r="AE32" s="666"/>
      <c r="AF32" s="666"/>
      <c r="AG32" s="666"/>
      <c r="AH32" s="666"/>
      <c r="AI32" s="666"/>
      <c r="AJ32" s="666"/>
      <c r="AK32" s="666"/>
      <c r="AL32" s="664"/>
      <c r="AN32" s="610"/>
      <c r="AO32" s="659">
        <v>6</v>
      </c>
      <c r="AP32" s="660" t="s">
        <v>466</v>
      </c>
      <c r="AQ32" s="661">
        <f>AR32+AW32</f>
        <v>4</v>
      </c>
      <c r="AR32" s="661">
        <f>AS32+AT32</f>
        <v>4</v>
      </c>
      <c r="AS32" s="661"/>
      <c r="AT32" s="661">
        <v>4</v>
      </c>
      <c r="AU32" s="661"/>
      <c r="AV32" s="661">
        <v>4</v>
      </c>
      <c r="AW32" s="661"/>
      <c r="AX32" s="661"/>
      <c r="AY32" s="666">
        <f>BG32+BN32+BO32+BP32</f>
        <v>1312</v>
      </c>
      <c r="AZ32" s="670">
        <v>334</v>
      </c>
      <c r="BA32" s="666">
        <f>105-10</f>
        <v>95</v>
      </c>
      <c r="BB32" s="666">
        <v>10</v>
      </c>
      <c r="BC32" s="666"/>
      <c r="BD32" s="666"/>
      <c r="BE32" s="666">
        <f>(BA32+BB32)*10%</f>
        <v>10.5</v>
      </c>
      <c r="BF32" s="667">
        <f>ROUND(BE32,0)</f>
        <v>11</v>
      </c>
      <c r="BG32" s="666">
        <f t="shared" si="24"/>
        <v>428</v>
      </c>
      <c r="BH32" s="666">
        <v>982</v>
      </c>
      <c r="BI32" s="666"/>
      <c r="BJ32" s="666"/>
      <c r="BK32" s="666"/>
      <c r="BL32" s="666">
        <f>BH32*10%</f>
        <v>98.2</v>
      </c>
      <c r="BM32" s="667">
        <f>ROUND(BL32,0)</f>
        <v>98</v>
      </c>
      <c r="BN32" s="666">
        <f>(BH32+BI32+BJ32)-BM32</f>
        <v>884</v>
      </c>
      <c r="BO32" s="666"/>
      <c r="BP32" s="666"/>
      <c r="BQ32" s="666"/>
      <c r="BR32" s="666"/>
      <c r="BS32" s="666"/>
      <c r="BT32" s="666"/>
      <c r="BU32" s="666"/>
      <c r="BV32" s="666"/>
      <c r="BW32" s="662"/>
      <c r="CA32" s="1352">
        <v>6</v>
      </c>
      <c r="CB32" s="1352" t="s">
        <v>466</v>
      </c>
      <c r="CC32" s="1352">
        <v>5</v>
      </c>
      <c r="CD32" s="1352">
        <v>4</v>
      </c>
      <c r="CE32" s="1352"/>
      <c r="CF32" s="1352">
        <v>4</v>
      </c>
      <c r="CG32" s="1352"/>
      <c r="CH32" s="1352">
        <v>3</v>
      </c>
      <c r="CI32" s="1352">
        <v>1</v>
      </c>
      <c r="CJ32" s="1352">
        <v>1</v>
      </c>
      <c r="CK32" s="1353">
        <v>2709</v>
      </c>
      <c r="CL32" s="1353">
        <v>308</v>
      </c>
      <c r="CM32" s="1354">
        <v>90</v>
      </c>
      <c r="CN32" s="1354">
        <v>15</v>
      </c>
      <c r="CO32" s="1354"/>
      <c r="CP32" s="1354"/>
      <c r="CQ32" s="1354">
        <v>0</v>
      </c>
      <c r="CR32" s="1354">
        <v>10</v>
      </c>
      <c r="CS32" s="1354">
        <v>10</v>
      </c>
      <c r="CT32" s="1353">
        <v>403</v>
      </c>
      <c r="CU32" s="1353">
        <v>753</v>
      </c>
      <c r="CV32" s="1353">
        <v>1652</v>
      </c>
      <c r="CW32" s="1353"/>
      <c r="CX32" s="1353"/>
      <c r="CY32" s="1353">
        <v>75.3</v>
      </c>
      <c r="CZ32" s="1353">
        <v>99</v>
      </c>
      <c r="DA32" s="1353">
        <v>99</v>
      </c>
      <c r="DB32" s="1353">
        <v>2306</v>
      </c>
      <c r="DC32" s="1353"/>
      <c r="DD32" s="1353"/>
      <c r="DE32" s="1353"/>
      <c r="DF32" s="1353"/>
      <c r="DG32" s="1353"/>
      <c r="DH32" s="1353"/>
      <c r="DI32" s="1353"/>
      <c r="DJ32" s="1353"/>
      <c r="DK32" s="1353"/>
      <c r="DT32" s="659">
        <v>6</v>
      </c>
      <c r="DU32" s="660" t="s">
        <v>466</v>
      </c>
      <c r="DV32" s="777">
        <f t="shared" si="39"/>
        <v>-75</v>
      </c>
      <c r="DW32" s="777">
        <f t="shared" si="39"/>
        <v>-48</v>
      </c>
      <c r="DX32" s="777">
        <f t="shared" si="39"/>
        <v>-27</v>
      </c>
      <c r="DY32" s="777">
        <f t="shared" si="39"/>
        <v>0</v>
      </c>
      <c r="DZ32" s="777">
        <f t="shared" si="39"/>
        <v>0</v>
      </c>
      <c r="EA32" s="777">
        <f t="shared" si="39"/>
        <v>0</v>
      </c>
      <c r="EB32" s="777">
        <f t="shared" si="39"/>
        <v>0</v>
      </c>
      <c r="EC32" s="777">
        <f t="shared" si="39"/>
        <v>0</v>
      </c>
      <c r="ED32" s="777">
        <f t="shared" si="39"/>
        <v>0</v>
      </c>
      <c r="EE32" s="777">
        <f t="shared" si="39"/>
        <v>-75</v>
      </c>
      <c r="EF32" s="777">
        <f t="shared" si="39"/>
        <v>0</v>
      </c>
      <c r="EG32" s="777">
        <f t="shared" si="39"/>
        <v>0</v>
      </c>
      <c r="EH32" s="777">
        <f t="shared" si="39"/>
        <v>0</v>
      </c>
      <c r="EI32" s="777">
        <f t="shared" si="39"/>
        <v>0</v>
      </c>
      <c r="EJ32" s="777">
        <f t="shared" si="39"/>
        <v>0</v>
      </c>
      <c r="EK32" s="777">
        <f t="shared" si="39"/>
        <v>0</v>
      </c>
      <c r="EL32" s="777">
        <f t="shared" si="40"/>
        <v>0</v>
      </c>
      <c r="EM32" s="777">
        <f t="shared" si="40"/>
        <v>0</v>
      </c>
      <c r="EN32" s="777">
        <f t="shared" si="40"/>
        <v>0</v>
      </c>
      <c r="EO32" s="777">
        <f t="shared" si="40"/>
        <v>0</v>
      </c>
      <c r="EP32" s="777">
        <f t="shared" si="40"/>
        <v>0</v>
      </c>
      <c r="EQ32" s="777">
        <f t="shared" si="40"/>
        <v>0</v>
      </c>
      <c r="ER32" s="777">
        <f t="shared" si="40"/>
        <v>0</v>
      </c>
      <c r="ES32" s="777">
        <f t="shared" si="40"/>
        <v>0</v>
      </c>
      <c r="ET32" s="777">
        <f t="shared" si="40"/>
        <v>0</v>
      </c>
      <c r="EU32" s="777">
        <f t="shared" si="40"/>
        <v>0</v>
      </c>
      <c r="EV32" s="777">
        <f t="shared" si="40"/>
        <v>0</v>
      </c>
    </row>
    <row r="33" spans="1:152" ht="28.5" customHeight="1">
      <c r="A33" s="659">
        <v>7</v>
      </c>
      <c r="B33" s="660" t="s">
        <v>1040</v>
      </c>
      <c r="C33" s="661"/>
      <c r="D33" s="661"/>
      <c r="E33" s="661"/>
      <c r="F33" s="661"/>
      <c r="G33" s="661"/>
      <c r="H33" s="661"/>
      <c r="I33" s="661"/>
      <c r="J33" s="661"/>
      <c r="K33" s="646"/>
      <c r="L33" s="662"/>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v>29244</v>
      </c>
      <c r="AK33" s="666"/>
      <c r="AL33" s="664"/>
      <c r="AN33" s="610"/>
      <c r="AO33" s="659"/>
      <c r="AP33" s="660"/>
      <c r="AQ33" s="661"/>
      <c r="AR33" s="661"/>
      <c r="AS33" s="661"/>
      <c r="AT33" s="661"/>
      <c r="AU33" s="661"/>
      <c r="AV33" s="661"/>
      <c r="AW33" s="661"/>
      <c r="AX33" s="661"/>
      <c r="AY33" s="666"/>
      <c r="AZ33" s="670"/>
      <c r="BA33" s="666"/>
      <c r="BB33" s="666"/>
      <c r="BC33" s="666"/>
      <c r="BD33" s="666"/>
      <c r="BE33" s="666"/>
      <c r="BF33" s="667"/>
      <c r="BG33" s="666"/>
      <c r="BH33" s="666"/>
      <c r="BI33" s="666"/>
      <c r="BJ33" s="666"/>
      <c r="BK33" s="666"/>
      <c r="BL33" s="666"/>
      <c r="BM33" s="667"/>
      <c r="BN33" s="666"/>
      <c r="BO33" s="666"/>
      <c r="BP33" s="666"/>
      <c r="BQ33" s="666"/>
      <c r="BR33" s="666"/>
      <c r="BS33" s="666"/>
      <c r="BT33" s="666"/>
      <c r="BU33" s="666"/>
      <c r="BV33" s="666"/>
      <c r="BW33" s="662"/>
      <c r="CA33" s="1352"/>
      <c r="CB33" s="1352"/>
      <c r="CC33" s="1352"/>
      <c r="CD33" s="1352"/>
      <c r="CE33" s="1352"/>
      <c r="CF33" s="1352"/>
      <c r="CG33" s="1352"/>
      <c r="CH33" s="1352"/>
      <c r="CI33" s="1352"/>
      <c r="CJ33" s="1352"/>
      <c r="CK33" s="1353"/>
      <c r="CL33" s="1353"/>
      <c r="CM33" s="1354"/>
      <c r="CN33" s="1354"/>
      <c r="CO33" s="1354"/>
      <c r="CP33" s="1354"/>
      <c r="CQ33" s="1354"/>
      <c r="CR33" s="1354"/>
      <c r="CS33" s="1354"/>
      <c r="CT33" s="1353"/>
      <c r="CU33" s="1353"/>
      <c r="CV33" s="1353"/>
      <c r="CW33" s="1353"/>
      <c r="CX33" s="1353"/>
      <c r="CY33" s="1353"/>
      <c r="CZ33" s="1353"/>
      <c r="DA33" s="1353"/>
      <c r="DB33" s="1353"/>
      <c r="DC33" s="1353"/>
      <c r="DD33" s="1353"/>
      <c r="DE33" s="1353"/>
      <c r="DF33" s="1353"/>
      <c r="DG33" s="1353"/>
      <c r="DH33" s="1353"/>
      <c r="DI33" s="1353"/>
      <c r="DJ33" s="1353"/>
      <c r="DK33" s="1353"/>
      <c r="DT33" s="659"/>
      <c r="DU33" s="660"/>
      <c r="DV33" s="777"/>
      <c r="DW33" s="777"/>
      <c r="DX33" s="777"/>
      <c r="DY33" s="777"/>
      <c r="DZ33" s="777"/>
      <c r="EA33" s="777"/>
      <c r="EB33" s="777"/>
      <c r="EC33" s="777"/>
      <c r="ED33" s="777"/>
      <c r="EE33" s="777"/>
      <c r="EF33" s="777"/>
      <c r="EG33" s="777"/>
      <c r="EH33" s="777"/>
      <c r="EI33" s="777"/>
      <c r="EJ33" s="777"/>
      <c r="EK33" s="777"/>
      <c r="EL33" s="777"/>
      <c r="EM33" s="777"/>
      <c r="EN33" s="777"/>
      <c r="EO33" s="777"/>
      <c r="EP33" s="777"/>
      <c r="EQ33" s="777"/>
      <c r="ER33" s="777"/>
      <c r="ES33" s="777"/>
      <c r="ET33" s="777"/>
      <c r="EU33" s="777"/>
      <c r="EV33" s="777"/>
    </row>
    <row r="34" spans="1:152" ht="28.5" customHeight="1">
      <c r="A34" s="1429" t="s">
        <v>467</v>
      </c>
      <c r="B34" s="651" t="s">
        <v>468</v>
      </c>
      <c r="C34" s="1430">
        <f t="shared" ref="C34:J34" si="41">C35</f>
        <v>58</v>
      </c>
      <c r="D34" s="1430">
        <f t="shared" si="41"/>
        <v>53</v>
      </c>
      <c r="E34" s="1430">
        <f t="shared" si="41"/>
        <v>21</v>
      </c>
      <c r="F34" s="1430">
        <f t="shared" si="41"/>
        <v>32</v>
      </c>
      <c r="G34" s="1430">
        <f t="shared" si="41"/>
        <v>19</v>
      </c>
      <c r="H34" s="1430">
        <f t="shared" si="41"/>
        <v>31</v>
      </c>
      <c r="I34" s="1430">
        <f t="shared" si="41"/>
        <v>5</v>
      </c>
      <c r="J34" s="1430">
        <f t="shared" si="41"/>
        <v>5</v>
      </c>
      <c r="K34" s="646">
        <f t="shared" si="5"/>
        <v>54096</v>
      </c>
      <c r="L34" s="653">
        <f>L35</f>
        <v>54096</v>
      </c>
      <c r="M34" s="653">
        <f t="shared" ref="M34:AL34" si="42">M35</f>
        <v>4103</v>
      </c>
      <c r="N34" s="653">
        <f t="shared" si="42"/>
        <v>1415</v>
      </c>
      <c r="O34" s="653">
        <f t="shared" si="42"/>
        <v>0</v>
      </c>
      <c r="P34" s="653">
        <f t="shared" si="42"/>
        <v>0</v>
      </c>
      <c r="Q34" s="653">
        <f t="shared" si="42"/>
        <v>0</v>
      </c>
      <c r="R34" s="653">
        <f t="shared" si="42"/>
        <v>3.7</v>
      </c>
      <c r="S34" s="653">
        <f t="shared" si="42"/>
        <v>144</v>
      </c>
      <c r="T34" s="653">
        <f t="shared" si="42"/>
        <v>148</v>
      </c>
      <c r="U34" s="653">
        <f t="shared" si="42"/>
        <v>5370</v>
      </c>
      <c r="V34" s="653">
        <f>V35</f>
        <v>51494</v>
      </c>
      <c r="W34" s="653">
        <f t="shared" si="42"/>
        <v>1636</v>
      </c>
      <c r="X34" s="653">
        <f t="shared" si="42"/>
        <v>0</v>
      </c>
      <c r="Y34" s="653">
        <f t="shared" si="42"/>
        <v>2361.4000000000005</v>
      </c>
      <c r="Z34" s="653">
        <f t="shared" si="42"/>
        <v>5149.4000000000005</v>
      </c>
      <c r="AA34" s="653">
        <f t="shared" si="42"/>
        <v>2043</v>
      </c>
      <c r="AB34" s="653">
        <f t="shared" si="42"/>
        <v>4404</v>
      </c>
      <c r="AC34" s="653">
        <f t="shared" si="42"/>
        <v>48726</v>
      </c>
      <c r="AD34" s="653">
        <f t="shared" si="42"/>
        <v>0</v>
      </c>
      <c r="AE34" s="653">
        <f t="shared" si="42"/>
        <v>0</v>
      </c>
      <c r="AF34" s="653">
        <f t="shared" si="42"/>
        <v>0</v>
      </c>
      <c r="AG34" s="653">
        <f t="shared" si="42"/>
        <v>596</v>
      </c>
      <c r="AH34" s="653">
        <f t="shared" si="42"/>
        <v>0</v>
      </c>
      <c r="AI34" s="653">
        <f t="shared" si="42"/>
        <v>0</v>
      </c>
      <c r="AJ34" s="653">
        <f t="shared" si="42"/>
        <v>400</v>
      </c>
      <c r="AK34" s="653">
        <f t="shared" si="42"/>
        <v>480</v>
      </c>
      <c r="AL34" s="656">
        <f t="shared" si="42"/>
        <v>0</v>
      </c>
      <c r="AN34" s="610"/>
      <c r="AO34" s="1323" t="s">
        <v>467</v>
      </c>
      <c r="AP34" s="651" t="s">
        <v>468</v>
      </c>
      <c r="AQ34" s="1320">
        <f>AQ35</f>
        <v>75</v>
      </c>
      <c r="AR34" s="1320">
        <f t="shared" ref="AR34:BW34" si="43">AR35</f>
        <v>68</v>
      </c>
      <c r="AS34" s="1320">
        <f t="shared" si="43"/>
        <v>27</v>
      </c>
      <c r="AT34" s="1320">
        <f t="shared" si="43"/>
        <v>41</v>
      </c>
      <c r="AU34" s="1320">
        <f t="shared" si="43"/>
        <v>24</v>
      </c>
      <c r="AV34" s="1320">
        <f t="shared" si="43"/>
        <v>31</v>
      </c>
      <c r="AW34" s="1320">
        <f t="shared" si="43"/>
        <v>7</v>
      </c>
      <c r="AX34" s="1320">
        <f t="shared" si="43"/>
        <v>6</v>
      </c>
      <c r="AY34" s="653">
        <f>AY35</f>
        <v>55690</v>
      </c>
      <c r="AZ34" s="658">
        <f t="shared" si="43"/>
        <v>4580</v>
      </c>
      <c r="BA34" s="653">
        <f t="shared" si="43"/>
        <v>1380</v>
      </c>
      <c r="BB34" s="653">
        <f t="shared" si="43"/>
        <v>201</v>
      </c>
      <c r="BC34" s="653">
        <f t="shared" si="43"/>
        <v>0</v>
      </c>
      <c r="BD34" s="653">
        <f t="shared" si="43"/>
        <v>0</v>
      </c>
      <c r="BE34" s="653">
        <f t="shared" si="43"/>
        <v>158.10000000000002</v>
      </c>
      <c r="BF34" s="655">
        <f t="shared" si="43"/>
        <v>158</v>
      </c>
      <c r="BG34" s="653">
        <f t="shared" si="43"/>
        <v>6003</v>
      </c>
      <c r="BH34" s="653">
        <f>BH35</f>
        <v>32383</v>
      </c>
      <c r="BI34" s="653">
        <f t="shared" si="43"/>
        <v>0</v>
      </c>
      <c r="BJ34" s="653">
        <f t="shared" si="43"/>
        <v>20142</v>
      </c>
      <c r="BK34" s="653">
        <f t="shared" si="43"/>
        <v>0</v>
      </c>
      <c r="BL34" s="653">
        <f t="shared" si="43"/>
        <v>2838.3</v>
      </c>
      <c r="BM34" s="655">
        <f t="shared" si="43"/>
        <v>2838</v>
      </c>
      <c r="BN34" s="653">
        <f t="shared" si="43"/>
        <v>49687</v>
      </c>
      <c r="BO34" s="653">
        <f t="shared" si="43"/>
        <v>0</v>
      </c>
      <c r="BP34" s="653">
        <f t="shared" si="43"/>
        <v>0</v>
      </c>
      <c r="BQ34" s="653">
        <f t="shared" si="43"/>
        <v>480</v>
      </c>
      <c r="BR34" s="653">
        <f t="shared" si="43"/>
        <v>585</v>
      </c>
      <c r="BS34" s="653">
        <f t="shared" si="43"/>
        <v>0</v>
      </c>
      <c r="BT34" s="653">
        <f t="shared" si="43"/>
        <v>0</v>
      </c>
      <c r="BU34" s="653">
        <f t="shared" si="43"/>
        <v>0</v>
      </c>
      <c r="BV34" s="653">
        <f t="shared" si="43"/>
        <v>0</v>
      </c>
      <c r="BW34" s="653">
        <f t="shared" si="43"/>
        <v>0</v>
      </c>
      <c r="CA34" s="1352" t="s">
        <v>467</v>
      </c>
      <c r="CB34" s="1352" t="s">
        <v>468</v>
      </c>
      <c r="CC34" s="1352">
        <v>64</v>
      </c>
      <c r="CD34" s="1352">
        <v>58</v>
      </c>
      <c r="CE34" s="1352">
        <v>26</v>
      </c>
      <c r="CF34" s="1352">
        <v>32</v>
      </c>
      <c r="CG34" s="1352">
        <v>24</v>
      </c>
      <c r="CH34" s="1352">
        <v>31</v>
      </c>
      <c r="CI34" s="1352">
        <v>6</v>
      </c>
      <c r="CJ34" s="1352">
        <v>6</v>
      </c>
      <c r="CK34" s="1353">
        <v>54212</v>
      </c>
      <c r="CL34" s="1353">
        <v>4652</v>
      </c>
      <c r="CM34" s="1354">
        <v>1386</v>
      </c>
      <c r="CN34" s="1354">
        <v>0</v>
      </c>
      <c r="CO34" s="1354">
        <v>0</v>
      </c>
      <c r="CP34" s="1354">
        <v>0</v>
      </c>
      <c r="CQ34" s="1354">
        <v>0</v>
      </c>
      <c r="CR34" s="1354">
        <v>144</v>
      </c>
      <c r="CS34" s="1354">
        <v>145</v>
      </c>
      <c r="CT34" s="1353">
        <v>5893</v>
      </c>
      <c r="CU34" s="1353">
        <v>51033</v>
      </c>
      <c r="CV34" s="1353">
        <v>1642</v>
      </c>
      <c r="CW34" s="1353">
        <v>0</v>
      </c>
      <c r="CX34" s="1353">
        <v>2271.4000000000005</v>
      </c>
      <c r="CY34" s="1353">
        <v>5103.3</v>
      </c>
      <c r="CZ34" s="1353">
        <v>2085</v>
      </c>
      <c r="DA34" s="1353">
        <v>4356</v>
      </c>
      <c r="DB34" s="1353">
        <v>48319</v>
      </c>
      <c r="DC34" s="1353">
        <v>0</v>
      </c>
      <c r="DD34" s="1353">
        <v>0</v>
      </c>
      <c r="DE34" s="1353">
        <v>0</v>
      </c>
      <c r="DF34" s="1353">
        <v>0</v>
      </c>
      <c r="DG34" s="1353">
        <v>0</v>
      </c>
      <c r="DH34" s="1353">
        <v>0</v>
      </c>
      <c r="DI34" s="1353">
        <v>0</v>
      </c>
      <c r="DJ34" s="1353">
        <v>0</v>
      </c>
      <c r="DK34" s="1353">
        <v>0</v>
      </c>
      <c r="DT34" s="1323" t="s">
        <v>467</v>
      </c>
      <c r="DU34" s="651" t="s">
        <v>468</v>
      </c>
      <c r="DV34" s="1364">
        <f>DV35</f>
        <v>-116</v>
      </c>
      <c r="DW34" s="1364">
        <f t="shared" ref="DW34:EV34" si="44">DW35</f>
        <v>-549</v>
      </c>
      <c r="DX34" s="1364">
        <f t="shared" si="44"/>
        <v>29</v>
      </c>
      <c r="DY34" s="1364">
        <f t="shared" si="44"/>
        <v>0</v>
      </c>
      <c r="DZ34" s="1364">
        <f t="shared" si="44"/>
        <v>0</v>
      </c>
      <c r="EA34" s="1364">
        <f t="shared" si="44"/>
        <v>0</v>
      </c>
      <c r="EB34" s="1364">
        <f t="shared" si="44"/>
        <v>2.9000000000000004</v>
      </c>
      <c r="EC34" s="1364">
        <f t="shared" si="44"/>
        <v>0</v>
      </c>
      <c r="ED34" s="1364">
        <f t="shared" si="44"/>
        <v>3</v>
      </c>
      <c r="EE34" s="1364">
        <f t="shared" si="44"/>
        <v>-523</v>
      </c>
      <c r="EF34" s="1364">
        <f t="shared" si="44"/>
        <v>461</v>
      </c>
      <c r="EG34" s="1364">
        <f t="shared" si="44"/>
        <v>-6</v>
      </c>
      <c r="EH34" s="1364">
        <f t="shared" si="44"/>
        <v>0</v>
      </c>
      <c r="EI34" s="1364">
        <f t="shared" si="44"/>
        <v>90</v>
      </c>
      <c r="EJ34" s="1364">
        <f t="shared" si="44"/>
        <v>46.099999999999994</v>
      </c>
      <c r="EK34" s="1364">
        <f t="shared" si="44"/>
        <v>-42</v>
      </c>
      <c r="EL34" s="1364">
        <f t="shared" si="44"/>
        <v>48</v>
      </c>
      <c r="EM34" s="1364">
        <f t="shared" si="44"/>
        <v>407</v>
      </c>
      <c r="EN34" s="1364">
        <f t="shared" si="44"/>
        <v>0</v>
      </c>
      <c r="EO34" s="1364">
        <f t="shared" si="44"/>
        <v>0</v>
      </c>
      <c r="EP34" s="1364">
        <f t="shared" si="44"/>
        <v>0</v>
      </c>
      <c r="EQ34" s="1364">
        <f t="shared" si="44"/>
        <v>596</v>
      </c>
      <c r="ER34" s="1364">
        <f t="shared" si="44"/>
        <v>0</v>
      </c>
      <c r="ES34" s="1364">
        <f t="shared" si="44"/>
        <v>0</v>
      </c>
      <c r="ET34" s="1364">
        <f t="shared" si="44"/>
        <v>400</v>
      </c>
      <c r="EU34" s="1364">
        <f t="shared" si="44"/>
        <v>0</v>
      </c>
      <c r="EV34" s="1364">
        <f t="shared" si="44"/>
        <v>0</v>
      </c>
    </row>
    <row r="35" spans="1:152" ht="38.25" customHeight="1">
      <c r="A35" s="659">
        <v>8</v>
      </c>
      <c r="B35" s="660" t="s">
        <v>469</v>
      </c>
      <c r="C35" s="661">
        <f t="shared" ref="C35:AL35" si="45">SUM(C36:C40)</f>
        <v>58</v>
      </c>
      <c r="D35" s="661">
        <f t="shared" si="45"/>
        <v>53</v>
      </c>
      <c r="E35" s="661">
        <f t="shared" si="45"/>
        <v>21</v>
      </c>
      <c r="F35" s="661">
        <f t="shared" si="45"/>
        <v>32</v>
      </c>
      <c r="G35" s="661">
        <f t="shared" si="45"/>
        <v>19</v>
      </c>
      <c r="H35" s="661">
        <f t="shared" si="45"/>
        <v>31</v>
      </c>
      <c r="I35" s="661">
        <f t="shared" si="45"/>
        <v>5</v>
      </c>
      <c r="J35" s="661">
        <f t="shared" si="45"/>
        <v>5</v>
      </c>
      <c r="K35" s="646">
        <f t="shared" si="5"/>
        <v>54096</v>
      </c>
      <c r="L35" s="662">
        <f>SUM(L36:L41)</f>
        <v>54096</v>
      </c>
      <c r="M35" s="662">
        <f t="shared" ref="M35:AK35" si="46">SUM(M36:M41)</f>
        <v>4103</v>
      </c>
      <c r="N35" s="662">
        <f t="shared" si="46"/>
        <v>1415</v>
      </c>
      <c r="O35" s="662">
        <f t="shared" si="46"/>
        <v>0</v>
      </c>
      <c r="P35" s="662">
        <f t="shared" si="46"/>
        <v>0</v>
      </c>
      <c r="Q35" s="662">
        <f t="shared" si="46"/>
        <v>0</v>
      </c>
      <c r="R35" s="662">
        <f t="shared" si="46"/>
        <v>3.7</v>
      </c>
      <c r="S35" s="662">
        <f t="shared" si="46"/>
        <v>144</v>
      </c>
      <c r="T35" s="662">
        <f t="shared" si="46"/>
        <v>148</v>
      </c>
      <c r="U35" s="662">
        <f t="shared" si="46"/>
        <v>5370</v>
      </c>
      <c r="V35" s="662">
        <f>SUM(V36:V41)</f>
        <v>51494</v>
      </c>
      <c r="W35" s="662">
        <f t="shared" si="46"/>
        <v>1636</v>
      </c>
      <c r="X35" s="662">
        <f t="shared" si="46"/>
        <v>0</v>
      </c>
      <c r="Y35" s="662">
        <f t="shared" si="46"/>
        <v>2361.4000000000005</v>
      </c>
      <c r="Z35" s="662">
        <f t="shared" si="46"/>
        <v>5149.4000000000005</v>
      </c>
      <c r="AA35" s="662">
        <f t="shared" si="46"/>
        <v>2043</v>
      </c>
      <c r="AB35" s="662">
        <f t="shared" si="46"/>
        <v>4404</v>
      </c>
      <c r="AC35" s="662">
        <f t="shared" si="46"/>
        <v>48726</v>
      </c>
      <c r="AD35" s="662">
        <f t="shared" si="46"/>
        <v>0</v>
      </c>
      <c r="AE35" s="662">
        <f t="shared" si="46"/>
        <v>0</v>
      </c>
      <c r="AF35" s="662">
        <f t="shared" si="46"/>
        <v>0</v>
      </c>
      <c r="AG35" s="662">
        <f t="shared" si="46"/>
        <v>596</v>
      </c>
      <c r="AH35" s="662">
        <f t="shared" si="46"/>
        <v>0</v>
      </c>
      <c r="AI35" s="662">
        <f t="shared" si="46"/>
        <v>0</v>
      </c>
      <c r="AJ35" s="662">
        <f t="shared" si="46"/>
        <v>400</v>
      </c>
      <c r="AK35" s="662">
        <f t="shared" si="46"/>
        <v>480</v>
      </c>
      <c r="AL35" s="664">
        <f t="shared" si="45"/>
        <v>0</v>
      </c>
      <c r="AN35" s="610"/>
      <c r="AO35" s="659">
        <v>7</v>
      </c>
      <c r="AP35" s="660" t="s">
        <v>469</v>
      </c>
      <c r="AQ35" s="661">
        <f>SUM(AQ36:AQ40)</f>
        <v>75</v>
      </c>
      <c r="AR35" s="661">
        <f t="shared" ref="AR35:AX35" si="47">SUM(AR36:AR40)</f>
        <v>68</v>
      </c>
      <c r="AS35" s="661">
        <f t="shared" si="47"/>
        <v>27</v>
      </c>
      <c r="AT35" s="661">
        <f t="shared" si="47"/>
        <v>41</v>
      </c>
      <c r="AU35" s="661">
        <f t="shared" si="47"/>
        <v>24</v>
      </c>
      <c r="AV35" s="661">
        <f t="shared" si="47"/>
        <v>31</v>
      </c>
      <c r="AW35" s="661">
        <f t="shared" si="47"/>
        <v>7</v>
      </c>
      <c r="AX35" s="661">
        <f t="shared" si="47"/>
        <v>6</v>
      </c>
      <c r="AY35" s="662">
        <f t="shared" ref="AY35:BW35" si="48">SUM(AY36:AY40)</f>
        <v>55690</v>
      </c>
      <c r="AZ35" s="665">
        <f t="shared" si="48"/>
        <v>4580</v>
      </c>
      <c r="BA35" s="662">
        <f t="shared" si="48"/>
        <v>1380</v>
      </c>
      <c r="BB35" s="662">
        <f t="shared" si="48"/>
        <v>201</v>
      </c>
      <c r="BC35" s="662">
        <f t="shared" si="48"/>
        <v>0</v>
      </c>
      <c r="BD35" s="662">
        <f t="shared" si="48"/>
        <v>0</v>
      </c>
      <c r="BE35" s="662">
        <f t="shared" si="48"/>
        <v>158.10000000000002</v>
      </c>
      <c r="BF35" s="663">
        <f t="shared" si="48"/>
        <v>158</v>
      </c>
      <c r="BG35" s="662">
        <f t="shared" si="48"/>
        <v>6003</v>
      </c>
      <c r="BH35" s="662">
        <f t="shared" si="48"/>
        <v>32383</v>
      </c>
      <c r="BI35" s="662">
        <f t="shared" si="48"/>
        <v>0</v>
      </c>
      <c r="BJ35" s="662">
        <f t="shared" si="48"/>
        <v>20142</v>
      </c>
      <c r="BK35" s="662">
        <f t="shared" si="48"/>
        <v>0</v>
      </c>
      <c r="BL35" s="662">
        <f t="shared" si="48"/>
        <v>2838.3</v>
      </c>
      <c r="BM35" s="663">
        <f t="shared" si="48"/>
        <v>2838</v>
      </c>
      <c r="BN35" s="662">
        <f t="shared" si="48"/>
        <v>49687</v>
      </c>
      <c r="BO35" s="662">
        <f t="shared" si="48"/>
        <v>0</v>
      </c>
      <c r="BP35" s="662">
        <f t="shared" si="48"/>
        <v>0</v>
      </c>
      <c r="BQ35" s="662">
        <f t="shared" si="48"/>
        <v>480</v>
      </c>
      <c r="BR35" s="662">
        <f t="shared" si="48"/>
        <v>585</v>
      </c>
      <c r="BS35" s="662">
        <f t="shared" si="48"/>
        <v>0</v>
      </c>
      <c r="BT35" s="662">
        <f t="shared" si="48"/>
        <v>0</v>
      </c>
      <c r="BU35" s="662">
        <f t="shared" si="48"/>
        <v>0</v>
      </c>
      <c r="BV35" s="662">
        <f t="shared" si="48"/>
        <v>0</v>
      </c>
      <c r="BW35" s="662">
        <f t="shared" si="48"/>
        <v>0</v>
      </c>
      <c r="CA35" s="1352">
        <v>7</v>
      </c>
      <c r="CB35" s="1352" t="s">
        <v>469</v>
      </c>
      <c r="CC35" s="1352">
        <v>64</v>
      </c>
      <c r="CD35" s="1352">
        <v>58</v>
      </c>
      <c r="CE35" s="1352">
        <v>26</v>
      </c>
      <c r="CF35" s="1352">
        <v>32</v>
      </c>
      <c r="CG35" s="1352">
        <v>24</v>
      </c>
      <c r="CH35" s="1352">
        <v>31</v>
      </c>
      <c r="CI35" s="1352">
        <v>6</v>
      </c>
      <c r="CJ35" s="1352">
        <v>6</v>
      </c>
      <c r="CK35" s="1353">
        <v>54212</v>
      </c>
      <c r="CL35" s="1353">
        <v>4652</v>
      </c>
      <c r="CM35" s="1354">
        <v>1386</v>
      </c>
      <c r="CN35" s="1354">
        <v>0</v>
      </c>
      <c r="CO35" s="1354">
        <v>0</v>
      </c>
      <c r="CP35" s="1354">
        <v>0</v>
      </c>
      <c r="CQ35" s="1354"/>
      <c r="CR35" s="1354">
        <v>144</v>
      </c>
      <c r="CS35" s="1354">
        <v>145</v>
      </c>
      <c r="CT35" s="1353">
        <v>5893</v>
      </c>
      <c r="CU35" s="1353">
        <v>51033</v>
      </c>
      <c r="CV35" s="1353">
        <v>1642</v>
      </c>
      <c r="CW35" s="1353">
        <v>0</v>
      </c>
      <c r="CX35" s="1353">
        <v>2271.4000000000005</v>
      </c>
      <c r="CY35" s="1353">
        <v>5103.3</v>
      </c>
      <c r="CZ35" s="1353">
        <v>2085</v>
      </c>
      <c r="DA35" s="1353">
        <v>4356</v>
      </c>
      <c r="DB35" s="1353">
        <v>48319</v>
      </c>
      <c r="DC35" s="1353">
        <v>0</v>
      </c>
      <c r="DD35" s="1353">
        <v>0</v>
      </c>
      <c r="DE35" s="1353">
        <v>0</v>
      </c>
      <c r="DF35" s="1353">
        <v>0</v>
      </c>
      <c r="DG35" s="1353">
        <v>0</v>
      </c>
      <c r="DH35" s="1353">
        <v>0</v>
      </c>
      <c r="DI35" s="1353">
        <v>0</v>
      </c>
      <c r="DJ35" s="1353">
        <v>0</v>
      </c>
      <c r="DK35" s="1353">
        <v>0</v>
      </c>
      <c r="DT35" s="659">
        <v>7</v>
      </c>
      <c r="DU35" s="660" t="s">
        <v>469</v>
      </c>
      <c r="DV35" s="777">
        <f>SUM(DV36:DV40)</f>
        <v>-116</v>
      </c>
      <c r="DW35" s="777">
        <f t="shared" ref="DW35:EV35" si="49">SUM(DW36:DW40)</f>
        <v>-549</v>
      </c>
      <c r="DX35" s="777">
        <f t="shared" si="49"/>
        <v>29</v>
      </c>
      <c r="DY35" s="777">
        <f t="shared" si="49"/>
        <v>0</v>
      </c>
      <c r="DZ35" s="777">
        <f t="shared" si="49"/>
        <v>0</v>
      </c>
      <c r="EA35" s="777">
        <f t="shared" si="49"/>
        <v>0</v>
      </c>
      <c r="EB35" s="777">
        <f t="shared" si="49"/>
        <v>2.9000000000000004</v>
      </c>
      <c r="EC35" s="777">
        <f t="shared" si="49"/>
        <v>0</v>
      </c>
      <c r="ED35" s="777">
        <f t="shared" si="49"/>
        <v>3</v>
      </c>
      <c r="EE35" s="777">
        <f t="shared" si="49"/>
        <v>-523</v>
      </c>
      <c r="EF35" s="777">
        <f t="shared" si="49"/>
        <v>461</v>
      </c>
      <c r="EG35" s="777">
        <f t="shared" si="49"/>
        <v>-6</v>
      </c>
      <c r="EH35" s="777">
        <f t="shared" si="49"/>
        <v>0</v>
      </c>
      <c r="EI35" s="777">
        <f t="shared" si="49"/>
        <v>90</v>
      </c>
      <c r="EJ35" s="777">
        <f t="shared" si="49"/>
        <v>46.099999999999994</v>
      </c>
      <c r="EK35" s="777">
        <f t="shared" si="49"/>
        <v>-42</v>
      </c>
      <c r="EL35" s="777">
        <f t="shared" si="49"/>
        <v>48</v>
      </c>
      <c r="EM35" s="777">
        <f t="shared" si="49"/>
        <v>407</v>
      </c>
      <c r="EN35" s="777">
        <f t="shared" si="49"/>
        <v>0</v>
      </c>
      <c r="EO35" s="777">
        <f t="shared" si="49"/>
        <v>0</v>
      </c>
      <c r="EP35" s="777">
        <f t="shared" si="49"/>
        <v>0</v>
      </c>
      <c r="EQ35" s="777">
        <f t="shared" si="49"/>
        <v>596</v>
      </c>
      <c r="ER35" s="777">
        <f t="shared" si="49"/>
        <v>0</v>
      </c>
      <c r="ES35" s="777">
        <f t="shared" si="49"/>
        <v>0</v>
      </c>
      <c r="ET35" s="777">
        <f t="shared" si="49"/>
        <v>400</v>
      </c>
      <c r="EU35" s="777">
        <f t="shared" si="49"/>
        <v>0</v>
      </c>
      <c r="EV35" s="777">
        <f t="shared" si="49"/>
        <v>0</v>
      </c>
    </row>
    <row r="36" spans="1:152" ht="28.5" hidden="1" customHeight="1">
      <c r="A36" s="659"/>
      <c r="B36" s="660" t="s">
        <v>470</v>
      </c>
      <c r="C36" s="661"/>
      <c r="D36" s="661"/>
      <c r="E36" s="661"/>
      <c r="F36" s="661"/>
      <c r="G36" s="661"/>
      <c r="H36" s="661"/>
      <c r="I36" s="661"/>
      <c r="J36" s="661"/>
      <c r="K36" s="646">
        <f t="shared" si="5"/>
        <v>47993</v>
      </c>
      <c r="L36" s="662">
        <f t="shared" ref="L36:L42" si="50">U36+AC36+AD36+AE36</f>
        <v>47993</v>
      </c>
      <c r="M36" s="662"/>
      <c r="N36" s="662"/>
      <c r="O36" s="662"/>
      <c r="P36" s="662"/>
      <c r="Q36" s="662"/>
      <c r="R36" s="666">
        <f>((N36+O36)-(BA36+BB36))*10%</f>
        <v>0</v>
      </c>
      <c r="S36" s="666"/>
      <c r="T36" s="666">
        <f t="shared" ref="T36:T42" si="51">ROUND((Q36+R36+S36),0)</f>
        <v>0</v>
      </c>
      <c r="U36" s="666">
        <f t="shared" ref="U36:U42" si="52">(M36+N36+O36+P36)-T36</f>
        <v>0</v>
      </c>
      <c r="V36" s="662">
        <f>61314-1000-2700-7700+900</f>
        <v>50814</v>
      </c>
      <c r="W36" s="662">
        <f>3000-1500</f>
        <v>1500</v>
      </c>
      <c r="X36" s="662"/>
      <c r="Y36" s="666">
        <f>Z36-BM36</f>
        <v>2361.4000000000005</v>
      </c>
      <c r="Z36" s="666">
        <f t="shared" ref="Z36:Z42" si="53">V36*10%</f>
        <v>5081.4000000000005</v>
      </c>
      <c r="AA36" s="666">
        <v>1960</v>
      </c>
      <c r="AB36" s="666">
        <f t="shared" ref="AB36:AB42" si="54">ROUND((Y36+AA36+X36),0)</f>
        <v>4321</v>
      </c>
      <c r="AC36" s="666">
        <f t="shared" ref="AC36:AC42" si="55">(V36+W36)-AB36</f>
        <v>47993</v>
      </c>
      <c r="AD36" s="662"/>
      <c r="AE36" s="662"/>
      <c r="AF36" s="662"/>
      <c r="AG36" s="662"/>
      <c r="AH36" s="662"/>
      <c r="AI36" s="662"/>
      <c r="AJ36" s="662">
        <v>400</v>
      </c>
      <c r="AK36" s="662"/>
      <c r="AL36" s="664"/>
      <c r="AN36" s="610"/>
      <c r="AO36" s="659"/>
      <c r="AP36" s="660" t="s">
        <v>470</v>
      </c>
      <c r="AQ36" s="661"/>
      <c r="AR36" s="661"/>
      <c r="AS36" s="661"/>
      <c r="AT36" s="661"/>
      <c r="AU36" s="661"/>
      <c r="AV36" s="661"/>
      <c r="AW36" s="661"/>
      <c r="AX36" s="661"/>
      <c r="AY36" s="662">
        <f t="shared" ref="AY36:AY42" si="56">BG36+BN36+BO36+BP36</f>
        <v>48480</v>
      </c>
      <c r="AZ36" s="665"/>
      <c r="BA36" s="662"/>
      <c r="BB36" s="662"/>
      <c r="BC36" s="662"/>
      <c r="BD36" s="662"/>
      <c r="BE36" s="666">
        <f>(BA36+BB36)*10%</f>
        <v>0</v>
      </c>
      <c r="BF36" s="667">
        <f>ROUND(BE36,0)</f>
        <v>0</v>
      </c>
      <c r="BG36" s="666">
        <f>(AZ36+BA36+BB36+BC36)-BF36</f>
        <v>0</v>
      </c>
      <c r="BH36" s="662">
        <f>38200-7000</f>
        <v>31200</v>
      </c>
      <c r="BI36" s="662"/>
      <c r="BJ36" s="662">
        <v>20000</v>
      </c>
      <c r="BK36" s="662"/>
      <c r="BL36" s="666">
        <f>(BH36-4000)*10%</f>
        <v>2720</v>
      </c>
      <c r="BM36" s="667">
        <f>ROUND(BL36,0)</f>
        <v>2720</v>
      </c>
      <c r="BN36" s="666">
        <f>(BH36+BI36+BJ36)-BM36</f>
        <v>48480</v>
      </c>
      <c r="BO36" s="662"/>
      <c r="BP36" s="662"/>
      <c r="BQ36" s="662"/>
      <c r="BR36" s="662"/>
      <c r="BS36" s="662"/>
      <c r="BT36" s="662"/>
      <c r="BU36" s="662"/>
      <c r="BV36" s="662"/>
      <c r="BW36" s="662"/>
      <c r="CA36" s="1352"/>
      <c r="CB36" s="1352" t="s">
        <v>470</v>
      </c>
      <c r="CC36" s="1352"/>
      <c r="CD36" s="1352"/>
      <c r="CE36" s="1352"/>
      <c r="CF36" s="1352"/>
      <c r="CG36" s="1352"/>
      <c r="CH36" s="1352"/>
      <c r="CI36" s="1352"/>
      <c r="CJ36" s="1352"/>
      <c r="CK36" s="1353">
        <v>47183</v>
      </c>
      <c r="CL36" s="1353"/>
      <c r="CM36" s="1354"/>
      <c r="CN36" s="1354"/>
      <c r="CO36" s="1354"/>
      <c r="CP36" s="1354"/>
      <c r="CQ36" s="1354">
        <v>0</v>
      </c>
      <c r="CR36" s="1354"/>
      <c r="CS36" s="1354">
        <v>0</v>
      </c>
      <c r="CT36" s="1353">
        <v>0</v>
      </c>
      <c r="CU36" s="1353">
        <v>49914</v>
      </c>
      <c r="CV36" s="1353">
        <v>1500</v>
      </c>
      <c r="CW36" s="1353"/>
      <c r="CX36" s="1353">
        <v>2271.4000000000005</v>
      </c>
      <c r="CY36" s="1353">
        <v>4991.4000000000005</v>
      </c>
      <c r="CZ36" s="1353">
        <v>1960</v>
      </c>
      <c r="DA36" s="1353">
        <v>4231</v>
      </c>
      <c r="DB36" s="1353">
        <v>47183</v>
      </c>
      <c r="DC36" s="1353"/>
      <c r="DD36" s="1353"/>
      <c r="DE36" s="1353"/>
      <c r="DF36" s="1353"/>
      <c r="DG36" s="1353"/>
      <c r="DH36" s="1353"/>
      <c r="DI36" s="1353"/>
      <c r="DJ36" s="1353"/>
      <c r="DK36" s="1353"/>
      <c r="DT36" s="659"/>
      <c r="DU36" s="660" t="s">
        <v>470</v>
      </c>
      <c r="DV36" s="777">
        <f t="shared" ref="DV36:EK42" si="57">L36-CK36</f>
        <v>810</v>
      </c>
      <c r="DW36" s="777">
        <f t="shared" si="57"/>
        <v>0</v>
      </c>
      <c r="DX36" s="777">
        <f t="shared" si="57"/>
        <v>0</v>
      </c>
      <c r="DY36" s="777">
        <f t="shared" si="57"/>
        <v>0</v>
      </c>
      <c r="DZ36" s="777">
        <f t="shared" si="57"/>
        <v>0</v>
      </c>
      <c r="EA36" s="777">
        <f t="shared" si="57"/>
        <v>0</v>
      </c>
      <c r="EB36" s="777">
        <f t="shared" si="57"/>
        <v>0</v>
      </c>
      <c r="EC36" s="777">
        <f t="shared" si="57"/>
        <v>0</v>
      </c>
      <c r="ED36" s="777">
        <f t="shared" si="57"/>
        <v>0</v>
      </c>
      <c r="EE36" s="777">
        <f t="shared" si="57"/>
        <v>0</v>
      </c>
      <c r="EF36" s="777">
        <f t="shared" si="57"/>
        <v>900</v>
      </c>
      <c r="EG36" s="777">
        <f t="shared" si="57"/>
        <v>0</v>
      </c>
      <c r="EH36" s="777">
        <f t="shared" si="57"/>
        <v>0</v>
      </c>
      <c r="EI36" s="777">
        <f t="shared" si="57"/>
        <v>90</v>
      </c>
      <c r="EJ36" s="777">
        <f t="shared" si="57"/>
        <v>90</v>
      </c>
      <c r="EK36" s="777">
        <f t="shared" si="57"/>
        <v>0</v>
      </c>
      <c r="EL36" s="777">
        <f t="shared" ref="EL36:EV42" si="58">AB36-DA36</f>
        <v>90</v>
      </c>
      <c r="EM36" s="777">
        <f t="shared" si="58"/>
        <v>810</v>
      </c>
      <c r="EN36" s="777">
        <f t="shared" si="58"/>
        <v>0</v>
      </c>
      <c r="EO36" s="777">
        <f t="shared" si="58"/>
        <v>0</v>
      </c>
      <c r="EP36" s="777">
        <f t="shared" si="58"/>
        <v>0</v>
      </c>
      <c r="EQ36" s="777">
        <f t="shared" si="58"/>
        <v>0</v>
      </c>
      <c r="ER36" s="777">
        <f t="shared" si="58"/>
        <v>0</v>
      </c>
      <c r="ES36" s="777">
        <f t="shared" si="58"/>
        <v>0</v>
      </c>
      <c r="ET36" s="777">
        <f t="shared" si="58"/>
        <v>400</v>
      </c>
      <c r="EU36" s="777">
        <f t="shared" si="58"/>
        <v>0</v>
      </c>
      <c r="EV36" s="777">
        <f t="shared" si="58"/>
        <v>0</v>
      </c>
    </row>
    <row r="37" spans="1:152" ht="28.5" hidden="1" customHeight="1">
      <c r="A37" s="659"/>
      <c r="B37" s="660" t="s">
        <v>471</v>
      </c>
      <c r="C37" s="661">
        <f>D37+I37</f>
        <v>14</v>
      </c>
      <c r="D37" s="661">
        <f>E37+F37</f>
        <v>12</v>
      </c>
      <c r="E37" s="661">
        <v>12</v>
      </c>
      <c r="F37" s="661"/>
      <c r="G37" s="661">
        <v>12</v>
      </c>
      <c r="H37" s="661"/>
      <c r="I37" s="661">
        <v>2</v>
      </c>
      <c r="J37" s="661">
        <v>2</v>
      </c>
      <c r="K37" s="646">
        <f t="shared" si="5"/>
        <v>1703</v>
      </c>
      <c r="L37" s="662">
        <f t="shared" si="50"/>
        <v>1703</v>
      </c>
      <c r="M37" s="662">
        <v>1292</v>
      </c>
      <c r="N37" s="662">
        <v>348</v>
      </c>
      <c r="O37" s="662"/>
      <c r="P37" s="662"/>
      <c r="Q37" s="662"/>
      <c r="R37" s="666"/>
      <c r="S37" s="666">
        <v>38</v>
      </c>
      <c r="T37" s="666">
        <f t="shared" si="51"/>
        <v>38</v>
      </c>
      <c r="U37" s="666">
        <f t="shared" si="52"/>
        <v>1602</v>
      </c>
      <c r="V37" s="662"/>
      <c r="W37" s="662">
        <v>106</v>
      </c>
      <c r="X37" s="662"/>
      <c r="Y37" s="666">
        <f>Z37-BM37</f>
        <v>0</v>
      </c>
      <c r="Z37" s="666">
        <f t="shared" si="53"/>
        <v>0</v>
      </c>
      <c r="AA37" s="666">
        <v>5</v>
      </c>
      <c r="AB37" s="666">
        <f t="shared" si="54"/>
        <v>5</v>
      </c>
      <c r="AC37" s="666">
        <f t="shared" si="55"/>
        <v>101</v>
      </c>
      <c r="AD37" s="662"/>
      <c r="AE37" s="662"/>
      <c r="AF37" s="662"/>
      <c r="AG37" s="662">
        <v>90</v>
      </c>
      <c r="AH37" s="662"/>
      <c r="AI37" s="662"/>
      <c r="AJ37" s="662"/>
      <c r="AK37" s="662"/>
      <c r="AL37" s="664"/>
      <c r="AN37" s="610"/>
      <c r="AO37" s="659"/>
      <c r="AP37" s="660" t="s">
        <v>471</v>
      </c>
      <c r="AQ37" s="661">
        <f>AR37+AW37</f>
        <v>15</v>
      </c>
      <c r="AR37" s="661">
        <f>AS37+AT37</f>
        <v>13</v>
      </c>
      <c r="AS37" s="661">
        <v>13</v>
      </c>
      <c r="AT37" s="661"/>
      <c r="AU37" s="661">
        <v>12</v>
      </c>
      <c r="AV37" s="661"/>
      <c r="AW37" s="661">
        <v>2</v>
      </c>
      <c r="AX37" s="661">
        <v>1</v>
      </c>
      <c r="AY37" s="662">
        <f t="shared" si="56"/>
        <v>1554</v>
      </c>
      <c r="AZ37" s="665">
        <v>1215</v>
      </c>
      <c r="BA37" s="662">
        <v>353</v>
      </c>
      <c r="BB37" s="662">
        <v>24</v>
      </c>
      <c r="BC37" s="662"/>
      <c r="BD37" s="662"/>
      <c r="BE37" s="666">
        <f>(BA37+BB37)*10%</f>
        <v>37.700000000000003</v>
      </c>
      <c r="BF37" s="667">
        <f>ROUND(BE37,0)</f>
        <v>38</v>
      </c>
      <c r="BG37" s="666">
        <f>(AZ37+BA37+BB37+BC37)-BF37</f>
        <v>1554</v>
      </c>
      <c r="BH37" s="662"/>
      <c r="BI37" s="662"/>
      <c r="BJ37" s="662"/>
      <c r="BK37" s="662"/>
      <c r="BL37" s="666">
        <f>BH37*10%</f>
        <v>0</v>
      </c>
      <c r="BM37" s="667">
        <f>ROUND(BL37,0)</f>
        <v>0</v>
      </c>
      <c r="BN37" s="666">
        <f>(BH37+BI37+BJ37)-BM37</f>
        <v>0</v>
      </c>
      <c r="BO37" s="662"/>
      <c r="BP37" s="662"/>
      <c r="BQ37" s="662"/>
      <c r="BR37" s="662">
        <v>120</v>
      </c>
      <c r="BS37" s="662"/>
      <c r="BT37" s="662"/>
      <c r="BU37" s="662"/>
      <c r="BV37" s="662"/>
      <c r="BW37" s="662"/>
      <c r="CA37" s="1352"/>
      <c r="CB37" s="1352" t="s">
        <v>471</v>
      </c>
      <c r="CC37" s="1352">
        <v>14</v>
      </c>
      <c r="CD37" s="1352">
        <v>12</v>
      </c>
      <c r="CE37" s="1352">
        <v>12</v>
      </c>
      <c r="CF37" s="1352"/>
      <c r="CG37" s="1352">
        <v>12</v>
      </c>
      <c r="CH37" s="1352"/>
      <c r="CI37" s="1352">
        <v>2</v>
      </c>
      <c r="CJ37" s="1352">
        <v>2</v>
      </c>
      <c r="CK37" s="1353">
        <v>1703</v>
      </c>
      <c r="CL37" s="1353">
        <v>1292</v>
      </c>
      <c r="CM37" s="1354">
        <v>348</v>
      </c>
      <c r="CN37" s="1354"/>
      <c r="CO37" s="1354"/>
      <c r="CP37" s="1354"/>
      <c r="CQ37" s="1354"/>
      <c r="CR37" s="1354">
        <v>38</v>
      </c>
      <c r="CS37" s="1354">
        <v>38</v>
      </c>
      <c r="CT37" s="1353">
        <v>1602</v>
      </c>
      <c r="CU37" s="1353"/>
      <c r="CV37" s="1353">
        <v>106</v>
      </c>
      <c r="CW37" s="1353"/>
      <c r="CX37" s="1353">
        <v>0</v>
      </c>
      <c r="CY37" s="1353">
        <v>0</v>
      </c>
      <c r="CZ37" s="1353">
        <v>5</v>
      </c>
      <c r="DA37" s="1353">
        <v>5</v>
      </c>
      <c r="DB37" s="1353">
        <v>101</v>
      </c>
      <c r="DC37" s="1353"/>
      <c r="DD37" s="1353"/>
      <c r="DE37" s="1353"/>
      <c r="DF37" s="1353"/>
      <c r="DG37" s="1353"/>
      <c r="DH37" s="1353"/>
      <c r="DI37" s="1353"/>
      <c r="DJ37" s="1353"/>
      <c r="DK37" s="1353"/>
      <c r="DT37" s="659"/>
      <c r="DU37" s="660" t="s">
        <v>471</v>
      </c>
      <c r="DV37" s="777">
        <f t="shared" si="57"/>
        <v>0</v>
      </c>
      <c r="DW37" s="777">
        <f t="shared" si="57"/>
        <v>0</v>
      </c>
      <c r="DX37" s="777">
        <f t="shared" si="57"/>
        <v>0</v>
      </c>
      <c r="DY37" s="777">
        <f t="shared" si="57"/>
        <v>0</v>
      </c>
      <c r="DZ37" s="777">
        <f t="shared" si="57"/>
        <v>0</v>
      </c>
      <c r="EA37" s="777">
        <f t="shared" si="57"/>
        <v>0</v>
      </c>
      <c r="EB37" s="777">
        <f t="shared" si="57"/>
        <v>0</v>
      </c>
      <c r="EC37" s="777">
        <f t="shared" si="57"/>
        <v>0</v>
      </c>
      <c r="ED37" s="777">
        <f t="shared" si="57"/>
        <v>0</v>
      </c>
      <c r="EE37" s="777">
        <f t="shared" si="57"/>
        <v>0</v>
      </c>
      <c r="EF37" s="777">
        <f t="shared" si="57"/>
        <v>0</v>
      </c>
      <c r="EG37" s="777">
        <f t="shared" si="57"/>
        <v>0</v>
      </c>
      <c r="EH37" s="777">
        <f t="shared" si="57"/>
        <v>0</v>
      </c>
      <c r="EI37" s="777">
        <f t="shared" si="57"/>
        <v>0</v>
      </c>
      <c r="EJ37" s="777">
        <f t="shared" si="57"/>
        <v>0</v>
      </c>
      <c r="EK37" s="777">
        <f t="shared" si="57"/>
        <v>0</v>
      </c>
      <c r="EL37" s="777">
        <f t="shared" si="58"/>
        <v>0</v>
      </c>
      <c r="EM37" s="777">
        <f t="shared" si="58"/>
        <v>0</v>
      </c>
      <c r="EN37" s="777">
        <f t="shared" si="58"/>
        <v>0</v>
      </c>
      <c r="EO37" s="777">
        <f t="shared" si="58"/>
        <v>0</v>
      </c>
      <c r="EP37" s="777">
        <f t="shared" si="58"/>
        <v>0</v>
      </c>
      <c r="EQ37" s="777">
        <f t="shared" si="58"/>
        <v>90</v>
      </c>
      <c r="ER37" s="777">
        <f t="shared" si="58"/>
        <v>0</v>
      </c>
      <c r="ES37" s="777">
        <f t="shared" si="58"/>
        <v>0</v>
      </c>
      <c r="ET37" s="777">
        <f t="shared" si="58"/>
        <v>0</v>
      </c>
      <c r="EU37" s="777">
        <f t="shared" si="58"/>
        <v>0</v>
      </c>
      <c r="EV37" s="777">
        <f t="shared" si="58"/>
        <v>0</v>
      </c>
    </row>
    <row r="38" spans="1:152" ht="28.5" hidden="1" customHeight="1">
      <c r="A38" s="659"/>
      <c r="B38" s="660" t="s">
        <v>472</v>
      </c>
      <c r="C38" s="661">
        <f>D38+I38</f>
        <v>0</v>
      </c>
      <c r="D38" s="661">
        <f>E38+F38</f>
        <v>0</v>
      </c>
      <c r="E38" s="661"/>
      <c r="F38" s="661"/>
      <c r="G38" s="661"/>
      <c r="H38" s="661"/>
      <c r="I38" s="661"/>
      <c r="J38" s="711"/>
      <c r="K38" s="646">
        <f t="shared" si="5"/>
        <v>0</v>
      </c>
      <c r="L38" s="662">
        <f t="shared" si="50"/>
        <v>0</v>
      </c>
      <c r="M38" s="662">
        <f>600-600</f>
        <v>0</v>
      </c>
      <c r="N38" s="662"/>
      <c r="O38" s="662"/>
      <c r="P38" s="662"/>
      <c r="Q38" s="662"/>
      <c r="R38" s="666"/>
      <c r="S38" s="666"/>
      <c r="T38" s="666">
        <f t="shared" si="51"/>
        <v>0</v>
      </c>
      <c r="U38" s="666">
        <f t="shared" si="52"/>
        <v>0</v>
      </c>
      <c r="V38" s="662">
        <f>439-439</f>
        <v>0</v>
      </c>
      <c r="W38" s="662">
        <f>6-6</f>
        <v>0</v>
      </c>
      <c r="X38" s="662"/>
      <c r="Y38" s="666"/>
      <c r="Z38" s="666">
        <f t="shared" si="53"/>
        <v>0</v>
      </c>
      <c r="AA38" s="666">
        <f>42-42</f>
        <v>0</v>
      </c>
      <c r="AB38" s="666">
        <f t="shared" si="54"/>
        <v>0</v>
      </c>
      <c r="AC38" s="666">
        <f>(V38+W38)-AB38</f>
        <v>0</v>
      </c>
      <c r="AD38" s="662"/>
      <c r="AE38" s="662"/>
      <c r="AF38" s="662"/>
      <c r="AG38" s="662"/>
      <c r="AH38" s="662"/>
      <c r="AI38" s="662"/>
      <c r="AJ38" s="662"/>
      <c r="AK38" s="662"/>
      <c r="AL38" s="664"/>
      <c r="AN38" s="610"/>
      <c r="AO38" s="659"/>
      <c r="AP38" s="660" t="s">
        <v>472</v>
      </c>
      <c r="AQ38" s="661">
        <f>AR38+AW38</f>
        <v>7</v>
      </c>
      <c r="AR38" s="661">
        <f>AS38+AT38</f>
        <v>6</v>
      </c>
      <c r="AS38" s="661">
        <v>6</v>
      </c>
      <c r="AT38" s="661"/>
      <c r="AU38" s="661">
        <v>5</v>
      </c>
      <c r="AV38" s="661"/>
      <c r="AW38" s="661">
        <v>1</v>
      </c>
      <c r="AX38" s="711">
        <v>1</v>
      </c>
      <c r="AY38" s="662">
        <f t="shared" si="56"/>
        <v>1247</v>
      </c>
      <c r="AZ38" s="665">
        <v>550</v>
      </c>
      <c r="BA38" s="662">
        <v>159</v>
      </c>
      <c r="BB38" s="662">
        <v>15</v>
      </c>
      <c r="BC38" s="662"/>
      <c r="BD38" s="662"/>
      <c r="BE38" s="666">
        <f>(BA38+BB38)*10%</f>
        <v>17.400000000000002</v>
      </c>
      <c r="BF38" s="667">
        <f>ROUND(BE38,0)</f>
        <v>17</v>
      </c>
      <c r="BG38" s="666">
        <f>(AZ38+BA38+BB38+BC38)-BF38</f>
        <v>707</v>
      </c>
      <c r="BH38" s="662">
        <f>59+400</f>
        <v>459</v>
      </c>
      <c r="BI38" s="662"/>
      <c r="BJ38" s="662">
        <v>127</v>
      </c>
      <c r="BK38" s="662"/>
      <c r="BL38" s="666">
        <f>BH38*10%</f>
        <v>45.900000000000006</v>
      </c>
      <c r="BM38" s="667">
        <f>ROUND(BL38,0)</f>
        <v>46</v>
      </c>
      <c r="BN38" s="666">
        <f>(BH38+BI38+BJ38)-BM38</f>
        <v>540</v>
      </c>
      <c r="BO38" s="662"/>
      <c r="BP38" s="662"/>
      <c r="BQ38" s="662"/>
      <c r="BR38" s="662"/>
      <c r="BS38" s="662"/>
      <c r="BT38" s="662"/>
      <c r="BU38" s="662"/>
      <c r="BV38" s="662"/>
      <c r="BW38" s="662"/>
      <c r="CA38" s="1352"/>
      <c r="CB38" s="1352" t="s">
        <v>472</v>
      </c>
      <c r="CC38" s="1352">
        <v>7</v>
      </c>
      <c r="CD38" s="1352">
        <v>6</v>
      </c>
      <c r="CE38" s="1352">
        <v>6</v>
      </c>
      <c r="CF38" s="1352"/>
      <c r="CG38" s="1352">
        <v>5</v>
      </c>
      <c r="CH38" s="1352"/>
      <c r="CI38" s="1352">
        <v>1</v>
      </c>
      <c r="CJ38" s="1352">
        <v>1</v>
      </c>
      <c r="CK38" s="1353">
        <v>1003</v>
      </c>
      <c r="CL38" s="1353">
        <v>600</v>
      </c>
      <c r="CM38" s="1354"/>
      <c r="CN38" s="1354"/>
      <c r="CO38" s="1354"/>
      <c r="CP38" s="1354"/>
      <c r="CQ38" s="1354"/>
      <c r="CR38" s="1354"/>
      <c r="CS38" s="1354">
        <v>0</v>
      </c>
      <c r="CT38" s="1353">
        <v>600</v>
      </c>
      <c r="CU38" s="1353">
        <v>439</v>
      </c>
      <c r="CV38" s="1353">
        <v>6</v>
      </c>
      <c r="CW38" s="1353"/>
      <c r="CX38" s="1353"/>
      <c r="CY38" s="1353">
        <v>43.900000000000006</v>
      </c>
      <c r="CZ38" s="1353">
        <v>42</v>
      </c>
      <c r="DA38" s="1353">
        <v>42</v>
      </c>
      <c r="DB38" s="1353">
        <v>403</v>
      </c>
      <c r="DC38" s="1353"/>
      <c r="DD38" s="1353"/>
      <c r="DE38" s="1353"/>
      <c r="DF38" s="1353"/>
      <c r="DG38" s="1353"/>
      <c r="DH38" s="1353"/>
      <c r="DI38" s="1353"/>
      <c r="DJ38" s="1353"/>
      <c r="DK38" s="1353"/>
      <c r="DT38" s="659"/>
      <c r="DU38" s="660" t="s">
        <v>472</v>
      </c>
      <c r="DV38" s="777">
        <f t="shared" si="57"/>
        <v>-1003</v>
      </c>
      <c r="DW38" s="777">
        <f t="shared" si="57"/>
        <v>-600</v>
      </c>
      <c r="DX38" s="777">
        <f t="shared" si="57"/>
        <v>0</v>
      </c>
      <c r="DY38" s="777">
        <f t="shared" si="57"/>
        <v>0</v>
      </c>
      <c r="DZ38" s="777">
        <f t="shared" si="57"/>
        <v>0</v>
      </c>
      <c r="EA38" s="777">
        <f t="shared" si="57"/>
        <v>0</v>
      </c>
      <c r="EB38" s="777">
        <f t="shared" si="57"/>
        <v>0</v>
      </c>
      <c r="EC38" s="777">
        <f t="shared" si="57"/>
        <v>0</v>
      </c>
      <c r="ED38" s="777">
        <f t="shared" si="57"/>
        <v>0</v>
      </c>
      <c r="EE38" s="777">
        <f t="shared" si="57"/>
        <v>-600</v>
      </c>
      <c r="EF38" s="777">
        <f t="shared" si="57"/>
        <v>-439</v>
      </c>
      <c r="EG38" s="777">
        <f t="shared" si="57"/>
        <v>-6</v>
      </c>
      <c r="EH38" s="777">
        <f t="shared" si="57"/>
        <v>0</v>
      </c>
      <c r="EI38" s="777">
        <f t="shared" si="57"/>
        <v>0</v>
      </c>
      <c r="EJ38" s="777">
        <f t="shared" si="57"/>
        <v>-43.900000000000006</v>
      </c>
      <c r="EK38" s="777">
        <f t="shared" si="57"/>
        <v>-42</v>
      </c>
      <c r="EL38" s="777">
        <f t="shared" si="58"/>
        <v>-42</v>
      </c>
      <c r="EM38" s="777">
        <f t="shared" si="58"/>
        <v>-403</v>
      </c>
      <c r="EN38" s="777">
        <f t="shared" si="58"/>
        <v>0</v>
      </c>
      <c r="EO38" s="777">
        <f t="shared" si="58"/>
        <v>0</v>
      </c>
      <c r="EP38" s="777">
        <f t="shared" si="58"/>
        <v>0</v>
      </c>
      <c r="EQ38" s="777">
        <f t="shared" si="58"/>
        <v>0</v>
      </c>
      <c r="ER38" s="777">
        <f t="shared" si="58"/>
        <v>0</v>
      </c>
      <c r="ES38" s="777">
        <f t="shared" si="58"/>
        <v>0</v>
      </c>
      <c r="ET38" s="777">
        <f t="shared" si="58"/>
        <v>0</v>
      </c>
      <c r="EU38" s="777">
        <f t="shared" si="58"/>
        <v>0</v>
      </c>
      <c r="EV38" s="777">
        <f t="shared" si="58"/>
        <v>0</v>
      </c>
    </row>
    <row r="39" spans="1:152" ht="28.5" hidden="1" customHeight="1">
      <c r="A39" s="659"/>
      <c r="B39" s="660" t="s">
        <v>473</v>
      </c>
      <c r="C39" s="661">
        <f>D39+I39</f>
        <v>15</v>
      </c>
      <c r="D39" s="661">
        <f>E39+F39</f>
        <v>15</v>
      </c>
      <c r="E39" s="661">
        <f>8+1</f>
        <v>9</v>
      </c>
      <c r="F39" s="661">
        <v>6</v>
      </c>
      <c r="G39" s="661">
        <v>7</v>
      </c>
      <c r="H39" s="661">
        <v>6</v>
      </c>
      <c r="I39" s="661"/>
      <c r="J39" s="661"/>
      <c r="K39" s="646">
        <f t="shared" si="5"/>
        <v>1738</v>
      </c>
      <c r="L39" s="662">
        <f t="shared" si="50"/>
        <v>1738</v>
      </c>
      <c r="M39" s="662">
        <f>1023+51</f>
        <v>1074</v>
      </c>
      <c r="N39" s="662">
        <f>406+29</f>
        <v>435</v>
      </c>
      <c r="O39" s="662"/>
      <c r="P39" s="662"/>
      <c r="Q39" s="662"/>
      <c r="R39" s="666">
        <f>((N39+O39)-(BA39+BB39))*10%</f>
        <v>2.9000000000000004</v>
      </c>
      <c r="S39" s="666">
        <v>41</v>
      </c>
      <c r="T39" s="666">
        <f t="shared" si="51"/>
        <v>44</v>
      </c>
      <c r="U39" s="666">
        <f t="shared" si="52"/>
        <v>1465</v>
      </c>
      <c r="V39" s="662">
        <v>300</v>
      </c>
      <c r="W39" s="662"/>
      <c r="X39" s="662"/>
      <c r="Y39" s="666"/>
      <c r="Z39" s="666">
        <f t="shared" si="53"/>
        <v>30</v>
      </c>
      <c r="AA39" s="666">
        <v>27</v>
      </c>
      <c r="AB39" s="666">
        <f t="shared" si="54"/>
        <v>27</v>
      </c>
      <c r="AC39" s="666">
        <f t="shared" si="55"/>
        <v>273</v>
      </c>
      <c r="AD39" s="662"/>
      <c r="AE39" s="662"/>
      <c r="AF39" s="662"/>
      <c r="AG39" s="662">
        <v>506</v>
      </c>
      <c r="AH39" s="662"/>
      <c r="AI39" s="662"/>
      <c r="AJ39" s="662"/>
      <c r="AK39" s="662"/>
      <c r="AL39" s="664"/>
      <c r="AN39" s="610"/>
      <c r="AO39" s="659"/>
      <c r="AP39" s="660" t="s">
        <v>473</v>
      </c>
      <c r="AQ39" s="661">
        <f>AR39+AW39</f>
        <v>15</v>
      </c>
      <c r="AR39" s="661">
        <f>AS39+AT39</f>
        <v>14</v>
      </c>
      <c r="AS39" s="661">
        <v>8</v>
      </c>
      <c r="AT39" s="661">
        <v>6</v>
      </c>
      <c r="AU39" s="661">
        <v>7</v>
      </c>
      <c r="AV39" s="661">
        <v>6</v>
      </c>
      <c r="AW39" s="661">
        <v>1</v>
      </c>
      <c r="AX39" s="661">
        <v>1</v>
      </c>
      <c r="AY39" s="662">
        <f t="shared" si="56"/>
        <v>1685</v>
      </c>
      <c r="AZ39" s="665">
        <v>1013</v>
      </c>
      <c r="BA39" s="662">
        <v>300</v>
      </c>
      <c r="BB39" s="662">
        <v>106</v>
      </c>
      <c r="BC39" s="662"/>
      <c r="BD39" s="662"/>
      <c r="BE39" s="666">
        <f>(BA39+BB39)*10%</f>
        <v>40.6</v>
      </c>
      <c r="BF39" s="667">
        <f>ROUND(BE39,0)</f>
        <v>41</v>
      </c>
      <c r="BG39" s="666">
        <f>(AZ39+BA39+BB39+BC39)-BF39</f>
        <v>1378</v>
      </c>
      <c r="BH39" s="662">
        <v>324</v>
      </c>
      <c r="BI39" s="662"/>
      <c r="BJ39" s="662">
        <v>15</v>
      </c>
      <c r="BK39" s="662"/>
      <c r="BL39" s="666">
        <f>BH39*10%</f>
        <v>32.4</v>
      </c>
      <c r="BM39" s="667">
        <f>ROUND(BL39,0)</f>
        <v>32</v>
      </c>
      <c r="BN39" s="666">
        <f>(BH39+BI39+BJ39)-BM39</f>
        <v>307</v>
      </c>
      <c r="BO39" s="662"/>
      <c r="BP39" s="662"/>
      <c r="BQ39" s="662">
        <v>130</v>
      </c>
      <c r="BR39" s="662">
        <v>465</v>
      </c>
      <c r="BS39" s="662"/>
      <c r="BT39" s="662"/>
      <c r="BU39" s="662"/>
      <c r="BV39" s="662"/>
      <c r="BW39" s="662"/>
      <c r="CA39" s="1352"/>
      <c r="CB39" s="1352" t="s">
        <v>473</v>
      </c>
      <c r="CC39" s="1352">
        <v>14</v>
      </c>
      <c r="CD39" s="1352">
        <v>14</v>
      </c>
      <c r="CE39" s="1352">
        <v>8</v>
      </c>
      <c r="CF39" s="1352">
        <v>6</v>
      </c>
      <c r="CG39" s="1352">
        <v>7</v>
      </c>
      <c r="CH39" s="1352">
        <v>6</v>
      </c>
      <c r="CI39" s="1352"/>
      <c r="CJ39" s="1352"/>
      <c r="CK39" s="1353">
        <v>1661</v>
      </c>
      <c r="CL39" s="1353">
        <v>1023</v>
      </c>
      <c r="CM39" s="1354">
        <v>406</v>
      </c>
      <c r="CN39" s="1354"/>
      <c r="CO39" s="1354"/>
      <c r="CP39" s="1354"/>
      <c r="CQ39" s="1354">
        <v>0</v>
      </c>
      <c r="CR39" s="1354">
        <v>41</v>
      </c>
      <c r="CS39" s="1354">
        <v>41</v>
      </c>
      <c r="CT39" s="1353">
        <v>1388</v>
      </c>
      <c r="CU39" s="1353">
        <v>300</v>
      </c>
      <c r="CV39" s="1353"/>
      <c r="CW39" s="1353"/>
      <c r="CX39" s="1353"/>
      <c r="CY39" s="1353">
        <v>30</v>
      </c>
      <c r="CZ39" s="1353">
        <v>27</v>
      </c>
      <c r="DA39" s="1353">
        <v>27</v>
      </c>
      <c r="DB39" s="1353">
        <v>273</v>
      </c>
      <c r="DC39" s="1353"/>
      <c r="DD39" s="1353"/>
      <c r="DE39" s="1353"/>
      <c r="DF39" s="1353"/>
      <c r="DG39" s="1353"/>
      <c r="DH39" s="1353"/>
      <c r="DI39" s="1353"/>
      <c r="DJ39" s="1353"/>
      <c r="DK39" s="1353"/>
      <c r="DT39" s="659"/>
      <c r="DU39" s="660" t="s">
        <v>473</v>
      </c>
      <c r="DV39" s="777">
        <f t="shared" si="57"/>
        <v>77</v>
      </c>
      <c r="DW39" s="777">
        <f t="shared" si="57"/>
        <v>51</v>
      </c>
      <c r="DX39" s="777">
        <f t="shared" si="57"/>
        <v>29</v>
      </c>
      <c r="DY39" s="777">
        <f t="shared" si="57"/>
        <v>0</v>
      </c>
      <c r="DZ39" s="777">
        <f t="shared" si="57"/>
        <v>0</v>
      </c>
      <c r="EA39" s="777">
        <f t="shared" si="57"/>
        <v>0</v>
      </c>
      <c r="EB39" s="777">
        <f t="shared" si="57"/>
        <v>2.9000000000000004</v>
      </c>
      <c r="EC39" s="777">
        <f t="shared" si="57"/>
        <v>0</v>
      </c>
      <c r="ED39" s="777">
        <f t="shared" si="57"/>
        <v>3</v>
      </c>
      <c r="EE39" s="777">
        <f t="shared" si="57"/>
        <v>77</v>
      </c>
      <c r="EF39" s="777">
        <f t="shared" si="57"/>
        <v>0</v>
      </c>
      <c r="EG39" s="777">
        <f t="shared" si="57"/>
        <v>0</v>
      </c>
      <c r="EH39" s="777">
        <f t="shared" si="57"/>
        <v>0</v>
      </c>
      <c r="EI39" s="777">
        <f t="shared" si="57"/>
        <v>0</v>
      </c>
      <c r="EJ39" s="777">
        <f t="shared" si="57"/>
        <v>0</v>
      </c>
      <c r="EK39" s="777">
        <f t="shared" si="57"/>
        <v>0</v>
      </c>
      <c r="EL39" s="777">
        <f t="shared" si="58"/>
        <v>0</v>
      </c>
      <c r="EM39" s="777">
        <f t="shared" si="58"/>
        <v>0</v>
      </c>
      <c r="EN39" s="777">
        <f t="shared" si="58"/>
        <v>0</v>
      </c>
      <c r="EO39" s="777">
        <f t="shared" si="58"/>
        <v>0</v>
      </c>
      <c r="EP39" s="777">
        <f t="shared" si="58"/>
        <v>0</v>
      </c>
      <c r="EQ39" s="777">
        <f t="shared" si="58"/>
        <v>506</v>
      </c>
      <c r="ER39" s="777">
        <f t="shared" si="58"/>
        <v>0</v>
      </c>
      <c r="ES39" s="777">
        <f t="shared" si="58"/>
        <v>0</v>
      </c>
      <c r="ET39" s="777">
        <f t="shared" si="58"/>
        <v>0</v>
      </c>
      <c r="EU39" s="777">
        <f t="shared" si="58"/>
        <v>0</v>
      </c>
      <c r="EV39" s="777">
        <f t="shared" si="58"/>
        <v>0</v>
      </c>
    </row>
    <row r="40" spans="1:152" ht="28.5" hidden="1" customHeight="1">
      <c r="A40" s="659"/>
      <c r="B40" s="660" t="s">
        <v>474</v>
      </c>
      <c r="C40" s="661">
        <f>D40+I40</f>
        <v>29</v>
      </c>
      <c r="D40" s="661">
        <f>E40+F40</f>
        <v>26</v>
      </c>
      <c r="E40" s="661"/>
      <c r="F40" s="661">
        <v>26</v>
      </c>
      <c r="G40" s="661"/>
      <c r="H40" s="661">
        <v>25</v>
      </c>
      <c r="I40" s="661">
        <v>3</v>
      </c>
      <c r="J40" s="661">
        <v>3</v>
      </c>
      <c r="K40" s="646">
        <f t="shared" si="5"/>
        <v>2662</v>
      </c>
      <c r="L40" s="662">
        <f t="shared" si="50"/>
        <v>2662</v>
      </c>
      <c r="M40" s="662">
        <v>1737</v>
      </c>
      <c r="N40" s="662">
        <f>632</f>
        <v>632</v>
      </c>
      <c r="O40" s="662"/>
      <c r="P40" s="662"/>
      <c r="Q40" s="692"/>
      <c r="R40" s="666">
        <f>((N40+O40)-(BA40+BB40))*10%</f>
        <v>0.8</v>
      </c>
      <c r="S40" s="666">
        <v>65</v>
      </c>
      <c r="T40" s="666">
        <f t="shared" si="51"/>
        <v>66</v>
      </c>
      <c r="U40" s="666">
        <f t="shared" si="52"/>
        <v>2303</v>
      </c>
      <c r="V40" s="662">
        <v>380</v>
      </c>
      <c r="W40" s="662">
        <v>30</v>
      </c>
      <c r="X40" s="692"/>
      <c r="Y40" s="666"/>
      <c r="Z40" s="666">
        <f t="shared" si="53"/>
        <v>38</v>
      </c>
      <c r="AA40" s="666">
        <v>51</v>
      </c>
      <c r="AB40" s="666">
        <f t="shared" si="54"/>
        <v>51</v>
      </c>
      <c r="AC40" s="666">
        <f t="shared" si="55"/>
        <v>359</v>
      </c>
      <c r="AD40" s="662"/>
      <c r="AE40" s="692"/>
      <c r="AF40" s="662"/>
      <c r="AG40" s="662"/>
      <c r="AH40" s="662"/>
      <c r="AI40" s="692"/>
      <c r="AJ40" s="692"/>
      <c r="AK40" s="692"/>
      <c r="AL40" s="688"/>
      <c r="AN40" s="610"/>
      <c r="AO40" s="659"/>
      <c r="AP40" s="660" t="s">
        <v>474</v>
      </c>
      <c r="AQ40" s="661">
        <f>AR40+AW40</f>
        <v>38</v>
      </c>
      <c r="AR40" s="661">
        <f>AS40+AT40</f>
        <v>35</v>
      </c>
      <c r="AS40" s="661"/>
      <c r="AT40" s="661">
        <f>26+9</f>
        <v>35</v>
      </c>
      <c r="AU40" s="661"/>
      <c r="AV40" s="661">
        <v>25</v>
      </c>
      <c r="AW40" s="661">
        <v>3</v>
      </c>
      <c r="AX40" s="661">
        <v>3</v>
      </c>
      <c r="AY40" s="662">
        <f t="shared" si="56"/>
        <v>2724</v>
      </c>
      <c r="AZ40" s="665">
        <v>1802</v>
      </c>
      <c r="BA40" s="662">
        <v>568</v>
      </c>
      <c r="BB40" s="662">
        <v>56</v>
      </c>
      <c r="BC40" s="662"/>
      <c r="BD40" s="692"/>
      <c r="BE40" s="666">
        <f>(BA40+BB40)*10%</f>
        <v>62.400000000000006</v>
      </c>
      <c r="BF40" s="667">
        <f>ROUND(BE40,0)</f>
        <v>62</v>
      </c>
      <c r="BG40" s="666">
        <f>(AZ40+BA40+BB40+BC40)-BF40</f>
        <v>2364</v>
      </c>
      <c r="BH40" s="662">
        <v>400</v>
      </c>
      <c r="BI40" s="692"/>
      <c r="BJ40" s="662"/>
      <c r="BK40" s="692"/>
      <c r="BL40" s="666">
        <f>BH40*10%</f>
        <v>40</v>
      </c>
      <c r="BM40" s="667">
        <f>ROUND(BL40,0)</f>
        <v>40</v>
      </c>
      <c r="BN40" s="666">
        <f>(BH40+BI40+BJ40)-BM40</f>
        <v>360</v>
      </c>
      <c r="BO40" s="662"/>
      <c r="BP40" s="692"/>
      <c r="BQ40" s="662">
        <v>350</v>
      </c>
      <c r="BR40" s="662"/>
      <c r="BS40" s="662"/>
      <c r="BT40" s="692"/>
      <c r="BU40" s="692"/>
      <c r="BV40" s="692"/>
      <c r="BW40" s="692"/>
      <c r="CA40" s="1352"/>
      <c r="CB40" s="1352" t="s">
        <v>474</v>
      </c>
      <c r="CC40" s="1352">
        <v>29</v>
      </c>
      <c r="CD40" s="1352">
        <v>26</v>
      </c>
      <c r="CE40" s="1352"/>
      <c r="CF40" s="1352">
        <v>26</v>
      </c>
      <c r="CG40" s="1352"/>
      <c r="CH40" s="1352">
        <v>25</v>
      </c>
      <c r="CI40" s="1352">
        <v>3</v>
      </c>
      <c r="CJ40" s="1352">
        <v>3</v>
      </c>
      <c r="CK40" s="1353">
        <v>2662</v>
      </c>
      <c r="CL40" s="1353">
        <v>1737</v>
      </c>
      <c r="CM40" s="1354">
        <v>632</v>
      </c>
      <c r="CN40" s="1354"/>
      <c r="CO40" s="1354"/>
      <c r="CP40" s="1354"/>
      <c r="CQ40" s="1354">
        <v>0.8</v>
      </c>
      <c r="CR40" s="1354">
        <v>65</v>
      </c>
      <c r="CS40" s="1354">
        <v>66</v>
      </c>
      <c r="CT40" s="1353">
        <v>2303</v>
      </c>
      <c r="CU40" s="1353">
        <v>380</v>
      </c>
      <c r="CV40" s="1353">
        <v>30</v>
      </c>
      <c r="CW40" s="1353"/>
      <c r="CX40" s="1353"/>
      <c r="CY40" s="1353">
        <v>38</v>
      </c>
      <c r="CZ40" s="1353">
        <v>51</v>
      </c>
      <c r="DA40" s="1353">
        <v>51</v>
      </c>
      <c r="DB40" s="1353">
        <v>359</v>
      </c>
      <c r="DC40" s="1353"/>
      <c r="DD40" s="1353"/>
      <c r="DE40" s="1353"/>
      <c r="DF40" s="1353"/>
      <c r="DG40" s="1353"/>
      <c r="DH40" s="1353"/>
      <c r="DI40" s="1353"/>
      <c r="DJ40" s="1353"/>
      <c r="DK40" s="1353"/>
      <c r="DT40" s="659"/>
      <c r="DU40" s="660" t="s">
        <v>474</v>
      </c>
      <c r="DV40" s="777">
        <f t="shared" si="57"/>
        <v>0</v>
      </c>
      <c r="DW40" s="777">
        <f t="shared" si="57"/>
        <v>0</v>
      </c>
      <c r="DX40" s="777">
        <f t="shared" si="57"/>
        <v>0</v>
      </c>
      <c r="DY40" s="777">
        <f t="shared" si="57"/>
        <v>0</v>
      </c>
      <c r="DZ40" s="777">
        <f t="shared" si="57"/>
        <v>0</v>
      </c>
      <c r="EA40" s="777">
        <f t="shared" si="57"/>
        <v>0</v>
      </c>
      <c r="EB40" s="777">
        <f t="shared" si="57"/>
        <v>0</v>
      </c>
      <c r="EC40" s="777">
        <f t="shared" si="57"/>
        <v>0</v>
      </c>
      <c r="ED40" s="777">
        <f t="shared" si="57"/>
        <v>0</v>
      </c>
      <c r="EE40" s="777">
        <f t="shared" si="57"/>
        <v>0</v>
      </c>
      <c r="EF40" s="777">
        <f t="shared" si="57"/>
        <v>0</v>
      </c>
      <c r="EG40" s="777">
        <f t="shared" si="57"/>
        <v>0</v>
      </c>
      <c r="EH40" s="777">
        <f t="shared" si="57"/>
        <v>0</v>
      </c>
      <c r="EI40" s="777">
        <f t="shared" si="57"/>
        <v>0</v>
      </c>
      <c r="EJ40" s="777">
        <f t="shared" si="57"/>
        <v>0</v>
      </c>
      <c r="EK40" s="777">
        <f t="shared" si="57"/>
        <v>0</v>
      </c>
      <c r="EL40" s="777">
        <f t="shared" si="58"/>
        <v>0</v>
      </c>
      <c r="EM40" s="777">
        <f t="shared" si="58"/>
        <v>0</v>
      </c>
      <c r="EN40" s="777">
        <f t="shared" si="58"/>
        <v>0</v>
      </c>
      <c r="EO40" s="777">
        <f t="shared" si="58"/>
        <v>0</v>
      </c>
      <c r="EP40" s="777">
        <f t="shared" si="58"/>
        <v>0</v>
      </c>
      <c r="EQ40" s="777">
        <f t="shared" si="58"/>
        <v>0</v>
      </c>
      <c r="ER40" s="777">
        <f t="shared" si="58"/>
        <v>0</v>
      </c>
      <c r="ES40" s="777">
        <f t="shared" si="58"/>
        <v>0</v>
      </c>
      <c r="ET40" s="777">
        <f t="shared" si="58"/>
        <v>0</v>
      </c>
      <c r="EU40" s="777">
        <f t="shared" si="58"/>
        <v>0</v>
      </c>
      <c r="EV40" s="777">
        <f t="shared" si="58"/>
        <v>0</v>
      </c>
    </row>
    <row r="41" spans="1:152" ht="28.5" hidden="1" customHeight="1">
      <c r="A41" s="659"/>
      <c r="B41" s="660" t="s">
        <v>999</v>
      </c>
      <c r="C41" s="661"/>
      <c r="D41" s="661"/>
      <c r="E41" s="661"/>
      <c r="F41" s="661"/>
      <c r="G41" s="661"/>
      <c r="H41" s="661"/>
      <c r="I41" s="661"/>
      <c r="J41" s="661"/>
      <c r="K41" s="646">
        <f t="shared" si="5"/>
        <v>0</v>
      </c>
      <c r="L41" s="662">
        <f t="shared" si="50"/>
        <v>0</v>
      </c>
      <c r="M41" s="662"/>
      <c r="N41" s="662"/>
      <c r="O41" s="662"/>
      <c r="P41" s="662"/>
      <c r="Q41" s="692"/>
      <c r="R41" s="666"/>
      <c r="S41" s="666"/>
      <c r="T41" s="666"/>
      <c r="U41" s="666">
        <f t="shared" si="52"/>
        <v>0</v>
      </c>
      <c r="V41" s="662"/>
      <c r="W41" s="662"/>
      <c r="X41" s="692"/>
      <c r="Y41" s="666"/>
      <c r="Z41" s="666"/>
      <c r="AA41" s="666"/>
      <c r="AB41" s="666"/>
      <c r="AC41" s="666">
        <f t="shared" si="55"/>
        <v>0</v>
      </c>
      <c r="AD41" s="662"/>
      <c r="AE41" s="692"/>
      <c r="AF41" s="662"/>
      <c r="AG41" s="662"/>
      <c r="AH41" s="662"/>
      <c r="AI41" s="692"/>
      <c r="AJ41" s="692"/>
      <c r="AK41" s="692">
        <v>480</v>
      </c>
      <c r="AL41" s="688"/>
      <c r="AN41" s="610"/>
      <c r="AO41" s="659"/>
      <c r="AP41" s="660"/>
      <c r="AQ41" s="661"/>
      <c r="AR41" s="661"/>
      <c r="AS41" s="661"/>
      <c r="AT41" s="661"/>
      <c r="AU41" s="661"/>
      <c r="AV41" s="661"/>
      <c r="AW41" s="661"/>
      <c r="AX41" s="661"/>
      <c r="AY41" s="662"/>
      <c r="AZ41" s="665"/>
      <c r="BA41" s="662"/>
      <c r="BB41" s="662"/>
      <c r="BC41" s="662"/>
      <c r="BD41" s="692"/>
      <c r="BE41" s="666"/>
      <c r="BF41" s="667"/>
      <c r="BG41" s="666"/>
      <c r="BH41" s="662"/>
      <c r="BI41" s="692"/>
      <c r="BJ41" s="662"/>
      <c r="BK41" s="692"/>
      <c r="BL41" s="666"/>
      <c r="BM41" s="667"/>
      <c r="BN41" s="666"/>
      <c r="BO41" s="662"/>
      <c r="BP41" s="692"/>
      <c r="BQ41" s="662"/>
      <c r="BR41" s="662"/>
      <c r="BS41" s="662"/>
      <c r="BT41" s="692"/>
      <c r="BU41" s="692"/>
      <c r="BV41" s="692"/>
      <c r="BW41" s="692"/>
      <c r="CA41" s="1352"/>
      <c r="CB41" s="1352"/>
      <c r="CC41" s="1352"/>
      <c r="CD41" s="1352"/>
      <c r="CE41" s="1352"/>
      <c r="CF41" s="1352"/>
      <c r="CG41" s="1352"/>
      <c r="CH41" s="1352"/>
      <c r="CI41" s="1352"/>
      <c r="CJ41" s="1352"/>
      <c r="CK41" s="1353"/>
      <c r="CL41" s="1353"/>
      <c r="CM41" s="1354"/>
      <c r="CN41" s="1354"/>
      <c r="CO41" s="1354"/>
      <c r="CP41" s="1354"/>
      <c r="CQ41" s="1354"/>
      <c r="CR41" s="1354"/>
      <c r="CS41" s="1354"/>
      <c r="CT41" s="1353"/>
      <c r="CU41" s="1353"/>
      <c r="CV41" s="1353"/>
      <c r="CW41" s="1353"/>
      <c r="CX41" s="1353"/>
      <c r="CY41" s="1353"/>
      <c r="CZ41" s="1353"/>
      <c r="DA41" s="1353"/>
      <c r="DB41" s="1353"/>
      <c r="DC41" s="1353"/>
      <c r="DD41" s="1353"/>
      <c r="DE41" s="1353"/>
      <c r="DF41" s="1353"/>
      <c r="DG41" s="1353"/>
      <c r="DH41" s="1353"/>
      <c r="DI41" s="1353"/>
      <c r="DJ41" s="1353"/>
      <c r="DK41" s="1353"/>
      <c r="DT41" s="659"/>
      <c r="DU41" s="660"/>
      <c r="DV41" s="777"/>
      <c r="DW41" s="777"/>
      <c r="DX41" s="777"/>
      <c r="DY41" s="777"/>
      <c r="DZ41" s="777"/>
      <c r="EA41" s="777"/>
      <c r="EB41" s="777"/>
      <c r="EC41" s="777"/>
      <c r="ED41" s="777"/>
      <c r="EE41" s="777"/>
      <c r="EF41" s="777"/>
      <c r="EG41" s="777"/>
      <c r="EH41" s="777"/>
      <c r="EI41" s="777"/>
      <c r="EJ41" s="777"/>
      <c r="EK41" s="777"/>
      <c r="EL41" s="777"/>
      <c r="EM41" s="777"/>
      <c r="EN41" s="777"/>
      <c r="EO41" s="777"/>
      <c r="EP41" s="777"/>
      <c r="EQ41" s="777"/>
      <c r="ER41" s="777"/>
      <c r="ES41" s="777"/>
      <c r="ET41" s="777"/>
      <c r="EU41" s="777"/>
      <c r="EV41" s="777"/>
    </row>
    <row r="42" spans="1:152" ht="29.25" hidden="1" customHeight="1">
      <c r="A42" s="682"/>
      <c r="B42" s="683" t="s">
        <v>475</v>
      </c>
      <c r="C42" s="684"/>
      <c r="D42" s="684"/>
      <c r="E42" s="684"/>
      <c r="F42" s="684"/>
      <c r="G42" s="684"/>
      <c r="H42" s="684"/>
      <c r="I42" s="684"/>
      <c r="J42" s="684"/>
      <c r="K42" s="646">
        <f t="shared" si="5"/>
        <v>27550</v>
      </c>
      <c r="L42" s="692">
        <f t="shared" si="50"/>
        <v>27550</v>
      </c>
      <c r="M42" s="692"/>
      <c r="N42" s="692"/>
      <c r="O42" s="692"/>
      <c r="P42" s="692"/>
      <c r="Q42" s="692"/>
      <c r="R42" s="666">
        <f>((N42+O42)-(BA42+BB42))*10%</f>
        <v>0</v>
      </c>
      <c r="S42" s="692"/>
      <c r="T42" s="666">
        <f t="shared" si="51"/>
        <v>0</v>
      </c>
      <c r="U42" s="666">
        <f t="shared" si="52"/>
        <v>0</v>
      </c>
      <c r="V42" s="692">
        <v>27550</v>
      </c>
      <c r="W42" s="692"/>
      <c r="X42" s="692"/>
      <c r="Y42" s="666"/>
      <c r="Z42" s="666">
        <f t="shared" si="53"/>
        <v>2755</v>
      </c>
      <c r="AA42" s="692"/>
      <c r="AB42" s="666">
        <f t="shared" si="54"/>
        <v>0</v>
      </c>
      <c r="AC42" s="666">
        <f t="shared" si="55"/>
        <v>27550</v>
      </c>
      <c r="AD42" s="692"/>
      <c r="AE42" s="692"/>
      <c r="AF42" s="692"/>
      <c r="AG42" s="692"/>
      <c r="AH42" s="692"/>
      <c r="AI42" s="692"/>
      <c r="AJ42" s="692"/>
      <c r="AK42" s="692"/>
      <c r="AL42" s="688"/>
      <c r="AN42" s="610"/>
      <c r="AO42" s="682"/>
      <c r="AP42" s="683" t="s">
        <v>475</v>
      </c>
      <c r="AQ42" s="684"/>
      <c r="AR42" s="684"/>
      <c r="AS42" s="684"/>
      <c r="AT42" s="684"/>
      <c r="AU42" s="684"/>
      <c r="AV42" s="684"/>
      <c r="AW42" s="684"/>
      <c r="AX42" s="684"/>
      <c r="AY42" s="692">
        <f t="shared" si="56"/>
        <v>4000</v>
      </c>
      <c r="AZ42" s="713"/>
      <c r="BA42" s="692"/>
      <c r="BB42" s="692"/>
      <c r="BC42" s="692"/>
      <c r="BD42" s="692"/>
      <c r="BE42" s="692"/>
      <c r="BF42" s="712"/>
      <c r="BG42" s="692">
        <f>AZ42+BA42+BB42+BC42-BD42-BE42</f>
        <v>0</v>
      </c>
      <c r="BH42" s="692">
        <f>11000-7000</f>
        <v>4000</v>
      </c>
      <c r="BI42" s="692"/>
      <c r="BJ42" s="692"/>
      <c r="BK42" s="692"/>
      <c r="BL42" s="666"/>
      <c r="BM42" s="712"/>
      <c r="BN42" s="692">
        <f>BH42+BI42+BJ42-BK42-BL42</f>
        <v>4000</v>
      </c>
      <c r="BO42" s="692"/>
      <c r="BP42" s="692"/>
      <c r="BQ42" s="692"/>
      <c r="BR42" s="692"/>
      <c r="BS42" s="692"/>
      <c r="BT42" s="692"/>
      <c r="BU42" s="692"/>
      <c r="BV42" s="692"/>
      <c r="BW42" s="692"/>
      <c r="CA42" s="1352"/>
      <c r="CB42" s="1352" t="s">
        <v>475</v>
      </c>
      <c r="CC42" s="1352"/>
      <c r="CD42" s="1352"/>
      <c r="CE42" s="1352"/>
      <c r="CF42" s="1352"/>
      <c r="CG42" s="1352"/>
      <c r="CH42" s="1352"/>
      <c r="CI42" s="1352"/>
      <c r="CJ42" s="1352"/>
      <c r="CK42" s="1353">
        <v>27550</v>
      </c>
      <c r="CL42" s="1353"/>
      <c r="CM42" s="1354"/>
      <c r="CN42" s="1354"/>
      <c r="CO42" s="1354"/>
      <c r="CP42" s="1354"/>
      <c r="CQ42" s="1354">
        <v>0</v>
      </c>
      <c r="CR42" s="1354"/>
      <c r="CS42" s="1354">
        <v>0</v>
      </c>
      <c r="CT42" s="1353">
        <v>0</v>
      </c>
      <c r="CU42" s="1353">
        <v>27550</v>
      </c>
      <c r="CV42" s="1353"/>
      <c r="CW42" s="1353"/>
      <c r="CX42" s="1353"/>
      <c r="CY42" s="1353">
        <v>2755</v>
      </c>
      <c r="CZ42" s="1353"/>
      <c r="DA42" s="1353">
        <v>0</v>
      </c>
      <c r="DB42" s="1353">
        <v>27550</v>
      </c>
      <c r="DC42" s="1353"/>
      <c r="DD42" s="1353"/>
      <c r="DE42" s="1353"/>
      <c r="DF42" s="1353"/>
      <c r="DG42" s="1353"/>
      <c r="DH42" s="1353"/>
      <c r="DI42" s="1353"/>
      <c r="DJ42" s="1353"/>
      <c r="DK42" s="1353"/>
      <c r="DT42" s="682"/>
      <c r="DU42" s="683" t="s">
        <v>475</v>
      </c>
      <c r="DV42" s="777">
        <f t="shared" si="57"/>
        <v>0</v>
      </c>
      <c r="DW42" s="777">
        <f t="shared" si="57"/>
        <v>0</v>
      </c>
      <c r="DX42" s="777">
        <f t="shared" si="57"/>
        <v>0</v>
      </c>
      <c r="DY42" s="777">
        <f t="shared" si="57"/>
        <v>0</v>
      </c>
      <c r="DZ42" s="777">
        <f t="shared" si="57"/>
        <v>0</v>
      </c>
      <c r="EA42" s="777">
        <f t="shared" si="57"/>
        <v>0</v>
      </c>
      <c r="EB42" s="777">
        <f t="shared" si="57"/>
        <v>0</v>
      </c>
      <c r="EC42" s="777">
        <f t="shared" si="57"/>
        <v>0</v>
      </c>
      <c r="ED42" s="777">
        <f t="shared" si="57"/>
        <v>0</v>
      </c>
      <c r="EE42" s="777">
        <f t="shared" si="57"/>
        <v>0</v>
      </c>
      <c r="EF42" s="777">
        <f t="shared" si="57"/>
        <v>0</v>
      </c>
      <c r="EG42" s="777">
        <f t="shared" si="57"/>
        <v>0</v>
      </c>
      <c r="EH42" s="777">
        <f t="shared" si="57"/>
        <v>0</v>
      </c>
      <c r="EI42" s="777">
        <f t="shared" si="57"/>
        <v>0</v>
      </c>
      <c r="EJ42" s="777">
        <f t="shared" si="57"/>
        <v>0</v>
      </c>
      <c r="EK42" s="777">
        <f t="shared" si="57"/>
        <v>0</v>
      </c>
      <c r="EL42" s="777">
        <f t="shared" si="58"/>
        <v>0</v>
      </c>
      <c r="EM42" s="777">
        <f t="shared" si="58"/>
        <v>0</v>
      </c>
      <c r="EN42" s="777">
        <f t="shared" si="58"/>
        <v>0</v>
      </c>
      <c r="EO42" s="777">
        <f t="shared" si="58"/>
        <v>0</v>
      </c>
      <c r="EP42" s="777">
        <f t="shared" si="58"/>
        <v>0</v>
      </c>
      <c r="EQ42" s="777">
        <f t="shared" si="58"/>
        <v>0</v>
      </c>
      <c r="ER42" s="777">
        <f t="shared" si="58"/>
        <v>0</v>
      </c>
      <c r="ES42" s="777">
        <f t="shared" si="58"/>
        <v>0</v>
      </c>
      <c r="ET42" s="777">
        <f t="shared" si="58"/>
        <v>0</v>
      </c>
      <c r="EU42" s="777">
        <f t="shared" si="58"/>
        <v>0</v>
      </c>
      <c r="EV42" s="777">
        <f t="shared" si="58"/>
        <v>0</v>
      </c>
    </row>
    <row r="43" spans="1:152" s="614" customFormat="1" ht="23.25" customHeight="1">
      <c r="A43" s="1429" t="s">
        <v>477</v>
      </c>
      <c r="B43" s="651" t="s">
        <v>478</v>
      </c>
      <c r="C43" s="1430">
        <f t="shared" ref="C43:J43" si="59">SUM(C44:C47,C49:C56)</f>
        <v>125</v>
      </c>
      <c r="D43" s="1430">
        <f t="shared" si="59"/>
        <v>97</v>
      </c>
      <c r="E43" s="1430">
        <f t="shared" si="59"/>
        <v>0</v>
      </c>
      <c r="F43" s="1430">
        <f t="shared" si="59"/>
        <v>97</v>
      </c>
      <c r="G43" s="1430">
        <f t="shared" si="59"/>
        <v>0</v>
      </c>
      <c r="H43" s="1430">
        <f t="shared" si="59"/>
        <v>95</v>
      </c>
      <c r="I43" s="1430">
        <f t="shared" si="59"/>
        <v>28</v>
      </c>
      <c r="J43" s="1430">
        <f t="shared" si="59"/>
        <v>26</v>
      </c>
      <c r="K43" s="646">
        <f t="shared" si="5"/>
        <v>86793</v>
      </c>
      <c r="L43" s="653">
        <f>SUM(L44:L47,L49:L56)</f>
        <v>86986</v>
      </c>
      <c r="M43" s="653">
        <f>SUM(M44:M47,M49:M56)</f>
        <v>6669</v>
      </c>
      <c r="N43" s="653">
        <f t="shared" ref="N43:AM43" si="60">SUM(N44:N47,N49:N56)</f>
        <v>2013</v>
      </c>
      <c r="O43" s="653">
        <f t="shared" si="60"/>
        <v>419</v>
      </c>
      <c r="P43" s="653">
        <f t="shared" si="60"/>
        <v>0</v>
      </c>
      <c r="Q43" s="653">
        <f t="shared" si="60"/>
        <v>0</v>
      </c>
      <c r="R43" s="653">
        <f t="shared" si="60"/>
        <v>0</v>
      </c>
      <c r="S43" s="653">
        <f t="shared" si="60"/>
        <v>290</v>
      </c>
      <c r="T43" s="653">
        <f t="shared" si="60"/>
        <v>290</v>
      </c>
      <c r="U43" s="653">
        <f t="shared" si="60"/>
        <v>8811</v>
      </c>
      <c r="V43" s="653">
        <f t="shared" si="60"/>
        <v>77551</v>
      </c>
      <c r="W43" s="653">
        <f t="shared" si="60"/>
        <v>1730</v>
      </c>
      <c r="X43" s="653">
        <f t="shared" si="60"/>
        <v>0</v>
      </c>
      <c r="Y43" s="653">
        <f t="shared" si="60"/>
        <v>7150.4</v>
      </c>
      <c r="Z43" s="653">
        <f t="shared" si="60"/>
        <v>7579.4</v>
      </c>
      <c r="AA43" s="653">
        <f t="shared" si="60"/>
        <v>1020</v>
      </c>
      <c r="AB43" s="653">
        <f t="shared" si="60"/>
        <v>1299</v>
      </c>
      <c r="AC43" s="653">
        <f t="shared" si="60"/>
        <v>77982</v>
      </c>
      <c r="AD43" s="653">
        <f t="shared" si="60"/>
        <v>193</v>
      </c>
      <c r="AE43" s="653">
        <f t="shared" si="60"/>
        <v>0</v>
      </c>
      <c r="AF43" s="653">
        <f t="shared" si="60"/>
        <v>0</v>
      </c>
      <c r="AG43" s="653">
        <f t="shared" si="60"/>
        <v>0</v>
      </c>
      <c r="AH43" s="653">
        <f t="shared" si="60"/>
        <v>0</v>
      </c>
      <c r="AI43" s="653">
        <f t="shared" si="60"/>
        <v>0</v>
      </c>
      <c r="AJ43" s="653">
        <f t="shared" si="60"/>
        <v>0</v>
      </c>
      <c r="AK43" s="653">
        <f t="shared" si="60"/>
        <v>0</v>
      </c>
      <c r="AL43" s="656">
        <f t="shared" si="60"/>
        <v>0</v>
      </c>
      <c r="AM43" s="653">
        <f t="shared" si="60"/>
        <v>0</v>
      </c>
      <c r="AN43" s="610"/>
      <c r="AO43" s="1323" t="s">
        <v>477</v>
      </c>
      <c r="AP43" s="651" t="s">
        <v>478</v>
      </c>
      <c r="AQ43" s="653">
        <f t="shared" ref="AQ43:AX43" si="61">SUM(AQ44:AQ47,AQ49:AQ56)</f>
        <v>153</v>
      </c>
      <c r="AR43" s="653">
        <f t="shared" si="61"/>
        <v>114</v>
      </c>
      <c r="AS43" s="653">
        <f t="shared" si="61"/>
        <v>0</v>
      </c>
      <c r="AT43" s="653">
        <f t="shared" si="61"/>
        <v>114</v>
      </c>
      <c r="AU43" s="653">
        <f t="shared" si="61"/>
        <v>0</v>
      </c>
      <c r="AV43" s="653">
        <f t="shared" si="61"/>
        <v>104</v>
      </c>
      <c r="AW43" s="653">
        <f t="shared" si="61"/>
        <v>39</v>
      </c>
      <c r="AX43" s="653">
        <f t="shared" si="61"/>
        <v>27</v>
      </c>
      <c r="AY43" s="653">
        <f>SUM(AY44:AY47,AY49:AY56)</f>
        <v>88492</v>
      </c>
      <c r="AZ43" s="658">
        <f t="shared" ref="AZ43:BW43" si="62">SUM(AZ44:AZ47,AZ49:AZ56)</f>
        <v>7943</v>
      </c>
      <c r="BA43" s="653">
        <f t="shared" si="62"/>
        <v>2441</v>
      </c>
      <c r="BB43" s="653">
        <f t="shared" si="62"/>
        <v>366</v>
      </c>
      <c r="BC43" s="653">
        <f t="shared" si="62"/>
        <v>0</v>
      </c>
      <c r="BD43" s="653">
        <f t="shared" si="62"/>
        <v>0</v>
      </c>
      <c r="BE43" s="653">
        <f t="shared" si="62"/>
        <v>280.7</v>
      </c>
      <c r="BF43" s="655">
        <f t="shared" si="62"/>
        <v>281</v>
      </c>
      <c r="BG43" s="653">
        <f t="shared" si="62"/>
        <v>10469</v>
      </c>
      <c r="BH43" s="653">
        <f t="shared" si="62"/>
        <v>76033</v>
      </c>
      <c r="BI43" s="653">
        <f t="shared" si="62"/>
        <v>900</v>
      </c>
      <c r="BJ43" s="653">
        <f t="shared" si="62"/>
        <v>1603</v>
      </c>
      <c r="BK43" s="653">
        <f t="shared" si="62"/>
        <v>0</v>
      </c>
      <c r="BL43" s="653">
        <f t="shared" si="62"/>
        <v>666.9</v>
      </c>
      <c r="BM43" s="655">
        <f t="shared" si="62"/>
        <v>668</v>
      </c>
      <c r="BN43" s="653">
        <f t="shared" si="62"/>
        <v>77868</v>
      </c>
      <c r="BO43" s="653">
        <f t="shared" si="62"/>
        <v>155</v>
      </c>
      <c r="BP43" s="653">
        <f t="shared" si="62"/>
        <v>0</v>
      </c>
      <c r="BQ43" s="653">
        <f t="shared" si="62"/>
        <v>9867</v>
      </c>
      <c r="BR43" s="653">
        <f t="shared" si="62"/>
        <v>340</v>
      </c>
      <c r="BS43" s="653">
        <f t="shared" si="62"/>
        <v>0</v>
      </c>
      <c r="BT43" s="653">
        <f t="shared" si="62"/>
        <v>0</v>
      </c>
      <c r="BU43" s="653">
        <f t="shared" si="62"/>
        <v>0</v>
      </c>
      <c r="BV43" s="653">
        <f t="shared" si="62"/>
        <v>0</v>
      </c>
      <c r="BW43" s="653">
        <f t="shared" si="62"/>
        <v>0</v>
      </c>
      <c r="BY43" s="732"/>
      <c r="BZ43" s="732"/>
      <c r="CA43" s="1348" t="s">
        <v>477</v>
      </c>
      <c r="CB43" s="1348" t="s">
        <v>478</v>
      </c>
      <c r="CC43" s="1348">
        <v>124</v>
      </c>
      <c r="CD43" s="1348">
        <v>97</v>
      </c>
      <c r="CE43" s="1348">
        <v>0</v>
      </c>
      <c r="CF43" s="1348">
        <v>97</v>
      </c>
      <c r="CG43" s="1348">
        <v>0</v>
      </c>
      <c r="CH43" s="1348">
        <v>95</v>
      </c>
      <c r="CI43" s="1348">
        <v>27</v>
      </c>
      <c r="CJ43" s="1348">
        <v>26</v>
      </c>
      <c r="CK43" s="1349">
        <v>18098</v>
      </c>
      <c r="CL43" s="1349">
        <v>6669</v>
      </c>
      <c r="CM43" s="1350">
        <v>2013</v>
      </c>
      <c r="CN43" s="1350">
        <v>419</v>
      </c>
      <c r="CO43" s="1350">
        <v>0</v>
      </c>
      <c r="CP43" s="1350">
        <v>0</v>
      </c>
      <c r="CQ43" s="1350">
        <v>33.700000000000003</v>
      </c>
      <c r="CR43" s="1350">
        <v>290</v>
      </c>
      <c r="CS43" s="1350">
        <v>324</v>
      </c>
      <c r="CT43" s="1349">
        <v>8777</v>
      </c>
      <c r="CU43" s="1349">
        <v>8831</v>
      </c>
      <c r="CV43" s="1349">
        <v>1730</v>
      </c>
      <c r="CW43" s="1349">
        <v>0</v>
      </c>
      <c r="CX43" s="1349">
        <v>412.1</v>
      </c>
      <c r="CY43" s="1349">
        <v>843.10000000000014</v>
      </c>
      <c r="CZ43" s="1349">
        <v>1020</v>
      </c>
      <c r="DA43" s="1349">
        <v>1433</v>
      </c>
      <c r="DB43" s="1349">
        <v>9128</v>
      </c>
      <c r="DC43" s="1349">
        <v>193</v>
      </c>
      <c r="DD43" s="1349">
        <v>0</v>
      </c>
      <c r="DE43" s="1349">
        <v>0</v>
      </c>
      <c r="DF43" s="1349">
        <v>0</v>
      </c>
      <c r="DG43" s="1349">
        <v>0</v>
      </c>
      <c r="DH43" s="1349">
        <v>0</v>
      </c>
      <c r="DI43" s="1349">
        <v>0</v>
      </c>
      <c r="DJ43" s="1349">
        <v>0</v>
      </c>
      <c r="DK43" s="1349">
        <v>0</v>
      </c>
      <c r="DT43" s="1323" t="s">
        <v>477</v>
      </c>
      <c r="DU43" s="651" t="s">
        <v>478</v>
      </c>
      <c r="DV43" s="1351">
        <f>SUM(DV44:DV47,DV49:DV56)</f>
        <v>68888</v>
      </c>
      <c r="DW43" s="1351">
        <f t="shared" ref="DW43:EV43" si="63">SUM(DW44:DW47,DW49:DW56)</f>
        <v>0</v>
      </c>
      <c r="DX43" s="1351">
        <f t="shared" si="63"/>
        <v>0</v>
      </c>
      <c r="DY43" s="1351">
        <f t="shared" si="63"/>
        <v>0</v>
      </c>
      <c r="DZ43" s="1351">
        <f t="shared" si="63"/>
        <v>0</v>
      </c>
      <c r="EA43" s="1351">
        <f t="shared" si="63"/>
        <v>0</v>
      </c>
      <c r="EB43" s="1351">
        <f t="shared" si="63"/>
        <v>-33.700000000000003</v>
      </c>
      <c r="EC43" s="1351">
        <f t="shared" si="63"/>
        <v>0</v>
      </c>
      <c r="ED43" s="1351">
        <f t="shared" si="63"/>
        <v>-34</v>
      </c>
      <c r="EE43" s="1351">
        <f t="shared" si="63"/>
        <v>34</v>
      </c>
      <c r="EF43" s="1351">
        <f t="shared" si="63"/>
        <v>68720</v>
      </c>
      <c r="EG43" s="1351">
        <f t="shared" si="63"/>
        <v>0</v>
      </c>
      <c r="EH43" s="1351">
        <f t="shared" si="63"/>
        <v>0</v>
      </c>
      <c r="EI43" s="1351">
        <f t="shared" si="63"/>
        <v>6738.3</v>
      </c>
      <c r="EJ43" s="1351">
        <f t="shared" si="63"/>
        <v>6736.3</v>
      </c>
      <c r="EK43" s="1351">
        <f t="shared" si="63"/>
        <v>0</v>
      </c>
      <c r="EL43" s="1351">
        <f t="shared" si="63"/>
        <v>-134</v>
      </c>
      <c r="EM43" s="1351">
        <f t="shared" si="63"/>
        <v>68854</v>
      </c>
      <c r="EN43" s="1351">
        <f t="shared" si="63"/>
        <v>0</v>
      </c>
      <c r="EO43" s="1351">
        <f t="shared" si="63"/>
        <v>0</v>
      </c>
      <c r="EP43" s="1351">
        <f t="shared" si="63"/>
        <v>0</v>
      </c>
      <c r="EQ43" s="1351">
        <f t="shared" si="63"/>
        <v>0</v>
      </c>
      <c r="ER43" s="1351">
        <f t="shared" si="63"/>
        <v>0</v>
      </c>
      <c r="ES43" s="1351">
        <f t="shared" si="63"/>
        <v>0</v>
      </c>
      <c r="ET43" s="1351">
        <f t="shared" si="63"/>
        <v>0</v>
      </c>
      <c r="EU43" s="1351">
        <f t="shared" si="63"/>
        <v>0</v>
      </c>
      <c r="EV43" s="1351">
        <f t="shared" si="63"/>
        <v>0</v>
      </c>
    </row>
    <row r="44" spans="1:152" ht="36.75" customHeight="1">
      <c r="A44" s="659">
        <v>9</v>
      </c>
      <c r="B44" s="660" t="s">
        <v>479</v>
      </c>
      <c r="C44" s="661">
        <f>D44+I44</f>
        <v>27</v>
      </c>
      <c r="D44" s="661">
        <f>E44+F44</f>
        <v>8</v>
      </c>
      <c r="E44" s="661"/>
      <c r="F44" s="661">
        <v>8</v>
      </c>
      <c r="G44" s="661"/>
      <c r="H44" s="661">
        <v>6</v>
      </c>
      <c r="I44" s="661">
        <v>19</v>
      </c>
      <c r="J44" s="661">
        <v>18</v>
      </c>
      <c r="K44" s="646">
        <f t="shared" si="5"/>
        <v>2046</v>
      </c>
      <c r="L44" s="662">
        <f t="shared" ref="L44:L56" si="64">U44+AC44+AD44+AE44</f>
        <v>2046</v>
      </c>
      <c r="M44" s="666">
        <v>980</v>
      </c>
      <c r="N44" s="666">
        <v>140</v>
      </c>
      <c r="O44" s="666">
        <v>69</v>
      </c>
      <c r="P44" s="666"/>
      <c r="Q44" s="666"/>
      <c r="R44" s="666"/>
      <c r="S44" s="666">
        <v>34</v>
      </c>
      <c r="T44" s="666">
        <f t="shared" ref="T44:T56" si="65">ROUND((Q44+R44+S44),0)</f>
        <v>34</v>
      </c>
      <c r="U44" s="666">
        <f t="shared" ref="U44:U56" si="66">(M44+N44+O44+P44)-T44</f>
        <v>1155</v>
      </c>
      <c r="V44" s="666">
        <v>530</v>
      </c>
      <c r="W44" s="666">
        <v>470</v>
      </c>
      <c r="X44" s="666"/>
      <c r="Y44" s="666">
        <f>Z44-BM44</f>
        <v>23</v>
      </c>
      <c r="Z44" s="666">
        <f>V44*10%</f>
        <v>53</v>
      </c>
      <c r="AA44" s="666">
        <v>86</v>
      </c>
      <c r="AB44" s="666">
        <f t="shared" ref="AB44:AB56" si="67">ROUND((Y44+AA44+X44),0)</f>
        <v>109</v>
      </c>
      <c r="AC44" s="666">
        <f t="shared" ref="AC44:AC56" si="68">(V44+W44)-AB44</f>
        <v>891</v>
      </c>
      <c r="AD44" s="666"/>
      <c r="AE44" s="666"/>
      <c r="AF44" s="666"/>
      <c r="AG44" s="666"/>
      <c r="AH44" s="666"/>
      <c r="AI44" s="666"/>
      <c r="AJ44" s="666"/>
      <c r="AK44" s="666"/>
      <c r="AL44" s="664"/>
      <c r="AN44" s="610"/>
      <c r="AO44" s="659">
        <v>8</v>
      </c>
      <c r="AP44" s="660" t="s">
        <v>479</v>
      </c>
      <c r="AQ44" s="661">
        <f>AR44+AW44</f>
        <v>42</v>
      </c>
      <c r="AR44" s="661">
        <f>AS44+AT44</f>
        <v>13</v>
      </c>
      <c r="AS44" s="661"/>
      <c r="AT44" s="661">
        <v>13</v>
      </c>
      <c r="AU44" s="661"/>
      <c r="AV44" s="661">
        <v>10</v>
      </c>
      <c r="AW44" s="661">
        <v>29</v>
      </c>
      <c r="AX44" s="661">
        <v>19</v>
      </c>
      <c r="AY44" s="666">
        <f t="shared" ref="AY44:AY56" si="69">BG44+BN44+BO44+BP44</f>
        <v>2307</v>
      </c>
      <c r="AZ44" s="670">
        <f>664+892</f>
        <v>1556</v>
      </c>
      <c r="BA44" s="666">
        <v>270</v>
      </c>
      <c r="BB44" s="666">
        <v>69</v>
      </c>
      <c r="BC44" s="666"/>
      <c r="BD44" s="666"/>
      <c r="BE44" s="666">
        <f t="shared" ref="BE44:BE55" si="70">(BA44+BB44)*10%</f>
        <v>33.9</v>
      </c>
      <c r="BF44" s="667">
        <f>ROUND(BE44,0)</f>
        <v>34</v>
      </c>
      <c r="BG44" s="666">
        <f t="shared" si="24"/>
        <v>1861</v>
      </c>
      <c r="BH44" s="666">
        <v>296</v>
      </c>
      <c r="BI44" s="666"/>
      <c r="BJ44" s="666">
        <v>180</v>
      </c>
      <c r="BK44" s="666"/>
      <c r="BL44" s="666">
        <f>BH44*10%</f>
        <v>29.6</v>
      </c>
      <c r="BM44" s="667">
        <f t="shared" ref="BM44:BM54" si="71">ROUND(BL44,0)</f>
        <v>30</v>
      </c>
      <c r="BN44" s="666">
        <f t="shared" ref="BN44:BN56" si="72">(BH44+BI44+BJ44)-BM44</f>
        <v>446</v>
      </c>
      <c r="BO44" s="666"/>
      <c r="BP44" s="666"/>
      <c r="BQ44" s="666">
        <v>5635</v>
      </c>
      <c r="BR44" s="666"/>
      <c r="BS44" s="666"/>
      <c r="BT44" s="666"/>
      <c r="BU44" s="666"/>
      <c r="BV44" s="666"/>
      <c r="BW44" s="662"/>
      <c r="CA44" s="1352">
        <v>8</v>
      </c>
      <c r="CB44" s="1352" t="s">
        <v>479</v>
      </c>
      <c r="CC44" s="1352">
        <v>27</v>
      </c>
      <c r="CD44" s="1352">
        <v>8</v>
      </c>
      <c r="CE44" s="1352"/>
      <c r="CF44" s="1352">
        <v>8</v>
      </c>
      <c r="CG44" s="1352"/>
      <c r="CH44" s="1352">
        <v>6</v>
      </c>
      <c r="CI44" s="1352">
        <v>19</v>
      </c>
      <c r="CJ44" s="1352">
        <v>18</v>
      </c>
      <c r="CK44" s="1353">
        <v>2046</v>
      </c>
      <c r="CL44" s="1353">
        <v>980</v>
      </c>
      <c r="CM44" s="1354">
        <v>140</v>
      </c>
      <c r="CN44" s="1354">
        <v>69</v>
      </c>
      <c r="CO44" s="1354"/>
      <c r="CP44" s="1354"/>
      <c r="CQ44" s="1354"/>
      <c r="CR44" s="1354">
        <v>34</v>
      </c>
      <c r="CS44" s="1354">
        <v>34</v>
      </c>
      <c r="CT44" s="1353">
        <v>1155</v>
      </c>
      <c r="CU44" s="1353">
        <v>530</v>
      </c>
      <c r="CV44" s="1353">
        <v>470</v>
      </c>
      <c r="CW44" s="1353"/>
      <c r="CX44" s="1353">
        <v>23</v>
      </c>
      <c r="CY44" s="1353">
        <v>53</v>
      </c>
      <c r="CZ44" s="1353">
        <v>86</v>
      </c>
      <c r="DA44" s="1353">
        <v>109</v>
      </c>
      <c r="DB44" s="1353">
        <v>891</v>
      </c>
      <c r="DC44" s="1353"/>
      <c r="DD44" s="1353"/>
      <c r="DE44" s="1353"/>
      <c r="DF44" s="1353"/>
      <c r="DG44" s="1353"/>
      <c r="DH44" s="1353"/>
      <c r="DI44" s="1353"/>
      <c r="DJ44" s="1353"/>
      <c r="DK44" s="1353"/>
      <c r="DT44" s="659">
        <v>8</v>
      </c>
      <c r="DU44" s="660" t="s">
        <v>479</v>
      </c>
      <c r="DV44" s="777">
        <f>L44-CK44</f>
        <v>0</v>
      </c>
      <c r="DW44" s="777">
        <f t="shared" ref="DW44:EL56" si="73">M44-CL44</f>
        <v>0</v>
      </c>
      <c r="DX44" s="777">
        <f t="shared" si="73"/>
        <v>0</v>
      </c>
      <c r="DY44" s="777">
        <f t="shared" si="73"/>
        <v>0</v>
      </c>
      <c r="DZ44" s="777">
        <f t="shared" si="73"/>
        <v>0</v>
      </c>
      <c r="EA44" s="777">
        <f t="shared" si="73"/>
        <v>0</v>
      </c>
      <c r="EB44" s="777">
        <f t="shared" si="73"/>
        <v>0</v>
      </c>
      <c r="EC44" s="777">
        <f t="shared" si="73"/>
        <v>0</v>
      </c>
      <c r="ED44" s="777">
        <f t="shared" si="73"/>
        <v>0</v>
      </c>
      <c r="EE44" s="777">
        <f t="shared" si="73"/>
        <v>0</v>
      </c>
      <c r="EF44" s="777">
        <f t="shared" si="73"/>
        <v>0</v>
      </c>
      <c r="EG44" s="777">
        <f t="shared" si="73"/>
        <v>0</v>
      </c>
      <c r="EH44" s="777">
        <f t="shared" si="73"/>
        <v>0</v>
      </c>
      <c r="EI44" s="777">
        <f t="shared" si="73"/>
        <v>0</v>
      </c>
      <c r="EJ44" s="777">
        <f t="shared" si="73"/>
        <v>0</v>
      </c>
      <c r="EK44" s="777">
        <f t="shared" si="73"/>
        <v>0</v>
      </c>
      <c r="EL44" s="777">
        <f t="shared" si="73"/>
        <v>0</v>
      </c>
      <c r="EM44" s="777">
        <f t="shared" ref="EL44:EV56" si="74">AC44-DB44</f>
        <v>0</v>
      </c>
      <c r="EN44" s="777">
        <f t="shared" si="74"/>
        <v>0</v>
      </c>
      <c r="EO44" s="777">
        <f t="shared" si="74"/>
        <v>0</v>
      </c>
      <c r="EP44" s="777">
        <f t="shared" si="74"/>
        <v>0</v>
      </c>
      <c r="EQ44" s="777">
        <f t="shared" si="74"/>
        <v>0</v>
      </c>
      <c r="ER44" s="777">
        <f t="shared" si="74"/>
        <v>0</v>
      </c>
      <c r="ES44" s="777">
        <f t="shared" si="74"/>
        <v>0</v>
      </c>
      <c r="ET44" s="777">
        <f t="shared" si="74"/>
        <v>0</v>
      </c>
      <c r="EU44" s="777">
        <f t="shared" si="74"/>
        <v>0</v>
      </c>
      <c r="EV44" s="777">
        <f t="shared" si="74"/>
        <v>0</v>
      </c>
    </row>
    <row r="45" spans="1:152" s="698" customFormat="1" ht="55.5" customHeight="1">
      <c r="A45" s="659">
        <v>10</v>
      </c>
      <c r="B45" s="660" t="s">
        <v>480</v>
      </c>
      <c r="C45" s="661">
        <f>D45+I45</f>
        <v>32</v>
      </c>
      <c r="D45" s="661">
        <f>E45+F45</f>
        <v>30</v>
      </c>
      <c r="E45" s="661"/>
      <c r="F45" s="661">
        <v>30</v>
      </c>
      <c r="G45" s="661"/>
      <c r="H45" s="661">
        <v>30</v>
      </c>
      <c r="I45" s="661">
        <v>2</v>
      </c>
      <c r="J45" s="661">
        <v>1</v>
      </c>
      <c r="K45" s="646">
        <f t="shared" si="5"/>
        <v>3445</v>
      </c>
      <c r="L45" s="662">
        <f t="shared" si="64"/>
        <v>3445</v>
      </c>
      <c r="M45" s="662">
        <v>1630</v>
      </c>
      <c r="N45" s="662">
        <v>622</v>
      </c>
      <c r="O45" s="662">
        <v>107</v>
      </c>
      <c r="P45" s="662"/>
      <c r="Q45" s="802"/>
      <c r="R45" s="666"/>
      <c r="S45" s="666">
        <f>39+44</f>
        <v>83</v>
      </c>
      <c r="T45" s="666">
        <f t="shared" si="65"/>
        <v>83</v>
      </c>
      <c r="U45" s="666">
        <f t="shared" si="66"/>
        <v>2276</v>
      </c>
      <c r="V45" s="662">
        <v>902</v>
      </c>
      <c r="W45" s="662">
        <v>440</v>
      </c>
      <c r="X45" s="662"/>
      <c r="Y45" s="666">
        <f>Z45-BM45</f>
        <v>50.2</v>
      </c>
      <c r="Z45" s="666">
        <f>(V45-400)*10%</f>
        <v>50.2</v>
      </c>
      <c r="AA45" s="666">
        <f>123</f>
        <v>123</v>
      </c>
      <c r="AB45" s="666">
        <f t="shared" si="67"/>
        <v>173</v>
      </c>
      <c r="AC45" s="666">
        <f t="shared" si="68"/>
        <v>1169</v>
      </c>
      <c r="AD45" s="662"/>
      <c r="AE45" s="662"/>
      <c r="AF45" s="662"/>
      <c r="AG45" s="662"/>
      <c r="AH45" s="662"/>
      <c r="AI45" s="662"/>
      <c r="AJ45" s="662"/>
      <c r="AK45" s="662"/>
      <c r="AL45" s="697"/>
      <c r="AM45" s="624"/>
      <c r="AN45" s="610"/>
      <c r="AO45" s="694">
        <v>9</v>
      </c>
      <c r="AP45" s="695" t="s">
        <v>480</v>
      </c>
      <c r="AQ45" s="696">
        <f>AR45+AW45</f>
        <v>16</v>
      </c>
      <c r="AR45" s="696">
        <f>AS45+AT45</f>
        <v>15</v>
      </c>
      <c r="AS45" s="696"/>
      <c r="AT45" s="696">
        <v>15</v>
      </c>
      <c r="AU45" s="696"/>
      <c r="AV45" s="696">
        <v>15</v>
      </c>
      <c r="AW45" s="696">
        <v>1</v>
      </c>
      <c r="AX45" s="696">
        <v>1</v>
      </c>
      <c r="AY45" s="697">
        <f t="shared" si="69"/>
        <v>1171</v>
      </c>
      <c r="AZ45" s="697">
        <f>818-45+45</f>
        <v>818</v>
      </c>
      <c r="BA45" s="697">
        <v>300</v>
      </c>
      <c r="BB45" s="697">
        <v>92</v>
      </c>
      <c r="BC45" s="697"/>
      <c r="BD45" s="715"/>
      <c r="BE45" s="666">
        <f t="shared" si="70"/>
        <v>39.200000000000003</v>
      </c>
      <c r="BF45" s="668">
        <f>ROUND(BE45,0)</f>
        <v>39</v>
      </c>
      <c r="BG45" s="668">
        <f>(AZ45+BA45+BB45+BC45)-BF45</f>
        <v>1171</v>
      </c>
      <c r="BH45" s="697">
        <f>437-437</f>
        <v>0</v>
      </c>
      <c r="BI45" s="697"/>
      <c r="BJ45" s="697"/>
      <c r="BK45" s="697"/>
      <c r="BL45" s="666">
        <f>BH45*10%</f>
        <v>0</v>
      </c>
      <c r="BM45" s="668">
        <f t="shared" si="71"/>
        <v>0</v>
      </c>
      <c r="BN45" s="668">
        <f t="shared" si="72"/>
        <v>0</v>
      </c>
      <c r="BO45" s="697"/>
      <c r="BP45" s="697"/>
      <c r="BQ45" s="697">
        <v>342</v>
      </c>
      <c r="BR45" s="697">
        <v>0</v>
      </c>
      <c r="BS45" s="697">
        <v>0</v>
      </c>
      <c r="BT45" s="697"/>
      <c r="BU45" s="697"/>
      <c r="BV45" s="697"/>
      <c r="BW45" s="697"/>
      <c r="BY45" s="891"/>
      <c r="BZ45" s="891"/>
      <c r="CA45" s="1352">
        <v>9</v>
      </c>
      <c r="CB45" s="1352" t="s">
        <v>480</v>
      </c>
      <c r="CC45" s="1352">
        <v>31</v>
      </c>
      <c r="CD45" s="1352">
        <v>30</v>
      </c>
      <c r="CE45" s="1352"/>
      <c r="CF45" s="1352">
        <v>30</v>
      </c>
      <c r="CG45" s="1352"/>
      <c r="CH45" s="1352">
        <v>30</v>
      </c>
      <c r="CI45" s="1352">
        <v>1</v>
      </c>
      <c r="CJ45" s="1352">
        <v>1</v>
      </c>
      <c r="CK45" s="1353">
        <v>3411</v>
      </c>
      <c r="CL45" s="1353">
        <v>1630</v>
      </c>
      <c r="CM45" s="1354">
        <v>622</v>
      </c>
      <c r="CN45" s="1354">
        <v>107</v>
      </c>
      <c r="CO45" s="1354"/>
      <c r="CP45" s="1354"/>
      <c r="CQ45" s="1354">
        <v>33.700000000000003</v>
      </c>
      <c r="CR45" s="1354">
        <v>83</v>
      </c>
      <c r="CS45" s="1354">
        <v>117</v>
      </c>
      <c r="CT45" s="1353">
        <v>2242</v>
      </c>
      <c r="CU45" s="1353">
        <v>902</v>
      </c>
      <c r="CV45" s="1353">
        <v>440</v>
      </c>
      <c r="CW45" s="1353"/>
      <c r="CX45" s="1353">
        <v>50.2</v>
      </c>
      <c r="CY45" s="1353">
        <v>50.2</v>
      </c>
      <c r="CZ45" s="1353">
        <v>123</v>
      </c>
      <c r="DA45" s="1353">
        <v>173</v>
      </c>
      <c r="DB45" s="1353">
        <v>1169</v>
      </c>
      <c r="DC45" s="1353"/>
      <c r="DD45" s="1353"/>
      <c r="DE45" s="1353"/>
      <c r="DF45" s="1353"/>
      <c r="DG45" s="1353"/>
      <c r="DH45" s="1353"/>
      <c r="DI45" s="1353"/>
      <c r="DJ45" s="1353"/>
      <c r="DK45" s="1353"/>
      <c r="DT45" s="694">
        <v>9</v>
      </c>
      <c r="DU45" s="695" t="s">
        <v>480</v>
      </c>
      <c r="DV45" s="777">
        <f>L45-CK45</f>
        <v>34</v>
      </c>
      <c r="DW45" s="777">
        <f t="shared" si="73"/>
        <v>0</v>
      </c>
      <c r="DX45" s="777">
        <f t="shared" si="73"/>
        <v>0</v>
      </c>
      <c r="DY45" s="777">
        <f t="shared" si="73"/>
        <v>0</v>
      </c>
      <c r="DZ45" s="777">
        <f t="shared" si="73"/>
        <v>0</v>
      </c>
      <c r="EA45" s="777">
        <f t="shared" si="73"/>
        <v>0</v>
      </c>
      <c r="EB45" s="777">
        <f t="shared" si="73"/>
        <v>-33.700000000000003</v>
      </c>
      <c r="EC45" s="777">
        <f t="shared" si="73"/>
        <v>0</v>
      </c>
      <c r="ED45" s="777">
        <f t="shared" si="73"/>
        <v>-34</v>
      </c>
      <c r="EE45" s="777">
        <f t="shared" si="73"/>
        <v>34</v>
      </c>
      <c r="EF45" s="777">
        <f t="shared" si="73"/>
        <v>0</v>
      </c>
      <c r="EG45" s="777">
        <f t="shared" si="73"/>
        <v>0</v>
      </c>
      <c r="EH45" s="777">
        <f t="shared" si="73"/>
        <v>0</v>
      </c>
      <c r="EI45" s="777">
        <f t="shared" si="73"/>
        <v>0</v>
      </c>
      <c r="EJ45" s="777">
        <f t="shared" si="73"/>
        <v>0</v>
      </c>
      <c r="EK45" s="777">
        <f t="shared" si="73"/>
        <v>0</v>
      </c>
      <c r="EL45" s="777">
        <f t="shared" si="74"/>
        <v>0</v>
      </c>
      <c r="EM45" s="777">
        <f t="shared" si="74"/>
        <v>0</v>
      </c>
      <c r="EN45" s="777">
        <f t="shared" si="74"/>
        <v>0</v>
      </c>
      <c r="EO45" s="777">
        <f t="shared" si="74"/>
        <v>0</v>
      </c>
      <c r="EP45" s="777">
        <f t="shared" si="74"/>
        <v>0</v>
      </c>
      <c r="EQ45" s="777">
        <f t="shared" si="74"/>
        <v>0</v>
      </c>
      <c r="ER45" s="777">
        <f t="shared" si="74"/>
        <v>0</v>
      </c>
      <c r="ES45" s="777">
        <f t="shared" si="74"/>
        <v>0</v>
      </c>
      <c r="ET45" s="777">
        <f t="shared" si="74"/>
        <v>0</v>
      </c>
      <c r="EU45" s="777">
        <f t="shared" si="74"/>
        <v>0</v>
      </c>
      <c r="EV45" s="777">
        <f t="shared" si="74"/>
        <v>0</v>
      </c>
    </row>
    <row r="46" spans="1:152" s="617" customFormat="1" ht="37.5" hidden="1" customHeight="1">
      <c r="A46" s="659">
        <v>10</v>
      </c>
      <c r="B46" s="660" t="s">
        <v>481</v>
      </c>
      <c r="C46" s="661">
        <f>D46+I46</f>
        <v>0</v>
      </c>
      <c r="D46" s="661">
        <f>E46+F46</f>
        <v>0</v>
      </c>
      <c r="E46" s="661"/>
      <c r="F46" s="661"/>
      <c r="G46" s="661"/>
      <c r="H46" s="661"/>
      <c r="I46" s="661"/>
      <c r="J46" s="661"/>
      <c r="K46" s="646">
        <f t="shared" si="5"/>
        <v>0</v>
      </c>
      <c r="L46" s="662">
        <f t="shared" si="64"/>
        <v>0</v>
      </c>
      <c r="M46" s="666"/>
      <c r="N46" s="666"/>
      <c r="O46" s="666"/>
      <c r="P46" s="666"/>
      <c r="Q46" s="666"/>
      <c r="R46" s="666"/>
      <c r="S46" s="666"/>
      <c r="T46" s="666">
        <f t="shared" si="65"/>
        <v>0</v>
      </c>
      <c r="U46" s="666">
        <f t="shared" si="66"/>
        <v>0</v>
      </c>
      <c r="V46" s="666"/>
      <c r="W46" s="666"/>
      <c r="X46" s="666"/>
      <c r="Y46" s="666"/>
      <c r="Z46" s="666">
        <f t="shared" ref="Z46:Z56" si="75">V46*10%</f>
        <v>0</v>
      </c>
      <c r="AA46" s="666"/>
      <c r="AB46" s="666">
        <f t="shared" si="67"/>
        <v>0</v>
      </c>
      <c r="AC46" s="666">
        <f t="shared" si="68"/>
        <v>0</v>
      </c>
      <c r="AD46" s="666"/>
      <c r="AE46" s="666"/>
      <c r="AF46" s="666"/>
      <c r="AG46" s="666"/>
      <c r="AH46" s="666"/>
      <c r="AI46" s="666"/>
      <c r="AJ46" s="666"/>
      <c r="AK46" s="666"/>
      <c r="AL46" s="664"/>
      <c r="AN46" s="610"/>
      <c r="AO46" s="659">
        <v>10</v>
      </c>
      <c r="AP46" s="660" t="s">
        <v>481</v>
      </c>
      <c r="AQ46" s="661">
        <f>AR46+AW46</f>
        <v>18</v>
      </c>
      <c r="AR46" s="661">
        <f>AS46+AT46</f>
        <v>17</v>
      </c>
      <c r="AS46" s="661"/>
      <c r="AT46" s="661">
        <v>17</v>
      </c>
      <c r="AU46" s="661"/>
      <c r="AV46" s="661">
        <v>15</v>
      </c>
      <c r="AW46" s="661">
        <v>1</v>
      </c>
      <c r="AX46" s="661">
        <v>0</v>
      </c>
      <c r="AY46" s="666">
        <f t="shared" si="69"/>
        <v>2478</v>
      </c>
      <c r="AZ46" s="670">
        <v>843</v>
      </c>
      <c r="BA46" s="666">
        <f>444-264-36+264</f>
        <v>408</v>
      </c>
      <c r="BB46" s="666">
        <v>36</v>
      </c>
      <c r="BC46" s="666"/>
      <c r="BD46" s="666"/>
      <c r="BE46" s="666">
        <f t="shared" si="70"/>
        <v>44.400000000000006</v>
      </c>
      <c r="BF46" s="667">
        <f>ROUND(BE46,0)</f>
        <v>44</v>
      </c>
      <c r="BG46" s="666">
        <f>(AZ46+BA46+BB46+BC46)-BF46</f>
        <v>1243</v>
      </c>
      <c r="BH46" s="666">
        <f>902+264-264</f>
        <v>902</v>
      </c>
      <c r="BI46" s="666"/>
      <c r="BJ46" s="666">
        <v>366</v>
      </c>
      <c r="BK46" s="666"/>
      <c r="BL46" s="666">
        <f>(BH46-409)*10%</f>
        <v>49.300000000000004</v>
      </c>
      <c r="BM46" s="667">
        <f t="shared" si="71"/>
        <v>49</v>
      </c>
      <c r="BN46" s="666">
        <f t="shared" si="72"/>
        <v>1219</v>
      </c>
      <c r="BO46" s="666">
        <v>16</v>
      </c>
      <c r="BP46" s="666"/>
      <c r="BQ46" s="666">
        <v>117</v>
      </c>
      <c r="BR46" s="666"/>
      <c r="BS46" s="666"/>
      <c r="BT46" s="666"/>
      <c r="BU46" s="666"/>
      <c r="BV46" s="666"/>
      <c r="BW46" s="662"/>
      <c r="BY46" s="1365"/>
      <c r="BZ46" s="1365"/>
      <c r="CA46" s="1366">
        <v>10</v>
      </c>
      <c r="CB46" s="1366" t="s">
        <v>481</v>
      </c>
      <c r="CC46" s="1366">
        <v>0</v>
      </c>
      <c r="CD46" s="1366">
        <v>0</v>
      </c>
      <c r="CE46" s="1366"/>
      <c r="CF46" s="1366"/>
      <c r="CG46" s="1366"/>
      <c r="CH46" s="1366"/>
      <c r="CI46" s="1366"/>
      <c r="CJ46" s="1366"/>
      <c r="CK46" s="1354">
        <v>0</v>
      </c>
      <c r="CL46" s="1354"/>
      <c r="CM46" s="1354"/>
      <c r="CN46" s="1354"/>
      <c r="CO46" s="1354"/>
      <c r="CP46" s="1354"/>
      <c r="CQ46" s="1354"/>
      <c r="CR46" s="1354"/>
      <c r="CS46" s="1354">
        <v>0</v>
      </c>
      <c r="CT46" s="1354">
        <v>0</v>
      </c>
      <c r="CU46" s="1354"/>
      <c r="CV46" s="1354"/>
      <c r="CW46" s="1354"/>
      <c r="CX46" s="1354"/>
      <c r="CY46" s="1354">
        <v>0</v>
      </c>
      <c r="CZ46" s="1354"/>
      <c r="DA46" s="1354">
        <v>0</v>
      </c>
      <c r="DB46" s="1354">
        <v>0</v>
      </c>
      <c r="DC46" s="1354"/>
      <c r="DD46" s="1354"/>
      <c r="DE46" s="1354"/>
      <c r="DF46" s="1354"/>
      <c r="DG46" s="1354"/>
      <c r="DH46" s="1354"/>
      <c r="DI46" s="1354"/>
      <c r="DJ46" s="1354"/>
      <c r="DK46" s="1354"/>
      <c r="DT46" s="659">
        <v>10</v>
      </c>
      <c r="DU46" s="660" t="s">
        <v>481</v>
      </c>
      <c r="DV46" s="777">
        <f>L46-CK46</f>
        <v>0</v>
      </c>
      <c r="DW46" s="777">
        <f t="shared" si="73"/>
        <v>0</v>
      </c>
      <c r="DX46" s="777">
        <f t="shared" si="73"/>
        <v>0</v>
      </c>
      <c r="DY46" s="777">
        <f t="shared" si="73"/>
        <v>0</v>
      </c>
      <c r="DZ46" s="777">
        <f t="shared" si="73"/>
        <v>0</v>
      </c>
      <c r="EA46" s="777">
        <f t="shared" si="73"/>
        <v>0</v>
      </c>
      <c r="EB46" s="777">
        <f t="shared" si="73"/>
        <v>0</v>
      </c>
      <c r="EC46" s="777">
        <f t="shared" si="73"/>
        <v>0</v>
      </c>
      <c r="ED46" s="777">
        <f t="shared" si="73"/>
        <v>0</v>
      </c>
      <c r="EE46" s="777">
        <f t="shared" si="73"/>
        <v>0</v>
      </c>
      <c r="EF46" s="777">
        <f t="shared" si="73"/>
        <v>0</v>
      </c>
      <c r="EG46" s="777">
        <f t="shared" si="73"/>
        <v>0</v>
      </c>
      <c r="EH46" s="777">
        <f t="shared" si="73"/>
        <v>0</v>
      </c>
      <c r="EI46" s="777">
        <f t="shared" si="73"/>
        <v>0</v>
      </c>
      <c r="EJ46" s="777">
        <f t="shared" si="73"/>
        <v>0</v>
      </c>
      <c r="EK46" s="777">
        <f t="shared" si="73"/>
        <v>0</v>
      </c>
      <c r="EL46" s="777">
        <f t="shared" si="74"/>
        <v>0</v>
      </c>
      <c r="EM46" s="777">
        <f t="shared" si="74"/>
        <v>0</v>
      </c>
      <c r="EN46" s="777">
        <f t="shared" si="74"/>
        <v>0</v>
      </c>
      <c r="EO46" s="777">
        <f t="shared" si="74"/>
        <v>0</v>
      </c>
      <c r="EP46" s="777">
        <f t="shared" si="74"/>
        <v>0</v>
      </c>
      <c r="EQ46" s="777">
        <f t="shared" si="74"/>
        <v>0</v>
      </c>
      <c r="ER46" s="777">
        <f t="shared" si="74"/>
        <v>0</v>
      </c>
      <c r="ES46" s="777">
        <f t="shared" si="74"/>
        <v>0</v>
      </c>
      <c r="ET46" s="777">
        <f t="shared" si="74"/>
        <v>0</v>
      </c>
      <c r="EU46" s="777">
        <f t="shared" si="74"/>
        <v>0</v>
      </c>
      <c r="EV46" s="777">
        <f t="shared" si="74"/>
        <v>0</v>
      </c>
    </row>
    <row r="47" spans="1:152" ht="70.5" customHeight="1">
      <c r="A47" s="659">
        <v>11</v>
      </c>
      <c r="B47" s="660" t="s">
        <v>482</v>
      </c>
      <c r="C47" s="661">
        <f>D47+I47</f>
        <v>18</v>
      </c>
      <c r="D47" s="661">
        <f>E47+F47</f>
        <v>15</v>
      </c>
      <c r="E47" s="661"/>
      <c r="F47" s="661">
        <v>15</v>
      </c>
      <c r="G47" s="661"/>
      <c r="H47" s="661">
        <v>15</v>
      </c>
      <c r="I47" s="661">
        <v>3</v>
      </c>
      <c r="J47" s="661">
        <v>3</v>
      </c>
      <c r="K47" s="646">
        <f t="shared" si="5"/>
        <v>3676</v>
      </c>
      <c r="L47" s="716">
        <f t="shared" si="64"/>
        <v>3676</v>
      </c>
      <c r="M47" s="666">
        <v>1118</v>
      </c>
      <c r="N47" s="666">
        <f>333-25</f>
        <v>308</v>
      </c>
      <c r="O47" s="666">
        <v>84</v>
      </c>
      <c r="P47" s="666"/>
      <c r="Q47" s="666"/>
      <c r="R47" s="666"/>
      <c r="S47" s="666">
        <v>42</v>
      </c>
      <c r="T47" s="666">
        <f t="shared" si="65"/>
        <v>42</v>
      </c>
      <c r="U47" s="666">
        <f t="shared" si="66"/>
        <v>1468</v>
      </c>
      <c r="V47" s="666">
        <v>1497</v>
      </c>
      <c r="W47" s="666">
        <v>805</v>
      </c>
      <c r="X47" s="666"/>
      <c r="Y47" s="666"/>
      <c r="Z47" s="666">
        <f>(V47-1357)*10%</f>
        <v>14</v>
      </c>
      <c r="AA47" s="666">
        <v>94</v>
      </c>
      <c r="AB47" s="666">
        <f t="shared" si="67"/>
        <v>94</v>
      </c>
      <c r="AC47" s="666">
        <f t="shared" si="68"/>
        <v>2208</v>
      </c>
      <c r="AD47" s="666"/>
      <c r="AE47" s="666"/>
      <c r="AF47" s="666"/>
      <c r="AG47" s="666"/>
      <c r="AH47" s="666"/>
      <c r="AI47" s="666"/>
      <c r="AJ47" s="666"/>
      <c r="AK47" s="666"/>
      <c r="AL47" s="664"/>
      <c r="AN47" s="610"/>
      <c r="AO47" s="659">
        <v>11</v>
      </c>
      <c r="AP47" s="660" t="s">
        <v>482</v>
      </c>
      <c r="AQ47" s="661">
        <f>AR47+AW47</f>
        <v>19</v>
      </c>
      <c r="AR47" s="661">
        <f>AS47+AT47</f>
        <v>16</v>
      </c>
      <c r="AS47" s="661"/>
      <c r="AT47" s="661">
        <v>16</v>
      </c>
      <c r="AU47" s="661"/>
      <c r="AV47" s="661">
        <v>16</v>
      </c>
      <c r="AW47" s="661">
        <v>3</v>
      </c>
      <c r="AX47" s="661">
        <v>3</v>
      </c>
      <c r="AY47" s="716">
        <f t="shared" si="69"/>
        <v>3820</v>
      </c>
      <c r="AZ47" s="670">
        <v>1143</v>
      </c>
      <c r="BA47" s="666">
        <v>333</v>
      </c>
      <c r="BB47" s="666">
        <v>84</v>
      </c>
      <c r="BC47" s="666"/>
      <c r="BD47" s="666"/>
      <c r="BE47" s="666">
        <f t="shared" si="70"/>
        <v>41.7</v>
      </c>
      <c r="BF47" s="667">
        <f>ROUND(BE47,0)</f>
        <v>42</v>
      </c>
      <c r="BG47" s="666">
        <f t="shared" si="24"/>
        <v>1518</v>
      </c>
      <c r="BH47" s="666">
        <v>1511</v>
      </c>
      <c r="BI47" s="666"/>
      <c r="BJ47" s="666">
        <v>807</v>
      </c>
      <c r="BK47" s="666"/>
      <c r="BL47" s="666">
        <f>(BH47-533-300-504-18)*10%</f>
        <v>15.600000000000001</v>
      </c>
      <c r="BM47" s="667">
        <f t="shared" si="71"/>
        <v>16</v>
      </c>
      <c r="BN47" s="666">
        <f t="shared" si="72"/>
        <v>2302</v>
      </c>
      <c r="BO47" s="666"/>
      <c r="BP47" s="666"/>
      <c r="BQ47" s="666">
        <v>3093</v>
      </c>
      <c r="BR47" s="666"/>
      <c r="BS47" s="666"/>
      <c r="BT47" s="666"/>
      <c r="BU47" s="666"/>
      <c r="BV47" s="666"/>
      <c r="BW47" s="662"/>
      <c r="CA47" s="1352">
        <v>11</v>
      </c>
      <c r="CB47" s="1352" t="s">
        <v>482</v>
      </c>
      <c r="CC47" s="1352">
        <v>18</v>
      </c>
      <c r="CD47" s="1352">
        <v>15</v>
      </c>
      <c r="CE47" s="1352"/>
      <c r="CF47" s="1352">
        <v>15</v>
      </c>
      <c r="CG47" s="1352"/>
      <c r="CH47" s="1352">
        <v>15</v>
      </c>
      <c r="CI47" s="1352">
        <v>3</v>
      </c>
      <c r="CJ47" s="1352">
        <v>3</v>
      </c>
      <c r="CK47" s="1353">
        <v>3542</v>
      </c>
      <c r="CL47" s="1353">
        <v>1118</v>
      </c>
      <c r="CM47" s="1354">
        <v>308</v>
      </c>
      <c r="CN47" s="1354">
        <v>84</v>
      </c>
      <c r="CO47" s="1354"/>
      <c r="CP47" s="1354"/>
      <c r="CQ47" s="1354"/>
      <c r="CR47" s="1354">
        <v>42</v>
      </c>
      <c r="CS47" s="1354">
        <v>42</v>
      </c>
      <c r="CT47" s="1353">
        <v>1468</v>
      </c>
      <c r="CU47" s="1353">
        <v>1497</v>
      </c>
      <c r="CV47" s="1353">
        <v>805</v>
      </c>
      <c r="CW47" s="1353"/>
      <c r="CX47" s="1353">
        <v>133.70000000000002</v>
      </c>
      <c r="CY47" s="1353">
        <v>149.70000000000002</v>
      </c>
      <c r="CZ47" s="1353">
        <v>94</v>
      </c>
      <c r="DA47" s="1353">
        <v>228</v>
      </c>
      <c r="DB47" s="1353">
        <v>2074</v>
      </c>
      <c r="DC47" s="1353"/>
      <c r="DD47" s="1353"/>
      <c r="DE47" s="1353"/>
      <c r="DF47" s="1353"/>
      <c r="DG47" s="1353"/>
      <c r="DH47" s="1353"/>
      <c r="DI47" s="1353"/>
      <c r="DJ47" s="1353"/>
      <c r="DK47" s="1353"/>
      <c r="DT47" s="659">
        <v>11</v>
      </c>
      <c r="DU47" s="660" t="s">
        <v>482</v>
      </c>
      <c r="DV47" s="777">
        <f>L47-CK47</f>
        <v>134</v>
      </c>
      <c r="DW47" s="777">
        <f t="shared" si="73"/>
        <v>0</v>
      </c>
      <c r="DX47" s="777">
        <f t="shared" si="73"/>
        <v>0</v>
      </c>
      <c r="DY47" s="777">
        <f t="shared" si="73"/>
        <v>0</v>
      </c>
      <c r="DZ47" s="777">
        <f t="shared" si="73"/>
        <v>0</v>
      </c>
      <c r="EA47" s="777">
        <f t="shared" si="73"/>
        <v>0</v>
      </c>
      <c r="EB47" s="777">
        <f t="shared" si="73"/>
        <v>0</v>
      </c>
      <c r="EC47" s="777">
        <f t="shared" si="73"/>
        <v>0</v>
      </c>
      <c r="ED47" s="777">
        <f t="shared" si="73"/>
        <v>0</v>
      </c>
      <c r="EE47" s="777">
        <f t="shared" si="73"/>
        <v>0</v>
      </c>
      <c r="EF47" s="777">
        <f t="shared" si="73"/>
        <v>0</v>
      </c>
      <c r="EG47" s="777">
        <f t="shared" si="73"/>
        <v>0</v>
      </c>
      <c r="EH47" s="777">
        <f t="shared" si="73"/>
        <v>0</v>
      </c>
      <c r="EI47" s="777">
        <f t="shared" si="73"/>
        <v>-133.70000000000002</v>
      </c>
      <c r="EJ47" s="777">
        <f t="shared" si="73"/>
        <v>-135.70000000000002</v>
      </c>
      <c r="EK47" s="777">
        <f t="shared" si="73"/>
        <v>0</v>
      </c>
      <c r="EL47" s="777">
        <f t="shared" si="74"/>
        <v>-134</v>
      </c>
      <c r="EM47" s="777">
        <f t="shared" si="74"/>
        <v>134</v>
      </c>
      <c r="EN47" s="777">
        <f t="shared" si="74"/>
        <v>0</v>
      </c>
      <c r="EO47" s="777">
        <f t="shared" si="74"/>
        <v>0</v>
      </c>
      <c r="EP47" s="777">
        <f t="shared" si="74"/>
        <v>0</v>
      </c>
      <c r="EQ47" s="777">
        <f t="shared" si="74"/>
        <v>0</v>
      </c>
      <c r="ER47" s="777">
        <f t="shared" si="74"/>
        <v>0</v>
      </c>
      <c r="ES47" s="777">
        <f t="shared" si="74"/>
        <v>0</v>
      </c>
      <c r="ET47" s="777">
        <f t="shared" si="74"/>
        <v>0</v>
      </c>
      <c r="EU47" s="777">
        <f t="shared" si="74"/>
        <v>0</v>
      </c>
      <c r="EV47" s="777">
        <f t="shared" si="74"/>
        <v>0</v>
      </c>
    </row>
    <row r="48" spans="1:152" s="693" customFormat="1" ht="34.5" customHeight="1">
      <c r="A48" s="682"/>
      <c r="B48" s="683" t="s">
        <v>483</v>
      </c>
      <c r="C48" s="684"/>
      <c r="D48" s="684"/>
      <c r="E48" s="684"/>
      <c r="F48" s="684"/>
      <c r="G48" s="684"/>
      <c r="H48" s="684"/>
      <c r="I48" s="684"/>
      <c r="J48" s="684"/>
      <c r="K48" s="646">
        <f t="shared" si="5"/>
        <v>1488</v>
      </c>
      <c r="L48" s="717">
        <f t="shared" si="64"/>
        <v>1488</v>
      </c>
      <c r="M48" s="685"/>
      <c r="N48" s="685"/>
      <c r="O48" s="685"/>
      <c r="P48" s="685"/>
      <c r="Q48" s="685"/>
      <c r="R48" s="666">
        <f>((N48+O48)-(BA48+BB48))*10%</f>
        <v>0</v>
      </c>
      <c r="S48" s="685"/>
      <c r="T48" s="666">
        <f t="shared" si="65"/>
        <v>0</v>
      </c>
      <c r="U48" s="666">
        <f t="shared" si="66"/>
        <v>0</v>
      </c>
      <c r="V48" s="685">
        <v>1337</v>
      </c>
      <c r="W48" s="685">
        <v>151</v>
      </c>
      <c r="X48" s="685"/>
      <c r="Y48" s="666">
        <f>Z48-BM48</f>
        <v>0</v>
      </c>
      <c r="Z48" s="666"/>
      <c r="AA48" s="666"/>
      <c r="AB48" s="666">
        <f t="shared" si="67"/>
        <v>0</v>
      </c>
      <c r="AC48" s="666">
        <f t="shared" si="68"/>
        <v>1488</v>
      </c>
      <c r="AD48" s="685"/>
      <c r="AE48" s="685"/>
      <c r="AF48" s="685"/>
      <c r="AG48" s="685"/>
      <c r="AH48" s="685"/>
      <c r="AI48" s="685"/>
      <c r="AJ48" s="685"/>
      <c r="AK48" s="685"/>
      <c r="AL48" s="688"/>
      <c r="AM48" s="689"/>
      <c r="AN48" s="690"/>
      <c r="AO48" s="682"/>
      <c r="AP48" s="683" t="s">
        <v>483</v>
      </c>
      <c r="AQ48" s="684"/>
      <c r="AR48" s="684"/>
      <c r="AS48" s="684"/>
      <c r="AT48" s="684"/>
      <c r="AU48" s="684"/>
      <c r="AV48" s="684"/>
      <c r="AW48" s="684"/>
      <c r="AX48" s="684"/>
      <c r="AY48" s="717">
        <f t="shared" si="69"/>
        <v>1543</v>
      </c>
      <c r="AZ48" s="691"/>
      <c r="BA48" s="685"/>
      <c r="BB48" s="685"/>
      <c r="BC48" s="685"/>
      <c r="BD48" s="685"/>
      <c r="BE48" s="666">
        <f t="shared" si="70"/>
        <v>0</v>
      </c>
      <c r="BF48" s="686"/>
      <c r="BG48" s="666">
        <f t="shared" si="24"/>
        <v>0</v>
      </c>
      <c r="BH48" s="685">
        <f>533+300+504</f>
        <v>1337</v>
      </c>
      <c r="BI48" s="685"/>
      <c r="BJ48" s="685">
        <v>206</v>
      </c>
      <c r="BK48" s="685"/>
      <c r="BL48" s="666"/>
      <c r="BM48" s="667">
        <f t="shared" si="71"/>
        <v>0</v>
      </c>
      <c r="BN48" s="685">
        <f t="shared" si="72"/>
        <v>1543</v>
      </c>
      <c r="BO48" s="685"/>
      <c r="BP48" s="685"/>
      <c r="BQ48" s="685"/>
      <c r="BR48" s="685"/>
      <c r="BS48" s="685"/>
      <c r="BT48" s="685"/>
      <c r="BU48" s="685"/>
      <c r="BV48" s="685"/>
      <c r="BW48" s="692"/>
      <c r="BY48" s="1355"/>
      <c r="BZ48" s="1355"/>
      <c r="CA48" s="1356"/>
      <c r="CB48" s="1356" t="s">
        <v>483</v>
      </c>
      <c r="CC48" s="1356"/>
      <c r="CD48" s="1356"/>
      <c r="CE48" s="1356"/>
      <c r="CF48" s="1356"/>
      <c r="CG48" s="1356"/>
      <c r="CH48" s="1356"/>
      <c r="CI48" s="1356"/>
      <c r="CJ48" s="1356"/>
      <c r="CK48" s="1357">
        <v>1354</v>
      </c>
      <c r="CL48" s="1357"/>
      <c r="CM48" s="1358"/>
      <c r="CN48" s="1358"/>
      <c r="CO48" s="1358"/>
      <c r="CP48" s="1358"/>
      <c r="CQ48" s="1358">
        <v>0</v>
      </c>
      <c r="CR48" s="1358"/>
      <c r="CS48" s="1358">
        <v>0</v>
      </c>
      <c r="CT48" s="1357">
        <v>0</v>
      </c>
      <c r="CU48" s="1357">
        <v>1337</v>
      </c>
      <c r="CV48" s="1357">
        <v>151</v>
      </c>
      <c r="CW48" s="1357"/>
      <c r="CX48" s="1357">
        <v>133.70000000000002</v>
      </c>
      <c r="CY48" s="1357">
        <v>133.70000000000002</v>
      </c>
      <c r="CZ48" s="1357"/>
      <c r="DA48" s="1357">
        <v>134</v>
      </c>
      <c r="DB48" s="1357">
        <v>1354</v>
      </c>
      <c r="DC48" s="1357"/>
      <c r="DD48" s="1357"/>
      <c r="DE48" s="1357"/>
      <c r="DF48" s="1357"/>
      <c r="DG48" s="1357"/>
      <c r="DH48" s="1357"/>
      <c r="DI48" s="1357"/>
      <c r="DJ48" s="1357"/>
      <c r="DK48" s="1357"/>
      <c r="DT48" s="682"/>
      <c r="DU48" s="683" t="s">
        <v>483</v>
      </c>
      <c r="DV48" s="777"/>
      <c r="DW48" s="777">
        <f t="shared" si="73"/>
        <v>0</v>
      </c>
      <c r="DX48" s="777">
        <f t="shared" si="73"/>
        <v>0</v>
      </c>
      <c r="DY48" s="777">
        <f t="shared" si="73"/>
        <v>0</v>
      </c>
      <c r="DZ48" s="777">
        <f t="shared" si="73"/>
        <v>0</v>
      </c>
      <c r="EA48" s="777">
        <f t="shared" si="73"/>
        <v>0</v>
      </c>
      <c r="EB48" s="777">
        <f t="shared" si="73"/>
        <v>0</v>
      </c>
      <c r="EC48" s="777">
        <f t="shared" si="73"/>
        <v>0</v>
      </c>
      <c r="ED48" s="777">
        <f t="shared" si="73"/>
        <v>0</v>
      </c>
      <c r="EE48" s="777">
        <f t="shared" si="73"/>
        <v>0</v>
      </c>
      <c r="EF48" s="777">
        <f t="shared" si="73"/>
        <v>0</v>
      </c>
      <c r="EG48" s="777">
        <f t="shared" si="73"/>
        <v>0</v>
      </c>
      <c r="EH48" s="777">
        <f t="shared" si="73"/>
        <v>0</v>
      </c>
      <c r="EI48" s="777"/>
      <c r="EJ48" s="777"/>
      <c r="EK48" s="777">
        <f t="shared" si="73"/>
        <v>0</v>
      </c>
      <c r="EL48" s="777"/>
      <c r="EM48" s="777"/>
      <c r="EN48" s="777">
        <f t="shared" si="74"/>
        <v>0</v>
      </c>
      <c r="EO48" s="777">
        <f t="shared" si="74"/>
        <v>0</v>
      </c>
      <c r="EP48" s="777">
        <f t="shared" si="74"/>
        <v>0</v>
      </c>
      <c r="EQ48" s="777">
        <f t="shared" si="74"/>
        <v>0</v>
      </c>
      <c r="ER48" s="777">
        <f t="shared" si="74"/>
        <v>0</v>
      </c>
      <c r="ES48" s="777">
        <f t="shared" si="74"/>
        <v>0</v>
      </c>
      <c r="ET48" s="777">
        <f t="shared" si="74"/>
        <v>0</v>
      </c>
      <c r="EU48" s="777">
        <f t="shared" si="74"/>
        <v>0</v>
      </c>
      <c r="EV48" s="777">
        <f t="shared" si="74"/>
        <v>0</v>
      </c>
    </row>
    <row r="49" spans="1:152" ht="35.25" hidden="1" customHeight="1">
      <c r="A49" s="659">
        <v>12</v>
      </c>
      <c r="B49" s="660" t="s">
        <v>484</v>
      </c>
      <c r="C49" s="661">
        <f>D49+I49</f>
        <v>0</v>
      </c>
      <c r="D49" s="661">
        <f>E49+F49</f>
        <v>0</v>
      </c>
      <c r="E49" s="661"/>
      <c r="F49" s="661"/>
      <c r="G49" s="661"/>
      <c r="H49" s="661"/>
      <c r="I49" s="661"/>
      <c r="J49" s="661"/>
      <c r="K49" s="646">
        <f t="shared" si="5"/>
        <v>0</v>
      </c>
      <c r="L49" s="662">
        <f t="shared" si="64"/>
        <v>0</v>
      </c>
      <c r="M49" s="666"/>
      <c r="N49" s="666"/>
      <c r="O49" s="666"/>
      <c r="P49" s="666"/>
      <c r="Q49" s="666"/>
      <c r="R49" s="666">
        <f>((N49+O49)-(BA49+BB49))*10%</f>
        <v>0</v>
      </c>
      <c r="S49" s="666"/>
      <c r="T49" s="666">
        <f t="shared" si="65"/>
        <v>0</v>
      </c>
      <c r="U49" s="666">
        <f t="shared" si="66"/>
        <v>0</v>
      </c>
      <c r="V49" s="666"/>
      <c r="W49" s="666"/>
      <c r="X49" s="666"/>
      <c r="Y49" s="666">
        <f>Z49-BM49</f>
        <v>0</v>
      </c>
      <c r="Z49" s="666">
        <f t="shared" si="75"/>
        <v>0</v>
      </c>
      <c r="AA49" s="666"/>
      <c r="AB49" s="666">
        <f t="shared" si="67"/>
        <v>0</v>
      </c>
      <c r="AC49" s="666">
        <f t="shared" si="68"/>
        <v>0</v>
      </c>
      <c r="AD49" s="666"/>
      <c r="AE49" s="666"/>
      <c r="AF49" s="666"/>
      <c r="AG49" s="666"/>
      <c r="AH49" s="666"/>
      <c r="AI49" s="666"/>
      <c r="AJ49" s="666"/>
      <c r="AK49" s="666"/>
      <c r="AL49" s="664"/>
      <c r="AN49" s="610"/>
      <c r="AO49" s="659">
        <v>12</v>
      </c>
      <c r="AP49" s="660" t="s">
        <v>484</v>
      </c>
      <c r="AQ49" s="661">
        <f>AR49+AW49</f>
        <v>6</v>
      </c>
      <c r="AR49" s="661">
        <f>AS49+AT49</f>
        <v>5</v>
      </c>
      <c r="AS49" s="661"/>
      <c r="AT49" s="661">
        <v>5</v>
      </c>
      <c r="AU49" s="661"/>
      <c r="AV49" s="661">
        <v>5</v>
      </c>
      <c r="AW49" s="661">
        <v>1</v>
      </c>
      <c r="AX49" s="661"/>
      <c r="AY49" s="666">
        <f t="shared" si="69"/>
        <v>424</v>
      </c>
      <c r="AZ49" s="670">
        <f>380+44</f>
        <v>424</v>
      </c>
      <c r="BA49" s="666">
        <f>234-234</f>
        <v>0</v>
      </c>
      <c r="BB49" s="666"/>
      <c r="BC49" s="666"/>
      <c r="BD49" s="666"/>
      <c r="BE49" s="666">
        <f t="shared" si="70"/>
        <v>0</v>
      </c>
      <c r="BF49" s="667">
        <f t="shared" ref="BF49:BF54" si="76">ROUND(BE49,0)</f>
        <v>0</v>
      </c>
      <c r="BG49" s="666">
        <f t="shared" si="24"/>
        <v>424</v>
      </c>
      <c r="BH49" s="666"/>
      <c r="BI49" s="666"/>
      <c r="BJ49" s="666"/>
      <c r="BK49" s="666"/>
      <c r="BL49" s="666">
        <f>BH49*10%</f>
        <v>0</v>
      </c>
      <c r="BM49" s="667">
        <f t="shared" si="71"/>
        <v>0</v>
      </c>
      <c r="BN49" s="666">
        <f t="shared" si="72"/>
        <v>0</v>
      </c>
      <c r="BO49" s="666"/>
      <c r="BP49" s="666"/>
      <c r="BQ49" s="666">
        <v>450</v>
      </c>
      <c r="BR49" s="666">
        <v>340</v>
      </c>
      <c r="BS49" s="666"/>
      <c r="BT49" s="666"/>
      <c r="BU49" s="666"/>
      <c r="BV49" s="666"/>
      <c r="BW49" s="662"/>
      <c r="CA49" s="1352">
        <v>12</v>
      </c>
      <c r="CB49" s="1352" t="s">
        <v>484</v>
      </c>
      <c r="CC49" s="1352">
        <v>0</v>
      </c>
      <c r="CD49" s="1352">
        <v>0</v>
      </c>
      <c r="CE49" s="1352"/>
      <c r="CF49" s="1352"/>
      <c r="CG49" s="1352"/>
      <c r="CH49" s="1352"/>
      <c r="CI49" s="1352"/>
      <c r="CJ49" s="1352"/>
      <c r="CK49" s="1353">
        <v>0</v>
      </c>
      <c r="CL49" s="1353"/>
      <c r="CM49" s="1354"/>
      <c r="CN49" s="1354"/>
      <c r="CO49" s="1354"/>
      <c r="CP49" s="1354"/>
      <c r="CQ49" s="1354">
        <v>0</v>
      </c>
      <c r="CR49" s="1354"/>
      <c r="CS49" s="1354">
        <v>0</v>
      </c>
      <c r="CT49" s="1353">
        <v>0</v>
      </c>
      <c r="CU49" s="1353"/>
      <c r="CV49" s="1353"/>
      <c r="CW49" s="1353"/>
      <c r="CX49" s="1353">
        <v>0</v>
      </c>
      <c r="CY49" s="1353">
        <v>0</v>
      </c>
      <c r="CZ49" s="1353"/>
      <c r="DA49" s="1353">
        <v>0</v>
      </c>
      <c r="DB49" s="1353">
        <v>0</v>
      </c>
      <c r="DC49" s="1353"/>
      <c r="DD49" s="1353"/>
      <c r="DE49" s="1353"/>
      <c r="DF49" s="1353"/>
      <c r="DG49" s="1353"/>
      <c r="DH49" s="1353"/>
      <c r="DI49" s="1353"/>
      <c r="DJ49" s="1353"/>
      <c r="DK49" s="1353"/>
      <c r="DT49" s="659">
        <v>12</v>
      </c>
      <c r="DU49" s="660" t="s">
        <v>484</v>
      </c>
      <c r="DV49" s="777">
        <f t="shared" ref="DV49:DV56" si="77">L49-CK49</f>
        <v>0</v>
      </c>
      <c r="DW49" s="777">
        <f t="shared" si="73"/>
        <v>0</v>
      </c>
      <c r="DX49" s="777">
        <f t="shared" si="73"/>
        <v>0</v>
      </c>
      <c r="DY49" s="777">
        <f t="shared" si="73"/>
        <v>0</v>
      </c>
      <c r="DZ49" s="777">
        <f t="shared" si="73"/>
        <v>0</v>
      </c>
      <c r="EA49" s="777">
        <f t="shared" si="73"/>
        <v>0</v>
      </c>
      <c r="EB49" s="777">
        <f t="shared" si="73"/>
        <v>0</v>
      </c>
      <c r="EC49" s="777">
        <f t="shared" si="73"/>
        <v>0</v>
      </c>
      <c r="ED49" s="777">
        <f t="shared" si="73"/>
        <v>0</v>
      </c>
      <c r="EE49" s="777">
        <f t="shared" si="73"/>
        <v>0</v>
      </c>
      <c r="EF49" s="777">
        <f t="shared" si="73"/>
        <v>0</v>
      </c>
      <c r="EG49" s="777">
        <f t="shared" si="73"/>
        <v>0</v>
      </c>
      <c r="EH49" s="777">
        <f t="shared" si="73"/>
        <v>0</v>
      </c>
      <c r="EI49" s="777">
        <f t="shared" si="73"/>
        <v>0</v>
      </c>
      <c r="EJ49" s="777">
        <f t="shared" si="73"/>
        <v>0</v>
      </c>
      <c r="EK49" s="777">
        <f t="shared" si="73"/>
        <v>0</v>
      </c>
      <c r="EL49" s="777">
        <f t="shared" si="73"/>
        <v>0</v>
      </c>
      <c r="EM49" s="777">
        <f t="shared" ref="EL49:EM56" si="78">AC49-DB49</f>
        <v>0</v>
      </c>
      <c r="EN49" s="777">
        <f t="shared" si="74"/>
        <v>0</v>
      </c>
      <c r="EO49" s="777">
        <f t="shared" si="74"/>
        <v>0</v>
      </c>
      <c r="EP49" s="777">
        <f t="shared" si="74"/>
        <v>0</v>
      </c>
      <c r="EQ49" s="777">
        <f t="shared" si="74"/>
        <v>0</v>
      </c>
      <c r="ER49" s="777">
        <f t="shared" si="74"/>
        <v>0</v>
      </c>
      <c r="ES49" s="777">
        <f t="shared" si="74"/>
        <v>0</v>
      </c>
      <c r="ET49" s="777">
        <f t="shared" si="74"/>
        <v>0</v>
      </c>
      <c r="EU49" s="777">
        <f t="shared" si="74"/>
        <v>0</v>
      </c>
      <c r="EV49" s="777">
        <f t="shared" si="74"/>
        <v>0</v>
      </c>
    </row>
    <row r="50" spans="1:152" ht="38.25" customHeight="1">
      <c r="A50" s="659">
        <v>12</v>
      </c>
      <c r="B50" s="660" t="s">
        <v>485</v>
      </c>
      <c r="C50" s="661">
        <f>D50+I50</f>
        <v>10</v>
      </c>
      <c r="D50" s="661">
        <f>E50+F50</f>
        <v>10</v>
      </c>
      <c r="E50" s="661"/>
      <c r="F50" s="661">
        <v>10</v>
      </c>
      <c r="G50" s="661"/>
      <c r="H50" s="661">
        <v>10</v>
      </c>
      <c r="I50" s="661"/>
      <c r="J50" s="661"/>
      <c r="K50" s="646">
        <f t="shared" si="5"/>
        <v>2839</v>
      </c>
      <c r="L50" s="662">
        <f t="shared" si="64"/>
        <v>2879</v>
      </c>
      <c r="M50" s="666">
        <v>729</v>
      </c>
      <c r="N50" s="666">
        <v>237</v>
      </c>
      <c r="O50" s="666">
        <v>24</v>
      </c>
      <c r="P50" s="666"/>
      <c r="Q50" s="666"/>
      <c r="R50" s="666">
        <f>((N50+O50)-(BA50+BB50))*10%</f>
        <v>0</v>
      </c>
      <c r="S50" s="666">
        <v>26</v>
      </c>
      <c r="T50" s="666">
        <f t="shared" si="65"/>
        <v>26</v>
      </c>
      <c r="U50" s="666">
        <f t="shared" si="66"/>
        <v>964</v>
      </c>
      <c r="V50" s="666">
        <v>2128</v>
      </c>
      <c r="W50" s="666">
        <v>15</v>
      </c>
      <c r="X50" s="666"/>
      <c r="Y50" s="666">
        <f>Z50-BM50</f>
        <v>18.800000000000011</v>
      </c>
      <c r="Z50" s="666">
        <f t="shared" si="75"/>
        <v>212.8</v>
      </c>
      <c r="AA50" s="666">
        <v>249</v>
      </c>
      <c r="AB50" s="666">
        <f t="shared" si="67"/>
        <v>268</v>
      </c>
      <c r="AC50" s="666">
        <f t="shared" si="68"/>
        <v>1875</v>
      </c>
      <c r="AD50" s="666">
        <v>40</v>
      </c>
      <c r="AE50" s="666"/>
      <c r="AF50" s="666"/>
      <c r="AG50" s="666"/>
      <c r="AH50" s="666"/>
      <c r="AI50" s="666"/>
      <c r="AJ50" s="666"/>
      <c r="AK50" s="666"/>
      <c r="AL50" s="664"/>
      <c r="AN50" s="610"/>
      <c r="AO50" s="659">
        <v>13</v>
      </c>
      <c r="AP50" s="660" t="s">
        <v>485</v>
      </c>
      <c r="AQ50" s="661">
        <f>AR50+AW50</f>
        <v>10</v>
      </c>
      <c r="AR50" s="661">
        <f>AS50+AT50</f>
        <v>10</v>
      </c>
      <c r="AS50" s="661"/>
      <c r="AT50" s="661">
        <f>6+4</f>
        <v>10</v>
      </c>
      <c r="AU50" s="661"/>
      <c r="AV50" s="661">
        <v>9</v>
      </c>
      <c r="AW50" s="661"/>
      <c r="AX50" s="661"/>
      <c r="AY50" s="666">
        <f t="shared" si="69"/>
        <v>2732</v>
      </c>
      <c r="AZ50" s="670">
        <v>656</v>
      </c>
      <c r="BA50" s="666">
        <f>261-26</f>
        <v>235</v>
      </c>
      <c r="BB50" s="666">
        <v>26</v>
      </c>
      <c r="BC50" s="666"/>
      <c r="BD50" s="666"/>
      <c r="BE50" s="666">
        <f t="shared" si="70"/>
        <v>26.1</v>
      </c>
      <c r="BF50" s="667">
        <f t="shared" si="76"/>
        <v>26</v>
      </c>
      <c r="BG50" s="666">
        <f t="shared" si="24"/>
        <v>891</v>
      </c>
      <c r="BH50" s="666">
        <v>1935</v>
      </c>
      <c r="BI50" s="666"/>
      <c r="BJ50" s="666">
        <v>75</v>
      </c>
      <c r="BK50" s="666"/>
      <c r="BL50" s="666">
        <f>BH50*10%</f>
        <v>193.5</v>
      </c>
      <c r="BM50" s="667">
        <f t="shared" si="71"/>
        <v>194</v>
      </c>
      <c r="BN50" s="666">
        <f t="shared" si="72"/>
        <v>1816</v>
      </c>
      <c r="BO50" s="666">
        <v>25</v>
      </c>
      <c r="BP50" s="666"/>
      <c r="BQ50" s="666"/>
      <c r="BR50" s="666"/>
      <c r="BS50" s="666"/>
      <c r="BT50" s="666"/>
      <c r="BU50" s="666"/>
      <c r="BV50" s="666"/>
      <c r="BW50" s="662"/>
      <c r="CA50" s="1352">
        <v>12</v>
      </c>
      <c r="CB50" s="1352" t="s">
        <v>485</v>
      </c>
      <c r="CC50" s="1352">
        <v>10</v>
      </c>
      <c r="CD50" s="1352">
        <v>10</v>
      </c>
      <c r="CE50" s="1352"/>
      <c r="CF50" s="1352">
        <v>10</v>
      </c>
      <c r="CG50" s="1352"/>
      <c r="CH50" s="1352">
        <v>10</v>
      </c>
      <c r="CI50" s="1352"/>
      <c r="CJ50" s="1352"/>
      <c r="CK50" s="1353">
        <v>2879</v>
      </c>
      <c r="CL50" s="1353">
        <v>729</v>
      </c>
      <c r="CM50" s="1354">
        <v>237</v>
      </c>
      <c r="CN50" s="1354">
        <v>24</v>
      </c>
      <c r="CO50" s="1354"/>
      <c r="CP50" s="1354"/>
      <c r="CQ50" s="1354">
        <v>0</v>
      </c>
      <c r="CR50" s="1354">
        <v>26</v>
      </c>
      <c r="CS50" s="1354">
        <v>26</v>
      </c>
      <c r="CT50" s="1353">
        <v>964</v>
      </c>
      <c r="CU50" s="1353">
        <v>2128</v>
      </c>
      <c r="CV50" s="1353">
        <v>15</v>
      </c>
      <c r="CW50" s="1353"/>
      <c r="CX50" s="1353">
        <v>18.800000000000011</v>
      </c>
      <c r="CY50" s="1353">
        <v>212.8</v>
      </c>
      <c r="CZ50" s="1353">
        <v>249</v>
      </c>
      <c r="DA50" s="1353">
        <v>268</v>
      </c>
      <c r="DB50" s="1353">
        <v>1875</v>
      </c>
      <c r="DC50" s="1353">
        <v>40</v>
      </c>
      <c r="DD50" s="1353"/>
      <c r="DE50" s="1353"/>
      <c r="DF50" s="1353"/>
      <c r="DG50" s="1353"/>
      <c r="DH50" s="1353"/>
      <c r="DI50" s="1353"/>
      <c r="DJ50" s="1353"/>
      <c r="DK50" s="1353"/>
      <c r="DT50" s="659">
        <v>12</v>
      </c>
      <c r="DU50" s="660" t="s">
        <v>485</v>
      </c>
      <c r="DV50" s="777">
        <f t="shared" si="77"/>
        <v>0</v>
      </c>
      <c r="DW50" s="777">
        <f t="shared" si="73"/>
        <v>0</v>
      </c>
      <c r="DX50" s="777">
        <f t="shared" si="73"/>
        <v>0</v>
      </c>
      <c r="DY50" s="777">
        <f t="shared" si="73"/>
        <v>0</v>
      </c>
      <c r="DZ50" s="777">
        <f t="shared" si="73"/>
        <v>0</v>
      </c>
      <c r="EA50" s="777">
        <f t="shared" si="73"/>
        <v>0</v>
      </c>
      <c r="EB50" s="777">
        <f t="shared" si="73"/>
        <v>0</v>
      </c>
      <c r="EC50" s="777">
        <f t="shared" si="73"/>
        <v>0</v>
      </c>
      <c r="ED50" s="777">
        <f t="shared" si="73"/>
        <v>0</v>
      </c>
      <c r="EE50" s="777">
        <f t="shared" si="73"/>
        <v>0</v>
      </c>
      <c r="EF50" s="777">
        <f t="shared" si="73"/>
        <v>0</v>
      </c>
      <c r="EG50" s="777">
        <f t="shared" si="73"/>
        <v>0</v>
      </c>
      <c r="EH50" s="777">
        <f t="shared" si="73"/>
        <v>0</v>
      </c>
      <c r="EI50" s="777">
        <f t="shared" si="73"/>
        <v>0</v>
      </c>
      <c r="EJ50" s="777">
        <f t="shared" si="73"/>
        <v>0</v>
      </c>
      <c r="EK50" s="777">
        <f t="shared" si="73"/>
        <v>0</v>
      </c>
      <c r="EL50" s="777">
        <f t="shared" si="78"/>
        <v>0</v>
      </c>
      <c r="EM50" s="777">
        <f t="shared" si="78"/>
        <v>0</v>
      </c>
      <c r="EN50" s="777">
        <f t="shared" si="74"/>
        <v>0</v>
      </c>
      <c r="EO50" s="777">
        <f t="shared" si="74"/>
        <v>0</v>
      </c>
      <c r="EP50" s="777">
        <f t="shared" si="74"/>
        <v>0</v>
      </c>
      <c r="EQ50" s="777">
        <f t="shared" si="74"/>
        <v>0</v>
      </c>
      <c r="ER50" s="777">
        <f t="shared" si="74"/>
        <v>0</v>
      </c>
      <c r="ES50" s="777">
        <f t="shared" si="74"/>
        <v>0</v>
      </c>
      <c r="ET50" s="777">
        <f t="shared" si="74"/>
        <v>0</v>
      </c>
      <c r="EU50" s="777">
        <f t="shared" si="74"/>
        <v>0</v>
      </c>
      <c r="EV50" s="777">
        <f t="shared" si="74"/>
        <v>0</v>
      </c>
    </row>
    <row r="51" spans="1:152" ht="40.5" customHeight="1">
      <c r="A51" s="659">
        <v>13</v>
      </c>
      <c r="B51" s="718" t="s">
        <v>486</v>
      </c>
      <c r="C51" s="661">
        <f>D51+I51</f>
        <v>9</v>
      </c>
      <c r="D51" s="661">
        <f>E51+F51</f>
        <v>8</v>
      </c>
      <c r="E51" s="661"/>
      <c r="F51" s="661">
        <v>8</v>
      </c>
      <c r="G51" s="661"/>
      <c r="H51" s="661">
        <v>8</v>
      </c>
      <c r="I51" s="661">
        <v>1</v>
      </c>
      <c r="J51" s="661">
        <v>1</v>
      </c>
      <c r="K51" s="646">
        <f t="shared" si="5"/>
        <v>1601</v>
      </c>
      <c r="L51" s="662">
        <f t="shared" si="64"/>
        <v>1734</v>
      </c>
      <c r="M51" s="666">
        <v>584</v>
      </c>
      <c r="N51" s="666">
        <v>156</v>
      </c>
      <c r="O51" s="666">
        <v>53</v>
      </c>
      <c r="P51" s="666"/>
      <c r="Q51" s="666"/>
      <c r="R51" s="666">
        <f>((N51+O51)-(BA51+BB51))*10%</f>
        <v>0</v>
      </c>
      <c r="S51" s="666">
        <v>26</v>
      </c>
      <c r="T51" s="666">
        <f t="shared" si="65"/>
        <v>26</v>
      </c>
      <c r="U51" s="666">
        <f t="shared" si="66"/>
        <v>767</v>
      </c>
      <c r="V51" s="666">
        <v>947</v>
      </c>
      <c r="W51" s="666"/>
      <c r="X51" s="666"/>
      <c r="Y51" s="666">
        <f>Z51-BM51</f>
        <v>28.700000000000003</v>
      </c>
      <c r="Z51" s="666">
        <f t="shared" si="75"/>
        <v>94.7</v>
      </c>
      <c r="AA51" s="666">
        <v>84</v>
      </c>
      <c r="AB51" s="666">
        <f t="shared" si="67"/>
        <v>113</v>
      </c>
      <c r="AC51" s="666">
        <f t="shared" si="68"/>
        <v>834</v>
      </c>
      <c r="AD51" s="666">
        <v>133</v>
      </c>
      <c r="AE51" s="666"/>
      <c r="AF51" s="666"/>
      <c r="AG51" s="666"/>
      <c r="AH51" s="666"/>
      <c r="AI51" s="666"/>
      <c r="AJ51" s="666"/>
      <c r="AK51" s="666"/>
      <c r="AL51" s="664"/>
      <c r="AN51" s="610"/>
      <c r="AO51" s="659">
        <v>14</v>
      </c>
      <c r="AP51" s="718" t="s">
        <v>486</v>
      </c>
      <c r="AQ51" s="661">
        <f>AR51+AW51</f>
        <v>9</v>
      </c>
      <c r="AR51" s="661">
        <f>AS51+AT51</f>
        <v>8</v>
      </c>
      <c r="AS51" s="661"/>
      <c r="AT51" s="661">
        <f>10-2</f>
        <v>8</v>
      </c>
      <c r="AU51" s="661"/>
      <c r="AV51" s="661">
        <v>8</v>
      </c>
      <c r="AW51" s="661">
        <v>1</v>
      </c>
      <c r="AX51" s="661">
        <v>1</v>
      </c>
      <c r="AY51" s="666">
        <f t="shared" si="69"/>
        <v>2249</v>
      </c>
      <c r="AZ51" s="670">
        <v>562</v>
      </c>
      <c r="BA51" s="666">
        <v>150</v>
      </c>
      <c r="BB51" s="666">
        <v>59</v>
      </c>
      <c r="BC51" s="666"/>
      <c r="BD51" s="666"/>
      <c r="BE51" s="666">
        <f t="shared" si="70"/>
        <v>20.900000000000002</v>
      </c>
      <c r="BF51" s="667">
        <f t="shared" si="76"/>
        <v>21</v>
      </c>
      <c r="BG51" s="666">
        <f t="shared" si="24"/>
        <v>750</v>
      </c>
      <c r="BH51" s="666">
        <f>1555-900</f>
        <v>655</v>
      </c>
      <c r="BI51" s="666">
        <v>900</v>
      </c>
      <c r="BJ51" s="666">
        <v>10</v>
      </c>
      <c r="BK51" s="666"/>
      <c r="BL51" s="666">
        <f>BH51*10%</f>
        <v>65.5</v>
      </c>
      <c r="BM51" s="667">
        <f t="shared" si="71"/>
        <v>66</v>
      </c>
      <c r="BN51" s="666">
        <f t="shared" si="72"/>
        <v>1499</v>
      </c>
      <c r="BO51" s="666"/>
      <c r="BP51" s="666"/>
      <c r="BQ51" s="666"/>
      <c r="BR51" s="666"/>
      <c r="BS51" s="666"/>
      <c r="BT51" s="666"/>
      <c r="BU51" s="666"/>
      <c r="BV51" s="666"/>
      <c r="BW51" s="662"/>
      <c r="CA51" s="1352">
        <v>13</v>
      </c>
      <c r="CB51" s="1352" t="s">
        <v>486</v>
      </c>
      <c r="CC51" s="1352">
        <v>9</v>
      </c>
      <c r="CD51" s="1352">
        <v>8</v>
      </c>
      <c r="CE51" s="1352"/>
      <c r="CF51" s="1352">
        <v>8</v>
      </c>
      <c r="CG51" s="1352"/>
      <c r="CH51" s="1352">
        <v>8</v>
      </c>
      <c r="CI51" s="1352">
        <v>1</v>
      </c>
      <c r="CJ51" s="1352">
        <v>1</v>
      </c>
      <c r="CK51" s="1353">
        <v>1734</v>
      </c>
      <c r="CL51" s="1353">
        <v>584</v>
      </c>
      <c r="CM51" s="1354">
        <v>156</v>
      </c>
      <c r="CN51" s="1354">
        <v>53</v>
      </c>
      <c r="CO51" s="1354"/>
      <c r="CP51" s="1354"/>
      <c r="CQ51" s="1354">
        <v>0</v>
      </c>
      <c r="CR51" s="1354">
        <v>26</v>
      </c>
      <c r="CS51" s="1354">
        <v>26</v>
      </c>
      <c r="CT51" s="1353">
        <v>767</v>
      </c>
      <c r="CU51" s="1353">
        <v>947</v>
      </c>
      <c r="CV51" s="1353"/>
      <c r="CW51" s="1353"/>
      <c r="CX51" s="1353">
        <v>28.700000000000003</v>
      </c>
      <c r="CY51" s="1353">
        <v>94.7</v>
      </c>
      <c r="CZ51" s="1353">
        <v>84</v>
      </c>
      <c r="DA51" s="1353">
        <v>113</v>
      </c>
      <c r="DB51" s="1353">
        <v>834</v>
      </c>
      <c r="DC51" s="1353">
        <v>133</v>
      </c>
      <c r="DD51" s="1353"/>
      <c r="DE51" s="1353"/>
      <c r="DF51" s="1353"/>
      <c r="DG51" s="1353"/>
      <c r="DH51" s="1353"/>
      <c r="DI51" s="1353"/>
      <c r="DJ51" s="1353"/>
      <c r="DK51" s="1353"/>
      <c r="DT51" s="659">
        <v>13</v>
      </c>
      <c r="DU51" s="718" t="s">
        <v>486</v>
      </c>
      <c r="DV51" s="777">
        <f t="shared" si="77"/>
        <v>0</v>
      </c>
      <c r="DW51" s="777">
        <f t="shared" si="73"/>
        <v>0</v>
      </c>
      <c r="DX51" s="777">
        <f t="shared" si="73"/>
        <v>0</v>
      </c>
      <c r="DY51" s="777">
        <f t="shared" si="73"/>
        <v>0</v>
      </c>
      <c r="DZ51" s="777">
        <f t="shared" si="73"/>
        <v>0</v>
      </c>
      <c r="EA51" s="777">
        <f t="shared" si="73"/>
        <v>0</v>
      </c>
      <c r="EB51" s="777">
        <f t="shared" si="73"/>
        <v>0</v>
      </c>
      <c r="EC51" s="777">
        <f t="shared" si="73"/>
        <v>0</v>
      </c>
      <c r="ED51" s="777">
        <f t="shared" si="73"/>
        <v>0</v>
      </c>
      <c r="EE51" s="777">
        <f t="shared" si="73"/>
        <v>0</v>
      </c>
      <c r="EF51" s="777">
        <f t="shared" si="73"/>
        <v>0</v>
      </c>
      <c r="EG51" s="777">
        <f t="shared" si="73"/>
        <v>0</v>
      </c>
      <c r="EH51" s="777">
        <f t="shared" si="73"/>
        <v>0</v>
      </c>
      <c r="EI51" s="777">
        <f t="shared" si="73"/>
        <v>0</v>
      </c>
      <c r="EJ51" s="777">
        <f t="shared" si="73"/>
        <v>0</v>
      </c>
      <c r="EK51" s="777">
        <f t="shared" si="73"/>
        <v>0</v>
      </c>
      <c r="EL51" s="777">
        <f t="shared" si="78"/>
        <v>0</v>
      </c>
      <c r="EM51" s="777">
        <f t="shared" si="78"/>
        <v>0</v>
      </c>
      <c r="EN51" s="777">
        <f t="shared" si="74"/>
        <v>0</v>
      </c>
      <c r="EO51" s="777">
        <f t="shared" si="74"/>
        <v>0</v>
      </c>
      <c r="EP51" s="777">
        <f t="shared" si="74"/>
        <v>0</v>
      </c>
      <c r="EQ51" s="777">
        <f t="shared" si="74"/>
        <v>0</v>
      </c>
      <c r="ER51" s="777">
        <f t="shared" si="74"/>
        <v>0</v>
      </c>
      <c r="ES51" s="777">
        <f t="shared" si="74"/>
        <v>0</v>
      </c>
      <c r="ET51" s="777">
        <f t="shared" si="74"/>
        <v>0</v>
      </c>
      <c r="EU51" s="777">
        <f t="shared" si="74"/>
        <v>0</v>
      </c>
      <c r="EV51" s="777">
        <f t="shared" si="74"/>
        <v>0</v>
      </c>
    </row>
    <row r="52" spans="1:152" s="698" customFormat="1" ht="54.75" customHeight="1">
      <c r="A52" s="659">
        <v>14</v>
      </c>
      <c r="B52" s="660" t="s">
        <v>487</v>
      </c>
      <c r="C52" s="661">
        <f>D52+I52</f>
        <v>29</v>
      </c>
      <c r="D52" s="661">
        <f>E52+F52</f>
        <v>26</v>
      </c>
      <c r="E52" s="661"/>
      <c r="F52" s="661">
        <v>26</v>
      </c>
      <c r="G52" s="661"/>
      <c r="H52" s="661">
        <v>26</v>
      </c>
      <c r="I52" s="661">
        <v>3</v>
      </c>
      <c r="J52" s="661">
        <v>3</v>
      </c>
      <c r="K52" s="646">
        <f t="shared" si="5"/>
        <v>4466</v>
      </c>
      <c r="L52" s="662">
        <f t="shared" si="64"/>
        <v>4486</v>
      </c>
      <c r="M52" s="662">
        <v>1628</v>
      </c>
      <c r="N52" s="662">
        <v>550</v>
      </c>
      <c r="O52" s="662">
        <v>82</v>
      </c>
      <c r="P52" s="662"/>
      <c r="Q52" s="662"/>
      <c r="R52" s="666"/>
      <c r="S52" s="666">
        <f>53+26</f>
        <v>79</v>
      </c>
      <c r="T52" s="666">
        <f t="shared" si="65"/>
        <v>79</v>
      </c>
      <c r="U52" s="666">
        <f t="shared" si="66"/>
        <v>2181</v>
      </c>
      <c r="V52" s="662">
        <v>2827</v>
      </c>
      <c r="W52" s="662"/>
      <c r="X52" s="662"/>
      <c r="Y52" s="666">
        <f>Z52-BM52</f>
        <v>157.69999999999999</v>
      </c>
      <c r="Z52" s="666">
        <f>V52*10%</f>
        <v>282.7</v>
      </c>
      <c r="AA52" s="666">
        <f>120+264</f>
        <v>384</v>
      </c>
      <c r="AB52" s="666">
        <f t="shared" si="67"/>
        <v>542</v>
      </c>
      <c r="AC52" s="666">
        <f t="shared" si="68"/>
        <v>2285</v>
      </c>
      <c r="AD52" s="662">
        <v>20</v>
      </c>
      <c r="AE52" s="662"/>
      <c r="AF52" s="662"/>
      <c r="AG52" s="662"/>
      <c r="AH52" s="662"/>
      <c r="AI52" s="662"/>
      <c r="AJ52" s="662"/>
      <c r="AK52" s="662"/>
      <c r="AL52" s="719"/>
      <c r="AM52" s="624"/>
      <c r="AN52" s="610"/>
      <c r="AO52" s="694">
        <v>15</v>
      </c>
      <c r="AP52" s="695" t="s">
        <v>488</v>
      </c>
      <c r="AQ52" s="696">
        <f>AR52+AW52</f>
        <v>22</v>
      </c>
      <c r="AR52" s="696">
        <f>AS52+AT52</f>
        <v>21</v>
      </c>
      <c r="AS52" s="696"/>
      <c r="AT52" s="696">
        <v>21</v>
      </c>
      <c r="AU52" s="696"/>
      <c r="AV52" s="696">
        <v>18</v>
      </c>
      <c r="AW52" s="696">
        <v>1</v>
      </c>
      <c r="AX52" s="696">
        <v>1</v>
      </c>
      <c r="AY52" s="697">
        <f t="shared" si="69"/>
        <v>3000</v>
      </c>
      <c r="AZ52" s="697">
        <v>1297</v>
      </c>
      <c r="BA52" s="697">
        <v>510</v>
      </c>
      <c r="BB52" s="697"/>
      <c r="BC52" s="697"/>
      <c r="BD52" s="697"/>
      <c r="BE52" s="666">
        <f t="shared" si="70"/>
        <v>51</v>
      </c>
      <c r="BF52" s="668">
        <f t="shared" si="76"/>
        <v>51</v>
      </c>
      <c r="BG52" s="668">
        <f t="shared" si="24"/>
        <v>1756</v>
      </c>
      <c r="BH52" s="697">
        <v>1250</v>
      </c>
      <c r="BI52" s="697"/>
      <c r="BJ52" s="697">
        <v>95</v>
      </c>
      <c r="BK52" s="697"/>
      <c r="BL52" s="666">
        <f>BH52*10%</f>
        <v>125</v>
      </c>
      <c r="BM52" s="668">
        <f t="shared" si="71"/>
        <v>125</v>
      </c>
      <c r="BN52" s="668">
        <f t="shared" si="72"/>
        <v>1220</v>
      </c>
      <c r="BO52" s="697">
        <v>24</v>
      </c>
      <c r="BP52" s="697"/>
      <c r="BQ52" s="697">
        <f>300-70</f>
        <v>230</v>
      </c>
      <c r="BR52" s="697"/>
      <c r="BS52" s="697"/>
      <c r="BT52" s="697"/>
      <c r="BU52" s="697"/>
      <c r="BV52" s="697"/>
      <c r="BW52" s="719"/>
      <c r="BY52" s="891"/>
      <c r="BZ52" s="891"/>
      <c r="CA52" s="1352">
        <v>14</v>
      </c>
      <c r="CB52" s="1352" t="s">
        <v>487</v>
      </c>
      <c r="CC52" s="1352">
        <v>29</v>
      </c>
      <c r="CD52" s="1352">
        <v>26</v>
      </c>
      <c r="CE52" s="1352"/>
      <c r="CF52" s="1352">
        <v>26</v>
      </c>
      <c r="CG52" s="1352"/>
      <c r="CH52" s="1352">
        <v>26</v>
      </c>
      <c r="CI52" s="1352">
        <v>3</v>
      </c>
      <c r="CJ52" s="1352">
        <v>3</v>
      </c>
      <c r="CK52" s="1353">
        <v>4486</v>
      </c>
      <c r="CL52" s="1353">
        <v>1628</v>
      </c>
      <c r="CM52" s="1354">
        <v>550</v>
      </c>
      <c r="CN52" s="1354">
        <v>82</v>
      </c>
      <c r="CO52" s="1354"/>
      <c r="CP52" s="1354"/>
      <c r="CQ52" s="1354"/>
      <c r="CR52" s="1354">
        <v>79</v>
      </c>
      <c r="CS52" s="1354">
        <v>79</v>
      </c>
      <c r="CT52" s="1353">
        <v>2181</v>
      </c>
      <c r="CU52" s="1353">
        <v>2827</v>
      </c>
      <c r="CV52" s="1353"/>
      <c r="CW52" s="1353"/>
      <c r="CX52" s="1353">
        <v>157.69999999999999</v>
      </c>
      <c r="CY52" s="1353">
        <v>282.7</v>
      </c>
      <c r="CZ52" s="1353">
        <v>384</v>
      </c>
      <c r="DA52" s="1353">
        <v>542</v>
      </c>
      <c r="DB52" s="1353">
        <v>2285</v>
      </c>
      <c r="DC52" s="1353">
        <v>20</v>
      </c>
      <c r="DD52" s="1353"/>
      <c r="DE52" s="1353"/>
      <c r="DF52" s="1353"/>
      <c r="DG52" s="1353"/>
      <c r="DH52" s="1353"/>
      <c r="DI52" s="1353"/>
      <c r="DJ52" s="1353"/>
      <c r="DK52" s="1353"/>
      <c r="DT52" s="694">
        <v>14</v>
      </c>
      <c r="DU52" s="695" t="s">
        <v>487</v>
      </c>
      <c r="DV52" s="777">
        <f t="shared" si="77"/>
        <v>0</v>
      </c>
      <c r="DW52" s="777">
        <f t="shared" si="73"/>
        <v>0</v>
      </c>
      <c r="DX52" s="777">
        <f t="shared" si="73"/>
        <v>0</v>
      </c>
      <c r="DY52" s="777">
        <f t="shared" si="73"/>
        <v>0</v>
      </c>
      <c r="DZ52" s="777">
        <f t="shared" si="73"/>
        <v>0</v>
      </c>
      <c r="EA52" s="777">
        <f t="shared" si="73"/>
        <v>0</v>
      </c>
      <c r="EB52" s="777">
        <f t="shared" si="73"/>
        <v>0</v>
      </c>
      <c r="EC52" s="777">
        <f t="shared" si="73"/>
        <v>0</v>
      </c>
      <c r="ED52" s="777">
        <f t="shared" si="73"/>
        <v>0</v>
      </c>
      <c r="EE52" s="777">
        <f t="shared" si="73"/>
        <v>0</v>
      </c>
      <c r="EF52" s="777">
        <f t="shared" si="73"/>
        <v>0</v>
      </c>
      <c r="EG52" s="777">
        <f t="shared" si="73"/>
        <v>0</v>
      </c>
      <c r="EH52" s="777">
        <f t="shared" si="73"/>
        <v>0</v>
      </c>
      <c r="EI52" s="777">
        <f t="shared" si="73"/>
        <v>0</v>
      </c>
      <c r="EJ52" s="777">
        <f t="shared" si="73"/>
        <v>0</v>
      </c>
      <c r="EK52" s="777">
        <f t="shared" si="73"/>
        <v>0</v>
      </c>
      <c r="EL52" s="777">
        <f t="shared" si="78"/>
        <v>0</v>
      </c>
      <c r="EM52" s="777">
        <f t="shared" si="78"/>
        <v>0</v>
      </c>
      <c r="EN52" s="777">
        <f t="shared" si="74"/>
        <v>0</v>
      </c>
      <c r="EO52" s="777">
        <f t="shared" si="74"/>
        <v>0</v>
      </c>
      <c r="EP52" s="777">
        <f t="shared" si="74"/>
        <v>0</v>
      </c>
      <c r="EQ52" s="777">
        <f t="shared" si="74"/>
        <v>0</v>
      </c>
      <c r="ER52" s="777">
        <f t="shared" si="74"/>
        <v>0</v>
      </c>
      <c r="ES52" s="777">
        <f t="shared" si="74"/>
        <v>0</v>
      </c>
      <c r="ET52" s="777">
        <f t="shared" si="74"/>
        <v>0</v>
      </c>
      <c r="EU52" s="777">
        <f t="shared" si="74"/>
        <v>0</v>
      </c>
      <c r="EV52" s="777">
        <f t="shared" si="74"/>
        <v>0</v>
      </c>
    </row>
    <row r="53" spans="1:152" ht="48.75" hidden="1" customHeight="1">
      <c r="A53" s="659">
        <v>16</v>
      </c>
      <c r="B53" s="660" t="s">
        <v>489</v>
      </c>
      <c r="C53" s="661">
        <f>D53+I53</f>
        <v>0</v>
      </c>
      <c r="D53" s="661">
        <f>E53+F53</f>
        <v>0</v>
      </c>
      <c r="E53" s="661"/>
      <c r="F53" s="661"/>
      <c r="G53" s="661"/>
      <c r="H53" s="661"/>
      <c r="I53" s="661"/>
      <c r="J53" s="661"/>
      <c r="K53" s="646">
        <f t="shared" si="5"/>
        <v>0</v>
      </c>
      <c r="L53" s="662">
        <f t="shared" si="64"/>
        <v>0</v>
      </c>
      <c r="M53" s="662"/>
      <c r="N53" s="662"/>
      <c r="O53" s="662"/>
      <c r="P53" s="662"/>
      <c r="Q53" s="662"/>
      <c r="R53" s="666"/>
      <c r="S53" s="666"/>
      <c r="T53" s="666">
        <f t="shared" si="65"/>
        <v>0</v>
      </c>
      <c r="U53" s="666">
        <f t="shared" si="66"/>
        <v>0</v>
      </c>
      <c r="V53" s="662"/>
      <c r="W53" s="662"/>
      <c r="X53" s="662"/>
      <c r="Y53" s="666"/>
      <c r="Z53" s="666">
        <f t="shared" si="75"/>
        <v>0</v>
      </c>
      <c r="AA53" s="666"/>
      <c r="AB53" s="666">
        <f t="shared" si="67"/>
        <v>0</v>
      </c>
      <c r="AC53" s="666">
        <f t="shared" si="68"/>
        <v>0</v>
      </c>
      <c r="AD53" s="662"/>
      <c r="AE53" s="662"/>
      <c r="AF53" s="662"/>
      <c r="AG53" s="662"/>
      <c r="AH53" s="662"/>
      <c r="AI53" s="662"/>
      <c r="AJ53" s="662"/>
      <c r="AK53" s="662"/>
      <c r="AL53" s="720"/>
      <c r="AN53" s="610"/>
      <c r="AO53" s="659">
        <v>16</v>
      </c>
      <c r="AP53" s="660" t="s">
        <v>489</v>
      </c>
      <c r="AQ53" s="661">
        <f>AR53+AW53</f>
        <v>11</v>
      </c>
      <c r="AR53" s="661">
        <f>AS53+AT53</f>
        <v>9</v>
      </c>
      <c r="AS53" s="661"/>
      <c r="AT53" s="661">
        <v>9</v>
      </c>
      <c r="AU53" s="661"/>
      <c r="AV53" s="661">
        <v>8</v>
      </c>
      <c r="AW53" s="661">
        <v>2</v>
      </c>
      <c r="AX53" s="661">
        <v>2</v>
      </c>
      <c r="AY53" s="662">
        <f t="shared" si="69"/>
        <v>2711</v>
      </c>
      <c r="AZ53" s="665">
        <v>644</v>
      </c>
      <c r="BA53" s="662">
        <v>235</v>
      </c>
      <c r="BB53" s="662"/>
      <c r="BC53" s="662"/>
      <c r="BD53" s="662"/>
      <c r="BE53" s="666">
        <f t="shared" si="70"/>
        <v>23.5</v>
      </c>
      <c r="BF53" s="667">
        <f t="shared" si="76"/>
        <v>24</v>
      </c>
      <c r="BG53" s="666">
        <f t="shared" si="24"/>
        <v>855</v>
      </c>
      <c r="BH53" s="662">
        <v>1884</v>
      </c>
      <c r="BI53" s="662"/>
      <c r="BJ53" s="662">
        <v>70</v>
      </c>
      <c r="BK53" s="662"/>
      <c r="BL53" s="666">
        <f>BH53*10%</f>
        <v>188.4</v>
      </c>
      <c r="BM53" s="667">
        <f t="shared" si="71"/>
        <v>188</v>
      </c>
      <c r="BN53" s="666">
        <f t="shared" si="72"/>
        <v>1766</v>
      </c>
      <c r="BO53" s="662">
        <v>90</v>
      </c>
      <c r="BP53" s="662"/>
      <c r="BQ53" s="662"/>
      <c r="BR53" s="662"/>
      <c r="BS53" s="662"/>
      <c r="BT53" s="662"/>
      <c r="BU53" s="662"/>
      <c r="BV53" s="662"/>
      <c r="BW53" s="721"/>
      <c r="CA53" s="1352">
        <v>16</v>
      </c>
      <c r="CB53" s="1352" t="s">
        <v>489</v>
      </c>
      <c r="CC53" s="1352">
        <v>0</v>
      </c>
      <c r="CD53" s="1352">
        <v>0</v>
      </c>
      <c r="CE53" s="1352"/>
      <c r="CF53" s="1352"/>
      <c r="CG53" s="1352"/>
      <c r="CH53" s="1352"/>
      <c r="CI53" s="1352"/>
      <c r="CJ53" s="1352"/>
      <c r="CK53" s="1353">
        <v>0</v>
      </c>
      <c r="CL53" s="1353"/>
      <c r="CM53" s="1354"/>
      <c r="CN53" s="1354"/>
      <c r="CO53" s="1354"/>
      <c r="CP53" s="1354"/>
      <c r="CQ53" s="1354"/>
      <c r="CR53" s="1354"/>
      <c r="CS53" s="1354">
        <v>0</v>
      </c>
      <c r="CT53" s="1353">
        <v>0</v>
      </c>
      <c r="CU53" s="1353"/>
      <c r="CV53" s="1353"/>
      <c r="CW53" s="1353"/>
      <c r="CX53" s="1353"/>
      <c r="CY53" s="1353">
        <v>0</v>
      </c>
      <c r="CZ53" s="1353"/>
      <c r="DA53" s="1353">
        <v>0</v>
      </c>
      <c r="DB53" s="1353">
        <v>0</v>
      </c>
      <c r="DC53" s="1353"/>
      <c r="DD53" s="1353"/>
      <c r="DE53" s="1353"/>
      <c r="DF53" s="1353"/>
      <c r="DG53" s="1353"/>
      <c r="DH53" s="1353"/>
      <c r="DI53" s="1353"/>
      <c r="DJ53" s="1353"/>
      <c r="DK53" s="1353"/>
      <c r="DT53" s="659">
        <v>16</v>
      </c>
      <c r="DU53" s="660" t="s">
        <v>489</v>
      </c>
      <c r="DV53" s="777">
        <f t="shared" si="77"/>
        <v>0</v>
      </c>
      <c r="DW53" s="777">
        <f t="shared" si="73"/>
        <v>0</v>
      </c>
      <c r="DX53" s="777">
        <f t="shared" si="73"/>
        <v>0</v>
      </c>
      <c r="DY53" s="777">
        <f t="shared" si="73"/>
        <v>0</v>
      </c>
      <c r="DZ53" s="777">
        <f t="shared" si="73"/>
        <v>0</v>
      </c>
      <c r="EA53" s="777">
        <f t="shared" si="73"/>
        <v>0</v>
      </c>
      <c r="EB53" s="777">
        <f t="shared" si="73"/>
        <v>0</v>
      </c>
      <c r="EC53" s="777">
        <f t="shared" si="73"/>
        <v>0</v>
      </c>
      <c r="ED53" s="777">
        <f t="shared" si="73"/>
        <v>0</v>
      </c>
      <c r="EE53" s="777">
        <f t="shared" si="73"/>
        <v>0</v>
      </c>
      <c r="EF53" s="777">
        <f t="shared" si="73"/>
        <v>0</v>
      </c>
      <c r="EG53" s="777">
        <f t="shared" si="73"/>
        <v>0</v>
      </c>
      <c r="EH53" s="777">
        <f t="shared" si="73"/>
        <v>0</v>
      </c>
      <c r="EI53" s="777">
        <f t="shared" si="73"/>
        <v>0</v>
      </c>
      <c r="EJ53" s="777">
        <f t="shared" si="73"/>
        <v>0</v>
      </c>
      <c r="EK53" s="777">
        <f t="shared" si="73"/>
        <v>0</v>
      </c>
      <c r="EL53" s="777">
        <f t="shared" si="78"/>
        <v>0</v>
      </c>
      <c r="EM53" s="777">
        <f t="shared" si="78"/>
        <v>0</v>
      </c>
      <c r="EN53" s="777">
        <f t="shared" si="74"/>
        <v>0</v>
      </c>
      <c r="EO53" s="777">
        <f t="shared" si="74"/>
        <v>0</v>
      </c>
      <c r="EP53" s="777">
        <f t="shared" si="74"/>
        <v>0</v>
      </c>
      <c r="EQ53" s="777">
        <f t="shared" si="74"/>
        <v>0</v>
      </c>
      <c r="ER53" s="777">
        <f t="shared" si="74"/>
        <v>0</v>
      </c>
      <c r="ES53" s="777">
        <f t="shared" si="74"/>
        <v>0</v>
      </c>
      <c r="ET53" s="777">
        <f t="shared" si="74"/>
        <v>0</v>
      </c>
      <c r="EU53" s="777">
        <f t="shared" si="74"/>
        <v>0</v>
      </c>
      <c r="EV53" s="777">
        <f t="shared" si="74"/>
        <v>0</v>
      </c>
    </row>
    <row r="54" spans="1:152" ht="75" customHeight="1">
      <c r="A54" s="659">
        <v>15</v>
      </c>
      <c r="B54" s="660" t="s">
        <v>895</v>
      </c>
      <c r="C54" s="661"/>
      <c r="D54" s="661"/>
      <c r="E54" s="661"/>
      <c r="F54" s="661"/>
      <c r="G54" s="661"/>
      <c r="H54" s="661"/>
      <c r="I54" s="661"/>
      <c r="J54" s="661"/>
      <c r="K54" s="646">
        <f t="shared" si="5"/>
        <v>60000</v>
      </c>
      <c r="L54" s="662">
        <f t="shared" si="64"/>
        <v>60000</v>
      </c>
      <c r="M54" s="662"/>
      <c r="N54" s="662"/>
      <c r="O54" s="662"/>
      <c r="P54" s="662"/>
      <c r="Q54" s="662"/>
      <c r="R54" s="666">
        <f>((N54+O54)-(BA54+BB54))*10%</f>
        <v>0</v>
      </c>
      <c r="S54" s="666"/>
      <c r="T54" s="666">
        <f t="shared" si="65"/>
        <v>0</v>
      </c>
      <c r="U54" s="666">
        <f t="shared" si="66"/>
        <v>0</v>
      </c>
      <c r="V54" s="662">
        <v>60000</v>
      </c>
      <c r="W54" s="662"/>
      <c r="X54" s="662"/>
      <c r="Y54" s="666">
        <f>Z54-BM54</f>
        <v>6000</v>
      </c>
      <c r="Z54" s="666">
        <f t="shared" si="75"/>
        <v>6000</v>
      </c>
      <c r="AA54" s="666"/>
      <c r="AB54" s="666"/>
      <c r="AC54" s="666">
        <f t="shared" si="68"/>
        <v>60000</v>
      </c>
      <c r="AD54" s="662"/>
      <c r="AE54" s="662"/>
      <c r="AF54" s="662"/>
      <c r="AG54" s="662"/>
      <c r="AH54" s="662"/>
      <c r="AI54" s="662"/>
      <c r="AJ54" s="662"/>
      <c r="AK54" s="662"/>
      <c r="AL54" s="720"/>
      <c r="AN54" s="610"/>
      <c r="AO54" s="659">
        <v>17</v>
      </c>
      <c r="AP54" s="660" t="s">
        <v>490</v>
      </c>
      <c r="AQ54" s="661"/>
      <c r="AR54" s="661"/>
      <c r="AS54" s="661"/>
      <c r="AT54" s="661"/>
      <c r="AU54" s="661"/>
      <c r="AV54" s="661"/>
      <c r="AW54" s="661"/>
      <c r="AX54" s="661"/>
      <c r="AY54" s="662">
        <f t="shared" si="69"/>
        <v>60000</v>
      </c>
      <c r="AZ54" s="665"/>
      <c r="BA54" s="662"/>
      <c r="BB54" s="662"/>
      <c r="BC54" s="662"/>
      <c r="BD54" s="662"/>
      <c r="BE54" s="666">
        <f t="shared" si="70"/>
        <v>0</v>
      </c>
      <c r="BF54" s="667">
        <f t="shared" si="76"/>
        <v>0</v>
      </c>
      <c r="BG54" s="666">
        <f t="shared" si="24"/>
        <v>0</v>
      </c>
      <c r="BH54" s="662">
        <v>60000</v>
      </c>
      <c r="BI54" s="662"/>
      <c r="BJ54" s="662"/>
      <c r="BK54" s="662"/>
      <c r="BL54" s="666"/>
      <c r="BM54" s="667">
        <f t="shared" si="71"/>
        <v>0</v>
      </c>
      <c r="BN54" s="666">
        <f t="shared" si="72"/>
        <v>60000</v>
      </c>
      <c r="BO54" s="662"/>
      <c r="BP54" s="662"/>
      <c r="BQ54" s="662"/>
      <c r="BR54" s="662"/>
      <c r="BS54" s="662"/>
      <c r="BT54" s="662"/>
      <c r="BU54" s="662"/>
      <c r="BV54" s="662"/>
      <c r="BW54" s="721"/>
      <c r="CA54" s="1352">
        <v>15</v>
      </c>
      <c r="CB54" s="1352" t="s">
        <v>490</v>
      </c>
      <c r="CC54" s="1352"/>
      <c r="CD54" s="1352"/>
      <c r="CE54" s="1352"/>
      <c r="CF54" s="1352"/>
      <c r="CG54" s="1352"/>
      <c r="CH54" s="1352"/>
      <c r="CI54" s="1352"/>
      <c r="CJ54" s="1352"/>
      <c r="CK54" s="1353">
        <v>0</v>
      </c>
      <c r="CL54" s="1353"/>
      <c r="CM54" s="1354"/>
      <c r="CN54" s="1354"/>
      <c r="CO54" s="1354"/>
      <c r="CP54" s="1354"/>
      <c r="CQ54" s="1354">
        <v>0</v>
      </c>
      <c r="CR54" s="1354"/>
      <c r="CS54" s="1354">
        <v>0</v>
      </c>
      <c r="CT54" s="1353">
        <v>0</v>
      </c>
      <c r="CU54" s="1353"/>
      <c r="CV54" s="1353"/>
      <c r="CW54" s="1353"/>
      <c r="CX54" s="1353">
        <v>0</v>
      </c>
      <c r="CY54" s="1353">
        <v>0</v>
      </c>
      <c r="CZ54" s="1353"/>
      <c r="DA54" s="1353">
        <v>0</v>
      </c>
      <c r="DB54" s="1353">
        <v>0</v>
      </c>
      <c r="DC54" s="1353"/>
      <c r="DD54" s="1353"/>
      <c r="DE54" s="1353"/>
      <c r="DF54" s="1353"/>
      <c r="DG54" s="1353"/>
      <c r="DH54" s="1353"/>
      <c r="DI54" s="1353"/>
      <c r="DJ54" s="1353"/>
      <c r="DK54" s="1353"/>
      <c r="DT54" s="659">
        <v>15</v>
      </c>
      <c r="DU54" s="660" t="s">
        <v>490</v>
      </c>
      <c r="DV54" s="777">
        <f t="shared" si="77"/>
        <v>60000</v>
      </c>
      <c r="DW54" s="777">
        <f t="shared" si="73"/>
        <v>0</v>
      </c>
      <c r="DX54" s="777">
        <f t="shared" si="73"/>
        <v>0</v>
      </c>
      <c r="DY54" s="777">
        <f t="shared" si="73"/>
        <v>0</v>
      </c>
      <c r="DZ54" s="777">
        <f t="shared" si="73"/>
        <v>0</v>
      </c>
      <c r="EA54" s="777">
        <f t="shared" si="73"/>
        <v>0</v>
      </c>
      <c r="EB54" s="777">
        <f t="shared" si="73"/>
        <v>0</v>
      </c>
      <c r="EC54" s="777">
        <f t="shared" si="73"/>
        <v>0</v>
      </c>
      <c r="ED54" s="777">
        <f t="shared" si="73"/>
        <v>0</v>
      </c>
      <c r="EE54" s="777">
        <f t="shared" si="73"/>
        <v>0</v>
      </c>
      <c r="EF54" s="777">
        <f t="shared" si="73"/>
        <v>60000</v>
      </c>
      <c r="EG54" s="777">
        <f t="shared" si="73"/>
        <v>0</v>
      </c>
      <c r="EH54" s="777">
        <f t="shared" si="73"/>
        <v>0</v>
      </c>
      <c r="EI54" s="777">
        <f t="shared" si="73"/>
        <v>6000</v>
      </c>
      <c r="EJ54" s="777">
        <f t="shared" si="73"/>
        <v>6000</v>
      </c>
      <c r="EK54" s="777">
        <f t="shared" si="73"/>
        <v>0</v>
      </c>
      <c r="EL54" s="777">
        <f t="shared" si="78"/>
        <v>0</v>
      </c>
      <c r="EM54" s="777">
        <f t="shared" si="78"/>
        <v>60000</v>
      </c>
      <c r="EN54" s="777">
        <f t="shared" si="74"/>
        <v>0</v>
      </c>
      <c r="EO54" s="777">
        <f t="shared" si="74"/>
        <v>0</v>
      </c>
      <c r="EP54" s="777">
        <f t="shared" si="74"/>
        <v>0</v>
      </c>
      <c r="EQ54" s="777">
        <f t="shared" si="74"/>
        <v>0</v>
      </c>
      <c r="ER54" s="777">
        <f t="shared" si="74"/>
        <v>0</v>
      </c>
      <c r="ES54" s="777">
        <f t="shared" si="74"/>
        <v>0</v>
      </c>
      <c r="ET54" s="777">
        <f t="shared" si="74"/>
        <v>0</v>
      </c>
      <c r="EU54" s="777">
        <f t="shared" si="74"/>
        <v>0</v>
      </c>
      <c r="EV54" s="777">
        <f t="shared" si="74"/>
        <v>0</v>
      </c>
    </row>
    <row r="55" spans="1:152" ht="40.5" customHeight="1">
      <c r="A55" s="659">
        <v>16</v>
      </c>
      <c r="B55" s="722" t="s">
        <v>491</v>
      </c>
      <c r="C55" s="661"/>
      <c r="D55" s="661"/>
      <c r="E55" s="661"/>
      <c r="F55" s="661"/>
      <c r="G55" s="661"/>
      <c r="H55" s="661"/>
      <c r="I55" s="661"/>
      <c r="J55" s="661"/>
      <c r="K55" s="646">
        <f t="shared" si="5"/>
        <v>8720</v>
      </c>
      <c r="L55" s="662">
        <f t="shared" si="64"/>
        <v>8720</v>
      </c>
      <c r="M55" s="662"/>
      <c r="N55" s="662"/>
      <c r="O55" s="662"/>
      <c r="P55" s="662"/>
      <c r="Q55" s="662"/>
      <c r="R55" s="666">
        <f>((N55+O55)-(BA55+BB55))*10%</f>
        <v>0</v>
      </c>
      <c r="S55" s="666"/>
      <c r="T55" s="666">
        <f t="shared" si="65"/>
        <v>0</v>
      </c>
      <c r="U55" s="666">
        <f t="shared" si="66"/>
        <v>0</v>
      </c>
      <c r="V55" s="662">
        <v>8720</v>
      </c>
      <c r="W55" s="662"/>
      <c r="X55" s="662"/>
      <c r="Y55" s="666">
        <f>Z55-BM55</f>
        <v>872</v>
      </c>
      <c r="Z55" s="666">
        <f t="shared" si="75"/>
        <v>872</v>
      </c>
      <c r="AA55" s="666"/>
      <c r="AB55" s="666"/>
      <c r="AC55" s="666">
        <f t="shared" si="68"/>
        <v>8720</v>
      </c>
      <c r="AD55" s="662"/>
      <c r="AE55" s="662"/>
      <c r="AF55" s="662"/>
      <c r="AG55" s="662"/>
      <c r="AH55" s="662"/>
      <c r="AI55" s="662"/>
      <c r="AJ55" s="662"/>
      <c r="AK55" s="662"/>
      <c r="AL55" s="720"/>
      <c r="AN55" s="621"/>
      <c r="AO55" s="659">
        <v>18</v>
      </c>
      <c r="AP55" s="723" t="s">
        <v>491</v>
      </c>
      <c r="AQ55" s="661"/>
      <c r="AR55" s="661"/>
      <c r="AS55" s="661"/>
      <c r="AT55" s="661"/>
      <c r="AU55" s="661"/>
      <c r="AV55" s="661"/>
      <c r="AW55" s="661"/>
      <c r="AX55" s="661"/>
      <c r="AY55" s="662">
        <f t="shared" si="69"/>
        <v>7600</v>
      </c>
      <c r="AZ55" s="665"/>
      <c r="BA55" s="662"/>
      <c r="BB55" s="662"/>
      <c r="BC55" s="662"/>
      <c r="BD55" s="662"/>
      <c r="BE55" s="666">
        <f t="shared" si="70"/>
        <v>0</v>
      </c>
      <c r="BF55" s="667"/>
      <c r="BG55" s="666">
        <f t="shared" si="24"/>
        <v>0</v>
      </c>
      <c r="BH55" s="662">
        <v>7600</v>
      </c>
      <c r="BI55" s="662"/>
      <c r="BJ55" s="662"/>
      <c r="BK55" s="662"/>
      <c r="BL55" s="666"/>
      <c r="BM55" s="667"/>
      <c r="BN55" s="666">
        <f t="shared" si="72"/>
        <v>7600</v>
      </c>
      <c r="BO55" s="662"/>
      <c r="BP55" s="662"/>
      <c r="BQ55" s="662"/>
      <c r="BR55" s="662"/>
      <c r="BS55" s="662"/>
      <c r="BT55" s="662"/>
      <c r="BU55" s="662"/>
      <c r="BV55" s="662"/>
      <c r="BW55" s="721"/>
      <c r="CA55" s="1352">
        <v>16</v>
      </c>
      <c r="CB55" s="1352" t="s">
        <v>491</v>
      </c>
      <c r="CC55" s="1352"/>
      <c r="CD55" s="1352"/>
      <c r="CE55" s="1352"/>
      <c r="CF55" s="1352"/>
      <c r="CG55" s="1352"/>
      <c r="CH55" s="1352"/>
      <c r="CI55" s="1352"/>
      <c r="CJ55" s="1352"/>
      <c r="CK55" s="1353">
        <v>0</v>
      </c>
      <c r="CL55" s="1353"/>
      <c r="CM55" s="1354"/>
      <c r="CN55" s="1354"/>
      <c r="CO55" s="1354"/>
      <c r="CP55" s="1354"/>
      <c r="CQ55" s="1354">
        <v>0</v>
      </c>
      <c r="CR55" s="1354"/>
      <c r="CS55" s="1354">
        <v>0</v>
      </c>
      <c r="CT55" s="1353">
        <v>0</v>
      </c>
      <c r="CU55" s="1353"/>
      <c r="CV55" s="1353"/>
      <c r="CW55" s="1353"/>
      <c r="CX55" s="1353">
        <v>0</v>
      </c>
      <c r="CY55" s="1353">
        <v>0</v>
      </c>
      <c r="CZ55" s="1353"/>
      <c r="DA55" s="1353">
        <v>0</v>
      </c>
      <c r="DB55" s="1353">
        <v>0</v>
      </c>
      <c r="DC55" s="1353"/>
      <c r="DD55" s="1353"/>
      <c r="DE55" s="1353"/>
      <c r="DF55" s="1353"/>
      <c r="DG55" s="1353"/>
      <c r="DH55" s="1353"/>
      <c r="DI55" s="1353"/>
      <c r="DJ55" s="1353"/>
      <c r="DK55" s="1353"/>
      <c r="DT55" s="659">
        <v>16</v>
      </c>
      <c r="DU55" s="722" t="s">
        <v>491</v>
      </c>
      <c r="DV55" s="777">
        <f t="shared" si="77"/>
        <v>8720</v>
      </c>
      <c r="DW55" s="777">
        <f t="shared" si="73"/>
        <v>0</v>
      </c>
      <c r="DX55" s="777">
        <f t="shared" si="73"/>
        <v>0</v>
      </c>
      <c r="DY55" s="777">
        <f t="shared" si="73"/>
        <v>0</v>
      </c>
      <c r="DZ55" s="777">
        <f t="shared" si="73"/>
        <v>0</v>
      </c>
      <c r="EA55" s="777">
        <f t="shared" si="73"/>
        <v>0</v>
      </c>
      <c r="EB55" s="777">
        <f t="shared" si="73"/>
        <v>0</v>
      </c>
      <c r="EC55" s="777">
        <f t="shared" si="73"/>
        <v>0</v>
      </c>
      <c r="ED55" s="777">
        <f t="shared" si="73"/>
        <v>0</v>
      </c>
      <c r="EE55" s="777">
        <f t="shared" si="73"/>
        <v>0</v>
      </c>
      <c r="EF55" s="777">
        <f t="shared" si="73"/>
        <v>8720</v>
      </c>
      <c r="EG55" s="777">
        <f t="shared" si="73"/>
        <v>0</v>
      </c>
      <c r="EH55" s="777">
        <f t="shared" si="73"/>
        <v>0</v>
      </c>
      <c r="EI55" s="777">
        <f t="shared" si="73"/>
        <v>872</v>
      </c>
      <c r="EJ55" s="777">
        <f t="shared" si="73"/>
        <v>872</v>
      </c>
      <c r="EK55" s="777">
        <f t="shared" si="73"/>
        <v>0</v>
      </c>
      <c r="EL55" s="777">
        <f t="shared" si="78"/>
        <v>0</v>
      </c>
      <c r="EM55" s="777">
        <f t="shared" si="78"/>
        <v>8720</v>
      </c>
      <c r="EN55" s="777">
        <f t="shared" si="74"/>
        <v>0</v>
      </c>
      <c r="EO55" s="777">
        <f t="shared" si="74"/>
        <v>0</v>
      </c>
      <c r="EP55" s="777">
        <f t="shared" si="74"/>
        <v>0</v>
      </c>
      <c r="EQ55" s="777">
        <f t="shared" si="74"/>
        <v>0</v>
      </c>
      <c r="ER55" s="777">
        <f t="shared" si="74"/>
        <v>0</v>
      </c>
      <c r="ES55" s="777">
        <f t="shared" si="74"/>
        <v>0</v>
      </c>
      <c r="ET55" s="777">
        <f t="shared" si="74"/>
        <v>0</v>
      </c>
      <c r="EU55" s="777">
        <f t="shared" si="74"/>
        <v>0</v>
      </c>
      <c r="EV55" s="777">
        <f t="shared" si="74"/>
        <v>0</v>
      </c>
    </row>
    <row r="56" spans="1:152" ht="40.5" hidden="1" customHeight="1">
      <c r="A56" s="659">
        <v>17</v>
      </c>
      <c r="B56" s="722" t="s">
        <v>492</v>
      </c>
      <c r="C56" s="661"/>
      <c r="D56" s="661"/>
      <c r="E56" s="661"/>
      <c r="F56" s="661"/>
      <c r="G56" s="661"/>
      <c r="H56" s="661"/>
      <c r="I56" s="661"/>
      <c r="J56" s="661"/>
      <c r="K56" s="646">
        <f t="shared" si="5"/>
        <v>0</v>
      </c>
      <c r="L56" s="662">
        <f t="shared" si="64"/>
        <v>0</v>
      </c>
      <c r="M56" s="662"/>
      <c r="N56" s="662"/>
      <c r="O56" s="662"/>
      <c r="P56" s="662"/>
      <c r="Q56" s="662"/>
      <c r="R56" s="666">
        <f>((N56+O56)-(BA56+BB56))*10%</f>
        <v>0</v>
      </c>
      <c r="S56" s="666"/>
      <c r="T56" s="666">
        <f t="shared" si="65"/>
        <v>0</v>
      </c>
      <c r="U56" s="666">
        <f t="shared" si="66"/>
        <v>0</v>
      </c>
      <c r="V56" s="662"/>
      <c r="W56" s="662"/>
      <c r="X56" s="662"/>
      <c r="Y56" s="666">
        <f>Z56-BM56</f>
        <v>0</v>
      </c>
      <c r="Z56" s="666">
        <f t="shared" si="75"/>
        <v>0</v>
      </c>
      <c r="AA56" s="666"/>
      <c r="AB56" s="666">
        <f t="shared" si="67"/>
        <v>0</v>
      </c>
      <c r="AC56" s="666">
        <f t="shared" si="68"/>
        <v>0</v>
      </c>
      <c r="AD56" s="662"/>
      <c r="AE56" s="662"/>
      <c r="AF56" s="662"/>
      <c r="AG56" s="662"/>
      <c r="AH56" s="662"/>
      <c r="AI56" s="662"/>
      <c r="AJ56" s="662"/>
      <c r="AK56" s="662"/>
      <c r="AL56" s="720"/>
      <c r="AN56" s="621"/>
      <c r="AO56" s="659">
        <v>19</v>
      </c>
      <c r="AP56" s="723" t="s">
        <v>492</v>
      </c>
      <c r="AQ56" s="661"/>
      <c r="AR56" s="661"/>
      <c r="AS56" s="661"/>
      <c r="AT56" s="661"/>
      <c r="AU56" s="661"/>
      <c r="AV56" s="661"/>
      <c r="AW56" s="661"/>
      <c r="AX56" s="661"/>
      <c r="AY56" s="662">
        <f t="shared" si="69"/>
        <v>0</v>
      </c>
      <c r="AZ56" s="665"/>
      <c r="BA56" s="662"/>
      <c r="BB56" s="662"/>
      <c r="BC56" s="662"/>
      <c r="BD56" s="662"/>
      <c r="BE56" s="666"/>
      <c r="BF56" s="667"/>
      <c r="BG56" s="666"/>
      <c r="BH56" s="662"/>
      <c r="BI56" s="662"/>
      <c r="BJ56" s="662"/>
      <c r="BK56" s="662"/>
      <c r="BL56" s="666"/>
      <c r="BM56" s="667"/>
      <c r="BN56" s="666">
        <f t="shared" si="72"/>
        <v>0</v>
      </c>
      <c r="BO56" s="662"/>
      <c r="BP56" s="662"/>
      <c r="BQ56" s="662"/>
      <c r="BR56" s="662"/>
      <c r="BS56" s="662"/>
      <c r="BT56" s="662"/>
      <c r="BU56" s="662"/>
      <c r="BV56" s="662"/>
      <c r="BW56" s="721"/>
      <c r="CA56" s="1352">
        <v>17</v>
      </c>
      <c r="CB56" s="1352" t="s">
        <v>492</v>
      </c>
      <c r="CC56" s="1352"/>
      <c r="CD56" s="1352"/>
      <c r="CE56" s="1352"/>
      <c r="CF56" s="1352"/>
      <c r="CG56" s="1352"/>
      <c r="CH56" s="1352"/>
      <c r="CI56" s="1352"/>
      <c r="CJ56" s="1352"/>
      <c r="CK56" s="1353">
        <v>0</v>
      </c>
      <c r="CL56" s="1353"/>
      <c r="CM56" s="1354"/>
      <c r="CN56" s="1354"/>
      <c r="CO56" s="1354"/>
      <c r="CP56" s="1354"/>
      <c r="CQ56" s="1354">
        <v>0</v>
      </c>
      <c r="CR56" s="1354"/>
      <c r="CS56" s="1354">
        <v>0</v>
      </c>
      <c r="CT56" s="1353">
        <v>0</v>
      </c>
      <c r="CU56" s="1353"/>
      <c r="CV56" s="1353"/>
      <c r="CW56" s="1353"/>
      <c r="CX56" s="1353">
        <v>0</v>
      </c>
      <c r="CY56" s="1353">
        <v>0</v>
      </c>
      <c r="CZ56" s="1353"/>
      <c r="DA56" s="1353">
        <v>0</v>
      </c>
      <c r="DB56" s="1353">
        <v>0</v>
      </c>
      <c r="DC56" s="1353"/>
      <c r="DD56" s="1353"/>
      <c r="DE56" s="1353"/>
      <c r="DF56" s="1353"/>
      <c r="DG56" s="1353"/>
      <c r="DH56" s="1353"/>
      <c r="DI56" s="1353"/>
      <c r="DJ56" s="1353"/>
      <c r="DK56" s="1353"/>
      <c r="DT56" s="659">
        <v>17</v>
      </c>
      <c r="DU56" s="722" t="s">
        <v>492</v>
      </c>
      <c r="DV56" s="777">
        <f t="shared" si="77"/>
        <v>0</v>
      </c>
      <c r="DW56" s="777">
        <f t="shared" si="73"/>
        <v>0</v>
      </c>
      <c r="DX56" s="777">
        <f t="shared" si="73"/>
        <v>0</v>
      </c>
      <c r="DY56" s="777">
        <f t="shared" si="73"/>
        <v>0</v>
      </c>
      <c r="DZ56" s="777">
        <f t="shared" si="73"/>
        <v>0</v>
      </c>
      <c r="EA56" s="777">
        <f t="shared" si="73"/>
        <v>0</v>
      </c>
      <c r="EB56" s="777">
        <f t="shared" si="73"/>
        <v>0</v>
      </c>
      <c r="EC56" s="777">
        <f t="shared" si="73"/>
        <v>0</v>
      </c>
      <c r="ED56" s="777">
        <f t="shared" si="73"/>
        <v>0</v>
      </c>
      <c r="EE56" s="777">
        <f t="shared" si="73"/>
        <v>0</v>
      </c>
      <c r="EF56" s="777">
        <f t="shared" si="73"/>
        <v>0</v>
      </c>
      <c r="EG56" s="777">
        <f t="shared" si="73"/>
        <v>0</v>
      </c>
      <c r="EH56" s="777">
        <f t="shared" si="73"/>
        <v>0</v>
      </c>
      <c r="EI56" s="777">
        <f t="shared" si="73"/>
        <v>0</v>
      </c>
      <c r="EJ56" s="777">
        <f t="shared" si="73"/>
        <v>0</v>
      </c>
      <c r="EK56" s="777">
        <f t="shared" si="73"/>
        <v>0</v>
      </c>
      <c r="EL56" s="777">
        <f t="shared" si="78"/>
        <v>0</v>
      </c>
      <c r="EM56" s="777">
        <f t="shared" si="78"/>
        <v>0</v>
      </c>
      <c r="EN56" s="777">
        <f t="shared" si="74"/>
        <v>0</v>
      </c>
      <c r="EO56" s="777">
        <f t="shared" si="74"/>
        <v>0</v>
      </c>
      <c r="EP56" s="777">
        <f t="shared" si="74"/>
        <v>0</v>
      </c>
      <c r="EQ56" s="777">
        <f t="shared" si="74"/>
        <v>0</v>
      </c>
      <c r="ER56" s="777">
        <f t="shared" si="74"/>
        <v>0</v>
      </c>
      <c r="ES56" s="777">
        <f t="shared" si="74"/>
        <v>0</v>
      </c>
      <c r="ET56" s="777">
        <f t="shared" si="74"/>
        <v>0</v>
      </c>
      <c r="EU56" s="777">
        <f t="shared" si="74"/>
        <v>0</v>
      </c>
      <c r="EV56" s="777">
        <f t="shared" si="74"/>
        <v>0</v>
      </c>
    </row>
    <row r="57" spans="1:152" s="732" customFormat="1" ht="28.5" customHeight="1">
      <c r="A57" s="1429" t="s">
        <v>60</v>
      </c>
      <c r="B57" s="651" t="s">
        <v>493</v>
      </c>
      <c r="C57" s="1430">
        <f t="shared" ref="C57:J57" si="79">C58+C62</f>
        <v>2467</v>
      </c>
      <c r="D57" s="1430">
        <f t="shared" si="79"/>
        <v>2354</v>
      </c>
      <c r="E57" s="1430">
        <f t="shared" si="79"/>
        <v>0</v>
      </c>
      <c r="F57" s="1430">
        <f t="shared" si="79"/>
        <v>2354</v>
      </c>
      <c r="G57" s="1430">
        <f t="shared" si="79"/>
        <v>0</v>
      </c>
      <c r="H57" s="1430">
        <f t="shared" si="79"/>
        <v>2283</v>
      </c>
      <c r="I57" s="1430">
        <f t="shared" si="79"/>
        <v>113</v>
      </c>
      <c r="J57" s="1430">
        <f t="shared" si="79"/>
        <v>89</v>
      </c>
      <c r="K57" s="646">
        <f>L57-AD57</f>
        <v>402045</v>
      </c>
      <c r="L57" s="653">
        <f>L58+L62+L79</f>
        <v>455073</v>
      </c>
      <c r="M57" s="653">
        <f t="shared" ref="M57:U57" si="80">M58+M62</f>
        <v>254857</v>
      </c>
      <c r="N57" s="653">
        <f t="shared" si="80"/>
        <v>28276</v>
      </c>
      <c r="O57" s="653">
        <f t="shared" si="80"/>
        <v>1729</v>
      </c>
      <c r="P57" s="653">
        <f t="shared" si="80"/>
        <v>0</v>
      </c>
      <c r="Q57" s="653">
        <f t="shared" si="80"/>
        <v>0</v>
      </c>
      <c r="R57" s="653">
        <f t="shared" si="80"/>
        <v>0</v>
      </c>
      <c r="S57" s="653">
        <f t="shared" si="80"/>
        <v>422</v>
      </c>
      <c r="T57" s="653">
        <f t="shared" si="80"/>
        <v>422</v>
      </c>
      <c r="U57" s="653">
        <f t="shared" si="80"/>
        <v>284440</v>
      </c>
      <c r="V57" s="1522">
        <f>V58+V62+V79</f>
        <v>109320</v>
      </c>
      <c r="W57" s="653">
        <f t="shared" ref="W57:AB57" si="81">W58+W62</f>
        <v>9509</v>
      </c>
      <c r="X57" s="653">
        <f t="shared" si="81"/>
        <v>0</v>
      </c>
      <c r="Y57" s="653">
        <f t="shared" si="81"/>
        <v>105.9</v>
      </c>
      <c r="Z57" s="653">
        <f t="shared" si="81"/>
        <v>1290.9000000000001</v>
      </c>
      <c r="AA57" s="653">
        <f t="shared" si="81"/>
        <v>1118</v>
      </c>
      <c r="AB57" s="653">
        <f t="shared" si="81"/>
        <v>1224</v>
      </c>
      <c r="AC57" s="1522">
        <f>AC58+AC62+AC79</f>
        <v>117605</v>
      </c>
      <c r="AD57" s="653">
        <f t="shared" ref="AD57:AL57" si="82">AD58+AD62</f>
        <v>53028</v>
      </c>
      <c r="AE57" s="653">
        <f t="shared" si="82"/>
        <v>0</v>
      </c>
      <c r="AF57" s="653">
        <f t="shared" si="82"/>
        <v>0</v>
      </c>
      <c r="AG57" s="653">
        <f t="shared" si="82"/>
        <v>0</v>
      </c>
      <c r="AH57" s="653">
        <f t="shared" si="82"/>
        <v>0</v>
      </c>
      <c r="AI57" s="653">
        <f t="shared" si="82"/>
        <v>0</v>
      </c>
      <c r="AJ57" s="653">
        <f t="shared" si="82"/>
        <v>2339</v>
      </c>
      <c r="AK57" s="653">
        <f t="shared" si="82"/>
        <v>957</v>
      </c>
      <c r="AL57" s="655">
        <f t="shared" si="82"/>
        <v>0</v>
      </c>
      <c r="AM57" s="1367"/>
      <c r="AN57" s="609">
        <v>245621</v>
      </c>
      <c r="AO57" s="729" t="s">
        <v>60</v>
      </c>
      <c r="AP57" s="730" t="s">
        <v>493</v>
      </c>
      <c r="AQ57" s="655">
        <f t="shared" ref="AQ57:BW57" si="83">AQ58+AQ62</f>
        <v>2646</v>
      </c>
      <c r="AR57" s="655">
        <f t="shared" si="83"/>
        <v>2515</v>
      </c>
      <c r="AS57" s="655">
        <f t="shared" si="83"/>
        <v>0</v>
      </c>
      <c r="AT57" s="655">
        <f t="shared" si="83"/>
        <v>2515</v>
      </c>
      <c r="AU57" s="655">
        <f t="shared" si="83"/>
        <v>0</v>
      </c>
      <c r="AV57" s="655">
        <f t="shared" si="83"/>
        <v>2394</v>
      </c>
      <c r="AW57" s="655">
        <f t="shared" si="83"/>
        <v>131</v>
      </c>
      <c r="AX57" s="655">
        <f t="shared" si="83"/>
        <v>92</v>
      </c>
      <c r="AY57" s="655">
        <f t="shared" si="83"/>
        <v>425216</v>
      </c>
      <c r="AZ57" s="655">
        <f t="shared" si="83"/>
        <v>248340</v>
      </c>
      <c r="BA57" s="655">
        <f t="shared" si="83"/>
        <v>29987</v>
      </c>
      <c r="BB57" s="655">
        <f t="shared" si="83"/>
        <v>1769</v>
      </c>
      <c r="BC57" s="655">
        <f t="shared" si="83"/>
        <v>0</v>
      </c>
      <c r="BD57" s="655">
        <f t="shared" si="83"/>
        <v>0</v>
      </c>
      <c r="BE57" s="655">
        <f t="shared" si="83"/>
        <v>3164.6</v>
      </c>
      <c r="BF57" s="655">
        <f t="shared" si="83"/>
        <v>3165</v>
      </c>
      <c r="BG57" s="655">
        <f t="shared" si="83"/>
        <v>276931</v>
      </c>
      <c r="BH57" s="655">
        <f t="shared" si="83"/>
        <v>93172</v>
      </c>
      <c r="BI57" s="655">
        <f t="shared" si="83"/>
        <v>0</v>
      </c>
      <c r="BJ57" s="655">
        <f t="shared" si="83"/>
        <v>11314</v>
      </c>
      <c r="BK57" s="655">
        <f t="shared" si="83"/>
        <v>0</v>
      </c>
      <c r="BL57" s="655">
        <f t="shared" si="83"/>
        <v>1257.3</v>
      </c>
      <c r="BM57" s="655">
        <f t="shared" si="83"/>
        <v>1257</v>
      </c>
      <c r="BN57" s="655">
        <f t="shared" si="83"/>
        <v>103229</v>
      </c>
      <c r="BO57" s="655">
        <f t="shared" si="83"/>
        <v>45056</v>
      </c>
      <c r="BP57" s="655">
        <f t="shared" si="83"/>
        <v>0</v>
      </c>
      <c r="BQ57" s="655">
        <f t="shared" si="83"/>
        <v>328778</v>
      </c>
      <c r="BR57" s="655">
        <f t="shared" si="83"/>
        <v>0</v>
      </c>
      <c r="BS57" s="655">
        <f t="shared" si="83"/>
        <v>0</v>
      </c>
      <c r="BT57" s="655">
        <f t="shared" si="83"/>
        <v>0</v>
      </c>
      <c r="BU57" s="655">
        <f t="shared" si="83"/>
        <v>0</v>
      </c>
      <c r="BV57" s="655">
        <f t="shared" si="83"/>
        <v>0</v>
      </c>
      <c r="BW57" s="655">
        <f t="shared" si="83"/>
        <v>0</v>
      </c>
      <c r="CA57" s="1348" t="s">
        <v>60</v>
      </c>
      <c r="CB57" s="1348" t="s">
        <v>493</v>
      </c>
      <c r="CC57" s="1348">
        <v>2534</v>
      </c>
      <c r="CD57" s="1348">
        <v>2421</v>
      </c>
      <c r="CE57" s="1348">
        <v>0</v>
      </c>
      <c r="CF57" s="1348">
        <v>2421</v>
      </c>
      <c r="CG57" s="1348">
        <v>0</v>
      </c>
      <c r="CH57" s="1348">
        <v>2296</v>
      </c>
      <c r="CI57" s="1348">
        <v>113</v>
      </c>
      <c r="CJ57" s="1348">
        <v>89</v>
      </c>
      <c r="CK57" s="1349">
        <v>410000</v>
      </c>
      <c r="CL57" s="1349">
        <v>258426</v>
      </c>
      <c r="CM57" s="1350">
        <v>28679</v>
      </c>
      <c r="CN57" s="1350">
        <v>1729</v>
      </c>
      <c r="CO57" s="1350">
        <v>0</v>
      </c>
      <c r="CP57" s="1350">
        <v>0</v>
      </c>
      <c r="CQ57" s="1350">
        <v>3.8000000000000003</v>
      </c>
      <c r="CR57" s="1350">
        <v>422</v>
      </c>
      <c r="CS57" s="1350">
        <v>426</v>
      </c>
      <c r="CT57" s="1349">
        <v>288408</v>
      </c>
      <c r="CU57" s="1349">
        <v>106564</v>
      </c>
      <c r="CV57" s="1349">
        <v>9509</v>
      </c>
      <c r="CW57" s="1349">
        <v>0</v>
      </c>
      <c r="CX57" s="1349">
        <v>105.9</v>
      </c>
      <c r="CY57" s="1349">
        <v>1290.9000000000001</v>
      </c>
      <c r="CZ57" s="1349">
        <v>1118</v>
      </c>
      <c r="DA57" s="1349">
        <v>1224</v>
      </c>
      <c r="DB57" s="1349">
        <v>114849</v>
      </c>
      <c r="DC57" s="1349">
        <v>6743</v>
      </c>
      <c r="DD57" s="1349">
        <v>0</v>
      </c>
      <c r="DE57" s="1349">
        <v>0</v>
      </c>
      <c r="DF57" s="1349">
        <v>0</v>
      </c>
      <c r="DG57" s="1349">
        <v>0</v>
      </c>
      <c r="DH57" s="1349">
        <v>0</v>
      </c>
      <c r="DI57" s="1349">
        <v>0</v>
      </c>
      <c r="DJ57" s="1349">
        <v>0</v>
      </c>
      <c r="DK57" s="1349">
        <v>0</v>
      </c>
      <c r="DT57" s="729" t="s">
        <v>60</v>
      </c>
      <c r="DU57" s="730" t="s">
        <v>493</v>
      </c>
      <c r="DV57" s="1368">
        <f t="shared" ref="DV57:EV57" si="84">DV58+DV62</f>
        <v>41073</v>
      </c>
      <c r="DW57" s="1368">
        <f t="shared" si="84"/>
        <v>-3569</v>
      </c>
      <c r="DX57" s="1368">
        <f t="shared" si="84"/>
        <v>-403</v>
      </c>
      <c r="DY57" s="1368">
        <f t="shared" si="84"/>
        <v>0</v>
      </c>
      <c r="DZ57" s="1368">
        <f t="shared" si="84"/>
        <v>0</v>
      </c>
      <c r="EA57" s="1368">
        <f t="shared" si="84"/>
        <v>0</v>
      </c>
      <c r="EB57" s="1368">
        <f t="shared" si="84"/>
        <v>-3.8000000000000003</v>
      </c>
      <c r="EC57" s="1368">
        <f t="shared" si="84"/>
        <v>0</v>
      </c>
      <c r="ED57" s="1368">
        <f t="shared" si="84"/>
        <v>-4</v>
      </c>
      <c r="EE57" s="1368">
        <f t="shared" si="84"/>
        <v>-3968</v>
      </c>
      <c r="EF57" s="1368">
        <f t="shared" si="84"/>
        <v>-1244</v>
      </c>
      <c r="EG57" s="1368">
        <f t="shared" si="84"/>
        <v>0</v>
      </c>
      <c r="EH57" s="1368">
        <f t="shared" si="84"/>
        <v>0</v>
      </c>
      <c r="EI57" s="1368">
        <f t="shared" si="84"/>
        <v>0</v>
      </c>
      <c r="EJ57" s="1368">
        <f t="shared" si="84"/>
        <v>0</v>
      </c>
      <c r="EK57" s="1368">
        <f t="shared" si="84"/>
        <v>0</v>
      </c>
      <c r="EL57" s="1368">
        <f t="shared" si="84"/>
        <v>0</v>
      </c>
      <c r="EM57" s="1368">
        <f t="shared" si="84"/>
        <v>-1244</v>
      </c>
      <c r="EN57" s="1368">
        <f t="shared" si="84"/>
        <v>46285</v>
      </c>
      <c r="EO57" s="1368">
        <f t="shared" si="84"/>
        <v>0</v>
      </c>
      <c r="EP57" s="1368">
        <f t="shared" si="84"/>
        <v>0</v>
      </c>
      <c r="EQ57" s="1368">
        <f t="shared" si="84"/>
        <v>0</v>
      </c>
      <c r="ER57" s="1368">
        <f t="shared" si="84"/>
        <v>0</v>
      </c>
      <c r="ES57" s="1368">
        <f t="shared" si="84"/>
        <v>0</v>
      </c>
      <c r="ET57" s="1368">
        <f t="shared" si="84"/>
        <v>2339</v>
      </c>
      <c r="EU57" s="1368">
        <f t="shared" si="84"/>
        <v>957</v>
      </c>
      <c r="EV57" s="1368">
        <f t="shared" si="84"/>
        <v>0</v>
      </c>
    </row>
    <row r="58" spans="1:152" ht="25.5" customHeight="1">
      <c r="A58" s="1429" t="s">
        <v>441</v>
      </c>
      <c r="B58" s="651" t="s">
        <v>494</v>
      </c>
      <c r="C58" s="1430">
        <f t="shared" ref="C58:J58" si="85">C59+C61</f>
        <v>2285</v>
      </c>
      <c r="D58" s="1430">
        <f t="shared" si="85"/>
        <v>2189</v>
      </c>
      <c r="E58" s="1430">
        <f t="shared" si="85"/>
        <v>0</v>
      </c>
      <c r="F58" s="1430">
        <f t="shared" si="85"/>
        <v>2189</v>
      </c>
      <c r="G58" s="1430">
        <f t="shared" si="85"/>
        <v>0</v>
      </c>
      <c r="H58" s="1430">
        <f t="shared" si="85"/>
        <v>2128</v>
      </c>
      <c r="I58" s="1430">
        <f t="shared" si="85"/>
        <v>96</v>
      </c>
      <c r="J58" s="1430">
        <f t="shared" si="85"/>
        <v>72</v>
      </c>
      <c r="K58" s="1548">
        <f>L58-AD58</f>
        <v>343811</v>
      </c>
      <c r="L58" s="820">
        <f t="shared" ref="L58:AL58" si="86">L59+L61</f>
        <v>358311</v>
      </c>
      <c r="M58" s="653">
        <f t="shared" si="86"/>
        <v>239712</v>
      </c>
      <c r="N58" s="653">
        <f t="shared" si="86"/>
        <v>26342</v>
      </c>
      <c r="O58" s="653">
        <f t="shared" si="86"/>
        <v>1457</v>
      </c>
      <c r="P58" s="653">
        <f t="shared" si="86"/>
        <v>0</v>
      </c>
      <c r="Q58" s="653">
        <f t="shared" si="86"/>
        <v>0</v>
      </c>
      <c r="R58" s="653">
        <f t="shared" si="86"/>
        <v>0</v>
      </c>
      <c r="S58" s="653">
        <f t="shared" si="86"/>
        <v>130</v>
      </c>
      <c r="T58" s="653">
        <f t="shared" si="86"/>
        <v>130</v>
      </c>
      <c r="U58" s="653">
        <f t="shared" si="86"/>
        <v>267381</v>
      </c>
      <c r="V58" s="653">
        <f t="shared" si="86"/>
        <v>68057</v>
      </c>
      <c r="W58" s="653">
        <f t="shared" si="86"/>
        <v>9023</v>
      </c>
      <c r="X58" s="653">
        <f t="shared" si="86"/>
        <v>0</v>
      </c>
      <c r="Y58" s="653">
        <f t="shared" si="86"/>
        <v>50</v>
      </c>
      <c r="Z58" s="653">
        <f t="shared" si="86"/>
        <v>850</v>
      </c>
      <c r="AA58" s="653">
        <f t="shared" si="86"/>
        <v>600</v>
      </c>
      <c r="AB58" s="653">
        <f t="shared" si="86"/>
        <v>650</v>
      </c>
      <c r="AC58" s="653">
        <f t="shared" si="86"/>
        <v>76430</v>
      </c>
      <c r="AD58" s="653">
        <f t="shared" si="86"/>
        <v>14500</v>
      </c>
      <c r="AE58" s="653">
        <f t="shared" si="86"/>
        <v>0</v>
      </c>
      <c r="AF58" s="653">
        <f t="shared" si="86"/>
        <v>0</v>
      </c>
      <c r="AG58" s="653">
        <f t="shared" si="86"/>
        <v>0</v>
      </c>
      <c r="AH58" s="653">
        <f t="shared" si="86"/>
        <v>0</v>
      </c>
      <c r="AI58" s="653">
        <f t="shared" si="86"/>
        <v>0</v>
      </c>
      <c r="AJ58" s="653">
        <f t="shared" si="86"/>
        <v>0</v>
      </c>
      <c r="AK58" s="653">
        <f t="shared" si="86"/>
        <v>0</v>
      </c>
      <c r="AL58" s="656">
        <f t="shared" si="86"/>
        <v>0</v>
      </c>
      <c r="AN58" s="610"/>
      <c r="AO58" s="1323" t="s">
        <v>441</v>
      </c>
      <c r="AP58" s="651" t="s">
        <v>494</v>
      </c>
      <c r="AQ58" s="1320">
        <f t="shared" ref="AQ58:BW58" si="87">AQ59+AQ61</f>
        <v>2372</v>
      </c>
      <c r="AR58" s="1320">
        <f t="shared" si="87"/>
        <v>2264</v>
      </c>
      <c r="AS58" s="1320">
        <f t="shared" si="87"/>
        <v>0</v>
      </c>
      <c r="AT58" s="1320">
        <f t="shared" si="87"/>
        <v>2264</v>
      </c>
      <c r="AU58" s="1320">
        <f t="shared" si="87"/>
        <v>0</v>
      </c>
      <c r="AV58" s="1320">
        <f t="shared" si="87"/>
        <v>2155</v>
      </c>
      <c r="AW58" s="1320">
        <f t="shared" si="87"/>
        <v>108</v>
      </c>
      <c r="AX58" s="1320">
        <f t="shared" si="87"/>
        <v>70</v>
      </c>
      <c r="AY58" s="653">
        <f t="shared" si="87"/>
        <v>324847</v>
      </c>
      <c r="AZ58" s="658">
        <f t="shared" si="87"/>
        <v>230981</v>
      </c>
      <c r="BA58" s="653">
        <f t="shared" si="87"/>
        <v>27300</v>
      </c>
      <c r="BB58" s="653">
        <f t="shared" si="87"/>
        <v>1257</v>
      </c>
      <c r="BC58" s="653">
        <f t="shared" si="87"/>
        <v>0</v>
      </c>
      <c r="BD58" s="653">
        <f t="shared" si="87"/>
        <v>0</v>
      </c>
      <c r="BE58" s="653">
        <f t="shared" si="87"/>
        <v>2855.7</v>
      </c>
      <c r="BF58" s="655">
        <f t="shared" si="87"/>
        <v>2856</v>
      </c>
      <c r="BG58" s="653">
        <f t="shared" si="87"/>
        <v>256682</v>
      </c>
      <c r="BH58" s="653">
        <f t="shared" si="87"/>
        <v>57623</v>
      </c>
      <c r="BI58" s="653">
        <f t="shared" si="87"/>
        <v>0</v>
      </c>
      <c r="BJ58" s="653">
        <f t="shared" si="87"/>
        <v>10179</v>
      </c>
      <c r="BK58" s="653">
        <f t="shared" si="87"/>
        <v>0</v>
      </c>
      <c r="BL58" s="653">
        <f t="shared" si="87"/>
        <v>837.4</v>
      </c>
      <c r="BM58" s="655">
        <f t="shared" si="87"/>
        <v>837</v>
      </c>
      <c r="BN58" s="653">
        <f t="shared" si="87"/>
        <v>66965</v>
      </c>
      <c r="BO58" s="653">
        <f t="shared" si="87"/>
        <v>1200</v>
      </c>
      <c r="BP58" s="653">
        <f t="shared" si="87"/>
        <v>0</v>
      </c>
      <c r="BQ58" s="653">
        <f t="shared" si="87"/>
        <v>8613</v>
      </c>
      <c r="BR58" s="653">
        <f t="shared" si="87"/>
        <v>0</v>
      </c>
      <c r="BS58" s="653">
        <f t="shared" si="87"/>
        <v>0</v>
      </c>
      <c r="BT58" s="653">
        <f t="shared" si="87"/>
        <v>0</v>
      </c>
      <c r="BU58" s="653">
        <f t="shared" si="87"/>
        <v>0</v>
      </c>
      <c r="BV58" s="653">
        <f t="shared" si="87"/>
        <v>0</v>
      </c>
      <c r="BW58" s="653">
        <f t="shared" si="87"/>
        <v>0</v>
      </c>
      <c r="CA58" s="1352" t="s">
        <v>441</v>
      </c>
      <c r="CB58" s="1352" t="s">
        <v>494</v>
      </c>
      <c r="CC58" s="1352">
        <v>2335</v>
      </c>
      <c r="CD58" s="1352">
        <v>2239</v>
      </c>
      <c r="CE58" s="1352">
        <v>0</v>
      </c>
      <c r="CF58" s="1352">
        <v>2239</v>
      </c>
      <c r="CG58" s="1352">
        <v>0</v>
      </c>
      <c r="CH58" s="1352">
        <v>2128</v>
      </c>
      <c r="CI58" s="1352">
        <v>96</v>
      </c>
      <c r="CJ58" s="1352">
        <v>72</v>
      </c>
      <c r="CK58" s="1353">
        <v>348721</v>
      </c>
      <c r="CL58" s="1353">
        <v>242122</v>
      </c>
      <c r="CM58" s="1354">
        <v>26342</v>
      </c>
      <c r="CN58" s="1354">
        <v>1457</v>
      </c>
      <c r="CO58" s="1354">
        <v>0</v>
      </c>
      <c r="CP58" s="1354">
        <v>0</v>
      </c>
      <c r="CQ58" s="1354">
        <v>0</v>
      </c>
      <c r="CR58" s="1354">
        <v>130</v>
      </c>
      <c r="CS58" s="1354">
        <v>130</v>
      </c>
      <c r="CT58" s="1353">
        <v>269791</v>
      </c>
      <c r="CU58" s="1353">
        <v>68057</v>
      </c>
      <c r="CV58" s="1353">
        <v>9023</v>
      </c>
      <c r="CW58" s="1353">
        <v>0</v>
      </c>
      <c r="CX58" s="1353">
        <v>50</v>
      </c>
      <c r="CY58" s="1353">
        <v>850</v>
      </c>
      <c r="CZ58" s="1353">
        <v>600</v>
      </c>
      <c r="DA58" s="1353">
        <v>650</v>
      </c>
      <c r="DB58" s="1353">
        <v>76430</v>
      </c>
      <c r="DC58" s="1353">
        <v>2500</v>
      </c>
      <c r="DD58" s="1353">
        <v>0</v>
      </c>
      <c r="DE58" s="1353">
        <v>0</v>
      </c>
      <c r="DF58" s="1353">
        <v>0</v>
      </c>
      <c r="DG58" s="1353">
        <v>0</v>
      </c>
      <c r="DH58" s="1353">
        <v>0</v>
      </c>
      <c r="DI58" s="1353">
        <v>0</v>
      </c>
      <c r="DJ58" s="1353">
        <v>0</v>
      </c>
      <c r="DK58" s="1353">
        <v>0</v>
      </c>
      <c r="DT58" s="1323" t="s">
        <v>441</v>
      </c>
      <c r="DU58" s="651" t="s">
        <v>494</v>
      </c>
      <c r="DV58" s="1363">
        <f t="shared" ref="DV58:EV58" si="88">DV59+DV61</f>
        <v>9590</v>
      </c>
      <c r="DW58" s="1363">
        <f t="shared" si="88"/>
        <v>-2410</v>
      </c>
      <c r="DX58" s="1363">
        <f t="shared" si="88"/>
        <v>0</v>
      </c>
      <c r="DY58" s="1363">
        <f t="shared" si="88"/>
        <v>0</v>
      </c>
      <c r="DZ58" s="1363">
        <f t="shared" si="88"/>
        <v>0</v>
      </c>
      <c r="EA58" s="1363">
        <f t="shared" si="88"/>
        <v>0</v>
      </c>
      <c r="EB58" s="1363">
        <f t="shared" si="88"/>
        <v>0</v>
      </c>
      <c r="EC58" s="1363">
        <f t="shared" si="88"/>
        <v>0</v>
      </c>
      <c r="ED58" s="1363">
        <f t="shared" si="88"/>
        <v>0</v>
      </c>
      <c r="EE58" s="1363">
        <f t="shared" si="88"/>
        <v>-2410</v>
      </c>
      <c r="EF58" s="1363">
        <f t="shared" si="88"/>
        <v>0</v>
      </c>
      <c r="EG58" s="1363">
        <f t="shared" si="88"/>
        <v>0</v>
      </c>
      <c r="EH58" s="1363">
        <f t="shared" si="88"/>
        <v>0</v>
      </c>
      <c r="EI58" s="1363">
        <f t="shared" si="88"/>
        <v>0</v>
      </c>
      <c r="EJ58" s="1363">
        <f t="shared" si="88"/>
        <v>0</v>
      </c>
      <c r="EK58" s="1363">
        <f t="shared" si="88"/>
        <v>0</v>
      </c>
      <c r="EL58" s="1363">
        <f t="shared" si="88"/>
        <v>0</v>
      </c>
      <c r="EM58" s="1363">
        <f t="shared" si="88"/>
        <v>0</v>
      </c>
      <c r="EN58" s="1363">
        <f t="shared" si="88"/>
        <v>12000</v>
      </c>
      <c r="EO58" s="1363">
        <f t="shared" si="88"/>
        <v>0</v>
      </c>
      <c r="EP58" s="1363">
        <f t="shared" si="88"/>
        <v>0</v>
      </c>
      <c r="EQ58" s="1363">
        <f t="shared" si="88"/>
        <v>0</v>
      </c>
      <c r="ER58" s="1363">
        <f t="shared" si="88"/>
        <v>0</v>
      </c>
      <c r="ES58" s="1363">
        <f t="shared" si="88"/>
        <v>0</v>
      </c>
      <c r="ET58" s="1363">
        <f t="shared" si="88"/>
        <v>0</v>
      </c>
      <c r="EU58" s="1363">
        <f t="shared" si="88"/>
        <v>0</v>
      </c>
      <c r="EV58" s="1363">
        <f t="shared" si="88"/>
        <v>0</v>
      </c>
    </row>
    <row r="59" spans="1:152" ht="43.5" customHeight="1">
      <c r="A59" s="659">
        <v>17</v>
      </c>
      <c r="B59" s="660" t="s">
        <v>495</v>
      </c>
      <c r="C59" s="661">
        <f>D59+I59</f>
        <v>2177</v>
      </c>
      <c r="D59" s="661">
        <f>E59+F59</f>
        <v>2089</v>
      </c>
      <c r="E59" s="661"/>
      <c r="F59" s="661">
        <v>2089</v>
      </c>
      <c r="G59" s="661"/>
      <c r="H59" s="661">
        <v>2034</v>
      </c>
      <c r="I59" s="661">
        <v>88</v>
      </c>
      <c r="J59" s="661">
        <v>65</v>
      </c>
      <c r="K59" s="646">
        <f t="shared" si="5"/>
        <v>332893</v>
      </c>
      <c r="L59" s="662">
        <f>U59+AC59+AD59+AE59</f>
        <v>347393</v>
      </c>
      <c r="M59" s="666">
        <v>231584</v>
      </c>
      <c r="N59" s="666">
        <v>25242</v>
      </c>
      <c r="O59" s="666">
        <v>1200</v>
      </c>
      <c r="P59" s="666"/>
      <c r="Q59" s="666"/>
      <c r="R59" s="666"/>
      <c r="S59" s="666">
        <f>3044-3044</f>
        <v>0</v>
      </c>
      <c r="T59" s="666">
        <f>ROUND((Q59+R59+S59),0)</f>
        <v>0</v>
      </c>
      <c r="U59" s="666">
        <f>(M59+N59+O59+P59)-T59</f>
        <v>258026</v>
      </c>
      <c r="V59" s="666">
        <v>68057</v>
      </c>
      <c r="W59" s="666">
        <v>7460</v>
      </c>
      <c r="X59" s="666"/>
      <c r="Y59" s="666">
        <f>Z59-BM59</f>
        <v>50</v>
      </c>
      <c r="Z59" s="666">
        <f>(V59-59557)*10%</f>
        <v>850</v>
      </c>
      <c r="AA59" s="666">
        <v>600</v>
      </c>
      <c r="AB59" s="666">
        <f>ROUND((Y59+AA59+X59),0)</f>
        <v>650</v>
      </c>
      <c r="AC59" s="666">
        <f>(V59+W59)-AB59</f>
        <v>74867</v>
      </c>
      <c r="AD59" s="666">
        <v>14500</v>
      </c>
      <c r="AE59" s="666"/>
      <c r="AF59" s="666"/>
      <c r="AG59" s="666"/>
      <c r="AH59" s="666"/>
      <c r="AI59" s="666"/>
      <c r="AJ59" s="666"/>
      <c r="AK59" s="666"/>
      <c r="AL59" s="669"/>
      <c r="AN59" s="610"/>
      <c r="AO59" s="659">
        <v>20</v>
      </c>
      <c r="AP59" s="660" t="s">
        <v>495</v>
      </c>
      <c r="AQ59" s="661">
        <f>AR59+AW59</f>
        <v>2264</v>
      </c>
      <c r="AR59" s="661">
        <f>AS59+AT59</f>
        <v>2164</v>
      </c>
      <c r="AS59" s="661"/>
      <c r="AT59" s="661">
        <v>2164</v>
      </c>
      <c r="AU59" s="661"/>
      <c r="AV59" s="661">
        <v>2066</v>
      </c>
      <c r="AW59" s="661">
        <v>100</v>
      </c>
      <c r="AX59" s="661">
        <v>62</v>
      </c>
      <c r="AY59" s="666">
        <f>BG59+BN59+BO59+BP59</f>
        <v>314037</v>
      </c>
      <c r="AZ59" s="670">
        <v>223992</v>
      </c>
      <c r="BA59" s="666">
        <v>26000</v>
      </c>
      <c r="BB59" s="666">
        <v>1145</v>
      </c>
      <c r="BC59" s="666"/>
      <c r="BD59" s="666"/>
      <c r="BE59" s="666">
        <f>(BA59+BB59)*10%</f>
        <v>2714.5</v>
      </c>
      <c r="BF59" s="667">
        <f>ROUND(BE59,0)</f>
        <v>2715</v>
      </c>
      <c r="BG59" s="666">
        <f>(AZ59+BA59+BB59+BC59)-BF59</f>
        <v>248422</v>
      </c>
      <c r="BH59" s="666">
        <f>8000+45868+3381</f>
        <v>57249</v>
      </c>
      <c r="BI59" s="666"/>
      <c r="BJ59" s="666">
        <v>7966</v>
      </c>
      <c r="BK59" s="666"/>
      <c r="BL59" s="666">
        <f>(BH59-49249)*10%</f>
        <v>800</v>
      </c>
      <c r="BM59" s="667">
        <f>ROUND(BL59,0)</f>
        <v>800</v>
      </c>
      <c r="BN59" s="666">
        <f>(BH59+BI59+BJ59)-BM59</f>
        <v>64415</v>
      </c>
      <c r="BO59" s="666">
        <f>6126-4926</f>
        <v>1200</v>
      </c>
      <c r="BP59" s="666"/>
      <c r="BQ59" s="666">
        <v>8142</v>
      </c>
      <c r="BR59" s="666"/>
      <c r="BS59" s="666"/>
      <c r="BT59" s="666"/>
      <c r="BU59" s="666"/>
      <c r="BV59" s="666"/>
      <c r="BW59" s="666"/>
      <c r="CA59" s="1352">
        <v>18</v>
      </c>
      <c r="CB59" s="1352" t="s">
        <v>495</v>
      </c>
      <c r="CC59" s="1352">
        <v>2227</v>
      </c>
      <c r="CD59" s="1352">
        <v>2139</v>
      </c>
      <c r="CE59" s="1352"/>
      <c r="CF59" s="1352">
        <v>2139</v>
      </c>
      <c r="CG59" s="1352"/>
      <c r="CH59" s="1352">
        <v>2034</v>
      </c>
      <c r="CI59" s="1352">
        <v>88</v>
      </c>
      <c r="CJ59" s="1352">
        <v>65</v>
      </c>
      <c r="CK59" s="1353">
        <v>337803</v>
      </c>
      <c r="CL59" s="1353">
        <v>233994</v>
      </c>
      <c r="CM59" s="1354">
        <v>25242</v>
      </c>
      <c r="CN59" s="1354">
        <v>1200</v>
      </c>
      <c r="CO59" s="1354"/>
      <c r="CP59" s="1354"/>
      <c r="CQ59" s="1354"/>
      <c r="CR59" s="1354">
        <v>0</v>
      </c>
      <c r="CS59" s="1354">
        <v>0</v>
      </c>
      <c r="CT59" s="1353">
        <v>260436</v>
      </c>
      <c r="CU59" s="1353">
        <v>68057</v>
      </c>
      <c r="CV59" s="1353">
        <v>7460</v>
      </c>
      <c r="CW59" s="1353"/>
      <c r="CX59" s="1353">
        <v>50</v>
      </c>
      <c r="CY59" s="1353">
        <v>850</v>
      </c>
      <c r="CZ59" s="1353">
        <v>600</v>
      </c>
      <c r="DA59" s="1353">
        <v>650</v>
      </c>
      <c r="DB59" s="1353">
        <v>74867</v>
      </c>
      <c r="DC59" s="1353">
        <v>2500</v>
      </c>
      <c r="DD59" s="1353"/>
      <c r="DE59" s="1353"/>
      <c r="DF59" s="1353"/>
      <c r="DG59" s="1353"/>
      <c r="DH59" s="1353"/>
      <c r="DI59" s="1353"/>
      <c r="DJ59" s="1353"/>
      <c r="DK59" s="1353"/>
      <c r="DT59" s="659">
        <v>18</v>
      </c>
      <c r="DU59" s="660" t="s">
        <v>495</v>
      </c>
      <c r="DV59" s="777">
        <f t="shared" ref="DV59:EK61" si="89">L59-CK59</f>
        <v>9590</v>
      </c>
      <c r="DW59" s="777">
        <f t="shared" si="89"/>
        <v>-2410</v>
      </c>
      <c r="DX59" s="777">
        <f t="shared" si="89"/>
        <v>0</v>
      </c>
      <c r="DY59" s="777">
        <f t="shared" si="89"/>
        <v>0</v>
      </c>
      <c r="DZ59" s="777">
        <f t="shared" si="89"/>
        <v>0</v>
      </c>
      <c r="EA59" s="777">
        <f t="shared" si="89"/>
        <v>0</v>
      </c>
      <c r="EB59" s="777">
        <f t="shared" si="89"/>
        <v>0</v>
      </c>
      <c r="EC59" s="777">
        <f t="shared" si="89"/>
        <v>0</v>
      </c>
      <c r="ED59" s="777">
        <f t="shared" si="89"/>
        <v>0</v>
      </c>
      <c r="EE59" s="777">
        <f t="shared" si="89"/>
        <v>-2410</v>
      </c>
      <c r="EF59" s="777">
        <f t="shared" si="89"/>
        <v>0</v>
      </c>
      <c r="EG59" s="777">
        <f t="shared" si="89"/>
        <v>0</v>
      </c>
      <c r="EH59" s="777">
        <f t="shared" si="89"/>
        <v>0</v>
      </c>
      <c r="EI59" s="777">
        <f t="shared" si="89"/>
        <v>0</v>
      </c>
      <c r="EJ59" s="777">
        <f t="shared" si="89"/>
        <v>0</v>
      </c>
      <c r="EK59" s="777">
        <f t="shared" si="89"/>
        <v>0</v>
      </c>
      <c r="EL59" s="777">
        <f t="shared" ref="EL59:EV61" si="90">AB59-DA59</f>
        <v>0</v>
      </c>
      <c r="EM59" s="777">
        <f t="shared" si="90"/>
        <v>0</v>
      </c>
      <c r="EN59" s="777">
        <f t="shared" si="90"/>
        <v>12000</v>
      </c>
      <c r="EO59" s="777">
        <f t="shared" si="90"/>
        <v>0</v>
      </c>
      <c r="EP59" s="777">
        <f t="shared" si="90"/>
        <v>0</v>
      </c>
      <c r="EQ59" s="777">
        <f t="shared" si="90"/>
        <v>0</v>
      </c>
      <c r="ER59" s="777">
        <f t="shared" si="90"/>
        <v>0</v>
      </c>
      <c r="ES59" s="777">
        <f t="shared" si="90"/>
        <v>0</v>
      </c>
      <c r="ET59" s="777">
        <f t="shared" si="90"/>
        <v>0</v>
      </c>
      <c r="EU59" s="777">
        <f t="shared" si="90"/>
        <v>0</v>
      </c>
      <c r="EV59" s="777">
        <f t="shared" si="90"/>
        <v>0</v>
      </c>
    </row>
    <row r="60" spans="1:152" s="766" customFormat="1" ht="43.5" customHeight="1">
      <c r="A60" s="752"/>
      <c r="B60" s="753" t="s">
        <v>995</v>
      </c>
      <c r="C60" s="761"/>
      <c r="D60" s="761"/>
      <c r="E60" s="761"/>
      <c r="F60" s="761"/>
      <c r="G60" s="761"/>
      <c r="H60" s="761"/>
      <c r="I60" s="761"/>
      <c r="J60" s="761"/>
      <c r="K60" s="1562"/>
      <c r="L60" s="762">
        <f>U60+AC60+AD60+AE60</f>
        <v>12000</v>
      </c>
      <c r="M60" s="764"/>
      <c r="N60" s="764"/>
      <c r="O60" s="764"/>
      <c r="P60" s="764"/>
      <c r="Q60" s="764"/>
      <c r="R60" s="764"/>
      <c r="S60" s="764"/>
      <c r="T60" s="764"/>
      <c r="U60" s="764">
        <f>(M60+N60+O60+P60)-T60</f>
        <v>0</v>
      </c>
      <c r="V60" s="764"/>
      <c r="W60" s="764"/>
      <c r="X60" s="764"/>
      <c r="Y60" s="764"/>
      <c r="Z60" s="764"/>
      <c r="AA60" s="764"/>
      <c r="AB60" s="764"/>
      <c r="AC60" s="764">
        <f>(V60+W60)-AB60</f>
        <v>0</v>
      </c>
      <c r="AD60" s="764">
        <v>12000</v>
      </c>
      <c r="AE60" s="764"/>
      <c r="AF60" s="764"/>
      <c r="AG60" s="764"/>
      <c r="AH60" s="764"/>
      <c r="AI60" s="764"/>
      <c r="AJ60" s="764"/>
      <c r="AK60" s="764"/>
      <c r="AL60" s="811"/>
      <c r="AM60" s="758"/>
      <c r="AN60" s="759"/>
      <c r="AO60" s="752"/>
      <c r="AP60" s="753"/>
      <c r="AQ60" s="761"/>
      <c r="AR60" s="761"/>
      <c r="AS60" s="761"/>
      <c r="AT60" s="761"/>
      <c r="AU60" s="761"/>
      <c r="AV60" s="761"/>
      <c r="AW60" s="761"/>
      <c r="AX60" s="761"/>
      <c r="AY60" s="764"/>
      <c r="AZ60" s="814"/>
      <c r="BA60" s="764"/>
      <c r="BB60" s="764"/>
      <c r="BC60" s="764"/>
      <c r="BD60" s="764"/>
      <c r="BE60" s="764"/>
      <c r="BF60" s="765"/>
      <c r="BG60" s="764"/>
      <c r="BH60" s="764"/>
      <c r="BI60" s="764"/>
      <c r="BJ60" s="764"/>
      <c r="BK60" s="764"/>
      <c r="BL60" s="764"/>
      <c r="BM60" s="765"/>
      <c r="BN60" s="764"/>
      <c r="BO60" s="764"/>
      <c r="BP60" s="764"/>
      <c r="BQ60" s="764"/>
      <c r="BR60" s="764"/>
      <c r="BS60" s="764"/>
      <c r="BT60" s="764"/>
      <c r="BU60" s="764"/>
      <c r="BV60" s="764"/>
      <c r="BW60" s="764"/>
      <c r="BY60" s="1676"/>
      <c r="BZ60" s="1676"/>
      <c r="CA60" s="1677"/>
      <c r="CB60" s="1677"/>
      <c r="CC60" s="1677"/>
      <c r="CD60" s="1677"/>
      <c r="CE60" s="1677"/>
      <c r="CF60" s="1677"/>
      <c r="CG60" s="1677"/>
      <c r="CH60" s="1677"/>
      <c r="CI60" s="1677"/>
      <c r="CJ60" s="1677"/>
      <c r="CK60" s="1678"/>
      <c r="CL60" s="1678"/>
      <c r="CM60" s="1679"/>
      <c r="CN60" s="1679"/>
      <c r="CO60" s="1679"/>
      <c r="CP60" s="1679"/>
      <c r="CQ60" s="1679"/>
      <c r="CR60" s="1679"/>
      <c r="CS60" s="1679"/>
      <c r="CT60" s="1678"/>
      <c r="CU60" s="1678"/>
      <c r="CV60" s="1678"/>
      <c r="CW60" s="1678"/>
      <c r="CX60" s="1678"/>
      <c r="CY60" s="1678"/>
      <c r="CZ60" s="1678"/>
      <c r="DA60" s="1678"/>
      <c r="DB60" s="1678"/>
      <c r="DC60" s="1678"/>
      <c r="DD60" s="1678"/>
      <c r="DE60" s="1678"/>
      <c r="DF60" s="1678"/>
      <c r="DG60" s="1678"/>
      <c r="DH60" s="1678"/>
      <c r="DI60" s="1678"/>
      <c r="DJ60" s="1678"/>
      <c r="DK60" s="1678"/>
      <c r="DT60" s="752"/>
      <c r="DU60" s="753"/>
      <c r="DV60" s="1680"/>
      <c r="DW60" s="1680"/>
      <c r="DX60" s="1680"/>
      <c r="DY60" s="1680"/>
      <c r="DZ60" s="1680"/>
      <c r="EA60" s="1680"/>
      <c r="EB60" s="1680"/>
      <c r="EC60" s="1680"/>
      <c r="ED60" s="1680"/>
      <c r="EE60" s="1680"/>
      <c r="EF60" s="1680"/>
      <c r="EG60" s="1680"/>
      <c r="EH60" s="1680"/>
      <c r="EI60" s="1680"/>
      <c r="EJ60" s="1680"/>
      <c r="EK60" s="1680"/>
      <c r="EL60" s="1680"/>
      <c r="EM60" s="1680"/>
      <c r="EN60" s="1680"/>
      <c r="EO60" s="1680"/>
      <c r="EP60" s="1680"/>
      <c r="EQ60" s="1680"/>
      <c r="ER60" s="1680"/>
      <c r="ES60" s="1680"/>
      <c r="ET60" s="1680"/>
      <c r="EU60" s="1680"/>
      <c r="EV60" s="1680"/>
    </row>
    <row r="61" spans="1:152" ht="35.25" customHeight="1">
      <c r="A61" s="659">
        <v>18</v>
      </c>
      <c r="B61" s="660" t="s">
        <v>496</v>
      </c>
      <c r="C61" s="661">
        <f>D61+I61</f>
        <v>108</v>
      </c>
      <c r="D61" s="661">
        <f>E61+F61</f>
        <v>100</v>
      </c>
      <c r="E61" s="661"/>
      <c r="F61" s="661">
        <v>100</v>
      </c>
      <c r="G61" s="661"/>
      <c r="H61" s="661">
        <v>94</v>
      </c>
      <c r="I61" s="661">
        <v>8</v>
      </c>
      <c r="J61" s="661">
        <v>7</v>
      </c>
      <c r="K61" s="646">
        <f t="shared" si="5"/>
        <v>10918</v>
      </c>
      <c r="L61" s="662">
        <f>U61+AC61+AD61+AE61</f>
        <v>10918</v>
      </c>
      <c r="M61" s="662">
        <v>8128</v>
      </c>
      <c r="N61" s="662">
        <v>1100</v>
      </c>
      <c r="O61" s="662">
        <v>257</v>
      </c>
      <c r="P61" s="692"/>
      <c r="Q61" s="662"/>
      <c r="R61" s="666"/>
      <c r="S61" s="666">
        <v>130</v>
      </c>
      <c r="T61" s="666">
        <f>ROUND((Q61+R61+S61),0)</f>
        <v>130</v>
      </c>
      <c r="U61" s="666">
        <f>(M61+N61+O61+P61)-T61</f>
        <v>9355</v>
      </c>
      <c r="V61" s="662"/>
      <c r="W61" s="662">
        <v>1563</v>
      </c>
      <c r="X61" s="692"/>
      <c r="Y61" s="666"/>
      <c r="Z61" s="666">
        <f>V61*10%</f>
        <v>0</v>
      </c>
      <c r="AA61" s="666"/>
      <c r="AB61" s="666">
        <f>ROUND((Y61+AA61+X61),0)</f>
        <v>0</v>
      </c>
      <c r="AC61" s="666">
        <f>(V61+W61)-AB61</f>
        <v>1563</v>
      </c>
      <c r="AD61" s="692"/>
      <c r="AE61" s="692"/>
      <c r="AF61" s="692"/>
      <c r="AG61" s="692"/>
      <c r="AH61" s="692"/>
      <c r="AI61" s="662"/>
      <c r="AJ61" s="662"/>
      <c r="AK61" s="662"/>
      <c r="AL61" s="669"/>
      <c r="AN61" s="610"/>
      <c r="AO61" s="659">
        <v>21</v>
      </c>
      <c r="AP61" s="660" t="s">
        <v>496</v>
      </c>
      <c r="AQ61" s="661">
        <f>AR61+AW61</f>
        <v>108</v>
      </c>
      <c r="AR61" s="661">
        <f>AS61+AT61</f>
        <v>100</v>
      </c>
      <c r="AS61" s="661"/>
      <c r="AT61" s="661">
        <v>100</v>
      </c>
      <c r="AU61" s="661"/>
      <c r="AV61" s="661">
        <v>89</v>
      </c>
      <c r="AW61" s="661">
        <v>8</v>
      </c>
      <c r="AX61" s="661">
        <v>8</v>
      </c>
      <c r="AY61" s="662">
        <f>BG61+BN61+BO61+BP61</f>
        <v>10810</v>
      </c>
      <c r="AZ61" s="665">
        <v>6989</v>
      </c>
      <c r="BA61" s="662">
        <v>1300</v>
      </c>
      <c r="BB61" s="662">
        <v>112</v>
      </c>
      <c r="BC61" s="692"/>
      <c r="BD61" s="662"/>
      <c r="BE61" s="666">
        <f>(BA61+BB61)*10%</f>
        <v>141.20000000000002</v>
      </c>
      <c r="BF61" s="667">
        <f>ROUND(BE61,0)</f>
        <v>141</v>
      </c>
      <c r="BG61" s="666">
        <f>(AZ61+BA61+BB61+BC61)-BF61</f>
        <v>8260</v>
      </c>
      <c r="BH61" s="662">
        <v>374</v>
      </c>
      <c r="BI61" s="692"/>
      <c r="BJ61" s="662">
        <v>2213</v>
      </c>
      <c r="BK61" s="692"/>
      <c r="BL61" s="666">
        <f>BH61*10%</f>
        <v>37.4</v>
      </c>
      <c r="BM61" s="667">
        <f>ROUND(BL61,0)</f>
        <v>37</v>
      </c>
      <c r="BN61" s="666">
        <f>(BH61+BI61+BJ61)-BM61</f>
        <v>2550</v>
      </c>
      <c r="BO61" s="692"/>
      <c r="BP61" s="692"/>
      <c r="BQ61" s="692">
        <v>471</v>
      </c>
      <c r="BR61" s="692"/>
      <c r="BS61" s="692"/>
      <c r="BT61" s="662"/>
      <c r="BU61" s="662"/>
      <c r="BV61" s="662"/>
      <c r="BW61" s="666"/>
      <c r="CA61" s="1352">
        <v>19</v>
      </c>
      <c r="CB61" s="1352" t="s">
        <v>496</v>
      </c>
      <c r="CC61" s="1352">
        <v>108</v>
      </c>
      <c r="CD61" s="1352">
        <v>100</v>
      </c>
      <c r="CE61" s="1352"/>
      <c r="CF61" s="1352">
        <v>100</v>
      </c>
      <c r="CG61" s="1352"/>
      <c r="CH61" s="1352">
        <v>94</v>
      </c>
      <c r="CI61" s="1352">
        <v>8</v>
      </c>
      <c r="CJ61" s="1352">
        <v>7</v>
      </c>
      <c r="CK61" s="1353">
        <v>10918</v>
      </c>
      <c r="CL61" s="1353">
        <v>8128</v>
      </c>
      <c r="CM61" s="1354">
        <v>1100</v>
      </c>
      <c r="CN61" s="1354">
        <v>257</v>
      </c>
      <c r="CO61" s="1354"/>
      <c r="CP61" s="1354"/>
      <c r="CQ61" s="1354"/>
      <c r="CR61" s="1354">
        <v>130</v>
      </c>
      <c r="CS61" s="1354">
        <v>130</v>
      </c>
      <c r="CT61" s="1353">
        <v>9355</v>
      </c>
      <c r="CU61" s="1353"/>
      <c r="CV61" s="1353">
        <v>1563</v>
      </c>
      <c r="CW61" s="1353"/>
      <c r="CX61" s="1353"/>
      <c r="CY61" s="1353">
        <v>0</v>
      </c>
      <c r="CZ61" s="1353"/>
      <c r="DA61" s="1353">
        <v>0</v>
      </c>
      <c r="DB61" s="1353">
        <v>1563</v>
      </c>
      <c r="DC61" s="1353"/>
      <c r="DD61" s="1353"/>
      <c r="DE61" s="1353"/>
      <c r="DF61" s="1353"/>
      <c r="DG61" s="1353"/>
      <c r="DH61" s="1353"/>
      <c r="DI61" s="1353"/>
      <c r="DJ61" s="1353"/>
      <c r="DK61" s="1353"/>
      <c r="DT61" s="659">
        <v>19</v>
      </c>
      <c r="DU61" s="660" t="s">
        <v>496</v>
      </c>
      <c r="DV61" s="777">
        <f t="shared" si="89"/>
        <v>0</v>
      </c>
      <c r="DW61" s="777">
        <f t="shared" si="89"/>
        <v>0</v>
      </c>
      <c r="DX61" s="777">
        <f t="shared" si="89"/>
        <v>0</v>
      </c>
      <c r="DY61" s="777">
        <f t="shared" si="89"/>
        <v>0</v>
      </c>
      <c r="DZ61" s="777">
        <f t="shared" si="89"/>
        <v>0</v>
      </c>
      <c r="EA61" s="777">
        <f t="shared" si="89"/>
        <v>0</v>
      </c>
      <c r="EB61" s="777">
        <f t="shared" si="89"/>
        <v>0</v>
      </c>
      <c r="EC61" s="777">
        <f t="shared" si="89"/>
        <v>0</v>
      </c>
      <c r="ED61" s="777">
        <f t="shared" si="89"/>
        <v>0</v>
      </c>
      <c r="EE61" s="777">
        <f t="shared" si="89"/>
        <v>0</v>
      </c>
      <c r="EF61" s="777">
        <f t="shared" si="89"/>
        <v>0</v>
      </c>
      <c r="EG61" s="777">
        <f t="shared" si="89"/>
        <v>0</v>
      </c>
      <c r="EH61" s="777">
        <f t="shared" si="89"/>
        <v>0</v>
      </c>
      <c r="EI61" s="777">
        <f t="shared" si="89"/>
        <v>0</v>
      </c>
      <c r="EJ61" s="777">
        <f t="shared" si="89"/>
        <v>0</v>
      </c>
      <c r="EK61" s="777">
        <f t="shared" si="89"/>
        <v>0</v>
      </c>
      <c r="EL61" s="777">
        <f t="shared" si="90"/>
        <v>0</v>
      </c>
      <c r="EM61" s="777">
        <f t="shared" si="90"/>
        <v>0</v>
      </c>
      <c r="EN61" s="777">
        <f t="shared" si="90"/>
        <v>0</v>
      </c>
      <c r="EO61" s="777">
        <f t="shared" si="90"/>
        <v>0</v>
      </c>
      <c r="EP61" s="777">
        <f t="shared" si="90"/>
        <v>0</v>
      </c>
      <c r="EQ61" s="777">
        <f t="shared" si="90"/>
        <v>0</v>
      </c>
      <c r="ER61" s="777">
        <f t="shared" si="90"/>
        <v>0</v>
      </c>
      <c r="ES61" s="777">
        <f t="shared" si="90"/>
        <v>0</v>
      </c>
      <c r="ET61" s="777">
        <f t="shared" si="90"/>
        <v>0</v>
      </c>
      <c r="EU61" s="777">
        <f t="shared" si="90"/>
        <v>0</v>
      </c>
      <c r="EV61" s="777">
        <f t="shared" si="90"/>
        <v>0</v>
      </c>
    </row>
    <row r="62" spans="1:152" ht="25.5" customHeight="1">
      <c r="A62" s="1429" t="s">
        <v>463</v>
      </c>
      <c r="B62" s="651" t="s">
        <v>497</v>
      </c>
      <c r="C62" s="1430">
        <f t="shared" ref="C62:J62" si="91">SUM(C63:C74)</f>
        <v>182</v>
      </c>
      <c r="D62" s="1430">
        <f t="shared" si="91"/>
        <v>165</v>
      </c>
      <c r="E62" s="1430">
        <f t="shared" si="91"/>
        <v>0</v>
      </c>
      <c r="F62" s="1430">
        <f t="shared" si="91"/>
        <v>165</v>
      </c>
      <c r="G62" s="1430">
        <f t="shared" si="91"/>
        <v>0</v>
      </c>
      <c r="H62" s="1430">
        <f t="shared" si="91"/>
        <v>155</v>
      </c>
      <c r="I62" s="1430">
        <f t="shared" si="91"/>
        <v>17</v>
      </c>
      <c r="J62" s="1430">
        <f t="shared" si="91"/>
        <v>17</v>
      </c>
      <c r="K62" s="1548">
        <f t="shared" si="5"/>
        <v>54234</v>
      </c>
      <c r="L62" s="820">
        <f>SUM(L63:L74)</f>
        <v>92762</v>
      </c>
      <c r="M62" s="653">
        <f t="shared" ref="M62:AL62" si="92">SUM(M63:M74)</f>
        <v>15145</v>
      </c>
      <c r="N62" s="653">
        <f t="shared" si="92"/>
        <v>1934</v>
      </c>
      <c r="O62" s="653">
        <f t="shared" si="92"/>
        <v>272</v>
      </c>
      <c r="P62" s="653">
        <f t="shared" si="92"/>
        <v>0</v>
      </c>
      <c r="Q62" s="653">
        <f t="shared" si="92"/>
        <v>0</v>
      </c>
      <c r="R62" s="653">
        <f t="shared" si="92"/>
        <v>0</v>
      </c>
      <c r="S62" s="653">
        <f t="shared" si="92"/>
        <v>292</v>
      </c>
      <c r="T62" s="653">
        <f t="shared" si="92"/>
        <v>292</v>
      </c>
      <c r="U62" s="653">
        <f t="shared" si="92"/>
        <v>17059</v>
      </c>
      <c r="V62" s="653">
        <f t="shared" si="92"/>
        <v>37263</v>
      </c>
      <c r="W62" s="653">
        <f t="shared" si="92"/>
        <v>486</v>
      </c>
      <c r="X62" s="653">
        <f t="shared" si="92"/>
        <v>0</v>
      </c>
      <c r="Y62" s="653">
        <f t="shared" si="92"/>
        <v>55.900000000000013</v>
      </c>
      <c r="Z62" s="653">
        <f t="shared" si="92"/>
        <v>440.90000000000003</v>
      </c>
      <c r="AA62" s="653">
        <f t="shared" si="92"/>
        <v>518</v>
      </c>
      <c r="AB62" s="653">
        <f t="shared" si="92"/>
        <v>574</v>
      </c>
      <c r="AC62" s="653">
        <f t="shared" si="92"/>
        <v>37175</v>
      </c>
      <c r="AD62" s="653">
        <f>SUM(AD63:AD74)</f>
        <v>38528</v>
      </c>
      <c r="AE62" s="653">
        <f t="shared" si="92"/>
        <v>0</v>
      </c>
      <c r="AF62" s="653">
        <f t="shared" si="92"/>
        <v>0</v>
      </c>
      <c r="AG62" s="653">
        <f t="shared" si="92"/>
        <v>0</v>
      </c>
      <c r="AH62" s="653">
        <f>SUM(AH63:AH74)</f>
        <v>0</v>
      </c>
      <c r="AI62" s="653">
        <f t="shared" si="92"/>
        <v>0</v>
      </c>
      <c r="AJ62" s="653">
        <f t="shared" si="92"/>
        <v>2339</v>
      </c>
      <c r="AK62" s="653">
        <f t="shared" si="92"/>
        <v>957</v>
      </c>
      <c r="AL62" s="656">
        <f t="shared" si="92"/>
        <v>0</v>
      </c>
      <c r="AM62" s="657">
        <f>SUM(AM63:AM72)</f>
        <v>0</v>
      </c>
      <c r="AN62" s="610"/>
      <c r="AO62" s="1323" t="s">
        <v>463</v>
      </c>
      <c r="AP62" s="651" t="s">
        <v>497</v>
      </c>
      <c r="AQ62" s="1320">
        <f>SUM(AQ63:AQ74)</f>
        <v>274</v>
      </c>
      <c r="AR62" s="1320">
        <f t="shared" ref="AR62:BW62" si="93">SUM(AR63:AR74)</f>
        <v>251</v>
      </c>
      <c r="AS62" s="1320">
        <f t="shared" si="93"/>
        <v>0</v>
      </c>
      <c r="AT62" s="1320">
        <f t="shared" si="93"/>
        <v>251</v>
      </c>
      <c r="AU62" s="1320">
        <f t="shared" si="93"/>
        <v>0</v>
      </c>
      <c r="AV62" s="1320">
        <f t="shared" si="93"/>
        <v>239</v>
      </c>
      <c r="AW62" s="1320">
        <f t="shared" si="93"/>
        <v>23</v>
      </c>
      <c r="AX62" s="1320">
        <f t="shared" si="93"/>
        <v>22</v>
      </c>
      <c r="AY62" s="653">
        <f>SUM(AY63:AY74)</f>
        <v>100369</v>
      </c>
      <c r="AZ62" s="658">
        <f t="shared" si="93"/>
        <v>17359</v>
      </c>
      <c r="BA62" s="653">
        <f t="shared" si="93"/>
        <v>2687</v>
      </c>
      <c r="BB62" s="653">
        <f t="shared" si="93"/>
        <v>512</v>
      </c>
      <c r="BC62" s="653">
        <f t="shared" si="93"/>
        <v>0</v>
      </c>
      <c r="BD62" s="653">
        <f t="shared" si="93"/>
        <v>0</v>
      </c>
      <c r="BE62" s="653">
        <f t="shared" si="93"/>
        <v>308.90000000000003</v>
      </c>
      <c r="BF62" s="655">
        <f t="shared" si="93"/>
        <v>309</v>
      </c>
      <c r="BG62" s="653">
        <f t="shared" si="93"/>
        <v>20249</v>
      </c>
      <c r="BH62" s="653">
        <f t="shared" si="93"/>
        <v>35549</v>
      </c>
      <c r="BI62" s="653">
        <f t="shared" si="93"/>
        <v>0</v>
      </c>
      <c r="BJ62" s="653">
        <f t="shared" si="93"/>
        <v>1135</v>
      </c>
      <c r="BK62" s="653">
        <f t="shared" si="93"/>
        <v>0</v>
      </c>
      <c r="BL62" s="653">
        <f t="shared" si="93"/>
        <v>419.9</v>
      </c>
      <c r="BM62" s="655">
        <f t="shared" si="93"/>
        <v>420</v>
      </c>
      <c r="BN62" s="653">
        <f t="shared" si="93"/>
        <v>36264</v>
      </c>
      <c r="BO62" s="653">
        <f t="shared" si="93"/>
        <v>43856</v>
      </c>
      <c r="BP62" s="653">
        <f t="shared" si="93"/>
        <v>0</v>
      </c>
      <c r="BQ62" s="653">
        <f t="shared" si="93"/>
        <v>320165</v>
      </c>
      <c r="BR62" s="653">
        <f t="shared" si="93"/>
        <v>0</v>
      </c>
      <c r="BS62" s="653">
        <f>SUM(BS63:BS74)</f>
        <v>0</v>
      </c>
      <c r="BT62" s="653">
        <f t="shared" si="93"/>
        <v>0</v>
      </c>
      <c r="BU62" s="653">
        <f t="shared" si="93"/>
        <v>0</v>
      </c>
      <c r="BV62" s="653">
        <f t="shared" si="93"/>
        <v>0</v>
      </c>
      <c r="BW62" s="653">
        <f t="shared" si="93"/>
        <v>0</v>
      </c>
      <c r="CA62" s="1352" t="s">
        <v>463</v>
      </c>
      <c r="CB62" s="1352" t="s">
        <v>497</v>
      </c>
      <c r="CC62" s="1352">
        <v>199</v>
      </c>
      <c r="CD62" s="1352">
        <v>182</v>
      </c>
      <c r="CE62" s="1352">
        <v>0</v>
      </c>
      <c r="CF62" s="1352">
        <v>182</v>
      </c>
      <c r="CG62" s="1352">
        <v>0</v>
      </c>
      <c r="CH62" s="1352">
        <v>168</v>
      </c>
      <c r="CI62" s="1352">
        <v>17</v>
      </c>
      <c r="CJ62" s="1352">
        <v>17</v>
      </c>
      <c r="CK62" s="1353">
        <v>61279</v>
      </c>
      <c r="CL62" s="1353">
        <v>16304</v>
      </c>
      <c r="CM62" s="1354">
        <v>2337</v>
      </c>
      <c r="CN62" s="1354">
        <v>272</v>
      </c>
      <c r="CO62" s="1354">
        <v>0</v>
      </c>
      <c r="CP62" s="1354">
        <v>0</v>
      </c>
      <c r="CQ62" s="1354">
        <v>3.8000000000000003</v>
      </c>
      <c r="CR62" s="1354">
        <v>292</v>
      </c>
      <c r="CS62" s="1354">
        <v>296</v>
      </c>
      <c r="CT62" s="1353">
        <v>18617</v>
      </c>
      <c r="CU62" s="1353">
        <v>38507</v>
      </c>
      <c r="CV62" s="1353">
        <v>486</v>
      </c>
      <c r="CW62" s="1353">
        <v>0</v>
      </c>
      <c r="CX62" s="1353">
        <v>55.900000000000013</v>
      </c>
      <c r="CY62" s="1353">
        <v>440.90000000000003</v>
      </c>
      <c r="CZ62" s="1353">
        <v>518</v>
      </c>
      <c r="DA62" s="1353">
        <v>574</v>
      </c>
      <c r="DB62" s="1353">
        <v>38419</v>
      </c>
      <c r="DC62" s="1353">
        <v>4243</v>
      </c>
      <c r="DD62" s="1353">
        <v>0</v>
      </c>
      <c r="DE62" s="1353">
        <v>0</v>
      </c>
      <c r="DF62" s="1353">
        <v>0</v>
      </c>
      <c r="DG62" s="1353">
        <v>0</v>
      </c>
      <c r="DH62" s="1353">
        <v>0</v>
      </c>
      <c r="DI62" s="1353">
        <v>0</v>
      </c>
      <c r="DJ62" s="1353">
        <v>0</v>
      </c>
      <c r="DK62" s="1353">
        <v>0</v>
      </c>
      <c r="DT62" s="1323" t="s">
        <v>463</v>
      </c>
      <c r="DU62" s="651" t="s">
        <v>497</v>
      </c>
      <c r="DV62" s="1363">
        <f>SUM(DV63:DV74)</f>
        <v>31483</v>
      </c>
      <c r="DW62" s="1363">
        <f t="shared" ref="DW62:EV62" si="94">SUM(DW63:DW74)</f>
        <v>-1159</v>
      </c>
      <c r="DX62" s="1363">
        <f t="shared" si="94"/>
        <v>-403</v>
      </c>
      <c r="DY62" s="1363">
        <f t="shared" si="94"/>
        <v>0</v>
      </c>
      <c r="DZ62" s="1363">
        <f t="shared" si="94"/>
        <v>0</v>
      </c>
      <c r="EA62" s="1363">
        <f t="shared" si="94"/>
        <v>0</v>
      </c>
      <c r="EB62" s="1363">
        <f t="shared" si="94"/>
        <v>-3.8000000000000003</v>
      </c>
      <c r="EC62" s="1363">
        <f t="shared" si="94"/>
        <v>0</v>
      </c>
      <c r="ED62" s="1363">
        <f t="shared" si="94"/>
        <v>-4</v>
      </c>
      <c r="EE62" s="1363">
        <f t="shared" si="94"/>
        <v>-1558</v>
      </c>
      <c r="EF62" s="1363">
        <f t="shared" si="94"/>
        <v>-1244</v>
      </c>
      <c r="EG62" s="1363">
        <f t="shared" si="94"/>
        <v>0</v>
      </c>
      <c r="EH62" s="1363">
        <f t="shared" si="94"/>
        <v>0</v>
      </c>
      <c r="EI62" s="1363">
        <f t="shared" si="94"/>
        <v>0</v>
      </c>
      <c r="EJ62" s="1363">
        <f t="shared" si="94"/>
        <v>0</v>
      </c>
      <c r="EK62" s="1363">
        <f t="shared" si="94"/>
        <v>0</v>
      </c>
      <c r="EL62" s="1363">
        <f t="shared" si="94"/>
        <v>0</v>
      </c>
      <c r="EM62" s="1363">
        <f t="shared" si="94"/>
        <v>-1244</v>
      </c>
      <c r="EN62" s="1363">
        <f t="shared" si="94"/>
        <v>34285</v>
      </c>
      <c r="EO62" s="1363">
        <f t="shared" si="94"/>
        <v>0</v>
      </c>
      <c r="EP62" s="1363">
        <f t="shared" si="94"/>
        <v>0</v>
      </c>
      <c r="EQ62" s="1363">
        <f t="shared" si="94"/>
        <v>0</v>
      </c>
      <c r="ER62" s="1363">
        <f t="shared" si="94"/>
        <v>0</v>
      </c>
      <c r="ES62" s="1363">
        <f t="shared" si="94"/>
        <v>0</v>
      </c>
      <c r="ET62" s="1363">
        <f t="shared" si="94"/>
        <v>2339</v>
      </c>
      <c r="EU62" s="1363">
        <f t="shared" si="94"/>
        <v>957</v>
      </c>
      <c r="EV62" s="1363">
        <f t="shared" si="94"/>
        <v>0</v>
      </c>
    </row>
    <row r="63" spans="1:152" ht="29.25" customHeight="1">
      <c r="A63" s="659">
        <v>19</v>
      </c>
      <c r="B63" s="660" t="s">
        <v>498</v>
      </c>
      <c r="C63" s="661">
        <f t="shared" ref="C63:C70" si="95">D63+I63</f>
        <v>0</v>
      </c>
      <c r="D63" s="661">
        <f t="shared" ref="D63:D70" si="96">E63+F63</f>
        <v>0</v>
      </c>
      <c r="E63" s="661"/>
      <c r="F63" s="661"/>
      <c r="G63" s="661"/>
      <c r="H63" s="661"/>
      <c r="I63" s="661"/>
      <c r="J63" s="661"/>
      <c r="K63" s="646">
        <f t="shared" si="5"/>
        <v>18393</v>
      </c>
      <c r="L63" s="662">
        <f t="shared" ref="L63:L73" si="97">U63+AC63+AD63+AE63</f>
        <v>18393</v>
      </c>
      <c r="M63" s="662"/>
      <c r="N63" s="662"/>
      <c r="O63" s="662"/>
      <c r="P63" s="662"/>
      <c r="Q63" s="662"/>
      <c r="R63" s="666">
        <f>((N63+O63)-(BA63+BB63))*10%</f>
        <v>0</v>
      </c>
      <c r="S63" s="666"/>
      <c r="T63" s="666">
        <f t="shared" ref="T63:T77" si="98">ROUND((Q63+R63+S63),0)</f>
        <v>0</v>
      </c>
      <c r="U63" s="666">
        <f t="shared" ref="U63:U77" si="99">(M63+N63+O63+P63)-T63</f>
        <v>0</v>
      </c>
      <c r="V63" s="662">
        <v>18393</v>
      </c>
      <c r="W63" s="662"/>
      <c r="X63" s="662"/>
      <c r="Y63" s="666">
        <f>Z63-BM63</f>
        <v>0</v>
      </c>
      <c r="Z63" s="666">
        <f>(V63-18393)*10%</f>
        <v>0</v>
      </c>
      <c r="AA63" s="666"/>
      <c r="AB63" s="666">
        <f t="shared" ref="AB63:AB77" si="100">ROUND((Y63+AA63+X63),0)</f>
        <v>0</v>
      </c>
      <c r="AC63" s="666">
        <f t="shared" ref="AC63:AC79" si="101">(V63+W63)-AB63</f>
        <v>18393</v>
      </c>
      <c r="AD63" s="662"/>
      <c r="AE63" s="662"/>
      <c r="AF63" s="662"/>
      <c r="AG63" s="662"/>
      <c r="AH63" s="662"/>
      <c r="AI63" s="662"/>
      <c r="AJ63" s="662"/>
      <c r="AK63" s="662">
        <v>732</v>
      </c>
      <c r="AL63" s="669"/>
      <c r="AN63" s="610"/>
      <c r="AO63" s="659">
        <v>22</v>
      </c>
      <c r="AP63" s="660" t="s">
        <v>498</v>
      </c>
      <c r="AQ63" s="661">
        <f t="shared" ref="AQ63:AQ70" si="102">AR63+AW63</f>
        <v>0</v>
      </c>
      <c r="AR63" s="661">
        <f t="shared" ref="AR63:AR70" si="103">AS63+AT63</f>
        <v>0</v>
      </c>
      <c r="AS63" s="661"/>
      <c r="AT63" s="661"/>
      <c r="AU63" s="661"/>
      <c r="AV63" s="661"/>
      <c r="AW63" s="661"/>
      <c r="AX63" s="661"/>
      <c r="AY63" s="662">
        <f t="shared" ref="AY63:AY73" si="104">BG63+BN63+BO63+BP63</f>
        <v>11807</v>
      </c>
      <c r="AZ63" s="665"/>
      <c r="BA63" s="662"/>
      <c r="BB63" s="662"/>
      <c r="BC63" s="662"/>
      <c r="BD63" s="662"/>
      <c r="BE63" s="666">
        <f t="shared" ref="BE63:BE72" si="105">(BA63+BB63)*10%</f>
        <v>0</v>
      </c>
      <c r="BF63" s="667">
        <f t="shared" ref="BF63:BF73" si="106">ROUND(BE63,0)</f>
        <v>0</v>
      </c>
      <c r="BG63" s="666">
        <f t="shared" ref="BG63:BG77" si="107">(AZ63+BA63+BB63+BC63)-BF63</f>
        <v>0</v>
      </c>
      <c r="BH63" s="662">
        <f>8867+3542-602</f>
        <v>11807</v>
      </c>
      <c r="BI63" s="662"/>
      <c r="BJ63" s="662"/>
      <c r="BK63" s="662"/>
      <c r="BL63" s="666">
        <f>(BH63-11807)*10%</f>
        <v>0</v>
      </c>
      <c r="BM63" s="667">
        <f t="shared" ref="BM63:BM77" si="108">ROUND(BL63,0)</f>
        <v>0</v>
      </c>
      <c r="BN63" s="666">
        <f t="shared" ref="BN63:BN77" si="109">(BH63+BI63+BJ63)-BM63</f>
        <v>11807</v>
      </c>
      <c r="BO63" s="662"/>
      <c r="BP63" s="662"/>
      <c r="BQ63" s="662">
        <v>308933</v>
      </c>
      <c r="BR63" s="662"/>
      <c r="BS63" s="662"/>
      <c r="BT63" s="662"/>
      <c r="BU63" s="662"/>
      <c r="BV63" s="662"/>
      <c r="BW63" s="666"/>
      <c r="CA63" s="1352">
        <v>20</v>
      </c>
      <c r="CB63" s="1352" t="s">
        <v>498</v>
      </c>
      <c r="CC63" s="1352">
        <v>0</v>
      </c>
      <c r="CD63" s="1352">
        <v>0</v>
      </c>
      <c r="CE63" s="1352"/>
      <c r="CF63" s="1352"/>
      <c r="CG63" s="1352"/>
      <c r="CH63" s="1352"/>
      <c r="CI63" s="1352"/>
      <c r="CJ63" s="1352"/>
      <c r="CK63" s="1353">
        <v>19637</v>
      </c>
      <c r="CL63" s="1353"/>
      <c r="CM63" s="1354"/>
      <c r="CN63" s="1354"/>
      <c r="CO63" s="1354"/>
      <c r="CP63" s="1354"/>
      <c r="CQ63" s="1354">
        <v>0</v>
      </c>
      <c r="CR63" s="1354"/>
      <c r="CS63" s="1354">
        <v>0</v>
      </c>
      <c r="CT63" s="1353">
        <v>0</v>
      </c>
      <c r="CU63" s="1353">
        <v>19637</v>
      </c>
      <c r="CV63" s="1353"/>
      <c r="CW63" s="1353"/>
      <c r="CX63" s="1353">
        <v>0</v>
      </c>
      <c r="CY63" s="1353">
        <v>0</v>
      </c>
      <c r="CZ63" s="1353"/>
      <c r="DA63" s="1353">
        <v>0</v>
      </c>
      <c r="DB63" s="1353">
        <v>19637</v>
      </c>
      <c r="DC63" s="1353"/>
      <c r="DD63" s="1353"/>
      <c r="DE63" s="1353"/>
      <c r="DF63" s="1353"/>
      <c r="DG63" s="1353"/>
      <c r="DH63" s="1353"/>
      <c r="DI63" s="1353"/>
      <c r="DJ63" s="1353"/>
      <c r="DK63" s="1353"/>
      <c r="DT63" s="659">
        <v>20</v>
      </c>
      <c r="DU63" s="660" t="s">
        <v>498</v>
      </c>
      <c r="DV63" s="777">
        <f t="shared" ref="DV63:EK77" si="110">L63-CK63</f>
        <v>-1244</v>
      </c>
      <c r="DW63" s="777">
        <f t="shared" si="110"/>
        <v>0</v>
      </c>
      <c r="DX63" s="777">
        <f t="shared" si="110"/>
        <v>0</v>
      </c>
      <c r="DY63" s="777">
        <f t="shared" si="110"/>
        <v>0</v>
      </c>
      <c r="DZ63" s="777">
        <f t="shared" si="110"/>
        <v>0</v>
      </c>
      <c r="EA63" s="777">
        <f t="shared" si="110"/>
        <v>0</v>
      </c>
      <c r="EB63" s="777">
        <f t="shared" si="110"/>
        <v>0</v>
      </c>
      <c r="EC63" s="777">
        <f t="shared" si="110"/>
        <v>0</v>
      </c>
      <c r="ED63" s="777">
        <f t="shared" si="110"/>
        <v>0</v>
      </c>
      <c r="EE63" s="777">
        <f t="shared" si="110"/>
        <v>0</v>
      </c>
      <c r="EF63" s="777">
        <f t="shared" si="110"/>
        <v>-1244</v>
      </c>
      <c r="EG63" s="777">
        <f t="shared" si="110"/>
        <v>0</v>
      </c>
      <c r="EH63" s="777">
        <f t="shared" si="110"/>
        <v>0</v>
      </c>
      <c r="EI63" s="777">
        <f t="shared" si="110"/>
        <v>0</v>
      </c>
      <c r="EJ63" s="777">
        <f t="shared" si="110"/>
        <v>0</v>
      </c>
      <c r="EK63" s="777">
        <f t="shared" si="110"/>
        <v>0</v>
      </c>
      <c r="EL63" s="777">
        <f t="shared" ref="EL63:EV77" si="111">AB63-DA63</f>
        <v>0</v>
      </c>
      <c r="EM63" s="777">
        <f t="shared" si="111"/>
        <v>-1244</v>
      </c>
      <c r="EN63" s="777">
        <f t="shared" si="111"/>
        <v>0</v>
      </c>
      <c r="EO63" s="777">
        <f t="shared" si="111"/>
        <v>0</v>
      </c>
      <c r="EP63" s="777">
        <f t="shared" si="111"/>
        <v>0</v>
      </c>
      <c r="EQ63" s="777">
        <f t="shared" si="111"/>
        <v>0</v>
      </c>
      <c r="ER63" s="777">
        <f t="shared" si="111"/>
        <v>0</v>
      </c>
      <c r="ES63" s="777">
        <f t="shared" si="111"/>
        <v>0</v>
      </c>
      <c r="ET63" s="777">
        <f t="shared" si="111"/>
        <v>0</v>
      </c>
      <c r="EU63" s="777">
        <f t="shared" si="111"/>
        <v>732</v>
      </c>
      <c r="EV63" s="777">
        <f t="shared" si="111"/>
        <v>0</v>
      </c>
    </row>
    <row r="64" spans="1:152" ht="27.75" customHeight="1">
      <c r="A64" s="659">
        <v>20</v>
      </c>
      <c r="B64" s="660" t="s">
        <v>499</v>
      </c>
      <c r="C64" s="661">
        <f t="shared" si="95"/>
        <v>49</v>
      </c>
      <c r="D64" s="661">
        <f t="shared" si="96"/>
        <v>46</v>
      </c>
      <c r="E64" s="661"/>
      <c r="F64" s="661">
        <v>46</v>
      </c>
      <c r="G64" s="661"/>
      <c r="H64" s="661">
        <v>44</v>
      </c>
      <c r="I64" s="661">
        <v>3</v>
      </c>
      <c r="J64" s="661">
        <v>3</v>
      </c>
      <c r="K64" s="646">
        <f t="shared" si="5"/>
        <v>7854</v>
      </c>
      <c r="L64" s="662">
        <f t="shared" si="97"/>
        <v>8027</v>
      </c>
      <c r="M64" s="666">
        <v>5211</v>
      </c>
      <c r="N64" s="666">
        <v>900</v>
      </c>
      <c r="O64" s="666">
        <v>135</v>
      </c>
      <c r="P64" s="666"/>
      <c r="Q64" s="666"/>
      <c r="R64" s="666"/>
      <c r="S64" s="666">
        <v>122</v>
      </c>
      <c r="T64" s="666">
        <f t="shared" si="98"/>
        <v>122</v>
      </c>
      <c r="U64" s="666">
        <f t="shared" si="99"/>
        <v>6124</v>
      </c>
      <c r="V64" s="666">
        <v>1500</v>
      </c>
      <c r="W64" s="666">
        <v>486</v>
      </c>
      <c r="X64" s="666"/>
      <c r="Y64" s="666">
        <f>Z64-BM64</f>
        <v>21</v>
      </c>
      <c r="Z64" s="666">
        <f t="shared" ref="Z64:Z77" si="112">V64*10%</f>
        <v>150</v>
      </c>
      <c r="AA64" s="666">
        <v>235</v>
      </c>
      <c r="AB64" s="666">
        <f t="shared" si="100"/>
        <v>256</v>
      </c>
      <c r="AC64" s="666">
        <f t="shared" si="101"/>
        <v>1730</v>
      </c>
      <c r="AD64" s="666">
        <v>173</v>
      </c>
      <c r="AE64" s="666"/>
      <c r="AF64" s="666"/>
      <c r="AG64" s="666"/>
      <c r="AH64" s="666"/>
      <c r="AI64" s="666"/>
      <c r="AJ64" s="666"/>
      <c r="AK64" s="666"/>
      <c r="AL64" s="669"/>
      <c r="AN64" s="610"/>
      <c r="AO64" s="659">
        <v>23</v>
      </c>
      <c r="AP64" s="660" t="s">
        <v>499</v>
      </c>
      <c r="AQ64" s="661">
        <f t="shared" si="102"/>
        <v>58</v>
      </c>
      <c r="AR64" s="661">
        <f t="shared" si="103"/>
        <v>54</v>
      </c>
      <c r="AS64" s="661"/>
      <c r="AT64" s="661">
        <v>54</v>
      </c>
      <c r="AU64" s="661"/>
      <c r="AV64" s="661">
        <v>48</v>
      </c>
      <c r="AW64" s="661">
        <v>4</v>
      </c>
      <c r="AX64" s="661">
        <v>3</v>
      </c>
      <c r="AY64" s="666">
        <f t="shared" si="104"/>
        <v>17281</v>
      </c>
      <c r="AZ64" s="670">
        <v>5356</v>
      </c>
      <c r="BA64" s="666">
        <v>1000</v>
      </c>
      <c r="BB64" s="666">
        <v>215</v>
      </c>
      <c r="BC64" s="666"/>
      <c r="BD64" s="666"/>
      <c r="BE64" s="666">
        <f t="shared" si="105"/>
        <v>121.5</v>
      </c>
      <c r="BF64" s="667">
        <f t="shared" si="106"/>
        <v>122</v>
      </c>
      <c r="BG64" s="666">
        <f t="shared" si="107"/>
        <v>6449</v>
      </c>
      <c r="BH64" s="666">
        <v>10099</v>
      </c>
      <c r="BI64" s="666"/>
      <c r="BJ64" s="666">
        <v>520</v>
      </c>
      <c r="BK64" s="666"/>
      <c r="BL64" s="666">
        <f>(BH64-8805)*10%</f>
        <v>129.4</v>
      </c>
      <c r="BM64" s="667">
        <f t="shared" si="108"/>
        <v>129</v>
      </c>
      <c r="BN64" s="666">
        <f t="shared" si="109"/>
        <v>10490</v>
      </c>
      <c r="BO64" s="666">
        <v>342</v>
      </c>
      <c r="BP64" s="666"/>
      <c r="BQ64" s="666"/>
      <c r="BR64" s="666"/>
      <c r="BS64" s="666"/>
      <c r="BT64" s="666"/>
      <c r="BU64" s="666"/>
      <c r="BV64" s="666"/>
      <c r="BW64" s="666"/>
      <c r="CA64" s="1352">
        <v>21</v>
      </c>
      <c r="CB64" s="1352" t="s">
        <v>499</v>
      </c>
      <c r="CC64" s="1352">
        <v>49</v>
      </c>
      <c r="CD64" s="1352">
        <v>46</v>
      </c>
      <c r="CE64" s="1352"/>
      <c r="CF64" s="1352">
        <v>46</v>
      </c>
      <c r="CG64" s="1352"/>
      <c r="CH64" s="1352">
        <v>44</v>
      </c>
      <c r="CI64" s="1352">
        <v>3</v>
      </c>
      <c r="CJ64" s="1352">
        <v>3</v>
      </c>
      <c r="CK64" s="1353">
        <v>8027</v>
      </c>
      <c r="CL64" s="1353">
        <v>5211</v>
      </c>
      <c r="CM64" s="1354">
        <v>900</v>
      </c>
      <c r="CN64" s="1354">
        <v>135</v>
      </c>
      <c r="CO64" s="1354"/>
      <c r="CP64" s="1354"/>
      <c r="CQ64" s="1354"/>
      <c r="CR64" s="1354">
        <v>122</v>
      </c>
      <c r="CS64" s="1354">
        <v>122</v>
      </c>
      <c r="CT64" s="1353">
        <v>6124</v>
      </c>
      <c r="CU64" s="1353">
        <v>1500</v>
      </c>
      <c r="CV64" s="1353">
        <v>486</v>
      </c>
      <c r="CW64" s="1353"/>
      <c r="CX64" s="1353">
        <v>21</v>
      </c>
      <c r="CY64" s="1353">
        <v>150</v>
      </c>
      <c r="CZ64" s="1353">
        <v>235</v>
      </c>
      <c r="DA64" s="1353">
        <v>256</v>
      </c>
      <c r="DB64" s="1353">
        <v>1730</v>
      </c>
      <c r="DC64" s="1353">
        <v>173</v>
      </c>
      <c r="DD64" s="1353"/>
      <c r="DE64" s="1353"/>
      <c r="DF64" s="1353"/>
      <c r="DG64" s="1353"/>
      <c r="DH64" s="1353"/>
      <c r="DI64" s="1353"/>
      <c r="DJ64" s="1353"/>
      <c r="DK64" s="1353"/>
      <c r="DT64" s="659">
        <v>21</v>
      </c>
      <c r="DU64" s="660" t="s">
        <v>499</v>
      </c>
      <c r="DV64" s="777">
        <f t="shared" si="110"/>
        <v>0</v>
      </c>
      <c r="DW64" s="777">
        <f t="shared" si="110"/>
        <v>0</v>
      </c>
      <c r="DX64" s="777">
        <f t="shared" si="110"/>
        <v>0</v>
      </c>
      <c r="DY64" s="777">
        <f t="shared" si="110"/>
        <v>0</v>
      </c>
      <c r="DZ64" s="777">
        <f t="shared" si="110"/>
        <v>0</v>
      </c>
      <c r="EA64" s="777">
        <f t="shared" si="110"/>
        <v>0</v>
      </c>
      <c r="EB64" s="777">
        <f t="shared" si="110"/>
        <v>0</v>
      </c>
      <c r="EC64" s="777">
        <f t="shared" si="110"/>
        <v>0</v>
      </c>
      <c r="ED64" s="777">
        <f t="shared" si="110"/>
        <v>0</v>
      </c>
      <c r="EE64" s="777">
        <f t="shared" si="110"/>
        <v>0</v>
      </c>
      <c r="EF64" s="777">
        <f t="shared" si="110"/>
        <v>0</v>
      </c>
      <c r="EG64" s="777">
        <f t="shared" si="110"/>
        <v>0</v>
      </c>
      <c r="EH64" s="777">
        <f t="shared" si="110"/>
        <v>0</v>
      </c>
      <c r="EI64" s="777">
        <f t="shared" si="110"/>
        <v>0</v>
      </c>
      <c r="EJ64" s="777">
        <f t="shared" si="110"/>
        <v>0</v>
      </c>
      <c r="EK64" s="777">
        <f t="shared" si="110"/>
        <v>0</v>
      </c>
      <c r="EL64" s="777">
        <f t="shared" si="111"/>
        <v>0</v>
      </c>
      <c r="EM64" s="777">
        <f t="shared" si="111"/>
        <v>0</v>
      </c>
      <c r="EN64" s="777">
        <f t="shared" si="111"/>
        <v>0</v>
      </c>
      <c r="EO64" s="777">
        <f t="shared" si="111"/>
        <v>0</v>
      </c>
      <c r="EP64" s="777">
        <f t="shared" si="111"/>
        <v>0</v>
      </c>
      <c r="EQ64" s="777">
        <f t="shared" si="111"/>
        <v>0</v>
      </c>
      <c r="ER64" s="777">
        <f t="shared" si="111"/>
        <v>0</v>
      </c>
      <c r="ES64" s="777">
        <f t="shared" si="111"/>
        <v>0</v>
      </c>
      <c r="ET64" s="777">
        <f t="shared" si="111"/>
        <v>0</v>
      </c>
      <c r="EU64" s="777">
        <f t="shared" si="111"/>
        <v>0</v>
      </c>
      <c r="EV64" s="777">
        <f t="shared" si="111"/>
        <v>0</v>
      </c>
    </row>
    <row r="65" spans="1:152" s="698" customFormat="1" ht="50.25" customHeight="1">
      <c r="A65" s="659">
        <v>21</v>
      </c>
      <c r="B65" s="660" t="s">
        <v>500</v>
      </c>
      <c r="C65" s="661">
        <f t="shared" si="95"/>
        <v>31</v>
      </c>
      <c r="D65" s="661">
        <f t="shared" si="96"/>
        <v>27</v>
      </c>
      <c r="E65" s="661"/>
      <c r="F65" s="661">
        <v>27</v>
      </c>
      <c r="G65" s="661"/>
      <c r="H65" s="661">
        <v>23</v>
      </c>
      <c r="I65" s="661">
        <v>4</v>
      </c>
      <c r="J65" s="661">
        <v>4</v>
      </c>
      <c r="K65" s="646">
        <f t="shared" si="5"/>
        <v>10953</v>
      </c>
      <c r="L65" s="662">
        <f t="shared" si="97"/>
        <v>10953</v>
      </c>
      <c r="M65" s="666">
        <v>2913</v>
      </c>
      <c r="N65" s="666">
        <v>452</v>
      </c>
      <c r="O65" s="666">
        <v>107</v>
      </c>
      <c r="P65" s="666"/>
      <c r="Q65" s="666"/>
      <c r="R65" s="666"/>
      <c r="S65" s="666">
        <f>65+47</f>
        <v>112</v>
      </c>
      <c r="T65" s="666">
        <f t="shared" si="98"/>
        <v>112</v>
      </c>
      <c r="U65" s="666">
        <f t="shared" si="99"/>
        <v>3360</v>
      </c>
      <c r="V65" s="666">
        <v>7881</v>
      </c>
      <c r="W65" s="666"/>
      <c r="X65" s="666"/>
      <c r="Y65" s="666">
        <f>Z65-BM65</f>
        <v>4.8000000000000114</v>
      </c>
      <c r="Z65" s="666">
        <f>(V65-5773)*10%</f>
        <v>210.8</v>
      </c>
      <c r="AA65" s="666">
        <f>20+263</f>
        <v>283</v>
      </c>
      <c r="AB65" s="666">
        <f t="shared" si="100"/>
        <v>288</v>
      </c>
      <c r="AC65" s="666">
        <f t="shared" si="101"/>
        <v>7593</v>
      </c>
      <c r="AD65" s="666"/>
      <c r="AE65" s="666"/>
      <c r="AF65" s="666"/>
      <c r="AG65" s="666"/>
      <c r="AH65" s="666"/>
      <c r="AI65" s="666"/>
      <c r="AJ65" s="666"/>
      <c r="AK65" s="666"/>
      <c r="AL65" s="697"/>
      <c r="AM65" s="624"/>
      <c r="AN65" s="610"/>
      <c r="AO65" s="694">
        <v>24</v>
      </c>
      <c r="AP65" s="695" t="s">
        <v>500</v>
      </c>
      <c r="AQ65" s="696">
        <f t="shared" si="102"/>
        <v>48</v>
      </c>
      <c r="AR65" s="696">
        <f t="shared" si="103"/>
        <v>44</v>
      </c>
      <c r="AS65" s="696"/>
      <c r="AT65" s="696">
        <v>44</v>
      </c>
      <c r="AU65" s="696"/>
      <c r="AV65" s="696">
        <v>43</v>
      </c>
      <c r="AW65" s="696">
        <v>4</v>
      </c>
      <c r="AX65" s="696">
        <v>4</v>
      </c>
      <c r="AY65" s="668">
        <f t="shared" si="104"/>
        <v>13349</v>
      </c>
      <c r="AZ65" s="668">
        <v>4277</v>
      </c>
      <c r="BA65" s="668">
        <f>1083-250</f>
        <v>833</v>
      </c>
      <c r="BB65" s="668">
        <v>250</v>
      </c>
      <c r="BC65" s="668"/>
      <c r="BD65" s="668"/>
      <c r="BE65" s="666">
        <f t="shared" si="105"/>
        <v>108.30000000000001</v>
      </c>
      <c r="BF65" s="668">
        <f t="shared" si="106"/>
        <v>108</v>
      </c>
      <c r="BG65" s="668">
        <f t="shared" si="107"/>
        <v>5252</v>
      </c>
      <c r="BH65" s="668">
        <v>7779</v>
      </c>
      <c r="BI65" s="668"/>
      <c r="BJ65" s="668">
        <f>216+100</f>
        <v>316</v>
      </c>
      <c r="BK65" s="668"/>
      <c r="BL65" s="666">
        <f>(BH65-5724)*10%</f>
        <v>205.5</v>
      </c>
      <c r="BM65" s="668">
        <f t="shared" si="108"/>
        <v>206</v>
      </c>
      <c r="BN65" s="668">
        <f t="shared" si="109"/>
        <v>7889</v>
      </c>
      <c r="BO65" s="668">
        <v>208</v>
      </c>
      <c r="BP65" s="668"/>
      <c r="BQ65" s="668">
        <v>46</v>
      </c>
      <c r="BR65" s="668"/>
      <c r="BS65" s="668"/>
      <c r="BT65" s="668"/>
      <c r="BU65" s="668"/>
      <c r="BV65" s="668"/>
      <c r="BW65" s="697"/>
      <c r="BY65" s="891"/>
      <c r="BZ65" s="891"/>
      <c r="CA65" s="1352">
        <v>22</v>
      </c>
      <c r="CB65" s="1352" t="s">
        <v>500</v>
      </c>
      <c r="CC65" s="1352">
        <v>47</v>
      </c>
      <c r="CD65" s="1352">
        <v>43</v>
      </c>
      <c r="CE65" s="1352"/>
      <c r="CF65" s="1352">
        <v>43</v>
      </c>
      <c r="CG65" s="1352"/>
      <c r="CH65" s="1352">
        <v>36</v>
      </c>
      <c r="CI65" s="1352">
        <v>4</v>
      </c>
      <c r="CJ65" s="1352">
        <v>4</v>
      </c>
      <c r="CK65" s="1353">
        <v>12453</v>
      </c>
      <c r="CL65" s="1353">
        <v>4072</v>
      </c>
      <c r="CM65" s="1354">
        <v>793</v>
      </c>
      <c r="CN65" s="1354">
        <v>107</v>
      </c>
      <c r="CO65" s="1354"/>
      <c r="CP65" s="1354"/>
      <c r="CQ65" s="1354"/>
      <c r="CR65" s="1354">
        <v>112</v>
      </c>
      <c r="CS65" s="1354">
        <v>112</v>
      </c>
      <c r="CT65" s="1353">
        <v>4860</v>
      </c>
      <c r="CU65" s="1353">
        <v>7881</v>
      </c>
      <c r="CV65" s="1353"/>
      <c r="CW65" s="1353"/>
      <c r="CX65" s="1353">
        <v>4.8000000000000114</v>
      </c>
      <c r="CY65" s="1353">
        <v>210.8</v>
      </c>
      <c r="CZ65" s="1353">
        <v>283</v>
      </c>
      <c r="DA65" s="1353">
        <v>288</v>
      </c>
      <c r="DB65" s="1353">
        <v>7593</v>
      </c>
      <c r="DC65" s="1353"/>
      <c r="DD65" s="1353"/>
      <c r="DE65" s="1353"/>
      <c r="DF65" s="1353"/>
      <c r="DG65" s="1353"/>
      <c r="DH65" s="1353"/>
      <c r="DI65" s="1353"/>
      <c r="DJ65" s="1353"/>
      <c r="DK65" s="1353"/>
      <c r="DT65" s="694">
        <v>22</v>
      </c>
      <c r="DU65" s="695" t="s">
        <v>500</v>
      </c>
      <c r="DV65" s="777">
        <f t="shared" si="110"/>
        <v>-1500</v>
      </c>
      <c r="DW65" s="777">
        <f t="shared" si="110"/>
        <v>-1159</v>
      </c>
      <c r="DX65" s="777">
        <f t="shared" si="110"/>
        <v>-341</v>
      </c>
      <c r="DY65" s="777">
        <f t="shared" si="110"/>
        <v>0</v>
      </c>
      <c r="DZ65" s="777">
        <f t="shared" si="110"/>
        <v>0</v>
      </c>
      <c r="EA65" s="777">
        <f t="shared" si="110"/>
        <v>0</v>
      </c>
      <c r="EB65" s="777">
        <f t="shared" si="110"/>
        <v>0</v>
      </c>
      <c r="EC65" s="777">
        <f t="shared" si="110"/>
        <v>0</v>
      </c>
      <c r="ED65" s="777">
        <f t="shared" si="110"/>
        <v>0</v>
      </c>
      <c r="EE65" s="777">
        <f t="shared" si="110"/>
        <v>-1500</v>
      </c>
      <c r="EF65" s="777">
        <f t="shared" si="110"/>
        <v>0</v>
      </c>
      <c r="EG65" s="777">
        <f t="shared" si="110"/>
        <v>0</v>
      </c>
      <c r="EH65" s="777">
        <f t="shared" si="110"/>
        <v>0</v>
      </c>
      <c r="EI65" s="777">
        <f t="shared" si="110"/>
        <v>0</v>
      </c>
      <c r="EJ65" s="777">
        <f t="shared" si="110"/>
        <v>0</v>
      </c>
      <c r="EK65" s="777">
        <f t="shared" si="110"/>
        <v>0</v>
      </c>
      <c r="EL65" s="777">
        <f t="shared" si="111"/>
        <v>0</v>
      </c>
      <c r="EM65" s="777">
        <f t="shared" si="111"/>
        <v>0</v>
      </c>
      <c r="EN65" s="777">
        <f t="shared" si="111"/>
        <v>0</v>
      </c>
      <c r="EO65" s="777">
        <f t="shared" si="111"/>
        <v>0</v>
      </c>
      <c r="EP65" s="777">
        <f t="shared" si="111"/>
        <v>0</v>
      </c>
      <c r="EQ65" s="777">
        <f t="shared" si="111"/>
        <v>0</v>
      </c>
      <c r="ER65" s="777">
        <f t="shared" si="111"/>
        <v>0</v>
      </c>
      <c r="ES65" s="777">
        <f t="shared" si="111"/>
        <v>0</v>
      </c>
      <c r="ET65" s="777">
        <f t="shared" si="111"/>
        <v>0</v>
      </c>
      <c r="EU65" s="777">
        <f t="shared" si="111"/>
        <v>0</v>
      </c>
      <c r="EV65" s="777">
        <f t="shared" si="111"/>
        <v>0</v>
      </c>
    </row>
    <row r="66" spans="1:152" ht="28.5" customHeight="1">
      <c r="A66" s="659">
        <v>22</v>
      </c>
      <c r="B66" s="660" t="s">
        <v>501</v>
      </c>
      <c r="C66" s="661">
        <f t="shared" si="95"/>
        <v>0</v>
      </c>
      <c r="D66" s="661">
        <f t="shared" si="96"/>
        <v>0</v>
      </c>
      <c r="E66" s="661"/>
      <c r="F66" s="661"/>
      <c r="G66" s="661"/>
      <c r="H66" s="661"/>
      <c r="I66" s="661"/>
      <c r="J66" s="661"/>
      <c r="K66" s="646">
        <f t="shared" si="5"/>
        <v>3221</v>
      </c>
      <c r="L66" s="662">
        <f t="shared" si="97"/>
        <v>3221</v>
      </c>
      <c r="M66" s="666"/>
      <c r="N66" s="1369"/>
      <c r="O66" s="1369"/>
      <c r="P66" s="1369"/>
      <c r="Q66" s="1369"/>
      <c r="R66" s="666">
        <f>((N66+O66)-(BA66+BB66))*10%</f>
        <v>0</v>
      </c>
      <c r="S66" s="666"/>
      <c r="T66" s="666">
        <f t="shared" si="98"/>
        <v>0</v>
      </c>
      <c r="U66" s="666">
        <f t="shared" si="99"/>
        <v>0</v>
      </c>
      <c r="V66" s="666">
        <v>3221</v>
      </c>
      <c r="W66" s="662"/>
      <c r="X66" s="662"/>
      <c r="Y66" s="666">
        <f>Z66-BM66</f>
        <v>0</v>
      </c>
      <c r="Z66" s="666">
        <f>(V66-3221)*10%</f>
        <v>0</v>
      </c>
      <c r="AA66" s="666"/>
      <c r="AB66" s="666">
        <f t="shared" si="100"/>
        <v>0</v>
      </c>
      <c r="AC66" s="666">
        <f t="shared" si="101"/>
        <v>3221</v>
      </c>
      <c r="AD66" s="662"/>
      <c r="AE66" s="662"/>
      <c r="AF66" s="662"/>
      <c r="AG66" s="662"/>
      <c r="AH66" s="662"/>
      <c r="AI66" s="662"/>
      <c r="AJ66" s="662"/>
      <c r="AK66" s="662"/>
      <c r="AL66" s="664"/>
      <c r="AN66" s="610"/>
      <c r="AO66" s="659">
        <v>25</v>
      </c>
      <c r="AP66" s="660" t="s">
        <v>501</v>
      </c>
      <c r="AQ66" s="661">
        <f t="shared" si="102"/>
        <v>55</v>
      </c>
      <c r="AR66" s="661">
        <f t="shared" si="103"/>
        <v>50</v>
      </c>
      <c r="AS66" s="661"/>
      <c r="AT66" s="661">
        <v>50</v>
      </c>
      <c r="AU66" s="661"/>
      <c r="AV66" s="661">
        <v>50</v>
      </c>
      <c r="AW66" s="661">
        <v>5</v>
      </c>
      <c r="AX66" s="661">
        <v>5</v>
      </c>
      <c r="AY66" s="666">
        <f t="shared" si="104"/>
        <v>770</v>
      </c>
      <c r="AZ66" s="670"/>
      <c r="BA66" s="1369"/>
      <c r="BB66" s="1369"/>
      <c r="BC66" s="1369"/>
      <c r="BD66" s="1369"/>
      <c r="BE66" s="666">
        <f t="shared" si="105"/>
        <v>0</v>
      </c>
      <c r="BF66" s="667">
        <f t="shared" si="106"/>
        <v>0</v>
      </c>
      <c r="BG66" s="666">
        <f t="shared" si="107"/>
        <v>0</v>
      </c>
      <c r="BH66" s="666">
        <f>539+231</f>
        <v>770</v>
      </c>
      <c r="BI66" s="662"/>
      <c r="BJ66" s="662"/>
      <c r="BK66" s="662"/>
      <c r="BL66" s="666">
        <f>(BH66-770)*10%</f>
        <v>0</v>
      </c>
      <c r="BM66" s="667">
        <f t="shared" si="108"/>
        <v>0</v>
      </c>
      <c r="BN66" s="666">
        <f t="shared" si="109"/>
        <v>770</v>
      </c>
      <c r="BO66" s="662"/>
      <c r="BP66" s="662"/>
      <c r="BQ66" s="662">
        <v>7626</v>
      </c>
      <c r="BR66" s="662"/>
      <c r="BS66" s="662"/>
      <c r="BT66" s="662"/>
      <c r="BU66" s="662"/>
      <c r="BV66" s="662"/>
      <c r="BW66" s="662"/>
      <c r="CA66" s="1352">
        <v>23</v>
      </c>
      <c r="CB66" s="1352" t="s">
        <v>501</v>
      </c>
      <c r="CC66" s="1352">
        <v>0</v>
      </c>
      <c r="CD66" s="1352">
        <v>0</v>
      </c>
      <c r="CE66" s="1352"/>
      <c r="CF66" s="1352"/>
      <c r="CG66" s="1352"/>
      <c r="CH66" s="1352"/>
      <c r="CI66" s="1352"/>
      <c r="CJ66" s="1352"/>
      <c r="CK66" s="1353">
        <v>3221</v>
      </c>
      <c r="CL66" s="1353"/>
      <c r="CM66" s="1354"/>
      <c r="CN66" s="1354"/>
      <c r="CO66" s="1354"/>
      <c r="CP66" s="1354"/>
      <c r="CQ66" s="1354">
        <v>0</v>
      </c>
      <c r="CR66" s="1354"/>
      <c r="CS66" s="1354">
        <v>0</v>
      </c>
      <c r="CT66" s="1353">
        <v>0</v>
      </c>
      <c r="CU66" s="1353">
        <v>3221</v>
      </c>
      <c r="CV66" s="1353"/>
      <c r="CW66" s="1353"/>
      <c r="CX66" s="1353">
        <v>0</v>
      </c>
      <c r="CY66" s="1353">
        <v>0</v>
      </c>
      <c r="CZ66" s="1353"/>
      <c r="DA66" s="1353">
        <v>0</v>
      </c>
      <c r="DB66" s="1353">
        <v>3221</v>
      </c>
      <c r="DC66" s="1353"/>
      <c r="DD66" s="1353"/>
      <c r="DE66" s="1353"/>
      <c r="DF66" s="1353"/>
      <c r="DG66" s="1353"/>
      <c r="DH66" s="1353"/>
      <c r="DI66" s="1353"/>
      <c r="DJ66" s="1353"/>
      <c r="DK66" s="1353"/>
      <c r="DT66" s="659">
        <v>23</v>
      </c>
      <c r="DU66" s="660" t="s">
        <v>501</v>
      </c>
      <c r="DV66" s="777">
        <f t="shared" si="110"/>
        <v>0</v>
      </c>
      <c r="DW66" s="777">
        <f t="shared" si="110"/>
        <v>0</v>
      </c>
      <c r="DX66" s="777">
        <f t="shared" si="110"/>
        <v>0</v>
      </c>
      <c r="DY66" s="777">
        <f t="shared" si="110"/>
        <v>0</v>
      </c>
      <c r="DZ66" s="777">
        <f t="shared" si="110"/>
        <v>0</v>
      </c>
      <c r="EA66" s="777">
        <f t="shared" si="110"/>
        <v>0</v>
      </c>
      <c r="EB66" s="777">
        <f t="shared" si="110"/>
        <v>0</v>
      </c>
      <c r="EC66" s="777">
        <f t="shared" si="110"/>
        <v>0</v>
      </c>
      <c r="ED66" s="777">
        <f t="shared" si="110"/>
        <v>0</v>
      </c>
      <c r="EE66" s="777">
        <f t="shared" si="110"/>
        <v>0</v>
      </c>
      <c r="EF66" s="777">
        <f t="shared" si="110"/>
        <v>0</v>
      </c>
      <c r="EG66" s="777">
        <f t="shared" si="110"/>
        <v>0</v>
      </c>
      <c r="EH66" s="777">
        <f t="shared" si="110"/>
        <v>0</v>
      </c>
      <c r="EI66" s="777">
        <f t="shared" si="110"/>
        <v>0</v>
      </c>
      <c r="EJ66" s="777">
        <f t="shared" si="110"/>
        <v>0</v>
      </c>
      <c r="EK66" s="777">
        <f t="shared" si="110"/>
        <v>0</v>
      </c>
      <c r="EL66" s="777">
        <f t="shared" si="111"/>
        <v>0</v>
      </c>
      <c r="EM66" s="777">
        <f t="shared" si="111"/>
        <v>0</v>
      </c>
      <c r="EN66" s="777">
        <f t="shared" si="111"/>
        <v>0</v>
      </c>
      <c r="EO66" s="777">
        <f t="shared" si="111"/>
        <v>0</v>
      </c>
      <c r="EP66" s="777">
        <f t="shared" si="111"/>
        <v>0</v>
      </c>
      <c r="EQ66" s="777">
        <f t="shared" si="111"/>
        <v>0</v>
      </c>
      <c r="ER66" s="777">
        <f t="shared" si="111"/>
        <v>0</v>
      </c>
      <c r="ES66" s="777">
        <f t="shared" si="111"/>
        <v>0</v>
      </c>
      <c r="ET66" s="777">
        <f t="shared" si="111"/>
        <v>0</v>
      </c>
      <c r="EU66" s="777">
        <f t="shared" si="111"/>
        <v>0</v>
      </c>
      <c r="EV66" s="777">
        <f t="shared" si="111"/>
        <v>0</v>
      </c>
    </row>
    <row r="67" spans="1:152" ht="28.5" customHeight="1">
      <c r="A67" s="659">
        <v>23</v>
      </c>
      <c r="B67" s="660" t="s">
        <v>502</v>
      </c>
      <c r="C67" s="661">
        <f t="shared" si="95"/>
        <v>74</v>
      </c>
      <c r="D67" s="661">
        <f t="shared" si="96"/>
        <v>69</v>
      </c>
      <c r="E67" s="661"/>
      <c r="F67" s="661">
        <v>69</v>
      </c>
      <c r="G67" s="661"/>
      <c r="H67" s="661">
        <v>65</v>
      </c>
      <c r="I67" s="661">
        <v>5</v>
      </c>
      <c r="J67" s="661">
        <v>5</v>
      </c>
      <c r="K67" s="646">
        <f t="shared" si="5"/>
        <v>7685</v>
      </c>
      <c r="L67" s="662">
        <f t="shared" si="97"/>
        <v>7685</v>
      </c>
      <c r="M67" s="666">
        <v>4584</v>
      </c>
      <c r="N67" s="666"/>
      <c r="O67" s="666"/>
      <c r="P67" s="666"/>
      <c r="Q67" s="666"/>
      <c r="R67" s="666">
        <f>((N67+O67)-(BA67+BB67))*10%</f>
        <v>0</v>
      </c>
      <c r="S67" s="666"/>
      <c r="T67" s="666">
        <f t="shared" si="98"/>
        <v>0</v>
      </c>
      <c r="U67" s="666">
        <f t="shared" si="99"/>
        <v>4584</v>
      </c>
      <c r="V67" s="666">
        <v>3101</v>
      </c>
      <c r="W67" s="666"/>
      <c r="X67" s="666"/>
      <c r="Y67" s="666">
        <f>Z67-BM67</f>
        <v>0</v>
      </c>
      <c r="Z67" s="666">
        <f>(V67-3101)*10%</f>
        <v>0</v>
      </c>
      <c r="AA67" s="666"/>
      <c r="AB67" s="666">
        <f t="shared" si="100"/>
        <v>0</v>
      </c>
      <c r="AC67" s="666">
        <f t="shared" si="101"/>
        <v>3101</v>
      </c>
      <c r="AD67" s="666"/>
      <c r="AE67" s="666"/>
      <c r="AF67" s="666"/>
      <c r="AG67" s="666"/>
      <c r="AH67" s="666"/>
      <c r="AI67" s="666"/>
      <c r="AJ67" s="666"/>
      <c r="AK67" s="666">
        <v>225</v>
      </c>
      <c r="AL67" s="669"/>
      <c r="AN67" s="610"/>
      <c r="AO67" s="659">
        <v>26</v>
      </c>
      <c r="AP67" s="660" t="s">
        <v>502</v>
      </c>
      <c r="AQ67" s="661">
        <f t="shared" si="102"/>
        <v>76</v>
      </c>
      <c r="AR67" s="661">
        <f t="shared" si="103"/>
        <v>71</v>
      </c>
      <c r="AS67" s="661"/>
      <c r="AT67" s="661">
        <v>71</v>
      </c>
      <c r="AU67" s="661"/>
      <c r="AV67" s="661">
        <v>67</v>
      </c>
      <c r="AW67" s="661">
        <v>5</v>
      </c>
      <c r="AX67" s="661">
        <v>5</v>
      </c>
      <c r="AY67" s="666">
        <f t="shared" si="104"/>
        <v>7075</v>
      </c>
      <c r="AZ67" s="670">
        <v>5044</v>
      </c>
      <c r="BA67" s="666"/>
      <c r="BB67" s="666"/>
      <c r="BC67" s="666"/>
      <c r="BD67" s="666"/>
      <c r="BE67" s="666">
        <f t="shared" si="105"/>
        <v>0</v>
      </c>
      <c r="BF67" s="667">
        <f t="shared" si="106"/>
        <v>0</v>
      </c>
      <c r="BG67" s="666">
        <f t="shared" si="107"/>
        <v>5044</v>
      </c>
      <c r="BH67" s="666">
        <f>1291+707</f>
        <v>1998</v>
      </c>
      <c r="BI67" s="666"/>
      <c r="BJ67" s="666"/>
      <c r="BK67" s="666"/>
      <c r="BL67" s="666">
        <f>(BH67-1998)*10%</f>
        <v>0</v>
      </c>
      <c r="BM67" s="667">
        <f t="shared" si="108"/>
        <v>0</v>
      </c>
      <c r="BN67" s="666">
        <f t="shared" si="109"/>
        <v>1998</v>
      </c>
      <c r="BO67" s="666">
        <v>33</v>
      </c>
      <c r="BP67" s="666"/>
      <c r="BQ67" s="666">
        <v>3560</v>
      </c>
      <c r="BR67" s="666"/>
      <c r="BS67" s="666"/>
      <c r="BT67" s="666"/>
      <c r="BU67" s="666"/>
      <c r="BV67" s="666"/>
      <c r="BW67" s="666"/>
      <c r="CA67" s="1352">
        <v>24</v>
      </c>
      <c r="CB67" s="1352" t="s">
        <v>502</v>
      </c>
      <c r="CC67" s="1352">
        <v>75</v>
      </c>
      <c r="CD67" s="1352">
        <v>70</v>
      </c>
      <c r="CE67" s="1352"/>
      <c r="CF67" s="1352">
        <v>70</v>
      </c>
      <c r="CG67" s="1352"/>
      <c r="CH67" s="1352">
        <v>65</v>
      </c>
      <c r="CI67" s="1352">
        <v>5</v>
      </c>
      <c r="CJ67" s="1352">
        <v>5</v>
      </c>
      <c r="CK67" s="1353">
        <v>7685</v>
      </c>
      <c r="CL67" s="1353">
        <v>4584</v>
      </c>
      <c r="CM67" s="1354"/>
      <c r="CN67" s="1354"/>
      <c r="CO67" s="1354"/>
      <c r="CP67" s="1354"/>
      <c r="CQ67" s="1354">
        <v>0</v>
      </c>
      <c r="CR67" s="1354"/>
      <c r="CS67" s="1354">
        <v>0</v>
      </c>
      <c r="CT67" s="1353">
        <v>4584</v>
      </c>
      <c r="CU67" s="1353">
        <v>3101</v>
      </c>
      <c r="CV67" s="1353"/>
      <c r="CW67" s="1353"/>
      <c r="CX67" s="1353">
        <v>0</v>
      </c>
      <c r="CY67" s="1353">
        <v>0</v>
      </c>
      <c r="CZ67" s="1353"/>
      <c r="DA67" s="1353">
        <v>0</v>
      </c>
      <c r="DB67" s="1353">
        <v>3101</v>
      </c>
      <c r="DC67" s="1353"/>
      <c r="DD67" s="1353"/>
      <c r="DE67" s="1353"/>
      <c r="DF67" s="1353"/>
      <c r="DG67" s="1353"/>
      <c r="DH67" s="1353"/>
      <c r="DI67" s="1353"/>
      <c r="DJ67" s="1353"/>
      <c r="DK67" s="1353"/>
      <c r="DT67" s="659">
        <v>24</v>
      </c>
      <c r="DU67" s="660" t="s">
        <v>502</v>
      </c>
      <c r="DV67" s="777">
        <f t="shared" si="110"/>
        <v>0</v>
      </c>
      <c r="DW67" s="777">
        <f t="shared" si="110"/>
        <v>0</v>
      </c>
      <c r="DX67" s="777">
        <f t="shared" si="110"/>
        <v>0</v>
      </c>
      <c r="DY67" s="777">
        <f t="shared" si="110"/>
        <v>0</v>
      </c>
      <c r="DZ67" s="777">
        <f t="shared" si="110"/>
        <v>0</v>
      </c>
      <c r="EA67" s="777">
        <f t="shared" si="110"/>
        <v>0</v>
      </c>
      <c r="EB67" s="777">
        <f t="shared" si="110"/>
        <v>0</v>
      </c>
      <c r="EC67" s="777">
        <f t="shared" si="110"/>
        <v>0</v>
      </c>
      <c r="ED67" s="777">
        <f t="shared" si="110"/>
        <v>0</v>
      </c>
      <c r="EE67" s="777">
        <f t="shared" si="110"/>
        <v>0</v>
      </c>
      <c r="EF67" s="777">
        <f t="shared" si="110"/>
        <v>0</v>
      </c>
      <c r="EG67" s="777">
        <f t="shared" si="110"/>
        <v>0</v>
      </c>
      <c r="EH67" s="777">
        <f t="shared" si="110"/>
        <v>0</v>
      </c>
      <c r="EI67" s="777">
        <f t="shared" si="110"/>
        <v>0</v>
      </c>
      <c r="EJ67" s="777">
        <f t="shared" si="110"/>
        <v>0</v>
      </c>
      <c r="EK67" s="777">
        <f t="shared" si="110"/>
        <v>0</v>
      </c>
      <c r="EL67" s="777">
        <f t="shared" si="111"/>
        <v>0</v>
      </c>
      <c r="EM67" s="777">
        <f t="shared" si="111"/>
        <v>0</v>
      </c>
      <c r="EN67" s="777">
        <f t="shared" si="111"/>
        <v>0</v>
      </c>
      <c r="EO67" s="777">
        <f t="shared" si="111"/>
        <v>0</v>
      </c>
      <c r="EP67" s="777">
        <f t="shared" si="111"/>
        <v>0</v>
      </c>
      <c r="EQ67" s="777">
        <f t="shared" si="111"/>
        <v>0</v>
      </c>
      <c r="ER67" s="777">
        <f t="shared" si="111"/>
        <v>0</v>
      </c>
      <c r="ES67" s="777">
        <f t="shared" si="111"/>
        <v>0</v>
      </c>
      <c r="ET67" s="777">
        <f t="shared" si="111"/>
        <v>0</v>
      </c>
      <c r="EU67" s="777">
        <f t="shared" si="111"/>
        <v>225</v>
      </c>
      <c r="EV67" s="777">
        <f t="shared" si="111"/>
        <v>0</v>
      </c>
    </row>
    <row r="68" spans="1:152" ht="37.5" customHeight="1">
      <c r="A68" s="659">
        <v>24</v>
      </c>
      <c r="B68" s="660" t="s">
        <v>503</v>
      </c>
      <c r="C68" s="661">
        <f t="shared" si="95"/>
        <v>28</v>
      </c>
      <c r="D68" s="661">
        <f t="shared" si="96"/>
        <v>23</v>
      </c>
      <c r="E68" s="661"/>
      <c r="F68" s="661">
        <v>23</v>
      </c>
      <c r="G68" s="661"/>
      <c r="H68" s="661">
        <v>23</v>
      </c>
      <c r="I68" s="661">
        <v>5</v>
      </c>
      <c r="J68" s="661">
        <v>5</v>
      </c>
      <c r="K68" s="646">
        <f t="shared" si="5"/>
        <v>5708</v>
      </c>
      <c r="L68" s="662">
        <f>U68+AC68+AD68+AE68</f>
        <v>5738</v>
      </c>
      <c r="M68" s="666">
        <v>2341</v>
      </c>
      <c r="N68" s="666">
        <f>591-62</f>
        <v>529</v>
      </c>
      <c r="O68" s="666">
        <v>30</v>
      </c>
      <c r="P68" s="666"/>
      <c r="Q68" s="666"/>
      <c r="R68" s="666"/>
      <c r="S68" s="666">
        <v>58</v>
      </c>
      <c r="T68" s="666">
        <f t="shared" si="98"/>
        <v>58</v>
      </c>
      <c r="U68" s="666">
        <f t="shared" si="99"/>
        <v>2842</v>
      </c>
      <c r="V68" s="666">
        <v>2866</v>
      </c>
      <c r="W68" s="666"/>
      <c r="X68" s="666"/>
      <c r="Y68" s="666"/>
      <c r="Z68" s="666">
        <f>(V68-2366)*10%</f>
        <v>50</v>
      </c>
      <c r="AA68" s="666"/>
      <c r="AB68" s="666">
        <f t="shared" si="100"/>
        <v>0</v>
      </c>
      <c r="AC68" s="666">
        <f t="shared" si="101"/>
        <v>2866</v>
      </c>
      <c r="AD68" s="668">
        <v>30</v>
      </c>
      <c r="AE68" s="666"/>
      <c r="AF68" s="666"/>
      <c r="AG68" s="666"/>
      <c r="AH68" s="666"/>
      <c r="AI68" s="666"/>
      <c r="AJ68" s="666"/>
      <c r="AK68" s="666"/>
      <c r="AL68" s="664"/>
      <c r="AN68" s="610"/>
      <c r="AO68" s="659">
        <v>27</v>
      </c>
      <c r="AP68" s="660" t="s">
        <v>503</v>
      </c>
      <c r="AQ68" s="661">
        <f t="shared" si="102"/>
        <v>29</v>
      </c>
      <c r="AR68" s="661">
        <f>AS68+AT68</f>
        <v>24</v>
      </c>
      <c r="AS68" s="661"/>
      <c r="AT68" s="661">
        <v>24</v>
      </c>
      <c r="AU68" s="661"/>
      <c r="AV68" s="661">
        <v>24</v>
      </c>
      <c r="AW68" s="661">
        <v>5</v>
      </c>
      <c r="AX68" s="661">
        <v>5</v>
      </c>
      <c r="AY68" s="666">
        <f t="shared" si="104"/>
        <v>5994</v>
      </c>
      <c r="AZ68" s="670">
        <v>2079</v>
      </c>
      <c r="BA68" s="666">
        <v>583</v>
      </c>
      <c r="BB68" s="666"/>
      <c r="BC68" s="666"/>
      <c r="BD68" s="666"/>
      <c r="BE68" s="666">
        <f t="shared" si="105"/>
        <v>58.300000000000004</v>
      </c>
      <c r="BF68" s="667">
        <f t="shared" si="106"/>
        <v>58</v>
      </c>
      <c r="BG68" s="666">
        <f>(AZ68+BA68+BB68+BC68)-BF68</f>
        <v>2604</v>
      </c>
      <c r="BH68" s="666">
        <v>3096</v>
      </c>
      <c r="BI68" s="666"/>
      <c r="BJ68" s="666">
        <v>299</v>
      </c>
      <c r="BK68" s="666"/>
      <c r="BL68" s="666">
        <f>(BH68-2246)*10%</f>
        <v>85</v>
      </c>
      <c r="BM68" s="667">
        <f t="shared" si="108"/>
        <v>85</v>
      </c>
      <c r="BN68" s="666">
        <f t="shared" si="109"/>
        <v>3310</v>
      </c>
      <c r="BO68" s="666">
        <v>80</v>
      </c>
      <c r="BP68" s="666"/>
      <c r="BQ68" s="666"/>
      <c r="BR68" s="666"/>
      <c r="BS68" s="666"/>
      <c r="BT68" s="666"/>
      <c r="BU68" s="666"/>
      <c r="BV68" s="666"/>
      <c r="BW68" s="662"/>
      <c r="CA68" s="1352">
        <v>25</v>
      </c>
      <c r="CB68" s="1352" t="s">
        <v>503</v>
      </c>
      <c r="CC68" s="1352">
        <v>28</v>
      </c>
      <c r="CD68" s="1352">
        <v>23</v>
      </c>
      <c r="CE68" s="1352"/>
      <c r="CF68" s="1352">
        <v>23</v>
      </c>
      <c r="CG68" s="1352"/>
      <c r="CH68" s="1352">
        <v>23</v>
      </c>
      <c r="CI68" s="1352">
        <v>5</v>
      </c>
      <c r="CJ68" s="1352">
        <v>5</v>
      </c>
      <c r="CK68" s="1353">
        <v>5766</v>
      </c>
      <c r="CL68" s="1353">
        <v>2341</v>
      </c>
      <c r="CM68" s="1354">
        <v>591</v>
      </c>
      <c r="CN68" s="1354">
        <v>30</v>
      </c>
      <c r="CO68" s="1354"/>
      <c r="CP68" s="1354"/>
      <c r="CQ68" s="1354">
        <v>3.8000000000000003</v>
      </c>
      <c r="CR68" s="1354">
        <v>58</v>
      </c>
      <c r="CS68" s="1354">
        <v>62</v>
      </c>
      <c r="CT68" s="1353">
        <v>2900</v>
      </c>
      <c r="CU68" s="1353">
        <v>2866</v>
      </c>
      <c r="CV68" s="1353"/>
      <c r="CW68" s="1353"/>
      <c r="CX68" s="1353"/>
      <c r="CY68" s="1353">
        <v>50</v>
      </c>
      <c r="CZ68" s="1353"/>
      <c r="DA68" s="1353">
        <v>0</v>
      </c>
      <c r="DB68" s="1353">
        <v>2866</v>
      </c>
      <c r="DC68" s="1353"/>
      <c r="DD68" s="1353"/>
      <c r="DE68" s="1353"/>
      <c r="DF68" s="1353"/>
      <c r="DG68" s="1353"/>
      <c r="DH68" s="1353"/>
      <c r="DI68" s="1353"/>
      <c r="DJ68" s="1353"/>
      <c r="DK68" s="1353"/>
      <c r="DT68" s="659">
        <v>25</v>
      </c>
      <c r="DU68" s="660" t="s">
        <v>503</v>
      </c>
      <c r="DV68" s="777">
        <f t="shared" si="110"/>
        <v>-28</v>
      </c>
      <c r="DW68" s="777">
        <f t="shared" si="110"/>
        <v>0</v>
      </c>
      <c r="DX68" s="777">
        <f t="shared" si="110"/>
        <v>-62</v>
      </c>
      <c r="DY68" s="777">
        <f t="shared" si="110"/>
        <v>0</v>
      </c>
      <c r="DZ68" s="777">
        <f t="shared" si="110"/>
        <v>0</v>
      </c>
      <c r="EA68" s="777">
        <f t="shared" si="110"/>
        <v>0</v>
      </c>
      <c r="EB68" s="777">
        <f t="shared" si="110"/>
        <v>-3.8000000000000003</v>
      </c>
      <c r="EC68" s="777">
        <f t="shared" si="110"/>
        <v>0</v>
      </c>
      <c r="ED68" s="777">
        <f t="shared" si="110"/>
        <v>-4</v>
      </c>
      <c r="EE68" s="777">
        <f t="shared" si="110"/>
        <v>-58</v>
      </c>
      <c r="EF68" s="777">
        <f t="shared" si="110"/>
        <v>0</v>
      </c>
      <c r="EG68" s="777">
        <f t="shared" si="110"/>
        <v>0</v>
      </c>
      <c r="EH68" s="777">
        <f t="shared" si="110"/>
        <v>0</v>
      </c>
      <c r="EI68" s="777">
        <f t="shared" si="110"/>
        <v>0</v>
      </c>
      <c r="EJ68" s="777">
        <f t="shared" si="110"/>
        <v>0</v>
      </c>
      <c r="EK68" s="777">
        <f t="shared" si="110"/>
        <v>0</v>
      </c>
      <c r="EL68" s="777">
        <f t="shared" si="111"/>
        <v>0</v>
      </c>
      <c r="EM68" s="777">
        <f t="shared" si="111"/>
        <v>0</v>
      </c>
      <c r="EN68" s="777">
        <f t="shared" si="111"/>
        <v>30</v>
      </c>
      <c r="EO68" s="777">
        <f t="shared" si="111"/>
        <v>0</v>
      </c>
      <c r="EP68" s="777">
        <f t="shared" si="111"/>
        <v>0</v>
      </c>
      <c r="EQ68" s="777">
        <f t="shared" si="111"/>
        <v>0</v>
      </c>
      <c r="ER68" s="777">
        <f t="shared" si="111"/>
        <v>0</v>
      </c>
      <c r="ES68" s="777">
        <f t="shared" si="111"/>
        <v>0</v>
      </c>
      <c r="ET68" s="777">
        <f t="shared" si="111"/>
        <v>0</v>
      </c>
      <c r="EU68" s="777">
        <f t="shared" si="111"/>
        <v>0</v>
      </c>
      <c r="EV68" s="777">
        <f t="shared" si="111"/>
        <v>0</v>
      </c>
    </row>
    <row r="69" spans="1:152" ht="39.75" hidden="1" customHeight="1">
      <c r="A69" s="659">
        <v>26</v>
      </c>
      <c r="B69" s="660" t="s">
        <v>504</v>
      </c>
      <c r="C69" s="661">
        <f t="shared" si="95"/>
        <v>0</v>
      </c>
      <c r="D69" s="661">
        <f t="shared" si="96"/>
        <v>0</v>
      </c>
      <c r="E69" s="661"/>
      <c r="F69" s="661">
        <f>5-5</f>
        <v>0</v>
      </c>
      <c r="G69" s="661"/>
      <c r="H69" s="661">
        <f>5-5</f>
        <v>0</v>
      </c>
      <c r="I69" s="661"/>
      <c r="J69" s="661"/>
      <c r="K69" s="646">
        <f t="shared" si="5"/>
        <v>0</v>
      </c>
      <c r="L69" s="662">
        <f t="shared" si="97"/>
        <v>0</v>
      </c>
      <c r="M69" s="666">
        <f>331-331</f>
        <v>0</v>
      </c>
      <c r="N69" s="666"/>
      <c r="O69" s="666"/>
      <c r="P69" s="666"/>
      <c r="Q69" s="666"/>
      <c r="R69" s="666"/>
      <c r="S69" s="666"/>
      <c r="T69" s="666">
        <f t="shared" si="98"/>
        <v>0</v>
      </c>
      <c r="U69" s="666">
        <f t="shared" si="99"/>
        <v>0</v>
      </c>
      <c r="V69" s="666"/>
      <c r="W69" s="666"/>
      <c r="X69" s="666"/>
      <c r="Y69" s="666">
        <f t="shared" ref="Y69:Y77" si="113">Z69-BM69</f>
        <v>0</v>
      </c>
      <c r="Z69" s="666">
        <f t="shared" si="112"/>
        <v>0</v>
      </c>
      <c r="AA69" s="666"/>
      <c r="AB69" s="666">
        <f t="shared" si="100"/>
        <v>0</v>
      </c>
      <c r="AC69" s="666">
        <f t="shared" si="101"/>
        <v>0</v>
      </c>
      <c r="AD69" s="666"/>
      <c r="AE69" s="666"/>
      <c r="AF69" s="666"/>
      <c r="AG69" s="666"/>
      <c r="AH69" s="666"/>
      <c r="AI69" s="666"/>
      <c r="AJ69" s="666"/>
      <c r="AK69" s="666"/>
      <c r="AL69" s="664"/>
      <c r="AN69" s="610"/>
      <c r="AO69" s="659">
        <v>28</v>
      </c>
      <c r="AP69" s="660" t="s">
        <v>504</v>
      </c>
      <c r="AQ69" s="661">
        <f t="shared" si="102"/>
        <v>5</v>
      </c>
      <c r="AR69" s="661">
        <f t="shared" si="103"/>
        <v>5</v>
      </c>
      <c r="AS69" s="661"/>
      <c r="AT69" s="661">
        <v>5</v>
      </c>
      <c r="AU69" s="661"/>
      <c r="AV69" s="661">
        <v>5</v>
      </c>
      <c r="AW69" s="661"/>
      <c r="AX69" s="661"/>
      <c r="AY69" s="666">
        <f t="shared" si="104"/>
        <v>426</v>
      </c>
      <c r="AZ69" s="670">
        <f>248+58+3</f>
        <v>309</v>
      </c>
      <c r="BA69" s="666">
        <v>103</v>
      </c>
      <c r="BB69" s="666">
        <v>27</v>
      </c>
      <c r="BC69" s="666"/>
      <c r="BD69" s="666"/>
      <c r="BE69" s="666">
        <f t="shared" si="105"/>
        <v>13</v>
      </c>
      <c r="BF69" s="667">
        <f t="shared" si="106"/>
        <v>13</v>
      </c>
      <c r="BG69" s="666">
        <f t="shared" si="107"/>
        <v>426</v>
      </c>
      <c r="BH69" s="666"/>
      <c r="BI69" s="666"/>
      <c r="BJ69" s="666"/>
      <c r="BK69" s="666"/>
      <c r="BL69" s="666">
        <f>BH69*10%</f>
        <v>0</v>
      </c>
      <c r="BM69" s="667">
        <f t="shared" si="108"/>
        <v>0</v>
      </c>
      <c r="BN69" s="666">
        <f t="shared" si="109"/>
        <v>0</v>
      </c>
      <c r="BO69" s="666"/>
      <c r="BP69" s="666"/>
      <c r="BQ69" s="666"/>
      <c r="BR69" s="666"/>
      <c r="BS69" s="666"/>
      <c r="BT69" s="666"/>
      <c r="BU69" s="666"/>
      <c r="BV69" s="666"/>
      <c r="BW69" s="662"/>
      <c r="CA69" s="1352">
        <v>26</v>
      </c>
      <c r="CB69" s="1352" t="s">
        <v>504</v>
      </c>
      <c r="CC69" s="1352">
        <v>0</v>
      </c>
      <c r="CD69" s="1352">
        <v>0</v>
      </c>
      <c r="CE69" s="1352"/>
      <c r="CF69" s="1352">
        <v>0</v>
      </c>
      <c r="CG69" s="1352"/>
      <c r="CH69" s="1352">
        <v>0</v>
      </c>
      <c r="CI69" s="1352"/>
      <c r="CJ69" s="1352"/>
      <c r="CK69" s="1353">
        <v>0</v>
      </c>
      <c r="CL69" s="1353">
        <v>0</v>
      </c>
      <c r="CM69" s="1354"/>
      <c r="CN69" s="1354"/>
      <c r="CO69" s="1354"/>
      <c r="CP69" s="1354"/>
      <c r="CQ69" s="1354"/>
      <c r="CR69" s="1354"/>
      <c r="CS69" s="1354">
        <v>0</v>
      </c>
      <c r="CT69" s="1353">
        <v>0</v>
      </c>
      <c r="CU69" s="1353"/>
      <c r="CV69" s="1353"/>
      <c r="CW69" s="1353"/>
      <c r="CX69" s="1353">
        <v>0</v>
      </c>
      <c r="CY69" s="1353">
        <v>0</v>
      </c>
      <c r="CZ69" s="1353"/>
      <c r="DA69" s="1353">
        <v>0</v>
      </c>
      <c r="DB69" s="1353">
        <v>0</v>
      </c>
      <c r="DC69" s="1353"/>
      <c r="DD69" s="1353"/>
      <c r="DE69" s="1353"/>
      <c r="DF69" s="1353"/>
      <c r="DG69" s="1353"/>
      <c r="DH69" s="1353"/>
      <c r="DI69" s="1353"/>
      <c r="DJ69" s="1353"/>
      <c r="DK69" s="1353"/>
      <c r="DT69" s="659">
        <v>26</v>
      </c>
      <c r="DU69" s="660" t="s">
        <v>504</v>
      </c>
      <c r="DV69" s="777">
        <f t="shared" si="110"/>
        <v>0</v>
      </c>
      <c r="DW69" s="777">
        <f t="shared" si="110"/>
        <v>0</v>
      </c>
      <c r="DX69" s="777">
        <f t="shared" si="110"/>
        <v>0</v>
      </c>
      <c r="DY69" s="777">
        <f t="shared" si="110"/>
        <v>0</v>
      </c>
      <c r="DZ69" s="777">
        <f t="shared" si="110"/>
        <v>0</v>
      </c>
      <c r="EA69" s="777">
        <f t="shared" si="110"/>
        <v>0</v>
      </c>
      <c r="EB69" s="777">
        <f t="shared" si="110"/>
        <v>0</v>
      </c>
      <c r="EC69" s="777">
        <f t="shared" si="110"/>
        <v>0</v>
      </c>
      <c r="ED69" s="777">
        <f t="shared" si="110"/>
        <v>0</v>
      </c>
      <c r="EE69" s="777">
        <f t="shared" si="110"/>
        <v>0</v>
      </c>
      <c r="EF69" s="777">
        <f t="shared" si="110"/>
        <v>0</v>
      </c>
      <c r="EG69" s="777">
        <f t="shared" si="110"/>
        <v>0</v>
      </c>
      <c r="EH69" s="777">
        <f t="shared" si="110"/>
        <v>0</v>
      </c>
      <c r="EI69" s="777">
        <f t="shared" si="110"/>
        <v>0</v>
      </c>
      <c r="EJ69" s="777">
        <f t="shared" si="110"/>
        <v>0</v>
      </c>
      <c r="EK69" s="777">
        <f t="shared" si="110"/>
        <v>0</v>
      </c>
      <c r="EL69" s="777">
        <f t="shared" si="111"/>
        <v>0</v>
      </c>
      <c r="EM69" s="777">
        <f t="shared" si="111"/>
        <v>0</v>
      </c>
      <c r="EN69" s="777">
        <f t="shared" si="111"/>
        <v>0</v>
      </c>
      <c r="EO69" s="777">
        <f t="shared" si="111"/>
        <v>0</v>
      </c>
      <c r="EP69" s="777">
        <f t="shared" si="111"/>
        <v>0</v>
      </c>
      <c r="EQ69" s="777">
        <f t="shared" si="111"/>
        <v>0</v>
      </c>
      <c r="ER69" s="777">
        <f t="shared" si="111"/>
        <v>0</v>
      </c>
      <c r="ES69" s="777">
        <f t="shared" si="111"/>
        <v>0</v>
      </c>
      <c r="ET69" s="777">
        <f t="shared" si="111"/>
        <v>0</v>
      </c>
      <c r="EU69" s="777">
        <f t="shared" si="111"/>
        <v>0</v>
      </c>
      <c r="EV69" s="777">
        <f t="shared" si="111"/>
        <v>0</v>
      </c>
    </row>
    <row r="70" spans="1:152" ht="36" hidden="1" customHeight="1">
      <c r="A70" s="659">
        <v>29</v>
      </c>
      <c r="B70" s="660" t="s">
        <v>505</v>
      </c>
      <c r="C70" s="661">
        <f t="shared" si="95"/>
        <v>0</v>
      </c>
      <c r="D70" s="661">
        <f t="shared" si="96"/>
        <v>0</v>
      </c>
      <c r="E70" s="661"/>
      <c r="F70" s="661"/>
      <c r="G70" s="661"/>
      <c r="H70" s="661"/>
      <c r="I70" s="661"/>
      <c r="J70" s="661"/>
      <c r="K70" s="646">
        <f t="shared" si="5"/>
        <v>0</v>
      </c>
      <c r="L70" s="662">
        <f t="shared" si="97"/>
        <v>0</v>
      </c>
      <c r="M70" s="666"/>
      <c r="N70" s="666"/>
      <c r="O70" s="666"/>
      <c r="P70" s="666"/>
      <c r="Q70" s="666"/>
      <c r="R70" s="666"/>
      <c r="S70" s="666"/>
      <c r="T70" s="666">
        <f t="shared" si="98"/>
        <v>0</v>
      </c>
      <c r="U70" s="666">
        <f t="shared" si="99"/>
        <v>0</v>
      </c>
      <c r="V70" s="666"/>
      <c r="W70" s="666"/>
      <c r="X70" s="666"/>
      <c r="Y70" s="666">
        <f t="shared" si="113"/>
        <v>0</v>
      </c>
      <c r="Z70" s="666">
        <f t="shared" si="112"/>
        <v>0</v>
      </c>
      <c r="AA70" s="666"/>
      <c r="AB70" s="666">
        <f t="shared" si="100"/>
        <v>0</v>
      </c>
      <c r="AC70" s="666">
        <f t="shared" si="101"/>
        <v>0</v>
      </c>
      <c r="AD70" s="666"/>
      <c r="AE70" s="666"/>
      <c r="AF70" s="666"/>
      <c r="AG70" s="666"/>
      <c r="AH70" s="666"/>
      <c r="AI70" s="666"/>
      <c r="AJ70" s="666"/>
      <c r="AK70" s="666"/>
      <c r="AL70" s="664"/>
      <c r="AN70" s="610"/>
      <c r="AO70" s="659">
        <v>29</v>
      </c>
      <c r="AP70" s="660" t="s">
        <v>505</v>
      </c>
      <c r="AQ70" s="661">
        <f t="shared" si="102"/>
        <v>3</v>
      </c>
      <c r="AR70" s="661">
        <f t="shared" si="103"/>
        <v>3</v>
      </c>
      <c r="AS70" s="661"/>
      <c r="AT70" s="661">
        <v>3</v>
      </c>
      <c r="AU70" s="661"/>
      <c r="AV70" s="661">
        <v>2</v>
      </c>
      <c r="AW70" s="661"/>
      <c r="AX70" s="661"/>
      <c r="AY70" s="666">
        <f t="shared" si="104"/>
        <v>268</v>
      </c>
      <c r="AZ70" s="670">
        <v>198</v>
      </c>
      <c r="BA70" s="666">
        <v>58</v>
      </c>
      <c r="BB70" s="666">
        <v>20</v>
      </c>
      <c r="BC70" s="666"/>
      <c r="BD70" s="666"/>
      <c r="BE70" s="666">
        <f t="shared" si="105"/>
        <v>7.8000000000000007</v>
      </c>
      <c r="BF70" s="667">
        <f t="shared" si="106"/>
        <v>8</v>
      </c>
      <c r="BG70" s="666">
        <f t="shared" si="107"/>
        <v>268</v>
      </c>
      <c r="BH70" s="666"/>
      <c r="BI70" s="666"/>
      <c r="BJ70" s="666"/>
      <c r="BK70" s="666"/>
      <c r="BL70" s="666">
        <f>BH70*10%</f>
        <v>0</v>
      </c>
      <c r="BM70" s="667">
        <f t="shared" si="108"/>
        <v>0</v>
      </c>
      <c r="BN70" s="666">
        <f t="shared" si="109"/>
        <v>0</v>
      </c>
      <c r="BO70" s="666"/>
      <c r="BP70" s="666"/>
      <c r="BQ70" s="666"/>
      <c r="BR70" s="666"/>
      <c r="BS70" s="666"/>
      <c r="BT70" s="666"/>
      <c r="BU70" s="666"/>
      <c r="BV70" s="666"/>
      <c r="BW70" s="662"/>
      <c r="CA70" s="1352">
        <v>29</v>
      </c>
      <c r="CB70" s="1352" t="s">
        <v>505</v>
      </c>
      <c r="CC70" s="1352">
        <v>0</v>
      </c>
      <c r="CD70" s="1352">
        <v>0</v>
      </c>
      <c r="CE70" s="1352"/>
      <c r="CF70" s="1352"/>
      <c r="CG70" s="1352"/>
      <c r="CH70" s="1352"/>
      <c r="CI70" s="1352"/>
      <c r="CJ70" s="1352"/>
      <c r="CK70" s="1353">
        <v>0</v>
      </c>
      <c r="CL70" s="1353"/>
      <c r="CM70" s="1354"/>
      <c r="CN70" s="1354"/>
      <c r="CO70" s="1354"/>
      <c r="CP70" s="1354"/>
      <c r="CQ70" s="1354"/>
      <c r="CR70" s="1354"/>
      <c r="CS70" s="1354">
        <v>0</v>
      </c>
      <c r="CT70" s="1353">
        <v>0</v>
      </c>
      <c r="CU70" s="1353"/>
      <c r="CV70" s="1353"/>
      <c r="CW70" s="1353"/>
      <c r="CX70" s="1353">
        <v>0</v>
      </c>
      <c r="CY70" s="1353">
        <v>0</v>
      </c>
      <c r="CZ70" s="1353"/>
      <c r="DA70" s="1353">
        <v>0</v>
      </c>
      <c r="DB70" s="1353">
        <v>0</v>
      </c>
      <c r="DC70" s="1353"/>
      <c r="DD70" s="1353"/>
      <c r="DE70" s="1353"/>
      <c r="DF70" s="1353"/>
      <c r="DG70" s="1353"/>
      <c r="DH70" s="1353"/>
      <c r="DI70" s="1353"/>
      <c r="DJ70" s="1353"/>
      <c r="DK70" s="1353"/>
      <c r="DT70" s="659">
        <v>29</v>
      </c>
      <c r="DU70" s="660" t="s">
        <v>505</v>
      </c>
      <c r="DV70" s="777">
        <f t="shared" si="110"/>
        <v>0</v>
      </c>
      <c r="DW70" s="777">
        <f t="shared" si="110"/>
        <v>0</v>
      </c>
      <c r="DX70" s="777">
        <f t="shared" si="110"/>
        <v>0</v>
      </c>
      <c r="DY70" s="777">
        <f t="shared" si="110"/>
        <v>0</v>
      </c>
      <c r="DZ70" s="777">
        <f t="shared" si="110"/>
        <v>0</v>
      </c>
      <c r="EA70" s="777">
        <f t="shared" si="110"/>
        <v>0</v>
      </c>
      <c r="EB70" s="777">
        <f t="shared" si="110"/>
        <v>0</v>
      </c>
      <c r="EC70" s="777">
        <f t="shared" si="110"/>
        <v>0</v>
      </c>
      <c r="ED70" s="777">
        <f t="shared" si="110"/>
        <v>0</v>
      </c>
      <c r="EE70" s="777">
        <f t="shared" si="110"/>
        <v>0</v>
      </c>
      <c r="EF70" s="777">
        <f t="shared" si="110"/>
        <v>0</v>
      </c>
      <c r="EG70" s="777">
        <f t="shared" si="110"/>
        <v>0</v>
      </c>
      <c r="EH70" s="777">
        <f t="shared" si="110"/>
        <v>0</v>
      </c>
      <c r="EI70" s="777">
        <f t="shared" si="110"/>
        <v>0</v>
      </c>
      <c r="EJ70" s="777">
        <f t="shared" si="110"/>
        <v>0</v>
      </c>
      <c r="EK70" s="777">
        <f t="shared" si="110"/>
        <v>0</v>
      </c>
      <c r="EL70" s="777">
        <f t="shared" si="111"/>
        <v>0</v>
      </c>
      <c r="EM70" s="777">
        <f t="shared" si="111"/>
        <v>0</v>
      </c>
      <c r="EN70" s="777">
        <f t="shared" si="111"/>
        <v>0</v>
      </c>
      <c r="EO70" s="777">
        <f t="shared" si="111"/>
        <v>0</v>
      </c>
      <c r="EP70" s="777">
        <f t="shared" si="111"/>
        <v>0</v>
      </c>
      <c r="EQ70" s="777">
        <f t="shared" si="111"/>
        <v>0</v>
      </c>
      <c r="ER70" s="777">
        <f t="shared" si="111"/>
        <v>0</v>
      </c>
      <c r="ES70" s="777">
        <f t="shared" si="111"/>
        <v>0</v>
      </c>
      <c r="ET70" s="777">
        <f t="shared" si="111"/>
        <v>0</v>
      </c>
      <c r="EU70" s="777">
        <f t="shared" si="111"/>
        <v>0</v>
      </c>
      <c r="EV70" s="777">
        <f t="shared" si="111"/>
        <v>0</v>
      </c>
    </row>
    <row r="71" spans="1:152" ht="34.5" customHeight="1">
      <c r="A71" s="659">
        <v>25</v>
      </c>
      <c r="B71" s="660" t="s">
        <v>506</v>
      </c>
      <c r="C71" s="661"/>
      <c r="D71" s="661"/>
      <c r="E71" s="661"/>
      <c r="F71" s="661"/>
      <c r="G71" s="661"/>
      <c r="H71" s="661"/>
      <c r="I71" s="661"/>
      <c r="J71" s="661"/>
      <c r="K71" s="646">
        <f t="shared" si="5"/>
        <v>0</v>
      </c>
      <c r="L71" s="662">
        <f t="shared" si="97"/>
        <v>2345</v>
      </c>
      <c r="M71" s="662"/>
      <c r="N71" s="662"/>
      <c r="O71" s="662"/>
      <c r="P71" s="662"/>
      <c r="Q71" s="662"/>
      <c r="R71" s="666">
        <f>((N71+O71)-(BA71+BB71))*10%</f>
        <v>0</v>
      </c>
      <c r="S71" s="666">
        <f>ROUND(R71,0)</f>
        <v>0</v>
      </c>
      <c r="T71" s="666">
        <f t="shared" si="98"/>
        <v>0</v>
      </c>
      <c r="U71" s="666">
        <f t="shared" si="99"/>
        <v>0</v>
      </c>
      <c r="V71" s="662"/>
      <c r="W71" s="662"/>
      <c r="X71" s="662"/>
      <c r="Y71" s="666">
        <f t="shared" si="113"/>
        <v>0</v>
      </c>
      <c r="Z71" s="666">
        <f t="shared" si="112"/>
        <v>0</v>
      </c>
      <c r="AA71" s="666"/>
      <c r="AB71" s="666">
        <f t="shared" si="100"/>
        <v>0</v>
      </c>
      <c r="AC71" s="666">
        <f t="shared" si="101"/>
        <v>0</v>
      </c>
      <c r="AD71" s="662">
        <v>2345</v>
      </c>
      <c r="AE71" s="662"/>
      <c r="AF71" s="662"/>
      <c r="AG71" s="662"/>
      <c r="AH71" s="662"/>
      <c r="AI71" s="662"/>
      <c r="AJ71" s="662"/>
      <c r="AK71" s="662"/>
      <c r="AL71" s="664"/>
      <c r="AN71" s="610"/>
      <c r="AO71" s="659">
        <v>30</v>
      </c>
      <c r="AP71" s="660" t="s">
        <v>506</v>
      </c>
      <c r="AQ71" s="661"/>
      <c r="AR71" s="661"/>
      <c r="AS71" s="661"/>
      <c r="AT71" s="661"/>
      <c r="AU71" s="661"/>
      <c r="AV71" s="661"/>
      <c r="AW71" s="661"/>
      <c r="AX71" s="661"/>
      <c r="AY71" s="662">
        <f t="shared" si="104"/>
        <v>2000</v>
      </c>
      <c r="AZ71" s="665"/>
      <c r="BA71" s="662"/>
      <c r="BB71" s="662"/>
      <c r="BC71" s="662"/>
      <c r="BD71" s="662"/>
      <c r="BE71" s="666">
        <f t="shared" si="105"/>
        <v>0</v>
      </c>
      <c r="BF71" s="667">
        <f t="shared" si="106"/>
        <v>0</v>
      </c>
      <c r="BG71" s="666">
        <f t="shared" si="107"/>
        <v>0</v>
      </c>
      <c r="BH71" s="662"/>
      <c r="BI71" s="662"/>
      <c r="BJ71" s="662"/>
      <c r="BK71" s="662"/>
      <c r="BL71" s="666">
        <f>BH71*10%</f>
        <v>0</v>
      </c>
      <c r="BM71" s="667">
        <f t="shared" si="108"/>
        <v>0</v>
      </c>
      <c r="BN71" s="666">
        <f t="shared" si="109"/>
        <v>0</v>
      </c>
      <c r="BO71" s="662">
        <v>2000</v>
      </c>
      <c r="BP71" s="662"/>
      <c r="BQ71" s="662"/>
      <c r="BR71" s="662"/>
      <c r="BS71" s="662"/>
      <c r="BT71" s="662"/>
      <c r="BU71" s="662"/>
      <c r="BV71" s="662"/>
      <c r="BW71" s="662"/>
      <c r="CA71" s="1352">
        <v>27</v>
      </c>
      <c r="CB71" s="1352" t="s">
        <v>506</v>
      </c>
      <c r="CC71" s="1352"/>
      <c r="CD71" s="1352"/>
      <c r="CE71" s="1352"/>
      <c r="CF71" s="1352"/>
      <c r="CG71" s="1352"/>
      <c r="CH71" s="1352"/>
      <c r="CI71" s="1352"/>
      <c r="CJ71" s="1352"/>
      <c r="CK71" s="1353">
        <v>2345</v>
      </c>
      <c r="CL71" s="1353"/>
      <c r="CM71" s="1354"/>
      <c r="CN71" s="1354"/>
      <c r="CO71" s="1354"/>
      <c r="CP71" s="1354"/>
      <c r="CQ71" s="1354">
        <v>0</v>
      </c>
      <c r="CR71" s="1354">
        <v>0</v>
      </c>
      <c r="CS71" s="1354">
        <v>0</v>
      </c>
      <c r="CT71" s="1353">
        <v>0</v>
      </c>
      <c r="CU71" s="1353"/>
      <c r="CV71" s="1353"/>
      <c r="CW71" s="1353"/>
      <c r="CX71" s="1353">
        <v>0</v>
      </c>
      <c r="CY71" s="1353">
        <v>0</v>
      </c>
      <c r="CZ71" s="1353"/>
      <c r="DA71" s="1353">
        <v>0</v>
      </c>
      <c r="DB71" s="1353">
        <v>0</v>
      </c>
      <c r="DC71" s="1353">
        <v>2345</v>
      </c>
      <c r="DD71" s="1353"/>
      <c r="DE71" s="1353"/>
      <c r="DF71" s="1353"/>
      <c r="DG71" s="1353"/>
      <c r="DH71" s="1353"/>
      <c r="DI71" s="1353"/>
      <c r="DJ71" s="1353"/>
      <c r="DK71" s="1353"/>
      <c r="DT71" s="659">
        <v>27</v>
      </c>
      <c r="DU71" s="660" t="s">
        <v>506</v>
      </c>
      <c r="DV71" s="777">
        <f t="shared" si="110"/>
        <v>0</v>
      </c>
      <c r="DW71" s="777">
        <f t="shared" si="110"/>
        <v>0</v>
      </c>
      <c r="DX71" s="777">
        <f t="shared" si="110"/>
        <v>0</v>
      </c>
      <c r="DY71" s="777">
        <f t="shared" si="110"/>
        <v>0</v>
      </c>
      <c r="DZ71" s="777">
        <f t="shared" si="110"/>
        <v>0</v>
      </c>
      <c r="EA71" s="777">
        <f t="shared" si="110"/>
        <v>0</v>
      </c>
      <c r="EB71" s="777">
        <f t="shared" si="110"/>
        <v>0</v>
      </c>
      <c r="EC71" s="777">
        <f t="shared" si="110"/>
        <v>0</v>
      </c>
      <c r="ED71" s="777">
        <f t="shared" si="110"/>
        <v>0</v>
      </c>
      <c r="EE71" s="777">
        <f t="shared" si="110"/>
        <v>0</v>
      </c>
      <c r="EF71" s="777">
        <f t="shared" si="110"/>
        <v>0</v>
      </c>
      <c r="EG71" s="777">
        <f t="shared" si="110"/>
        <v>0</v>
      </c>
      <c r="EH71" s="777">
        <f t="shared" si="110"/>
        <v>0</v>
      </c>
      <c r="EI71" s="777">
        <f t="shared" si="110"/>
        <v>0</v>
      </c>
      <c r="EJ71" s="777">
        <f t="shared" si="110"/>
        <v>0</v>
      </c>
      <c r="EK71" s="777">
        <f t="shared" si="110"/>
        <v>0</v>
      </c>
      <c r="EL71" s="777">
        <f t="shared" si="111"/>
        <v>0</v>
      </c>
      <c r="EM71" s="777">
        <f t="shared" si="111"/>
        <v>0</v>
      </c>
      <c r="EN71" s="777">
        <f t="shared" si="111"/>
        <v>0</v>
      </c>
      <c r="EO71" s="777">
        <f t="shared" si="111"/>
        <v>0</v>
      </c>
      <c r="EP71" s="777">
        <f t="shared" si="111"/>
        <v>0</v>
      </c>
      <c r="EQ71" s="777">
        <f t="shared" si="111"/>
        <v>0</v>
      </c>
      <c r="ER71" s="777">
        <f t="shared" si="111"/>
        <v>0</v>
      </c>
      <c r="ES71" s="777">
        <f t="shared" si="111"/>
        <v>0</v>
      </c>
      <c r="ET71" s="777">
        <f t="shared" si="111"/>
        <v>0</v>
      </c>
      <c r="EU71" s="777">
        <f t="shared" si="111"/>
        <v>0</v>
      </c>
      <c r="EV71" s="777">
        <f t="shared" si="111"/>
        <v>0</v>
      </c>
    </row>
    <row r="72" spans="1:152" ht="74.25" customHeight="1">
      <c r="A72" s="659">
        <v>26</v>
      </c>
      <c r="B72" s="660" t="s">
        <v>507</v>
      </c>
      <c r="C72" s="661"/>
      <c r="D72" s="661"/>
      <c r="E72" s="661"/>
      <c r="F72" s="661"/>
      <c r="G72" s="661"/>
      <c r="H72" s="661"/>
      <c r="I72" s="661"/>
      <c r="J72" s="1411"/>
      <c r="K72" s="646">
        <f t="shared" si="5"/>
        <v>0</v>
      </c>
      <c r="L72" s="662">
        <f t="shared" si="97"/>
        <v>1725</v>
      </c>
      <c r="M72" s="666"/>
      <c r="N72" s="666"/>
      <c r="O72" s="666"/>
      <c r="P72" s="666"/>
      <c r="Q72" s="666"/>
      <c r="R72" s="666">
        <f>((N72+O72)-(BA72+BB72))*10%</f>
        <v>0</v>
      </c>
      <c r="S72" s="666">
        <f>ROUND(R72,0)</f>
        <v>0</v>
      </c>
      <c r="T72" s="666">
        <f t="shared" si="98"/>
        <v>0</v>
      </c>
      <c r="U72" s="666">
        <f t="shared" si="99"/>
        <v>0</v>
      </c>
      <c r="V72" s="666"/>
      <c r="W72" s="666"/>
      <c r="X72" s="666"/>
      <c r="Y72" s="666">
        <f t="shared" si="113"/>
        <v>0</v>
      </c>
      <c r="Z72" s="666">
        <f t="shared" si="112"/>
        <v>0</v>
      </c>
      <c r="AA72" s="666"/>
      <c r="AB72" s="666">
        <f t="shared" si="100"/>
        <v>0</v>
      </c>
      <c r="AC72" s="666">
        <f t="shared" si="101"/>
        <v>0</v>
      </c>
      <c r="AD72" s="666">
        <v>1725</v>
      </c>
      <c r="AE72" s="666"/>
      <c r="AF72" s="666"/>
      <c r="AG72" s="666"/>
      <c r="AH72" s="666"/>
      <c r="AI72" s="666"/>
      <c r="AJ72" s="666"/>
      <c r="AK72" s="666"/>
      <c r="AL72" s="664"/>
      <c r="AN72" s="610"/>
      <c r="AO72" s="659">
        <v>31</v>
      </c>
      <c r="AP72" s="660" t="s">
        <v>507</v>
      </c>
      <c r="AQ72" s="661"/>
      <c r="AR72" s="661"/>
      <c r="AS72" s="661"/>
      <c r="AT72" s="661"/>
      <c r="AU72" s="661"/>
      <c r="AV72" s="661"/>
      <c r="AW72" s="661"/>
      <c r="AX72" s="661"/>
      <c r="AY72" s="666">
        <f t="shared" si="104"/>
        <v>4926</v>
      </c>
      <c r="AZ72" s="670"/>
      <c r="BA72" s="666"/>
      <c r="BB72" s="666"/>
      <c r="BC72" s="666"/>
      <c r="BD72" s="666"/>
      <c r="BE72" s="666">
        <f t="shared" si="105"/>
        <v>0</v>
      </c>
      <c r="BF72" s="667">
        <f t="shared" si="106"/>
        <v>0</v>
      </c>
      <c r="BG72" s="666">
        <f t="shared" si="107"/>
        <v>0</v>
      </c>
      <c r="BH72" s="666"/>
      <c r="BI72" s="666"/>
      <c r="BJ72" s="666"/>
      <c r="BK72" s="666"/>
      <c r="BL72" s="666">
        <f>BH72*10%</f>
        <v>0</v>
      </c>
      <c r="BM72" s="667">
        <f t="shared" si="108"/>
        <v>0</v>
      </c>
      <c r="BN72" s="666">
        <f t="shared" si="109"/>
        <v>0</v>
      </c>
      <c r="BO72" s="666">
        <v>4926</v>
      </c>
      <c r="BP72" s="666"/>
      <c r="BQ72" s="666"/>
      <c r="BR72" s="666"/>
      <c r="BS72" s="666"/>
      <c r="BT72" s="666"/>
      <c r="BU72" s="666"/>
      <c r="BV72" s="666"/>
      <c r="BW72" s="662"/>
      <c r="CA72" s="1352">
        <v>28</v>
      </c>
      <c r="CB72" s="1352" t="s">
        <v>507</v>
      </c>
      <c r="CC72" s="1352"/>
      <c r="CD72" s="1352"/>
      <c r="CE72" s="1352"/>
      <c r="CF72" s="1352"/>
      <c r="CG72" s="1352"/>
      <c r="CH72" s="1352"/>
      <c r="CI72" s="1352"/>
      <c r="CJ72" s="1352"/>
      <c r="CK72" s="1353">
        <v>1725</v>
      </c>
      <c r="CL72" s="1353"/>
      <c r="CM72" s="1354"/>
      <c r="CN72" s="1354"/>
      <c r="CO72" s="1354"/>
      <c r="CP72" s="1354"/>
      <c r="CQ72" s="1354">
        <v>0</v>
      </c>
      <c r="CR72" s="1354">
        <v>0</v>
      </c>
      <c r="CS72" s="1354">
        <v>0</v>
      </c>
      <c r="CT72" s="1353">
        <v>0</v>
      </c>
      <c r="CU72" s="1353"/>
      <c r="CV72" s="1353"/>
      <c r="CW72" s="1353"/>
      <c r="CX72" s="1353">
        <v>0</v>
      </c>
      <c r="CY72" s="1353">
        <v>0</v>
      </c>
      <c r="CZ72" s="1353"/>
      <c r="DA72" s="1353">
        <v>0</v>
      </c>
      <c r="DB72" s="1353">
        <v>0</v>
      </c>
      <c r="DC72" s="1353">
        <v>1725</v>
      </c>
      <c r="DD72" s="1353"/>
      <c r="DE72" s="1353"/>
      <c r="DF72" s="1353"/>
      <c r="DG72" s="1353"/>
      <c r="DH72" s="1353"/>
      <c r="DI72" s="1353"/>
      <c r="DJ72" s="1353"/>
      <c r="DK72" s="1353"/>
      <c r="DT72" s="659">
        <v>28</v>
      </c>
      <c r="DU72" s="660" t="s">
        <v>507</v>
      </c>
      <c r="DV72" s="777">
        <f t="shared" si="110"/>
        <v>0</v>
      </c>
      <c r="DW72" s="777">
        <f t="shared" si="110"/>
        <v>0</v>
      </c>
      <c r="DX72" s="777">
        <f t="shared" si="110"/>
        <v>0</v>
      </c>
      <c r="DY72" s="777">
        <f t="shared" si="110"/>
        <v>0</v>
      </c>
      <c r="DZ72" s="777">
        <f t="shared" si="110"/>
        <v>0</v>
      </c>
      <c r="EA72" s="777">
        <f t="shared" si="110"/>
        <v>0</v>
      </c>
      <c r="EB72" s="777">
        <f t="shared" si="110"/>
        <v>0</v>
      </c>
      <c r="EC72" s="777">
        <f t="shared" si="110"/>
        <v>0</v>
      </c>
      <c r="ED72" s="777">
        <f t="shared" si="110"/>
        <v>0</v>
      </c>
      <c r="EE72" s="777">
        <f t="shared" si="110"/>
        <v>0</v>
      </c>
      <c r="EF72" s="777">
        <f t="shared" si="110"/>
        <v>0</v>
      </c>
      <c r="EG72" s="777">
        <f t="shared" si="110"/>
        <v>0</v>
      </c>
      <c r="EH72" s="777">
        <f t="shared" si="110"/>
        <v>0</v>
      </c>
      <c r="EI72" s="777">
        <f t="shared" si="110"/>
        <v>0</v>
      </c>
      <c r="EJ72" s="777">
        <f t="shared" si="110"/>
        <v>0</v>
      </c>
      <c r="EK72" s="777">
        <f t="shared" si="110"/>
        <v>0</v>
      </c>
      <c r="EL72" s="777">
        <f t="shared" si="111"/>
        <v>0</v>
      </c>
      <c r="EM72" s="777">
        <f t="shared" si="111"/>
        <v>0</v>
      </c>
      <c r="EN72" s="777">
        <f t="shared" si="111"/>
        <v>0</v>
      </c>
      <c r="EO72" s="777">
        <f t="shared" si="111"/>
        <v>0</v>
      </c>
      <c r="EP72" s="777">
        <f t="shared" si="111"/>
        <v>0</v>
      </c>
      <c r="EQ72" s="777">
        <f t="shared" si="111"/>
        <v>0</v>
      </c>
      <c r="ER72" s="777">
        <f t="shared" si="111"/>
        <v>0</v>
      </c>
      <c r="ES72" s="777">
        <f t="shared" si="111"/>
        <v>0</v>
      </c>
      <c r="ET72" s="777">
        <f t="shared" si="111"/>
        <v>0</v>
      </c>
      <c r="EU72" s="777">
        <f t="shared" si="111"/>
        <v>0</v>
      </c>
      <c r="EV72" s="777">
        <f t="shared" si="111"/>
        <v>0</v>
      </c>
    </row>
    <row r="73" spans="1:152" ht="66.75" customHeight="1">
      <c r="A73" s="659">
        <v>27</v>
      </c>
      <c r="B73" s="660" t="s">
        <v>508</v>
      </c>
      <c r="C73" s="661"/>
      <c r="D73" s="661"/>
      <c r="E73" s="661"/>
      <c r="F73" s="661"/>
      <c r="G73" s="661"/>
      <c r="H73" s="661"/>
      <c r="I73" s="661"/>
      <c r="J73" s="661"/>
      <c r="K73" s="646">
        <f t="shared" si="5"/>
        <v>420</v>
      </c>
      <c r="L73" s="662">
        <f t="shared" si="97"/>
        <v>420</v>
      </c>
      <c r="M73" s="666">
        <v>96</v>
      </c>
      <c r="N73" s="666">
        <v>53</v>
      </c>
      <c r="O73" s="666"/>
      <c r="P73" s="666"/>
      <c r="Q73" s="666"/>
      <c r="R73" s="666"/>
      <c r="S73" s="666"/>
      <c r="T73" s="666">
        <f t="shared" si="98"/>
        <v>0</v>
      </c>
      <c r="U73" s="666">
        <f t="shared" si="99"/>
        <v>149</v>
      </c>
      <c r="V73" s="666">
        <v>301</v>
      </c>
      <c r="W73" s="666"/>
      <c r="X73" s="666"/>
      <c r="Y73" s="666">
        <f t="shared" si="113"/>
        <v>30.1</v>
      </c>
      <c r="Z73" s="666">
        <f t="shared" si="112"/>
        <v>30.1</v>
      </c>
      <c r="AA73" s="666"/>
      <c r="AB73" s="666">
        <f t="shared" si="100"/>
        <v>30</v>
      </c>
      <c r="AC73" s="666">
        <f t="shared" si="101"/>
        <v>271</v>
      </c>
      <c r="AD73" s="666"/>
      <c r="AE73" s="666"/>
      <c r="AF73" s="666"/>
      <c r="AG73" s="666"/>
      <c r="AH73" s="666"/>
      <c r="AI73" s="666"/>
      <c r="AJ73" s="666"/>
      <c r="AK73" s="666"/>
      <c r="AL73" s="664"/>
      <c r="AN73" s="610"/>
      <c r="AO73" s="659">
        <v>32</v>
      </c>
      <c r="AP73" s="660" t="s">
        <v>508</v>
      </c>
      <c r="AQ73" s="661"/>
      <c r="AR73" s="661"/>
      <c r="AS73" s="661"/>
      <c r="AT73" s="661"/>
      <c r="AU73" s="661"/>
      <c r="AV73" s="661"/>
      <c r="AW73" s="661"/>
      <c r="AX73" s="661"/>
      <c r="AY73" s="666">
        <f t="shared" si="104"/>
        <v>1000</v>
      </c>
      <c r="AZ73" s="670">
        <v>96</v>
      </c>
      <c r="BA73" s="666">
        <v>110</v>
      </c>
      <c r="BB73" s="666"/>
      <c r="BC73" s="666"/>
      <c r="BD73" s="666"/>
      <c r="BE73" s="666"/>
      <c r="BF73" s="667">
        <f t="shared" si="106"/>
        <v>0</v>
      </c>
      <c r="BG73" s="666">
        <f>(AZ73+BA73+BB73+BC73)-BF73</f>
        <v>206</v>
      </c>
      <c r="BH73" s="666"/>
      <c r="BI73" s="666"/>
      <c r="BJ73" s="666"/>
      <c r="BK73" s="666"/>
      <c r="BL73" s="666">
        <f>BH73*10%</f>
        <v>0</v>
      </c>
      <c r="BM73" s="667"/>
      <c r="BN73" s="666">
        <f t="shared" si="109"/>
        <v>0</v>
      </c>
      <c r="BO73" s="666">
        <v>794</v>
      </c>
      <c r="BP73" s="666"/>
      <c r="BQ73" s="666"/>
      <c r="BR73" s="666"/>
      <c r="BS73" s="666"/>
      <c r="BT73" s="666"/>
      <c r="BU73" s="666"/>
      <c r="BV73" s="666"/>
      <c r="BW73" s="662"/>
      <c r="CA73" s="1352">
        <v>29</v>
      </c>
      <c r="CB73" s="1352" t="s">
        <v>508</v>
      </c>
      <c r="CC73" s="1352"/>
      <c r="CD73" s="1352"/>
      <c r="CE73" s="1352"/>
      <c r="CF73" s="1352"/>
      <c r="CG73" s="1352"/>
      <c r="CH73" s="1352"/>
      <c r="CI73" s="1352"/>
      <c r="CJ73" s="1352"/>
      <c r="CK73" s="1353">
        <v>420</v>
      </c>
      <c r="CL73" s="1353">
        <v>96</v>
      </c>
      <c r="CM73" s="1354">
        <v>53</v>
      </c>
      <c r="CN73" s="1354"/>
      <c r="CO73" s="1354"/>
      <c r="CP73" s="1354"/>
      <c r="CQ73" s="1354"/>
      <c r="CR73" s="1354"/>
      <c r="CS73" s="1354">
        <v>0</v>
      </c>
      <c r="CT73" s="1353">
        <v>149</v>
      </c>
      <c r="CU73" s="1353">
        <v>301</v>
      </c>
      <c r="CV73" s="1353"/>
      <c r="CW73" s="1353"/>
      <c r="CX73" s="1353">
        <v>30.1</v>
      </c>
      <c r="CY73" s="1353">
        <v>30.1</v>
      </c>
      <c r="CZ73" s="1353"/>
      <c r="DA73" s="1353">
        <v>30</v>
      </c>
      <c r="DB73" s="1353">
        <v>271</v>
      </c>
      <c r="DC73" s="1353"/>
      <c r="DD73" s="1353"/>
      <c r="DE73" s="1353"/>
      <c r="DF73" s="1353"/>
      <c r="DG73" s="1353"/>
      <c r="DH73" s="1353"/>
      <c r="DI73" s="1353"/>
      <c r="DJ73" s="1353"/>
      <c r="DK73" s="1353"/>
      <c r="DT73" s="659">
        <v>29</v>
      </c>
      <c r="DU73" s="660" t="s">
        <v>508</v>
      </c>
      <c r="DV73" s="777">
        <f t="shared" si="110"/>
        <v>0</v>
      </c>
      <c r="DW73" s="777">
        <f t="shared" si="110"/>
        <v>0</v>
      </c>
      <c r="DX73" s="777">
        <f t="shared" si="110"/>
        <v>0</v>
      </c>
      <c r="DY73" s="777">
        <f t="shared" si="110"/>
        <v>0</v>
      </c>
      <c r="DZ73" s="777">
        <f t="shared" si="110"/>
        <v>0</v>
      </c>
      <c r="EA73" s="777">
        <f t="shared" si="110"/>
        <v>0</v>
      </c>
      <c r="EB73" s="777">
        <f t="shared" si="110"/>
        <v>0</v>
      </c>
      <c r="EC73" s="777">
        <f t="shared" si="110"/>
        <v>0</v>
      </c>
      <c r="ED73" s="777">
        <f t="shared" si="110"/>
        <v>0</v>
      </c>
      <c r="EE73" s="777">
        <f t="shared" si="110"/>
        <v>0</v>
      </c>
      <c r="EF73" s="777">
        <f t="shared" si="110"/>
        <v>0</v>
      </c>
      <c r="EG73" s="777">
        <f t="shared" si="110"/>
        <v>0</v>
      </c>
      <c r="EH73" s="777">
        <f t="shared" si="110"/>
        <v>0</v>
      </c>
      <c r="EI73" s="777">
        <f t="shared" si="110"/>
        <v>0</v>
      </c>
      <c r="EJ73" s="777">
        <f t="shared" si="110"/>
        <v>0</v>
      </c>
      <c r="EK73" s="777">
        <f t="shared" si="110"/>
        <v>0</v>
      </c>
      <c r="EL73" s="777">
        <f t="shared" si="111"/>
        <v>0</v>
      </c>
      <c r="EM73" s="777">
        <f t="shared" si="111"/>
        <v>0</v>
      </c>
      <c r="EN73" s="777">
        <f t="shared" si="111"/>
        <v>0</v>
      </c>
      <c r="EO73" s="777">
        <f t="shared" si="111"/>
        <v>0</v>
      </c>
      <c r="EP73" s="777">
        <f t="shared" si="111"/>
        <v>0</v>
      </c>
      <c r="EQ73" s="777">
        <f t="shared" si="111"/>
        <v>0</v>
      </c>
      <c r="ER73" s="777">
        <f t="shared" si="111"/>
        <v>0</v>
      </c>
      <c r="ES73" s="777">
        <f t="shared" si="111"/>
        <v>0</v>
      </c>
      <c r="ET73" s="777">
        <f t="shared" si="111"/>
        <v>0</v>
      </c>
      <c r="EU73" s="777">
        <f t="shared" si="111"/>
        <v>0</v>
      </c>
      <c r="EV73" s="777">
        <f t="shared" si="111"/>
        <v>0</v>
      </c>
    </row>
    <row r="74" spans="1:152" ht="30.6" customHeight="1">
      <c r="A74" s="1502">
        <v>28</v>
      </c>
      <c r="B74" s="939" t="s">
        <v>509</v>
      </c>
      <c r="C74" s="1411">
        <f>SUM(C75:C77)</f>
        <v>0</v>
      </c>
      <c r="D74" s="1411">
        <f t="shared" ref="D74:AL74" si="114">SUM(D75:D77)</f>
        <v>0</v>
      </c>
      <c r="E74" s="1411"/>
      <c r="F74" s="1411"/>
      <c r="G74" s="1411"/>
      <c r="H74" s="1411"/>
      <c r="I74" s="1411"/>
      <c r="J74" s="1411"/>
      <c r="K74" s="646">
        <f t="shared" si="5"/>
        <v>0</v>
      </c>
      <c r="L74" s="1496">
        <f>SUM(L75:L77)</f>
        <v>34255</v>
      </c>
      <c r="M74" s="1496">
        <f t="shared" si="114"/>
        <v>0</v>
      </c>
      <c r="N74" s="1496">
        <f t="shared" si="114"/>
        <v>0</v>
      </c>
      <c r="O74" s="1496">
        <f t="shared" si="114"/>
        <v>0</v>
      </c>
      <c r="P74" s="1496">
        <f t="shared" si="114"/>
        <v>0</v>
      </c>
      <c r="Q74" s="1496">
        <f t="shared" si="114"/>
        <v>0</v>
      </c>
      <c r="R74" s="1496">
        <f t="shared" si="114"/>
        <v>0</v>
      </c>
      <c r="S74" s="1496"/>
      <c r="T74" s="1497">
        <f t="shared" si="98"/>
        <v>0</v>
      </c>
      <c r="U74" s="1497">
        <f t="shared" si="99"/>
        <v>0</v>
      </c>
      <c r="V74" s="1496">
        <f t="shared" si="114"/>
        <v>0</v>
      </c>
      <c r="W74" s="1496">
        <f t="shared" si="114"/>
        <v>0</v>
      </c>
      <c r="X74" s="1496">
        <f t="shared" si="114"/>
        <v>0</v>
      </c>
      <c r="Y74" s="1497">
        <f t="shared" si="113"/>
        <v>0</v>
      </c>
      <c r="Z74" s="1497">
        <f t="shared" si="112"/>
        <v>0</v>
      </c>
      <c r="AA74" s="1497"/>
      <c r="AB74" s="1497">
        <f t="shared" si="100"/>
        <v>0</v>
      </c>
      <c r="AC74" s="666">
        <f t="shared" si="101"/>
        <v>0</v>
      </c>
      <c r="AD74" s="1496">
        <f>SUM(AD75:AD78)</f>
        <v>34255</v>
      </c>
      <c r="AE74" s="1496">
        <f t="shared" ref="AE74:AK74" si="115">SUM(AE75:AE78)</f>
        <v>0</v>
      </c>
      <c r="AF74" s="1496">
        <f t="shared" si="115"/>
        <v>0</v>
      </c>
      <c r="AG74" s="1496">
        <f t="shared" si="115"/>
        <v>0</v>
      </c>
      <c r="AH74" s="1496">
        <f t="shared" si="115"/>
        <v>0</v>
      </c>
      <c r="AI74" s="1496">
        <f t="shared" si="115"/>
        <v>0</v>
      </c>
      <c r="AJ74" s="1496">
        <f t="shared" si="115"/>
        <v>2339</v>
      </c>
      <c r="AK74" s="1496">
        <f t="shared" si="115"/>
        <v>0</v>
      </c>
      <c r="AL74" s="664">
        <f t="shared" si="114"/>
        <v>0</v>
      </c>
      <c r="AN74" s="610"/>
      <c r="AO74" s="659">
        <v>33</v>
      </c>
      <c r="AP74" s="660" t="s">
        <v>509</v>
      </c>
      <c r="AQ74" s="661">
        <f>SUM(AQ75:AQ77)</f>
        <v>0</v>
      </c>
      <c r="AR74" s="661">
        <f t="shared" ref="AR74:BW74" si="116">SUM(AR75:AR77)</f>
        <v>0</v>
      </c>
      <c r="AS74" s="661">
        <f t="shared" si="116"/>
        <v>0</v>
      </c>
      <c r="AT74" s="661">
        <f t="shared" si="116"/>
        <v>0</v>
      </c>
      <c r="AU74" s="661">
        <f t="shared" si="116"/>
        <v>0</v>
      </c>
      <c r="AV74" s="661">
        <f t="shared" si="116"/>
        <v>0</v>
      </c>
      <c r="AW74" s="661">
        <f t="shared" si="116"/>
        <v>0</v>
      </c>
      <c r="AX74" s="661">
        <f t="shared" si="116"/>
        <v>0</v>
      </c>
      <c r="AY74" s="662">
        <f t="shared" si="116"/>
        <v>35473</v>
      </c>
      <c r="AZ74" s="665">
        <f t="shared" si="116"/>
        <v>0</v>
      </c>
      <c r="BA74" s="662">
        <f t="shared" si="116"/>
        <v>0</v>
      </c>
      <c r="BB74" s="662">
        <f t="shared" si="116"/>
        <v>0</v>
      </c>
      <c r="BC74" s="662">
        <f t="shared" si="116"/>
        <v>0</v>
      </c>
      <c r="BD74" s="662">
        <f t="shared" si="116"/>
        <v>0</v>
      </c>
      <c r="BE74" s="662">
        <f t="shared" si="116"/>
        <v>0</v>
      </c>
      <c r="BF74" s="663"/>
      <c r="BG74" s="662"/>
      <c r="BH74" s="662">
        <f t="shared" si="116"/>
        <v>0</v>
      </c>
      <c r="BI74" s="662">
        <f t="shared" si="116"/>
        <v>0</v>
      </c>
      <c r="BJ74" s="662">
        <f t="shared" si="116"/>
        <v>0</v>
      </c>
      <c r="BK74" s="662">
        <f t="shared" si="116"/>
        <v>0</v>
      </c>
      <c r="BL74" s="662">
        <f t="shared" si="116"/>
        <v>0</v>
      </c>
      <c r="BM74" s="667">
        <f t="shared" si="108"/>
        <v>0</v>
      </c>
      <c r="BN74" s="666">
        <f t="shared" si="109"/>
        <v>0</v>
      </c>
      <c r="BO74" s="662">
        <f t="shared" si="116"/>
        <v>35473</v>
      </c>
      <c r="BP74" s="662">
        <f t="shared" si="116"/>
        <v>0</v>
      </c>
      <c r="BQ74" s="662">
        <f t="shared" si="116"/>
        <v>0</v>
      </c>
      <c r="BR74" s="662">
        <f t="shared" si="116"/>
        <v>0</v>
      </c>
      <c r="BS74" s="662">
        <f>SUM(BS75:BS77)</f>
        <v>0</v>
      </c>
      <c r="BT74" s="662">
        <f t="shared" si="116"/>
        <v>0</v>
      </c>
      <c r="BU74" s="662">
        <f t="shared" si="116"/>
        <v>0</v>
      </c>
      <c r="BV74" s="662">
        <f t="shared" si="116"/>
        <v>0</v>
      </c>
      <c r="BW74" s="662">
        <f t="shared" si="116"/>
        <v>0</v>
      </c>
      <c r="CA74" s="1352">
        <v>30</v>
      </c>
      <c r="CB74" s="1352" t="s">
        <v>509</v>
      </c>
      <c r="CC74" s="1352">
        <v>0</v>
      </c>
      <c r="CD74" s="1352">
        <v>0</v>
      </c>
      <c r="CE74" s="1352"/>
      <c r="CF74" s="1352"/>
      <c r="CG74" s="1352"/>
      <c r="CH74" s="1352"/>
      <c r="CI74" s="1352"/>
      <c r="CJ74" s="1352"/>
      <c r="CK74" s="1353">
        <v>0</v>
      </c>
      <c r="CL74" s="1353">
        <v>0</v>
      </c>
      <c r="CM74" s="1354">
        <v>0</v>
      </c>
      <c r="CN74" s="1354">
        <v>0</v>
      </c>
      <c r="CO74" s="1354">
        <v>0</v>
      </c>
      <c r="CP74" s="1354">
        <v>0</v>
      </c>
      <c r="CQ74" s="1354">
        <v>0</v>
      </c>
      <c r="CR74" s="1354"/>
      <c r="CS74" s="1354">
        <v>0</v>
      </c>
      <c r="CT74" s="1353">
        <v>0</v>
      </c>
      <c r="CU74" s="1353">
        <v>0</v>
      </c>
      <c r="CV74" s="1353">
        <v>0</v>
      </c>
      <c r="CW74" s="1353">
        <v>0</v>
      </c>
      <c r="CX74" s="1353">
        <v>0</v>
      </c>
      <c r="CY74" s="1353">
        <v>0</v>
      </c>
      <c r="CZ74" s="1353"/>
      <c r="DA74" s="1353">
        <v>0</v>
      </c>
      <c r="DB74" s="1353">
        <v>0</v>
      </c>
      <c r="DC74" s="1353">
        <v>0</v>
      </c>
      <c r="DD74" s="1353">
        <v>0</v>
      </c>
      <c r="DE74" s="1353">
        <v>0</v>
      </c>
      <c r="DF74" s="1353">
        <v>0</v>
      </c>
      <c r="DG74" s="1353">
        <v>0</v>
      </c>
      <c r="DH74" s="1353">
        <v>0</v>
      </c>
      <c r="DI74" s="1353">
        <v>0</v>
      </c>
      <c r="DJ74" s="1353">
        <v>0</v>
      </c>
      <c r="DK74" s="1353">
        <v>0</v>
      </c>
      <c r="DT74" s="659">
        <v>30</v>
      </c>
      <c r="DU74" s="660" t="s">
        <v>509</v>
      </c>
      <c r="DV74" s="777">
        <f t="shared" si="110"/>
        <v>34255</v>
      </c>
      <c r="DW74" s="777">
        <f t="shared" si="110"/>
        <v>0</v>
      </c>
      <c r="DX74" s="777">
        <f t="shared" si="110"/>
        <v>0</v>
      </c>
      <c r="DY74" s="777">
        <f t="shared" si="110"/>
        <v>0</v>
      </c>
      <c r="DZ74" s="777">
        <f t="shared" si="110"/>
        <v>0</v>
      </c>
      <c r="EA74" s="777">
        <f t="shared" si="110"/>
        <v>0</v>
      </c>
      <c r="EB74" s="777">
        <f t="shared" si="110"/>
        <v>0</v>
      </c>
      <c r="EC74" s="777">
        <f t="shared" si="110"/>
        <v>0</v>
      </c>
      <c r="ED74" s="777">
        <f t="shared" si="110"/>
        <v>0</v>
      </c>
      <c r="EE74" s="777">
        <f t="shared" si="110"/>
        <v>0</v>
      </c>
      <c r="EF74" s="777">
        <f t="shared" si="110"/>
        <v>0</v>
      </c>
      <c r="EG74" s="777">
        <f t="shared" si="110"/>
        <v>0</v>
      </c>
      <c r="EH74" s="777">
        <f t="shared" si="110"/>
        <v>0</v>
      </c>
      <c r="EI74" s="777">
        <f t="shared" si="110"/>
        <v>0</v>
      </c>
      <c r="EJ74" s="777">
        <f t="shared" si="110"/>
        <v>0</v>
      </c>
      <c r="EK74" s="777">
        <f t="shared" si="110"/>
        <v>0</v>
      </c>
      <c r="EL74" s="777">
        <f t="shared" si="111"/>
        <v>0</v>
      </c>
      <c r="EM74" s="777">
        <f t="shared" si="111"/>
        <v>0</v>
      </c>
      <c r="EN74" s="777">
        <f t="shared" si="111"/>
        <v>34255</v>
      </c>
      <c r="EO74" s="777">
        <f t="shared" si="111"/>
        <v>0</v>
      </c>
      <c r="EP74" s="777">
        <f t="shared" si="111"/>
        <v>0</v>
      </c>
      <c r="EQ74" s="777">
        <f t="shared" si="111"/>
        <v>0</v>
      </c>
      <c r="ER74" s="777">
        <f t="shared" si="111"/>
        <v>0</v>
      </c>
      <c r="ES74" s="777">
        <f t="shared" si="111"/>
        <v>0</v>
      </c>
      <c r="ET74" s="777">
        <f t="shared" si="111"/>
        <v>2339</v>
      </c>
      <c r="EU74" s="777">
        <f t="shared" si="111"/>
        <v>0</v>
      </c>
      <c r="EV74" s="777">
        <f t="shared" si="111"/>
        <v>0</v>
      </c>
    </row>
    <row r="75" spans="1:152" s="693" customFormat="1" ht="22.5" customHeight="1">
      <c r="A75" s="682"/>
      <c r="B75" s="683" t="s">
        <v>510</v>
      </c>
      <c r="C75" s="684"/>
      <c r="D75" s="684"/>
      <c r="E75" s="684"/>
      <c r="F75" s="684"/>
      <c r="G75" s="684"/>
      <c r="H75" s="684"/>
      <c r="I75" s="684"/>
      <c r="J75" s="684"/>
      <c r="K75" s="646">
        <f t="shared" ref="K75:K142" si="117">L75-AD75</f>
        <v>0</v>
      </c>
      <c r="L75" s="692">
        <f>U75+AC75+AD75+AE75</f>
        <v>33603</v>
      </c>
      <c r="M75" s="685"/>
      <c r="N75" s="685"/>
      <c r="O75" s="685"/>
      <c r="P75" s="685"/>
      <c r="Q75" s="685"/>
      <c r="R75" s="685"/>
      <c r="S75" s="685"/>
      <c r="T75" s="666">
        <f t="shared" si="98"/>
        <v>0</v>
      </c>
      <c r="U75" s="666">
        <f t="shared" si="99"/>
        <v>0</v>
      </c>
      <c r="V75" s="685"/>
      <c r="W75" s="685"/>
      <c r="X75" s="685"/>
      <c r="Y75" s="666">
        <f t="shared" si="113"/>
        <v>0</v>
      </c>
      <c r="Z75" s="666">
        <f t="shared" si="112"/>
        <v>0</v>
      </c>
      <c r="AA75" s="685"/>
      <c r="AB75" s="666">
        <f t="shared" si="100"/>
        <v>0</v>
      </c>
      <c r="AC75" s="666">
        <f t="shared" si="101"/>
        <v>0</v>
      </c>
      <c r="AD75" s="685">
        <v>33603</v>
      </c>
      <c r="AE75" s="685"/>
      <c r="AF75" s="685"/>
      <c r="AG75" s="685"/>
      <c r="AH75" s="685"/>
      <c r="AI75" s="685"/>
      <c r="AJ75" s="685"/>
      <c r="AK75" s="685"/>
      <c r="AL75" s="688"/>
      <c r="AM75" s="689"/>
      <c r="AN75" s="690"/>
      <c r="AO75" s="682"/>
      <c r="AP75" s="683" t="s">
        <v>510</v>
      </c>
      <c r="AQ75" s="684"/>
      <c r="AR75" s="684"/>
      <c r="AS75" s="684"/>
      <c r="AT75" s="684"/>
      <c r="AU75" s="684"/>
      <c r="AV75" s="684"/>
      <c r="AW75" s="684"/>
      <c r="AX75" s="684"/>
      <c r="AY75" s="685">
        <f>BG75+BN75+BO75+BP75</f>
        <v>33160</v>
      </c>
      <c r="AZ75" s="691"/>
      <c r="BA75" s="685"/>
      <c r="BB75" s="685"/>
      <c r="BC75" s="685"/>
      <c r="BD75" s="685"/>
      <c r="BE75" s="685"/>
      <c r="BF75" s="686">
        <f>ROUND(BE75,0)</f>
        <v>0</v>
      </c>
      <c r="BG75" s="685">
        <f t="shared" si="107"/>
        <v>0</v>
      </c>
      <c r="BH75" s="685"/>
      <c r="BI75" s="685"/>
      <c r="BJ75" s="685"/>
      <c r="BK75" s="685"/>
      <c r="BL75" s="685"/>
      <c r="BM75" s="686">
        <f t="shared" si="108"/>
        <v>0</v>
      </c>
      <c r="BN75" s="685">
        <f t="shared" si="109"/>
        <v>0</v>
      </c>
      <c r="BO75" s="685">
        <v>33160</v>
      </c>
      <c r="BP75" s="685"/>
      <c r="BQ75" s="685"/>
      <c r="BR75" s="685"/>
      <c r="BS75" s="685"/>
      <c r="BT75" s="685"/>
      <c r="BU75" s="685"/>
      <c r="BV75" s="685"/>
      <c r="BW75" s="692"/>
      <c r="BY75" s="1355"/>
      <c r="BZ75" s="1355"/>
      <c r="CA75" s="1356"/>
      <c r="CB75" s="1356" t="s">
        <v>510</v>
      </c>
      <c r="CC75" s="1356"/>
      <c r="CD75" s="1356"/>
      <c r="CE75" s="1356"/>
      <c r="CF75" s="1356"/>
      <c r="CG75" s="1356"/>
      <c r="CH75" s="1356"/>
      <c r="CI75" s="1356"/>
      <c r="CJ75" s="1356"/>
      <c r="CK75" s="1357">
        <v>0</v>
      </c>
      <c r="CL75" s="1357"/>
      <c r="CM75" s="1358"/>
      <c r="CN75" s="1358"/>
      <c r="CO75" s="1358"/>
      <c r="CP75" s="1358"/>
      <c r="CQ75" s="1358"/>
      <c r="CR75" s="1358"/>
      <c r="CS75" s="1358">
        <v>0</v>
      </c>
      <c r="CT75" s="1357">
        <v>0</v>
      </c>
      <c r="CU75" s="1357"/>
      <c r="CV75" s="1357"/>
      <c r="CW75" s="1357"/>
      <c r="CX75" s="1357">
        <v>0</v>
      </c>
      <c r="CY75" s="1357">
        <v>0</v>
      </c>
      <c r="CZ75" s="1357"/>
      <c r="DA75" s="1357">
        <v>0</v>
      </c>
      <c r="DB75" s="1357">
        <v>0</v>
      </c>
      <c r="DC75" s="1357"/>
      <c r="DD75" s="1357"/>
      <c r="DE75" s="1357"/>
      <c r="DF75" s="1357"/>
      <c r="DG75" s="1357"/>
      <c r="DH75" s="1357"/>
      <c r="DI75" s="1357"/>
      <c r="DJ75" s="1357"/>
      <c r="DK75" s="1357"/>
      <c r="DT75" s="682"/>
      <c r="DU75" s="683" t="s">
        <v>510</v>
      </c>
      <c r="DV75" s="777">
        <f t="shared" si="110"/>
        <v>33603</v>
      </c>
      <c r="DW75" s="777">
        <f t="shared" si="110"/>
        <v>0</v>
      </c>
      <c r="DX75" s="777">
        <f t="shared" si="110"/>
        <v>0</v>
      </c>
      <c r="DY75" s="777">
        <f t="shared" si="110"/>
        <v>0</v>
      </c>
      <c r="DZ75" s="777">
        <f t="shared" si="110"/>
        <v>0</v>
      </c>
      <c r="EA75" s="777">
        <f t="shared" si="110"/>
        <v>0</v>
      </c>
      <c r="EB75" s="777">
        <f t="shared" si="110"/>
        <v>0</v>
      </c>
      <c r="EC75" s="777">
        <f t="shared" si="110"/>
        <v>0</v>
      </c>
      <c r="ED75" s="777">
        <f t="shared" si="110"/>
        <v>0</v>
      </c>
      <c r="EE75" s="777">
        <f t="shared" si="110"/>
        <v>0</v>
      </c>
      <c r="EF75" s="777">
        <f t="shared" si="110"/>
        <v>0</v>
      </c>
      <c r="EG75" s="777">
        <f t="shared" si="110"/>
        <v>0</v>
      </c>
      <c r="EH75" s="777">
        <f t="shared" si="110"/>
        <v>0</v>
      </c>
      <c r="EI75" s="777">
        <f t="shared" si="110"/>
        <v>0</v>
      </c>
      <c r="EJ75" s="777">
        <f t="shared" si="110"/>
        <v>0</v>
      </c>
      <c r="EK75" s="777">
        <f t="shared" si="110"/>
        <v>0</v>
      </c>
      <c r="EL75" s="777">
        <f t="shared" si="111"/>
        <v>0</v>
      </c>
      <c r="EM75" s="777">
        <f t="shared" si="111"/>
        <v>0</v>
      </c>
      <c r="EN75" s="777">
        <f t="shared" si="111"/>
        <v>33603</v>
      </c>
      <c r="EO75" s="777">
        <f t="shared" si="111"/>
        <v>0</v>
      </c>
      <c r="EP75" s="777">
        <f t="shared" si="111"/>
        <v>0</v>
      </c>
      <c r="EQ75" s="777">
        <f t="shared" si="111"/>
        <v>0</v>
      </c>
      <c r="ER75" s="777">
        <f t="shared" si="111"/>
        <v>0</v>
      </c>
      <c r="ES75" s="777">
        <f t="shared" si="111"/>
        <v>0</v>
      </c>
      <c r="ET75" s="777">
        <f t="shared" si="111"/>
        <v>0</v>
      </c>
      <c r="EU75" s="777">
        <f t="shared" si="111"/>
        <v>0</v>
      </c>
      <c r="EV75" s="777">
        <f t="shared" si="111"/>
        <v>0</v>
      </c>
    </row>
    <row r="76" spans="1:152" s="693" customFormat="1" ht="22.5" customHeight="1">
      <c r="A76" s="682"/>
      <c r="B76" s="683" t="s">
        <v>511</v>
      </c>
      <c r="C76" s="684"/>
      <c r="D76" s="684"/>
      <c r="E76" s="684"/>
      <c r="F76" s="684"/>
      <c r="G76" s="684"/>
      <c r="H76" s="684"/>
      <c r="I76" s="684"/>
      <c r="J76" s="684"/>
      <c r="K76" s="646">
        <f t="shared" si="117"/>
        <v>0</v>
      </c>
      <c r="L76" s="692">
        <f>U76+AC76+AD76+AE76</f>
        <v>652</v>
      </c>
      <c r="M76" s="685"/>
      <c r="N76" s="685"/>
      <c r="O76" s="685"/>
      <c r="P76" s="685"/>
      <c r="Q76" s="685"/>
      <c r="R76" s="685"/>
      <c r="S76" s="685"/>
      <c r="T76" s="666">
        <f t="shared" si="98"/>
        <v>0</v>
      </c>
      <c r="U76" s="666">
        <f t="shared" si="99"/>
        <v>0</v>
      </c>
      <c r="V76" s="685"/>
      <c r="W76" s="685"/>
      <c r="X76" s="685"/>
      <c r="Y76" s="666">
        <f t="shared" si="113"/>
        <v>0</v>
      </c>
      <c r="Z76" s="666">
        <f t="shared" si="112"/>
        <v>0</v>
      </c>
      <c r="AA76" s="685"/>
      <c r="AB76" s="666">
        <f t="shared" si="100"/>
        <v>0</v>
      </c>
      <c r="AC76" s="666">
        <f t="shared" si="101"/>
        <v>0</v>
      </c>
      <c r="AD76" s="685">
        <v>652</v>
      </c>
      <c r="AE76" s="685"/>
      <c r="AF76" s="685"/>
      <c r="AG76" s="685"/>
      <c r="AH76" s="685"/>
      <c r="AI76" s="685"/>
      <c r="AJ76" s="685"/>
      <c r="AK76" s="685"/>
      <c r="AL76" s="688"/>
      <c r="AM76" s="689"/>
      <c r="AN76" s="690"/>
      <c r="AO76" s="682"/>
      <c r="AP76" s="683" t="s">
        <v>511</v>
      </c>
      <c r="AQ76" s="684"/>
      <c r="AR76" s="684"/>
      <c r="AS76" s="684"/>
      <c r="AT76" s="684"/>
      <c r="AU76" s="684"/>
      <c r="AV76" s="684"/>
      <c r="AW76" s="684"/>
      <c r="AX76" s="684"/>
      <c r="AY76" s="685">
        <f>BG76+BN76+BO76+BP76</f>
        <v>710</v>
      </c>
      <c r="AZ76" s="691"/>
      <c r="BA76" s="685"/>
      <c r="BB76" s="685"/>
      <c r="BC76" s="685"/>
      <c r="BD76" s="685"/>
      <c r="BE76" s="685"/>
      <c r="BF76" s="686">
        <f>ROUND(BE76,0)</f>
        <v>0</v>
      </c>
      <c r="BG76" s="685">
        <f t="shared" si="107"/>
        <v>0</v>
      </c>
      <c r="BH76" s="685"/>
      <c r="BI76" s="685"/>
      <c r="BJ76" s="685"/>
      <c r="BK76" s="685"/>
      <c r="BL76" s="685"/>
      <c r="BM76" s="686">
        <f t="shared" si="108"/>
        <v>0</v>
      </c>
      <c r="BN76" s="685">
        <f t="shared" si="109"/>
        <v>0</v>
      </c>
      <c r="BO76" s="685">
        <v>710</v>
      </c>
      <c r="BP76" s="685"/>
      <c r="BQ76" s="685"/>
      <c r="BR76" s="685"/>
      <c r="BS76" s="685"/>
      <c r="BT76" s="685"/>
      <c r="BU76" s="685"/>
      <c r="BV76" s="685"/>
      <c r="BW76" s="692"/>
      <c r="BY76" s="1355"/>
      <c r="BZ76" s="1355"/>
      <c r="CA76" s="1356"/>
      <c r="CB76" s="1356" t="s">
        <v>511</v>
      </c>
      <c r="CC76" s="1356"/>
      <c r="CD76" s="1356"/>
      <c r="CE76" s="1356"/>
      <c r="CF76" s="1356"/>
      <c r="CG76" s="1356"/>
      <c r="CH76" s="1356"/>
      <c r="CI76" s="1356"/>
      <c r="CJ76" s="1356"/>
      <c r="CK76" s="1357">
        <v>0</v>
      </c>
      <c r="CL76" s="1357"/>
      <c r="CM76" s="1358"/>
      <c r="CN76" s="1358"/>
      <c r="CO76" s="1358"/>
      <c r="CP76" s="1358"/>
      <c r="CQ76" s="1358"/>
      <c r="CR76" s="1358"/>
      <c r="CS76" s="1358">
        <v>0</v>
      </c>
      <c r="CT76" s="1357">
        <v>0</v>
      </c>
      <c r="CU76" s="1357"/>
      <c r="CV76" s="1357"/>
      <c r="CW76" s="1357"/>
      <c r="CX76" s="1357">
        <v>0</v>
      </c>
      <c r="CY76" s="1357">
        <v>0</v>
      </c>
      <c r="CZ76" s="1357"/>
      <c r="DA76" s="1357">
        <v>0</v>
      </c>
      <c r="DB76" s="1357">
        <v>0</v>
      </c>
      <c r="DC76" s="1357"/>
      <c r="DD76" s="1357"/>
      <c r="DE76" s="1357"/>
      <c r="DF76" s="1357"/>
      <c r="DG76" s="1357"/>
      <c r="DH76" s="1357"/>
      <c r="DI76" s="1357"/>
      <c r="DJ76" s="1357"/>
      <c r="DK76" s="1357"/>
      <c r="DT76" s="682"/>
      <c r="DU76" s="683" t="s">
        <v>511</v>
      </c>
      <c r="DV76" s="777">
        <f t="shared" si="110"/>
        <v>652</v>
      </c>
      <c r="DW76" s="777">
        <f t="shared" si="110"/>
        <v>0</v>
      </c>
      <c r="DX76" s="777">
        <f t="shared" si="110"/>
        <v>0</v>
      </c>
      <c r="DY76" s="777">
        <f t="shared" si="110"/>
        <v>0</v>
      </c>
      <c r="DZ76" s="777">
        <f t="shared" si="110"/>
        <v>0</v>
      </c>
      <c r="EA76" s="777">
        <f t="shared" si="110"/>
        <v>0</v>
      </c>
      <c r="EB76" s="777">
        <f t="shared" si="110"/>
        <v>0</v>
      </c>
      <c r="EC76" s="777">
        <f t="shared" si="110"/>
        <v>0</v>
      </c>
      <c r="ED76" s="777">
        <f t="shared" si="110"/>
        <v>0</v>
      </c>
      <c r="EE76" s="777">
        <f t="shared" si="110"/>
        <v>0</v>
      </c>
      <c r="EF76" s="777">
        <f t="shared" si="110"/>
        <v>0</v>
      </c>
      <c r="EG76" s="777">
        <f t="shared" si="110"/>
        <v>0</v>
      </c>
      <c r="EH76" s="777">
        <f t="shared" si="110"/>
        <v>0</v>
      </c>
      <c r="EI76" s="777">
        <f t="shared" si="110"/>
        <v>0</v>
      </c>
      <c r="EJ76" s="777">
        <f t="shared" si="110"/>
        <v>0</v>
      </c>
      <c r="EK76" s="777">
        <f t="shared" si="110"/>
        <v>0</v>
      </c>
      <c r="EL76" s="777">
        <f t="shared" si="111"/>
        <v>0</v>
      </c>
      <c r="EM76" s="777">
        <f t="shared" si="111"/>
        <v>0</v>
      </c>
      <c r="EN76" s="777">
        <f t="shared" si="111"/>
        <v>652</v>
      </c>
      <c r="EO76" s="777">
        <f t="shared" si="111"/>
        <v>0</v>
      </c>
      <c r="EP76" s="777">
        <f t="shared" si="111"/>
        <v>0</v>
      </c>
      <c r="EQ76" s="777">
        <f t="shared" si="111"/>
        <v>0</v>
      </c>
      <c r="ER76" s="777">
        <f t="shared" si="111"/>
        <v>0</v>
      </c>
      <c r="ES76" s="777">
        <f t="shared" si="111"/>
        <v>0</v>
      </c>
      <c r="ET76" s="777">
        <f t="shared" si="111"/>
        <v>0</v>
      </c>
      <c r="EU76" s="777">
        <f t="shared" si="111"/>
        <v>0</v>
      </c>
      <c r="EV76" s="777">
        <f t="shared" si="111"/>
        <v>0</v>
      </c>
    </row>
    <row r="77" spans="1:152" s="693" customFormat="1" ht="22.5" customHeight="1">
      <c r="A77" s="682"/>
      <c r="B77" s="683" t="s">
        <v>512</v>
      </c>
      <c r="C77" s="684"/>
      <c r="D77" s="684"/>
      <c r="E77" s="684"/>
      <c r="F77" s="684"/>
      <c r="G77" s="684"/>
      <c r="H77" s="684"/>
      <c r="I77" s="684"/>
      <c r="J77" s="684"/>
      <c r="K77" s="646">
        <f t="shared" si="117"/>
        <v>0</v>
      </c>
      <c r="L77" s="692">
        <f>U77+AC77+AD77+AE77</f>
        <v>0</v>
      </c>
      <c r="M77" s="685"/>
      <c r="N77" s="685"/>
      <c r="O77" s="685"/>
      <c r="P77" s="685"/>
      <c r="Q77" s="685"/>
      <c r="R77" s="685"/>
      <c r="S77" s="685"/>
      <c r="T77" s="666">
        <f t="shared" si="98"/>
        <v>0</v>
      </c>
      <c r="U77" s="666">
        <f t="shared" si="99"/>
        <v>0</v>
      </c>
      <c r="V77" s="685"/>
      <c r="W77" s="685"/>
      <c r="X77" s="685"/>
      <c r="Y77" s="666">
        <f t="shared" si="113"/>
        <v>0</v>
      </c>
      <c r="Z77" s="666">
        <f t="shared" si="112"/>
        <v>0</v>
      </c>
      <c r="AA77" s="685"/>
      <c r="AB77" s="666">
        <f t="shared" si="100"/>
        <v>0</v>
      </c>
      <c r="AC77" s="666">
        <f t="shared" si="101"/>
        <v>0</v>
      </c>
      <c r="AD77" s="685"/>
      <c r="AE77" s="685"/>
      <c r="AF77" s="685"/>
      <c r="AG77" s="685"/>
      <c r="AH77" s="685"/>
      <c r="AI77" s="685"/>
      <c r="AJ77" s="685"/>
      <c r="AK77" s="685"/>
      <c r="AL77" s="688"/>
      <c r="AM77" s="689"/>
      <c r="AN77" s="690"/>
      <c r="AO77" s="682"/>
      <c r="AP77" s="683" t="s">
        <v>512</v>
      </c>
      <c r="AQ77" s="684"/>
      <c r="AR77" s="684"/>
      <c r="AS77" s="684"/>
      <c r="AT77" s="684"/>
      <c r="AU77" s="684"/>
      <c r="AV77" s="684"/>
      <c r="AW77" s="684"/>
      <c r="AX77" s="684"/>
      <c r="AY77" s="685">
        <f>BG77+BN77+BO77+BP77</f>
        <v>1603</v>
      </c>
      <c r="AZ77" s="691"/>
      <c r="BA77" s="685"/>
      <c r="BB77" s="685"/>
      <c r="BC77" s="685"/>
      <c r="BD77" s="685"/>
      <c r="BE77" s="685"/>
      <c r="BF77" s="686">
        <f>ROUND(BE77,0)</f>
        <v>0</v>
      </c>
      <c r="BG77" s="685">
        <f t="shared" si="107"/>
        <v>0</v>
      </c>
      <c r="BH77" s="685"/>
      <c r="BI77" s="685"/>
      <c r="BJ77" s="685"/>
      <c r="BK77" s="685"/>
      <c r="BL77" s="685"/>
      <c r="BM77" s="686">
        <f t="shared" si="108"/>
        <v>0</v>
      </c>
      <c r="BN77" s="685">
        <f t="shared" si="109"/>
        <v>0</v>
      </c>
      <c r="BO77" s="685">
        <v>1603</v>
      </c>
      <c r="BP77" s="685"/>
      <c r="BQ77" s="685"/>
      <c r="BR77" s="685"/>
      <c r="BS77" s="685"/>
      <c r="BT77" s="685"/>
      <c r="BU77" s="685"/>
      <c r="BV77" s="685"/>
      <c r="BW77" s="692"/>
      <c r="BY77" s="1355"/>
      <c r="BZ77" s="1355"/>
      <c r="CA77" s="1356"/>
      <c r="CB77" s="1356" t="s">
        <v>512</v>
      </c>
      <c r="CC77" s="1356"/>
      <c r="CD77" s="1356"/>
      <c r="CE77" s="1356"/>
      <c r="CF77" s="1356"/>
      <c r="CG77" s="1356"/>
      <c r="CH77" s="1356"/>
      <c r="CI77" s="1356"/>
      <c r="CJ77" s="1356"/>
      <c r="CK77" s="1357">
        <v>0</v>
      </c>
      <c r="CL77" s="1357"/>
      <c r="CM77" s="1358"/>
      <c r="CN77" s="1358"/>
      <c r="CO77" s="1358"/>
      <c r="CP77" s="1358"/>
      <c r="CQ77" s="1358"/>
      <c r="CR77" s="1358"/>
      <c r="CS77" s="1358">
        <v>0</v>
      </c>
      <c r="CT77" s="1357">
        <v>0</v>
      </c>
      <c r="CU77" s="1357"/>
      <c r="CV77" s="1357"/>
      <c r="CW77" s="1357"/>
      <c r="CX77" s="1357">
        <v>0</v>
      </c>
      <c r="CY77" s="1357">
        <v>0</v>
      </c>
      <c r="CZ77" s="1357"/>
      <c r="DA77" s="1357">
        <v>0</v>
      </c>
      <c r="DB77" s="1357">
        <v>0</v>
      </c>
      <c r="DC77" s="1357"/>
      <c r="DD77" s="1357"/>
      <c r="DE77" s="1357"/>
      <c r="DF77" s="1357"/>
      <c r="DG77" s="1357"/>
      <c r="DH77" s="1357"/>
      <c r="DI77" s="1357"/>
      <c r="DJ77" s="1357"/>
      <c r="DK77" s="1357"/>
      <c r="DT77" s="682"/>
      <c r="DU77" s="683" t="s">
        <v>512</v>
      </c>
      <c r="DV77" s="777">
        <f t="shared" si="110"/>
        <v>0</v>
      </c>
      <c r="DW77" s="777">
        <f t="shared" si="110"/>
        <v>0</v>
      </c>
      <c r="DX77" s="777">
        <f t="shared" si="110"/>
        <v>0</v>
      </c>
      <c r="DY77" s="777">
        <f t="shared" si="110"/>
        <v>0</v>
      </c>
      <c r="DZ77" s="777">
        <f t="shared" si="110"/>
        <v>0</v>
      </c>
      <c r="EA77" s="777">
        <f t="shared" si="110"/>
        <v>0</v>
      </c>
      <c r="EB77" s="777">
        <f t="shared" si="110"/>
        <v>0</v>
      </c>
      <c r="EC77" s="777">
        <f t="shared" si="110"/>
        <v>0</v>
      </c>
      <c r="ED77" s="777">
        <f t="shared" si="110"/>
        <v>0</v>
      </c>
      <c r="EE77" s="777">
        <f t="shared" si="110"/>
        <v>0</v>
      </c>
      <c r="EF77" s="777">
        <f t="shared" si="110"/>
        <v>0</v>
      </c>
      <c r="EG77" s="777">
        <f t="shared" si="110"/>
        <v>0</v>
      </c>
      <c r="EH77" s="777">
        <f t="shared" si="110"/>
        <v>0</v>
      </c>
      <c r="EI77" s="777">
        <f t="shared" si="110"/>
        <v>0</v>
      </c>
      <c r="EJ77" s="777">
        <f t="shared" si="110"/>
        <v>0</v>
      </c>
      <c r="EK77" s="777">
        <f t="shared" si="110"/>
        <v>0</v>
      </c>
      <c r="EL77" s="777">
        <f t="shared" si="111"/>
        <v>0</v>
      </c>
      <c r="EM77" s="777">
        <f t="shared" si="111"/>
        <v>0</v>
      </c>
      <c r="EN77" s="777">
        <f t="shared" si="111"/>
        <v>0</v>
      </c>
      <c r="EO77" s="777">
        <f t="shared" si="111"/>
        <v>0</v>
      </c>
      <c r="EP77" s="777">
        <f t="shared" si="111"/>
        <v>0</v>
      </c>
      <c r="EQ77" s="777">
        <f t="shared" si="111"/>
        <v>0</v>
      </c>
      <c r="ER77" s="777">
        <f t="shared" si="111"/>
        <v>0</v>
      </c>
      <c r="ES77" s="777">
        <f t="shared" si="111"/>
        <v>0</v>
      </c>
      <c r="ET77" s="777">
        <f t="shared" si="111"/>
        <v>0</v>
      </c>
      <c r="EU77" s="777">
        <f t="shared" si="111"/>
        <v>0</v>
      </c>
      <c r="EV77" s="777">
        <f t="shared" si="111"/>
        <v>0</v>
      </c>
    </row>
    <row r="78" spans="1:152" s="693" customFormat="1" ht="22.5" customHeight="1">
      <c r="A78" s="682"/>
      <c r="B78" s="487" t="s">
        <v>938</v>
      </c>
      <c r="C78" s="684"/>
      <c r="D78" s="684"/>
      <c r="E78" s="684"/>
      <c r="F78" s="684"/>
      <c r="G78" s="684"/>
      <c r="H78" s="684"/>
      <c r="I78" s="684"/>
      <c r="J78" s="684"/>
      <c r="K78" s="646"/>
      <c r="L78" s="692"/>
      <c r="M78" s="685"/>
      <c r="N78" s="685"/>
      <c r="O78" s="685"/>
      <c r="P78" s="685"/>
      <c r="Q78" s="685"/>
      <c r="R78" s="685"/>
      <c r="S78" s="685"/>
      <c r="T78" s="666"/>
      <c r="U78" s="666"/>
      <c r="V78" s="685"/>
      <c r="W78" s="685"/>
      <c r="X78" s="685"/>
      <c r="Y78" s="666"/>
      <c r="Z78" s="666"/>
      <c r="AA78" s="685"/>
      <c r="AB78" s="666"/>
      <c r="AC78" s="666">
        <f t="shared" si="101"/>
        <v>0</v>
      </c>
      <c r="AD78" s="685"/>
      <c r="AE78" s="685"/>
      <c r="AF78" s="685"/>
      <c r="AG78" s="685"/>
      <c r="AH78" s="685"/>
      <c r="AI78" s="685"/>
      <c r="AJ78" s="1566">
        <v>2339</v>
      </c>
      <c r="AK78" s="685"/>
      <c r="AL78" s="688"/>
      <c r="AM78" s="689"/>
      <c r="AN78" s="690"/>
      <c r="AO78" s="682"/>
      <c r="AP78" s="683"/>
      <c r="AQ78" s="684"/>
      <c r="AR78" s="684"/>
      <c r="AS78" s="684"/>
      <c r="AT78" s="684"/>
      <c r="AU78" s="684"/>
      <c r="AV78" s="684"/>
      <c r="AW78" s="684"/>
      <c r="AX78" s="684"/>
      <c r="AY78" s="685"/>
      <c r="AZ78" s="691"/>
      <c r="BA78" s="685"/>
      <c r="BB78" s="685"/>
      <c r="BC78" s="685"/>
      <c r="BD78" s="685"/>
      <c r="BE78" s="685"/>
      <c r="BF78" s="686"/>
      <c r="BG78" s="685"/>
      <c r="BH78" s="685"/>
      <c r="BI78" s="685"/>
      <c r="BJ78" s="685"/>
      <c r="BK78" s="685"/>
      <c r="BL78" s="685"/>
      <c r="BM78" s="686"/>
      <c r="BN78" s="685"/>
      <c r="BO78" s="685"/>
      <c r="BP78" s="685"/>
      <c r="BQ78" s="685"/>
      <c r="BR78" s="685"/>
      <c r="BS78" s="685"/>
      <c r="BT78" s="685"/>
      <c r="BU78" s="685"/>
      <c r="BV78" s="685"/>
      <c r="BW78" s="692"/>
      <c r="BY78" s="1355"/>
      <c r="BZ78" s="1355"/>
      <c r="CA78" s="1356"/>
      <c r="CB78" s="1356"/>
      <c r="CC78" s="1356"/>
      <c r="CD78" s="1356"/>
      <c r="CE78" s="1356"/>
      <c r="CF78" s="1356"/>
      <c r="CG78" s="1356"/>
      <c r="CH78" s="1356"/>
      <c r="CI78" s="1356"/>
      <c r="CJ78" s="1356"/>
      <c r="CK78" s="1357"/>
      <c r="CL78" s="1357"/>
      <c r="CM78" s="1358"/>
      <c r="CN78" s="1358"/>
      <c r="CO78" s="1358"/>
      <c r="CP78" s="1358"/>
      <c r="CQ78" s="1358"/>
      <c r="CR78" s="1358"/>
      <c r="CS78" s="1358"/>
      <c r="CT78" s="1357"/>
      <c r="CU78" s="1357"/>
      <c r="CV78" s="1357"/>
      <c r="CW78" s="1357"/>
      <c r="CX78" s="1357"/>
      <c r="CY78" s="1357"/>
      <c r="CZ78" s="1357"/>
      <c r="DA78" s="1357"/>
      <c r="DB78" s="1357"/>
      <c r="DC78" s="1357"/>
      <c r="DD78" s="1357"/>
      <c r="DE78" s="1357"/>
      <c r="DF78" s="1357"/>
      <c r="DG78" s="1357"/>
      <c r="DH78" s="1357"/>
      <c r="DI78" s="1357"/>
      <c r="DJ78" s="1357"/>
      <c r="DK78" s="1357"/>
      <c r="DT78" s="682"/>
      <c r="DU78" s="683"/>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row>
    <row r="79" spans="1:152" s="1557" customFormat="1" ht="42.75" customHeight="1">
      <c r="A79" s="1549" t="s">
        <v>467</v>
      </c>
      <c r="B79" s="506" t="s">
        <v>946</v>
      </c>
      <c r="C79" s="1550"/>
      <c r="D79" s="1550"/>
      <c r="E79" s="1550"/>
      <c r="F79" s="1550"/>
      <c r="G79" s="1550"/>
      <c r="H79" s="1550"/>
      <c r="I79" s="1550"/>
      <c r="J79" s="1550"/>
      <c r="K79" s="646">
        <f t="shared" ref="K79" si="118">L79-AD79</f>
        <v>4000</v>
      </c>
      <c r="L79" s="1496">
        <f>U79+AC79+AD79+AE79</f>
        <v>4000</v>
      </c>
      <c r="M79" s="1528"/>
      <c r="N79" s="1528"/>
      <c r="O79" s="1528"/>
      <c r="P79" s="1528"/>
      <c r="Q79" s="1528"/>
      <c r="R79" s="1528"/>
      <c r="S79" s="1528"/>
      <c r="T79" s="1497"/>
      <c r="U79" s="1497"/>
      <c r="V79" s="1673">
        <v>4000</v>
      </c>
      <c r="W79" s="1528"/>
      <c r="X79" s="1528"/>
      <c r="Y79" s="1497"/>
      <c r="Z79" s="1497"/>
      <c r="AA79" s="1528"/>
      <c r="AB79" s="1497"/>
      <c r="AC79" s="666">
        <f t="shared" si="101"/>
        <v>4000</v>
      </c>
      <c r="AD79" s="1528"/>
      <c r="AE79" s="1528"/>
      <c r="AF79" s="1528"/>
      <c r="AG79" s="1528"/>
      <c r="AH79" s="1528"/>
      <c r="AI79" s="1528"/>
      <c r="AJ79" s="1528"/>
      <c r="AK79" s="1528"/>
      <c r="AL79" s="1551"/>
      <c r="AM79" s="1552"/>
      <c r="AN79" s="759"/>
      <c r="AO79" s="1549"/>
      <c r="AP79" s="1553"/>
      <c r="AQ79" s="1550"/>
      <c r="AR79" s="1550"/>
      <c r="AS79" s="1550"/>
      <c r="AT79" s="1550"/>
      <c r="AU79" s="1550"/>
      <c r="AV79" s="1550"/>
      <c r="AW79" s="1550"/>
      <c r="AX79" s="1550"/>
      <c r="AY79" s="1528"/>
      <c r="AZ79" s="1554"/>
      <c r="BA79" s="1528"/>
      <c r="BB79" s="1528"/>
      <c r="BC79" s="1528"/>
      <c r="BD79" s="1528"/>
      <c r="BE79" s="1528"/>
      <c r="BF79" s="1555"/>
      <c r="BG79" s="1528"/>
      <c r="BH79" s="1528"/>
      <c r="BI79" s="1528"/>
      <c r="BJ79" s="1528"/>
      <c r="BK79" s="1528"/>
      <c r="BL79" s="1528"/>
      <c r="BM79" s="1555"/>
      <c r="BN79" s="1528"/>
      <c r="BO79" s="1528"/>
      <c r="BP79" s="1528"/>
      <c r="BQ79" s="1528"/>
      <c r="BR79" s="1528"/>
      <c r="BS79" s="1528"/>
      <c r="BT79" s="1528"/>
      <c r="BU79" s="1528"/>
      <c r="BV79" s="1528"/>
      <c r="BW79" s="1556"/>
      <c r="BY79" s="1558"/>
      <c r="BZ79" s="1558"/>
      <c r="CA79" s="1559"/>
      <c r="CB79" s="1559"/>
      <c r="CC79" s="1559"/>
      <c r="CD79" s="1559"/>
      <c r="CE79" s="1559"/>
      <c r="CF79" s="1559"/>
      <c r="CG79" s="1559"/>
      <c r="CH79" s="1559"/>
      <c r="CI79" s="1559"/>
      <c r="CJ79" s="1559"/>
      <c r="CK79" s="1560"/>
      <c r="CL79" s="1560"/>
      <c r="CM79" s="1561"/>
      <c r="CN79" s="1561"/>
      <c r="CO79" s="1561"/>
      <c r="CP79" s="1561"/>
      <c r="CQ79" s="1561"/>
      <c r="CR79" s="1561"/>
      <c r="CS79" s="1561"/>
      <c r="CT79" s="1560"/>
      <c r="CU79" s="1560"/>
      <c r="CV79" s="1560"/>
      <c r="CW79" s="1560"/>
      <c r="CX79" s="1560"/>
      <c r="CY79" s="1560"/>
      <c r="CZ79" s="1560"/>
      <c r="DA79" s="1560"/>
      <c r="DB79" s="1560"/>
      <c r="DC79" s="1560"/>
      <c r="DD79" s="1560"/>
      <c r="DE79" s="1560"/>
      <c r="DF79" s="1560"/>
      <c r="DG79" s="1560"/>
      <c r="DH79" s="1560"/>
      <c r="DI79" s="1560"/>
      <c r="DJ79" s="1560"/>
      <c r="DK79" s="1560"/>
      <c r="DT79" s="1549"/>
      <c r="DU79" s="1553"/>
      <c r="DV79" s="1363"/>
      <c r="DW79" s="1363"/>
      <c r="DX79" s="1363"/>
      <c r="DY79" s="1363"/>
      <c r="DZ79" s="1363"/>
      <c r="EA79" s="1363"/>
      <c r="EB79" s="1363"/>
      <c r="EC79" s="1363"/>
      <c r="ED79" s="1363"/>
      <c r="EE79" s="1363"/>
      <c r="EF79" s="1363"/>
      <c r="EG79" s="1363"/>
      <c r="EH79" s="1363"/>
      <c r="EI79" s="1363"/>
      <c r="EJ79" s="1363"/>
      <c r="EK79" s="1363"/>
      <c r="EL79" s="1363"/>
      <c r="EM79" s="1363"/>
      <c r="EN79" s="1363"/>
      <c r="EO79" s="1363"/>
      <c r="EP79" s="1363"/>
      <c r="EQ79" s="1363"/>
      <c r="ER79" s="1363"/>
      <c r="ES79" s="1363"/>
      <c r="ET79" s="1363"/>
      <c r="EU79" s="1363"/>
      <c r="EV79" s="1363"/>
    </row>
    <row r="80" spans="1:152" s="614" customFormat="1" ht="23.25" customHeight="1">
      <c r="A80" s="1429" t="s">
        <v>315</v>
      </c>
      <c r="B80" s="651" t="s">
        <v>513</v>
      </c>
      <c r="C80" s="653">
        <f t="shared" ref="C80:AL80" si="119">C81+C95</f>
        <v>2314</v>
      </c>
      <c r="D80" s="653">
        <f t="shared" si="119"/>
        <v>2234</v>
      </c>
      <c r="E80" s="653">
        <f t="shared" si="119"/>
        <v>28</v>
      </c>
      <c r="F80" s="653">
        <f t="shared" si="119"/>
        <v>2206</v>
      </c>
      <c r="G80" s="653">
        <f t="shared" si="119"/>
        <v>29</v>
      </c>
      <c r="H80" s="653">
        <f t="shared" si="119"/>
        <v>1875</v>
      </c>
      <c r="I80" s="653">
        <f t="shared" si="119"/>
        <v>80</v>
      </c>
      <c r="J80" s="653">
        <f t="shared" si="119"/>
        <v>72</v>
      </c>
      <c r="K80" s="1548">
        <f t="shared" si="117"/>
        <v>590892</v>
      </c>
      <c r="L80" s="820">
        <f t="shared" si="119"/>
        <v>590912</v>
      </c>
      <c r="M80" s="653">
        <f t="shared" si="119"/>
        <v>90651</v>
      </c>
      <c r="N80" s="653">
        <f t="shared" si="119"/>
        <v>15238</v>
      </c>
      <c r="O80" s="653">
        <f t="shared" si="119"/>
        <v>0</v>
      </c>
      <c r="P80" s="653">
        <f t="shared" si="119"/>
        <v>0</v>
      </c>
      <c r="Q80" s="653">
        <f t="shared" si="119"/>
        <v>0</v>
      </c>
      <c r="R80" s="653">
        <f t="shared" si="119"/>
        <v>633.6</v>
      </c>
      <c r="S80" s="653">
        <f t="shared" si="119"/>
        <v>1037.8888888888889</v>
      </c>
      <c r="T80" s="653">
        <f t="shared" si="119"/>
        <v>1672</v>
      </c>
      <c r="U80" s="653">
        <f t="shared" si="119"/>
        <v>104217</v>
      </c>
      <c r="V80" s="653">
        <f t="shared" si="119"/>
        <v>485546</v>
      </c>
      <c r="W80" s="653">
        <f t="shared" si="119"/>
        <v>3095</v>
      </c>
      <c r="X80" s="653">
        <f t="shared" si="119"/>
        <v>0</v>
      </c>
      <c r="Y80" s="653">
        <f t="shared" si="119"/>
        <v>42047.199999999997</v>
      </c>
      <c r="Z80" s="653">
        <f t="shared" si="119"/>
        <v>42250</v>
      </c>
      <c r="AA80" s="653">
        <f t="shared" si="119"/>
        <v>750</v>
      </c>
      <c r="AB80" s="653">
        <f t="shared" si="119"/>
        <v>1966</v>
      </c>
      <c r="AC80" s="653">
        <f t="shared" si="119"/>
        <v>486675</v>
      </c>
      <c r="AD80" s="653">
        <f t="shared" si="119"/>
        <v>20</v>
      </c>
      <c r="AE80" s="653">
        <f t="shared" si="119"/>
        <v>0</v>
      </c>
      <c r="AF80" s="653">
        <f t="shared" si="119"/>
        <v>0</v>
      </c>
      <c r="AG80" s="653">
        <f t="shared" si="119"/>
        <v>508</v>
      </c>
      <c r="AH80" s="653">
        <f t="shared" si="119"/>
        <v>0</v>
      </c>
      <c r="AI80" s="653">
        <f t="shared" si="119"/>
        <v>100</v>
      </c>
      <c r="AJ80" s="653">
        <f t="shared" si="119"/>
        <v>115275</v>
      </c>
      <c r="AK80" s="653">
        <f t="shared" si="119"/>
        <v>0</v>
      </c>
      <c r="AL80" s="656">
        <f t="shared" si="119"/>
        <v>0</v>
      </c>
      <c r="AM80" s="608"/>
      <c r="AN80" s="610">
        <v>128525.1</v>
      </c>
      <c r="AO80" s="1323" t="s">
        <v>315</v>
      </c>
      <c r="AP80" s="651" t="s">
        <v>513</v>
      </c>
      <c r="AQ80" s="653">
        <f t="shared" ref="AQ80:BW80" si="120">AQ81+AQ95</f>
        <v>3359</v>
      </c>
      <c r="AR80" s="653">
        <f t="shared" si="120"/>
        <v>3194</v>
      </c>
      <c r="AS80" s="653">
        <f t="shared" si="120"/>
        <v>29</v>
      </c>
      <c r="AT80" s="653">
        <f t="shared" si="120"/>
        <v>3165</v>
      </c>
      <c r="AU80" s="653">
        <f t="shared" si="120"/>
        <v>30</v>
      </c>
      <c r="AV80" s="653">
        <f t="shared" si="120"/>
        <v>3002</v>
      </c>
      <c r="AW80" s="653">
        <f t="shared" si="120"/>
        <v>165</v>
      </c>
      <c r="AX80" s="653">
        <f t="shared" si="120"/>
        <v>145</v>
      </c>
      <c r="AY80" s="653">
        <f t="shared" si="120"/>
        <v>578894</v>
      </c>
      <c r="AZ80" s="658">
        <f t="shared" si="120"/>
        <v>96645</v>
      </c>
      <c r="BA80" s="653">
        <f t="shared" si="120"/>
        <v>11600</v>
      </c>
      <c r="BB80" s="653">
        <f t="shared" si="120"/>
        <v>0</v>
      </c>
      <c r="BC80" s="653">
        <f t="shared" si="120"/>
        <v>0</v>
      </c>
      <c r="BD80" s="653">
        <f t="shared" si="120"/>
        <v>0</v>
      </c>
      <c r="BE80" s="653">
        <f t="shared" si="120"/>
        <v>1160</v>
      </c>
      <c r="BF80" s="655">
        <f t="shared" si="120"/>
        <v>1160</v>
      </c>
      <c r="BG80" s="653">
        <f t="shared" si="120"/>
        <v>107085</v>
      </c>
      <c r="BH80" s="653">
        <f t="shared" si="120"/>
        <v>470559</v>
      </c>
      <c r="BI80" s="653">
        <f t="shared" si="120"/>
        <v>0</v>
      </c>
      <c r="BJ80" s="653">
        <f t="shared" si="120"/>
        <v>576</v>
      </c>
      <c r="BK80" s="653">
        <f t="shared" si="120"/>
        <v>0</v>
      </c>
      <c r="BL80" s="653">
        <f t="shared" si="120"/>
        <v>854.7</v>
      </c>
      <c r="BM80" s="655">
        <f t="shared" si="120"/>
        <v>856</v>
      </c>
      <c r="BN80" s="653">
        <f t="shared" si="120"/>
        <v>470279</v>
      </c>
      <c r="BO80" s="653">
        <f t="shared" si="120"/>
        <v>1530</v>
      </c>
      <c r="BP80" s="653">
        <f t="shared" si="120"/>
        <v>0</v>
      </c>
      <c r="BQ80" s="653">
        <f t="shared" si="120"/>
        <v>673426</v>
      </c>
      <c r="BR80" s="653">
        <f t="shared" si="120"/>
        <v>117</v>
      </c>
      <c r="BS80" s="653">
        <f t="shared" si="120"/>
        <v>0</v>
      </c>
      <c r="BT80" s="653">
        <f t="shared" si="120"/>
        <v>138</v>
      </c>
      <c r="BU80" s="653">
        <f t="shared" si="120"/>
        <v>6705</v>
      </c>
      <c r="BV80" s="653">
        <f t="shared" si="120"/>
        <v>30000</v>
      </c>
      <c r="BW80" s="653">
        <f t="shared" si="120"/>
        <v>0</v>
      </c>
      <c r="BY80" s="732"/>
      <c r="BZ80" s="732"/>
      <c r="CA80" s="1348" t="s">
        <v>315</v>
      </c>
      <c r="CB80" s="1348" t="s">
        <v>513</v>
      </c>
      <c r="CC80" s="1348">
        <v>3319</v>
      </c>
      <c r="CD80" s="1348">
        <v>3167</v>
      </c>
      <c r="CE80" s="1348">
        <v>29</v>
      </c>
      <c r="CF80" s="1348">
        <v>2036</v>
      </c>
      <c r="CG80" s="1348">
        <v>29</v>
      </c>
      <c r="CH80" s="1348">
        <v>2002</v>
      </c>
      <c r="CI80" s="1348">
        <v>94</v>
      </c>
      <c r="CJ80" s="1348">
        <v>86</v>
      </c>
      <c r="CK80" s="1349">
        <v>175616</v>
      </c>
      <c r="CL80" s="1349">
        <v>83571</v>
      </c>
      <c r="CM80" s="1350">
        <v>15340</v>
      </c>
      <c r="CN80" s="1350">
        <v>0</v>
      </c>
      <c r="CO80" s="1350">
        <v>0</v>
      </c>
      <c r="CP80" s="1350">
        <v>0</v>
      </c>
      <c r="CQ80" s="1350">
        <v>636.80000000000007</v>
      </c>
      <c r="CR80" s="1350">
        <v>1037.8888888888889</v>
      </c>
      <c r="CS80" s="1350">
        <v>1675</v>
      </c>
      <c r="CT80" s="1349">
        <v>97236</v>
      </c>
      <c r="CU80" s="1349">
        <v>77231</v>
      </c>
      <c r="CV80" s="1349">
        <v>3095</v>
      </c>
      <c r="CW80" s="1349">
        <v>0</v>
      </c>
      <c r="CX80" s="1349">
        <v>1215.7</v>
      </c>
      <c r="CY80" s="1349">
        <v>1418.5</v>
      </c>
      <c r="CZ80" s="1349">
        <v>750</v>
      </c>
      <c r="DA80" s="1349">
        <v>1966</v>
      </c>
      <c r="DB80" s="1349">
        <v>78360</v>
      </c>
      <c r="DC80" s="1349">
        <v>20</v>
      </c>
      <c r="DD80" s="1349">
        <v>0</v>
      </c>
      <c r="DE80" s="1349">
        <v>0</v>
      </c>
      <c r="DF80" s="1349">
        <v>0</v>
      </c>
      <c r="DG80" s="1349">
        <v>0</v>
      </c>
      <c r="DH80" s="1349">
        <v>0</v>
      </c>
      <c r="DI80" s="1349">
        <v>0</v>
      </c>
      <c r="DJ80" s="1349">
        <v>0</v>
      </c>
      <c r="DK80" s="1349">
        <v>0</v>
      </c>
      <c r="DT80" s="1323" t="s">
        <v>315</v>
      </c>
      <c r="DU80" s="651" t="s">
        <v>513</v>
      </c>
      <c r="DV80" s="1351">
        <f>DV81+DV95</f>
        <v>5481</v>
      </c>
      <c r="DW80" s="1351">
        <f t="shared" ref="DW80:EV80" si="121">DW81+DW95</f>
        <v>5580</v>
      </c>
      <c r="DX80" s="1351">
        <f t="shared" si="121"/>
        <v>-102</v>
      </c>
      <c r="DY80" s="1351">
        <f t="shared" si="121"/>
        <v>0</v>
      </c>
      <c r="DZ80" s="1351">
        <f t="shared" si="121"/>
        <v>0</v>
      </c>
      <c r="EA80" s="1351">
        <f t="shared" si="121"/>
        <v>0</v>
      </c>
      <c r="EB80" s="1351">
        <f t="shared" si="121"/>
        <v>-3.2</v>
      </c>
      <c r="EC80" s="1351">
        <f t="shared" si="121"/>
        <v>0</v>
      </c>
      <c r="ED80" s="1351">
        <f t="shared" si="121"/>
        <v>-3</v>
      </c>
      <c r="EE80" s="1351">
        <f t="shared" si="121"/>
        <v>5481</v>
      </c>
      <c r="EF80" s="1351">
        <f t="shared" si="121"/>
        <v>0</v>
      </c>
      <c r="EG80" s="1351">
        <f t="shared" si="121"/>
        <v>0</v>
      </c>
      <c r="EH80" s="1351">
        <f t="shared" si="121"/>
        <v>0</v>
      </c>
      <c r="EI80" s="1351">
        <f t="shared" si="121"/>
        <v>0</v>
      </c>
      <c r="EJ80" s="1351">
        <f t="shared" si="121"/>
        <v>0</v>
      </c>
      <c r="EK80" s="1351">
        <f t="shared" si="121"/>
        <v>0</v>
      </c>
      <c r="EL80" s="1351">
        <f t="shared" si="121"/>
        <v>0</v>
      </c>
      <c r="EM80" s="1351">
        <f t="shared" si="121"/>
        <v>0</v>
      </c>
      <c r="EN80" s="1351">
        <f t="shared" si="121"/>
        <v>0</v>
      </c>
      <c r="EO80" s="1351">
        <f t="shared" si="121"/>
        <v>0</v>
      </c>
      <c r="EP80" s="1351">
        <f t="shared" si="121"/>
        <v>0</v>
      </c>
      <c r="EQ80" s="1351">
        <f t="shared" si="121"/>
        <v>508</v>
      </c>
      <c r="ER80" s="1351">
        <f t="shared" si="121"/>
        <v>0</v>
      </c>
      <c r="ES80" s="1351">
        <f t="shared" si="121"/>
        <v>100</v>
      </c>
      <c r="ET80" s="1351">
        <f t="shared" si="121"/>
        <v>5980</v>
      </c>
      <c r="EU80" s="1351">
        <f t="shared" si="121"/>
        <v>0</v>
      </c>
      <c r="EV80" s="1351">
        <f t="shared" si="121"/>
        <v>0</v>
      </c>
    </row>
    <row r="81" spans="1:152" ht="26.25" customHeight="1">
      <c r="A81" s="1429" t="s">
        <v>441</v>
      </c>
      <c r="B81" s="651" t="s">
        <v>514</v>
      </c>
      <c r="C81" s="1430">
        <f>C82</f>
        <v>375</v>
      </c>
      <c r="D81" s="1430">
        <f t="shared" ref="D81:AM81" si="122">D82</f>
        <v>346</v>
      </c>
      <c r="E81" s="1430">
        <f t="shared" si="122"/>
        <v>28</v>
      </c>
      <c r="F81" s="1430">
        <f t="shared" si="122"/>
        <v>318</v>
      </c>
      <c r="G81" s="1430">
        <f t="shared" si="122"/>
        <v>29</v>
      </c>
      <c r="H81" s="1430">
        <f t="shared" si="122"/>
        <v>305</v>
      </c>
      <c r="I81" s="1430">
        <f t="shared" si="122"/>
        <v>29</v>
      </c>
      <c r="J81" s="1430">
        <f t="shared" si="122"/>
        <v>21</v>
      </c>
      <c r="K81" s="646">
        <f t="shared" si="117"/>
        <v>87877</v>
      </c>
      <c r="L81" s="653">
        <f>L82</f>
        <v>87897</v>
      </c>
      <c r="M81" s="653">
        <f>M82</f>
        <v>22376</v>
      </c>
      <c r="N81" s="653">
        <f t="shared" si="122"/>
        <v>5186</v>
      </c>
      <c r="O81" s="653">
        <f t="shared" si="122"/>
        <v>0</v>
      </c>
      <c r="P81" s="653">
        <f t="shared" si="122"/>
        <v>0</v>
      </c>
      <c r="Q81" s="653">
        <f t="shared" si="122"/>
        <v>0</v>
      </c>
      <c r="R81" s="653">
        <f t="shared" si="122"/>
        <v>245.8</v>
      </c>
      <c r="S81" s="653">
        <f t="shared" si="122"/>
        <v>520.88888888888891</v>
      </c>
      <c r="T81" s="653">
        <f t="shared" si="122"/>
        <v>767</v>
      </c>
      <c r="U81" s="653">
        <f t="shared" si="122"/>
        <v>26795</v>
      </c>
      <c r="V81" s="653">
        <f t="shared" si="122"/>
        <v>59953</v>
      </c>
      <c r="W81" s="653">
        <f t="shared" si="122"/>
        <v>3095</v>
      </c>
      <c r="X81" s="653">
        <f t="shared" si="122"/>
        <v>0</v>
      </c>
      <c r="Y81" s="653">
        <f t="shared" si="122"/>
        <v>1215.7</v>
      </c>
      <c r="Z81" s="653">
        <f t="shared" si="122"/>
        <v>1418.5</v>
      </c>
      <c r="AA81" s="653">
        <f t="shared" si="122"/>
        <v>750</v>
      </c>
      <c r="AB81" s="653">
        <f t="shared" si="122"/>
        <v>1966</v>
      </c>
      <c r="AC81" s="653">
        <f t="shared" si="122"/>
        <v>61082</v>
      </c>
      <c r="AD81" s="653">
        <f t="shared" si="122"/>
        <v>20</v>
      </c>
      <c r="AE81" s="653">
        <f t="shared" si="122"/>
        <v>0</v>
      </c>
      <c r="AF81" s="653">
        <f t="shared" si="122"/>
        <v>0</v>
      </c>
      <c r="AG81" s="653">
        <f t="shared" si="122"/>
        <v>508</v>
      </c>
      <c r="AH81" s="653">
        <f t="shared" si="122"/>
        <v>0</v>
      </c>
      <c r="AI81" s="653">
        <f t="shared" si="122"/>
        <v>100</v>
      </c>
      <c r="AJ81" s="653">
        <f t="shared" si="122"/>
        <v>5980</v>
      </c>
      <c r="AK81" s="653">
        <f t="shared" si="122"/>
        <v>0</v>
      </c>
      <c r="AL81" s="653">
        <f t="shared" si="122"/>
        <v>0</v>
      </c>
      <c r="AM81" s="657">
        <f t="shared" si="122"/>
        <v>0</v>
      </c>
      <c r="AN81" s="610"/>
      <c r="AO81" s="1323" t="s">
        <v>441</v>
      </c>
      <c r="AP81" s="651" t="s">
        <v>514</v>
      </c>
      <c r="AQ81" s="1320">
        <f>AQ82</f>
        <v>564</v>
      </c>
      <c r="AR81" s="1320">
        <f t="shared" ref="AR81:BW81" si="123">AR82</f>
        <v>522</v>
      </c>
      <c r="AS81" s="1320">
        <f t="shared" si="123"/>
        <v>29</v>
      </c>
      <c r="AT81" s="1320">
        <f t="shared" si="123"/>
        <v>493</v>
      </c>
      <c r="AU81" s="1320">
        <f t="shared" si="123"/>
        <v>30</v>
      </c>
      <c r="AV81" s="1320">
        <f t="shared" si="123"/>
        <v>451</v>
      </c>
      <c r="AW81" s="1320">
        <f t="shared" si="123"/>
        <v>42</v>
      </c>
      <c r="AX81" s="1320">
        <f t="shared" si="123"/>
        <v>32</v>
      </c>
      <c r="AY81" s="653">
        <f>AY82</f>
        <v>91935</v>
      </c>
      <c r="AZ81" s="658">
        <f>AZ82</f>
        <v>41846</v>
      </c>
      <c r="BA81" s="653">
        <f t="shared" si="123"/>
        <v>5208</v>
      </c>
      <c r="BB81" s="653">
        <f t="shared" si="123"/>
        <v>0</v>
      </c>
      <c r="BC81" s="653">
        <f t="shared" si="123"/>
        <v>0</v>
      </c>
      <c r="BD81" s="653">
        <f t="shared" si="123"/>
        <v>0</v>
      </c>
      <c r="BE81" s="653">
        <f t="shared" si="123"/>
        <v>520.79999999999995</v>
      </c>
      <c r="BF81" s="655">
        <f t="shared" si="123"/>
        <v>521</v>
      </c>
      <c r="BG81" s="653">
        <f t="shared" si="123"/>
        <v>46533</v>
      </c>
      <c r="BH81" s="653">
        <f t="shared" si="123"/>
        <v>45877</v>
      </c>
      <c r="BI81" s="653">
        <f t="shared" si="123"/>
        <v>0</v>
      </c>
      <c r="BJ81" s="653">
        <f t="shared" si="123"/>
        <v>326</v>
      </c>
      <c r="BK81" s="653">
        <f t="shared" si="123"/>
        <v>0</v>
      </c>
      <c r="BL81" s="653">
        <f t="shared" si="123"/>
        <v>854.7</v>
      </c>
      <c r="BM81" s="655">
        <f t="shared" si="123"/>
        <v>856</v>
      </c>
      <c r="BN81" s="653">
        <f t="shared" si="123"/>
        <v>45347</v>
      </c>
      <c r="BO81" s="653">
        <f t="shared" si="123"/>
        <v>55</v>
      </c>
      <c r="BP81" s="653">
        <f t="shared" si="123"/>
        <v>0</v>
      </c>
      <c r="BQ81" s="653">
        <f t="shared" si="123"/>
        <v>18308</v>
      </c>
      <c r="BR81" s="653">
        <f t="shared" si="123"/>
        <v>117</v>
      </c>
      <c r="BS81" s="653">
        <f t="shared" si="123"/>
        <v>0</v>
      </c>
      <c r="BT81" s="653">
        <f t="shared" si="123"/>
        <v>138</v>
      </c>
      <c r="BU81" s="653">
        <f t="shared" si="123"/>
        <v>6705</v>
      </c>
      <c r="BV81" s="653">
        <f t="shared" si="123"/>
        <v>30000</v>
      </c>
      <c r="BW81" s="653">
        <f t="shared" si="123"/>
        <v>0</v>
      </c>
      <c r="CA81" s="1352" t="s">
        <v>441</v>
      </c>
      <c r="CB81" s="1352" t="s">
        <v>514</v>
      </c>
      <c r="CC81" s="1352">
        <v>376</v>
      </c>
      <c r="CD81" s="1352">
        <v>347</v>
      </c>
      <c r="CE81" s="1352">
        <v>29</v>
      </c>
      <c r="CF81" s="1352">
        <v>318</v>
      </c>
      <c r="CG81" s="1352">
        <v>29</v>
      </c>
      <c r="CH81" s="1352">
        <v>305</v>
      </c>
      <c r="CI81" s="1352">
        <v>29</v>
      </c>
      <c r="CJ81" s="1352">
        <v>21</v>
      </c>
      <c r="CK81" s="1353">
        <v>88074</v>
      </c>
      <c r="CL81" s="1353">
        <v>22454</v>
      </c>
      <c r="CM81" s="1354">
        <v>5288</v>
      </c>
      <c r="CN81" s="1354">
        <v>0</v>
      </c>
      <c r="CO81" s="1354">
        <v>0</v>
      </c>
      <c r="CP81" s="1354">
        <v>0</v>
      </c>
      <c r="CQ81" s="1354">
        <v>249.00000000000003</v>
      </c>
      <c r="CR81" s="1354">
        <v>520.88888888888891</v>
      </c>
      <c r="CS81" s="1354">
        <v>770</v>
      </c>
      <c r="CT81" s="1353">
        <v>26972</v>
      </c>
      <c r="CU81" s="1353">
        <v>59953</v>
      </c>
      <c r="CV81" s="1353">
        <v>3095</v>
      </c>
      <c r="CW81" s="1353">
        <v>0</v>
      </c>
      <c r="CX81" s="1353">
        <v>1215.7</v>
      </c>
      <c r="CY81" s="1353">
        <v>1418.5</v>
      </c>
      <c r="CZ81" s="1353">
        <v>750</v>
      </c>
      <c r="DA81" s="1353">
        <v>1966</v>
      </c>
      <c r="DB81" s="1353">
        <v>61082</v>
      </c>
      <c r="DC81" s="1353">
        <v>20</v>
      </c>
      <c r="DD81" s="1353">
        <v>0</v>
      </c>
      <c r="DE81" s="1353">
        <v>0</v>
      </c>
      <c r="DF81" s="1353">
        <v>0</v>
      </c>
      <c r="DG81" s="1353">
        <v>0</v>
      </c>
      <c r="DH81" s="1353">
        <v>0</v>
      </c>
      <c r="DI81" s="1353">
        <v>0</v>
      </c>
      <c r="DJ81" s="1353">
        <v>0</v>
      </c>
      <c r="DK81" s="1353">
        <v>0</v>
      </c>
      <c r="DT81" s="1323" t="s">
        <v>441</v>
      </c>
      <c r="DU81" s="651" t="s">
        <v>514</v>
      </c>
      <c r="DV81" s="1363">
        <f>DV82</f>
        <v>-177</v>
      </c>
      <c r="DW81" s="1363">
        <f t="shared" ref="DW81:EV81" si="124">DW82</f>
        <v>-78</v>
      </c>
      <c r="DX81" s="1363">
        <f t="shared" si="124"/>
        <v>-102</v>
      </c>
      <c r="DY81" s="1363">
        <f t="shared" si="124"/>
        <v>0</v>
      </c>
      <c r="DZ81" s="1363">
        <f t="shared" si="124"/>
        <v>0</v>
      </c>
      <c r="EA81" s="1363">
        <f t="shared" si="124"/>
        <v>0</v>
      </c>
      <c r="EB81" s="1363">
        <f t="shared" si="124"/>
        <v>-3.2</v>
      </c>
      <c r="EC81" s="1363">
        <f t="shared" si="124"/>
        <v>0</v>
      </c>
      <c r="ED81" s="1363">
        <f t="shared" si="124"/>
        <v>-3</v>
      </c>
      <c r="EE81" s="1363">
        <f t="shared" si="124"/>
        <v>-177</v>
      </c>
      <c r="EF81" s="1363">
        <f t="shared" si="124"/>
        <v>0</v>
      </c>
      <c r="EG81" s="1363">
        <f t="shared" si="124"/>
        <v>0</v>
      </c>
      <c r="EH81" s="1363">
        <f t="shared" si="124"/>
        <v>0</v>
      </c>
      <c r="EI81" s="1363">
        <f t="shared" si="124"/>
        <v>0</v>
      </c>
      <c r="EJ81" s="1363">
        <f t="shared" si="124"/>
        <v>0</v>
      </c>
      <c r="EK81" s="1363">
        <f t="shared" si="124"/>
        <v>0</v>
      </c>
      <c r="EL81" s="1363">
        <f t="shared" si="124"/>
        <v>0</v>
      </c>
      <c r="EM81" s="1363">
        <f t="shared" si="124"/>
        <v>0</v>
      </c>
      <c r="EN81" s="1363">
        <f t="shared" si="124"/>
        <v>0</v>
      </c>
      <c r="EO81" s="1363">
        <f t="shared" si="124"/>
        <v>0</v>
      </c>
      <c r="EP81" s="1363">
        <f t="shared" si="124"/>
        <v>0</v>
      </c>
      <c r="EQ81" s="1363">
        <f t="shared" si="124"/>
        <v>508</v>
      </c>
      <c r="ER81" s="1363">
        <f t="shared" si="124"/>
        <v>0</v>
      </c>
      <c r="ES81" s="1363">
        <f t="shared" si="124"/>
        <v>100</v>
      </c>
      <c r="ET81" s="1363">
        <f t="shared" si="124"/>
        <v>5980</v>
      </c>
      <c r="EU81" s="1363">
        <f t="shared" si="124"/>
        <v>0</v>
      </c>
      <c r="EV81" s="1363">
        <f t="shared" si="124"/>
        <v>0</v>
      </c>
    </row>
    <row r="82" spans="1:152" ht="21" customHeight="1">
      <c r="A82" s="659">
        <v>29</v>
      </c>
      <c r="B82" s="660" t="s">
        <v>515</v>
      </c>
      <c r="C82" s="661">
        <f>SUM(C83:C93)</f>
        <v>375</v>
      </c>
      <c r="D82" s="661">
        <f>SUM(D83:D93)</f>
        <v>346</v>
      </c>
      <c r="E82" s="661">
        <f t="shared" ref="E82:J82" si="125">SUM(E83:E93)</f>
        <v>28</v>
      </c>
      <c r="F82" s="661">
        <f t="shared" si="125"/>
        <v>318</v>
      </c>
      <c r="G82" s="661">
        <f t="shared" si="125"/>
        <v>29</v>
      </c>
      <c r="H82" s="661">
        <f t="shared" si="125"/>
        <v>305</v>
      </c>
      <c r="I82" s="661">
        <f t="shared" si="125"/>
        <v>29</v>
      </c>
      <c r="J82" s="661">
        <f t="shared" si="125"/>
        <v>21</v>
      </c>
      <c r="K82" s="646">
        <f t="shared" si="117"/>
        <v>87877</v>
      </c>
      <c r="L82" s="662">
        <f>SUM(L83:L93)</f>
        <v>87897</v>
      </c>
      <c r="M82" s="662">
        <f t="shared" ref="M82:AL82" si="126">SUM(M83:M93)</f>
        <v>22376</v>
      </c>
      <c r="N82" s="662">
        <f t="shared" si="126"/>
        <v>5186</v>
      </c>
      <c r="O82" s="662">
        <f t="shared" si="126"/>
        <v>0</v>
      </c>
      <c r="P82" s="662">
        <f t="shared" si="126"/>
        <v>0</v>
      </c>
      <c r="Q82" s="662">
        <f t="shared" si="126"/>
        <v>0</v>
      </c>
      <c r="R82" s="662">
        <f t="shared" si="126"/>
        <v>245.8</v>
      </c>
      <c r="S82" s="662">
        <f t="shared" si="126"/>
        <v>520.88888888888891</v>
      </c>
      <c r="T82" s="662">
        <f t="shared" si="126"/>
        <v>767</v>
      </c>
      <c r="U82" s="662">
        <f t="shared" si="126"/>
        <v>26795</v>
      </c>
      <c r="V82" s="662">
        <f t="shared" si="126"/>
        <v>59953</v>
      </c>
      <c r="W82" s="662">
        <f t="shared" si="126"/>
        <v>3095</v>
      </c>
      <c r="X82" s="662">
        <f t="shared" si="126"/>
        <v>0</v>
      </c>
      <c r="Y82" s="662">
        <f t="shared" si="126"/>
        <v>1215.7</v>
      </c>
      <c r="Z82" s="662">
        <f t="shared" si="126"/>
        <v>1418.5</v>
      </c>
      <c r="AA82" s="662">
        <f t="shared" si="126"/>
        <v>750</v>
      </c>
      <c r="AB82" s="662">
        <f t="shared" si="126"/>
        <v>1966</v>
      </c>
      <c r="AC82" s="662">
        <f t="shared" si="126"/>
        <v>61082</v>
      </c>
      <c r="AD82" s="662">
        <f t="shared" si="126"/>
        <v>20</v>
      </c>
      <c r="AE82" s="662">
        <f t="shared" si="126"/>
        <v>0</v>
      </c>
      <c r="AF82" s="662">
        <f t="shared" si="126"/>
        <v>0</v>
      </c>
      <c r="AG82" s="662">
        <f t="shared" si="126"/>
        <v>508</v>
      </c>
      <c r="AH82" s="662">
        <f t="shared" si="126"/>
        <v>0</v>
      </c>
      <c r="AI82" s="662">
        <f t="shared" si="126"/>
        <v>100</v>
      </c>
      <c r="AJ82" s="662">
        <f t="shared" si="126"/>
        <v>5980</v>
      </c>
      <c r="AK82" s="662">
        <f t="shared" si="126"/>
        <v>0</v>
      </c>
      <c r="AL82" s="664">
        <f t="shared" si="126"/>
        <v>0</v>
      </c>
      <c r="AN82" s="621"/>
      <c r="AO82" s="659">
        <v>34</v>
      </c>
      <c r="AP82" s="660" t="s">
        <v>515</v>
      </c>
      <c r="AQ82" s="661">
        <f>SUM(AQ83:AQ93)</f>
        <v>564</v>
      </c>
      <c r="AR82" s="661">
        <f>SUM(AR83:AR93)</f>
        <v>522</v>
      </c>
      <c r="AS82" s="661">
        <f t="shared" ref="AS82:AX82" si="127">SUM(AS83:AS93)</f>
        <v>29</v>
      </c>
      <c r="AT82" s="661">
        <f t="shared" si="127"/>
        <v>493</v>
      </c>
      <c r="AU82" s="661">
        <f t="shared" si="127"/>
        <v>30</v>
      </c>
      <c r="AV82" s="661">
        <f t="shared" si="127"/>
        <v>451</v>
      </c>
      <c r="AW82" s="661">
        <f t="shared" si="127"/>
        <v>42</v>
      </c>
      <c r="AX82" s="661">
        <f t="shared" si="127"/>
        <v>32</v>
      </c>
      <c r="AY82" s="662">
        <f t="shared" ref="AY82:BW82" si="128">SUM(AY83:AY93)</f>
        <v>91935</v>
      </c>
      <c r="AZ82" s="665">
        <f>SUM(AZ83:AZ93)</f>
        <v>41846</v>
      </c>
      <c r="BA82" s="662">
        <f t="shared" si="128"/>
        <v>5208</v>
      </c>
      <c r="BB82" s="662">
        <f t="shared" si="128"/>
        <v>0</v>
      </c>
      <c r="BC82" s="662">
        <f t="shared" si="128"/>
        <v>0</v>
      </c>
      <c r="BD82" s="662">
        <f t="shared" si="128"/>
        <v>0</v>
      </c>
      <c r="BE82" s="662">
        <f t="shared" si="128"/>
        <v>520.79999999999995</v>
      </c>
      <c r="BF82" s="663">
        <f t="shared" si="128"/>
        <v>521</v>
      </c>
      <c r="BG82" s="662">
        <f t="shared" si="128"/>
        <v>46533</v>
      </c>
      <c r="BH82" s="662">
        <f t="shared" si="128"/>
        <v>45877</v>
      </c>
      <c r="BI82" s="662">
        <f t="shared" si="128"/>
        <v>0</v>
      </c>
      <c r="BJ82" s="662">
        <f t="shared" si="128"/>
        <v>326</v>
      </c>
      <c r="BK82" s="662">
        <f t="shared" si="128"/>
        <v>0</v>
      </c>
      <c r="BL82" s="662">
        <f t="shared" si="128"/>
        <v>854.7</v>
      </c>
      <c r="BM82" s="663">
        <f t="shared" si="128"/>
        <v>856</v>
      </c>
      <c r="BN82" s="662">
        <f t="shared" si="128"/>
        <v>45347</v>
      </c>
      <c r="BO82" s="662">
        <f t="shared" si="128"/>
        <v>55</v>
      </c>
      <c r="BP82" s="662">
        <f t="shared" si="128"/>
        <v>0</v>
      </c>
      <c r="BQ82" s="662">
        <f t="shared" si="128"/>
        <v>18308</v>
      </c>
      <c r="BR82" s="662">
        <f t="shared" si="128"/>
        <v>117</v>
      </c>
      <c r="BS82" s="662">
        <f t="shared" si="128"/>
        <v>0</v>
      </c>
      <c r="BT82" s="662">
        <f t="shared" si="128"/>
        <v>138</v>
      </c>
      <c r="BU82" s="662">
        <f t="shared" si="128"/>
        <v>6705</v>
      </c>
      <c r="BV82" s="662">
        <f t="shared" si="128"/>
        <v>30000</v>
      </c>
      <c r="BW82" s="662">
        <f t="shared" si="128"/>
        <v>0</v>
      </c>
      <c r="CA82" s="1352">
        <v>31</v>
      </c>
      <c r="CB82" s="1352" t="s">
        <v>515</v>
      </c>
      <c r="CC82" s="1352">
        <v>376</v>
      </c>
      <c r="CD82" s="1352">
        <v>347</v>
      </c>
      <c r="CE82" s="1352">
        <v>29</v>
      </c>
      <c r="CF82" s="1352">
        <v>318</v>
      </c>
      <c r="CG82" s="1352">
        <v>29</v>
      </c>
      <c r="CH82" s="1352">
        <v>305</v>
      </c>
      <c r="CI82" s="1352">
        <v>29</v>
      </c>
      <c r="CJ82" s="1352">
        <v>21</v>
      </c>
      <c r="CK82" s="1353">
        <v>88074</v>
      </c>
      <c r="CL82" s="1353">
        <v>22454</v>
      </c>
      <c r="CM82" s="1354">
        <v>5288</v>
      </c>
      <c r="CN82" s="1354">
        <v>0</v>
      </c>
      <c r="CO82" s="1354">
        <v>0</v>
      </c>
      <c r="CP82" s="1354">
        <v>0</v>
      </c>
      <c r="CQ82" s="1354">
        <v>249.00000000000003</v>
      </c>
      <c r="CR82" s="1354">
        <v>520.88888888888891</v>
      </c>
      <c r="CS82" s="1354">
        <v>770</v>
      </c>
      <c r="CT82" s="1353">
        <v>26972</v>
      </c>
      <c r="CU82" s="1353">
        <v>59953</v>
      </c>
      <c r="CV82" s="1353">
        <v>3095</v>
      </c>
      <c r="CW82" s="1353">
        <v>0</v>
      </c>
      <c r="CX82" s="1353">
        <v>1215.7</v>
      </c>
      <c r="CY82" s="1353">
        <v>1418.5</v>
      </c>
      <c r="CZ82" s="1353">
        <v>750</v>
      </c>
      <c r="DA82" s="1353">
        <v>1966</v>
      </c>
      <c r="DB82" s="1353">
        <v>61082</v>
      </c>
      <c r="DC82" s="1353">
        <v>20</v>
      </c>
      <c r="DD82" s="1353">
        <v>0</v>
      </c>
      <c r="DE82" s="1353">
        <v>0</v>
      </c>
      <c r="DF82" s="1353">
        <v>0</v>
      </c>
      <c r="DG82" s="1353">
        <v>0</v>
      </c>
      <c r="DH82" s="1353">
        <v>0</v>
      </c>
      <c r="DI82" s="1353">
        <v>0</v>
      </c>
      <c r="DJ82" s="1353">
        <v>0</v>
      </c>
      <c r="DK82" s="1353">
        <v>0</v>
      </c>
      <c r="DT82" s="659">
        <v>31</v>
      </c>
      <c r="DU82" s="660" t="s">
        <v>515</v>
      </c>
      <c r="DV82" s="777">
        <f>SUM(DV83:DV93)</f>
        <v>-177</v>
      </c>
      <c r="DW82" s="777">
        <f t="shared" ref="DW82:EV82" si="129">SUM(DW83:DW93)</f>
        <v>-78</v>
      </c>
      <c r="DX82" s="777">
        <f t="shared" si="129"/>
        <v>-102</v>
      </c>
      <c r="DY82" s="777">
        <f t="shared" si="129"/>
        <v>0</v>
      </c>
      <c r="DZ82" s="777">
        <f t="shared" si="129"/>
        <v>0</v>
      </c>
      <c r="EA82" s="777">
        <f t="shared" si="129"/>
        <v>0</v>
      </c>
      <c r="EB82" s="777">
        <f t="shared" si="129"/>
        <v>-3.2</v>
      </c>
      <c r="EC82" s="777">
        <f t="shared" si="129"/>
        <v>0</v>
      </c>
      <c r="ED82" s="777">
        <f t="shared" si="129"/>
        <v>-3</v>
      </c>
      <c r="EE82" s="777">
        <f t="shared" si="129"/>
        <v>-177</v>
      </c>
      <c r="EF82" s="777">
        <f t="shared" si="129"/>
        <v>0</v>
      </c>
      <c r="EG82" s="777">
        <f t="shared" si="129"/>
        <v>0</v>
      </c>
      <c r="EH82" s="777">
        <f t="shared" si="129"/>
        <v>0</v>
      </c>
      <c r="EI82" s="777">
        <f t="shared" si="129"/>
        <v>0</v>
      </c>
      <c r="EJ82" s="777">
        <f t="shared" si="129"/>
        <v>0</v>
      </c>
      <c r="EK82" s="777">
        <f t="shared" si="129"/>
        <v>0</v>
      </c>
      <c r="EL82" s="777">
        <f t="shared" si="129"/>
        <v>0</v>
      </c>
      <c r="EM82" s="777">
        <f t="shared" si="129"/>
        <v>0</v>
      </c>
      <c r="EN82" s="777">
        <f t="shared" si="129"/>
        <v>0</v>
      </c>
      <c r="EO82" s="777">
        <f t="shared" si="129"/>
        <v>0</v>
      </c>
      <c r="EP82" s="777">
        <f t="shared" si="129"/>
        <v>0</v>
      </c>
      <c r="EQ82" s="777">
        <f t="shared" si="129"/>
        <v>508</v>
      </c>
      <c r="ER82" s="777">
        <f t="shared" si="129"/>
        <v>0</v>
      </c>
      <c r="ES82" s="777">
        <f t="shared" si="129"/>
        <v>100</v>
      </c>
      <c r="ET82" s="777">
        <f t="shared" si="129"/>
        <v>5980</v>
      </c>
      <c r="EU82" s="777">
        <f t="shared" si="129"/>
        <v>0</v>
      </c>
      <c r="EV82" s="777">
        <f t="shared" si="129"/>
        <v>0</v>
      </c>
    </row>
    <row r="83" spans="1:152" ht="37.5" hidden="1" customHeight="1">
      <c r="A83" s="659"/>
      <c r="B83" s="660" t="s">
        <v>516</v>
      </c>
      <c r="C83" s="661">
        <f t="shared" ref="C83:C94" si="130">D83+I83</f>
        <v>0</v>
      </c>
      <c r="D83" s="661">
        <f t="shared" ref="D83:D94" si="131">E83+F83</f>
        <v>0</v>
      </c>
      <c r="E83" s="661"/>
      <c r="F83" s="661"/>
      <c r="G83" s="661"/>
      <c r="H83" s="661"/>
      <c r="I83" s="661"/>
      <c r="J83" s="661"/>
      <c r="K83" s="646">
        <f t="shared" si="117"/>
        <v>49356</v>
      </c>
      <c r="L83" s="662">
        <f t="shared" ref="L83:L94" si="132">U83+AC83+AD83+AE83</f>
        <v>49356</v>
      </c>
      <c r="M83" s="662"/>
      <c r="N83" s="662"/>
      <c r="O83" s="662"/>
      <c r="P83" s="662"/>
      <c r="Q83" s="662"/>
      <c r="R83" s="666">
        <f>((N83+O83)-(BA83+BB83))*10%</f>
        <v>0</v>
      </c>
      <c r="S83" s="666"/>
      <c r="T83" s="666">
        <f t="shared" ref="T83:T94" si="133">ROUND((Q83+R83+S83),0)</f>
        <v>0</v>
      </c>
      <c r="U83" s="666">
        <f t="shared" ref="U83:U94" si="134">(M83+N83+O83+P83)-T83</f>
        <v>0</v>
      </c>
      <c r="V83" s="662">
        <f>((29700+2861+549+4946+3000))+6000+500+500</f>
        <v>48056</v>
      </c>
      <c r="W83" s="662">
        <v>2000</v>
      </c>
      <c r="X83" s="662"/>
      <c r="Y83" s="666">
        <f>Z83-BM83</f>
        <v>700</v>
      </c>
      <c r="Z83" s="666">
        <f>(V83-41056)*10%</f>
        <v>700</v>
      </c>
      <c r="AA83" s="666"/>
      <c r="AB83" s="666">
        <f t="shared" ref="AB83:AB94" si="135">ROUND((Y83+AA83+X83),0)</f>
        <v>700</v>
      </c>
      <c r="AC83" s="666">
        <f t="shared" ref="AC83:AC94" si="136">(V83+W83)-AB83</f>
        <v>49356</v>
      </c>
      <c r="AD83" s="662"/>
      <c r="AE83" s="662"/>
      <c r="AF83" s="662"/>
      <c r="AG83" s="662"/>
      <c r="AH83" s="662"/>
      <c r="AI83" s="662"/>
      <c r="AJ83" s="662">
        <v>5980</v>
      </c>
      <c r="AK83" s="662"/>
      <c r="AL83" s="664"/>
      <c r="AN83" s="621"/>
      <c r="AO83" s="659"/>
      <c r="AP83" s="660" t="s">
        <v>516</v>
      </c>
      <c r="AQ83" s="661">
        <f>AR83+AW83</f>
        <v>0</v>
      </c>
      <c r="AR83" s="661">
        <f>AS83+AT83</f>
        <v>0</v>
      </c>
      <c r="AS83" s="661"/>
      <c r="AT83" s="661"/>
      <c r="AU83" s="661"/>
      <c r="AV83" s="661"/>
      <c r="AW83" s="661"/>
      <c r="AX83" s="661"/>
      <c r="AY83" s="662">
        <f t="shared" ref="AY83:AY93" si="137">BG83+BN83+BO83+BP83</f>
        <v>33195</v>
      </c>
      <c r="AZ83" s="665"/>
      <c r="BA83" s="662"/>
      <c r="BB83" s="662"/>
      <c r="BC83" s="662"/>
      <c r="BD83" s="662"/>
      <c r="BE83" s="666">
        <f t="shared" ref="BE83:BE93" si="138">(BA83+BB83)*10%</f>
        <v>0</v>
      </c>
      <c r="BF83" s="667">
        <f t="shared" ref="BF83:BF93" si="139">ROUND(BE83,0)</f>
        <v>0</v>
      </c>
      <c r="BG83" s="666">
        <f t="shared" ref="BG83:BG93" si="140">(AZ83+BA83+BB83+BC83)-BF83</f>
        <v>0</v>
      </c>
      <c r="BH83" s="662">
        <f>33195</f>
        <v>33195</v>
      </c>
      <c r="BI83" s="662"/>
      <c r="BJ83" s="662"/>
      <c r="BK83" s="662"/>
      <c r="BL83" s="666">
        <f>(BH83-33195)*10%</f>
        <v>0</v>
      </c>
      <c r="BM83" s="667">
        <f t="shared" ref="BM83:BM92" si="141">ROUND(BL83,0)</f>
        <v>0</v>
      </c>
      <c r="BN83" s="666">
        <f t="shared" ref="BN83:BN93" si="142">(BH83+BI83+BJ83)-BM83</f>
        <v>33195</v>
      </c>
      <c r="BO83" s="662"/>
      <c r="BP83" s="662"/>
      <c r="BQ83" s="662"/>
      <c r="BR83" s="662"/>
      <c r="BS83" s="662"/>
      <c r="BT83" s="662"/>
      <c r="BU83" s="662"/>
      <c r="BV83" s="662">
        <v>30000</v>
      </c>
      <c r="BW83" s="662"/>
      <c r="CA83" s="1352"/>
      <c r="CB83" s="1352" t="s">
        <v>516</v>
      </c>
      <c r="CC83" s="1352">
        <v>0</v>
      </c>
      <c r="CD83" s="1352">
        <v>0</v>
      </c>
      <c r="CE83" s="1352"/>
      <c r="CF83" s="1352"/>
      <c r="CG83" s="1352"/>
      <c r="CH83" s="1352"/>
      <c r="CI83" s="1352"/>
      <c r="CJ83" s="1352"/>
      <c r="CK83" s="1353">
        <v>49356</v>
      </c>
      <c r="CL83" s="1353"/>
      <c r="CM83" s="1354"/>
      <c r="CN83" s="1354"/>
      <c r="CO83" s="1354"/>
      <c r="CP83" s="1354"/>
      <c r="CQ83" s="1354">
        <v>0</v>
      </c>
      <c r="CR83" s="1354"/>
      <c r="CS83" s="1354">
        <v>0</v>
      </c>
      <c r="CT83" s="1353">
        <v>0</v>
      </c>
      <c r="CU83" s="1353">
        <v>48056</v>
      </c>
      <c r="CV83" s="1353">
        <v>2000</v>
      </c>
      <c r="CW83" s="1353"/>
      <c r="CX83" s="1353">
        <v>700</v>
      </c>
      <c r="CY83" s="1353">
        <v>700</v>
      </c>
      <c r="CZ83" s="1353"/>
      <c r="DA83" s="1353">
        <v>700</v>
      </c>
      <c r="DB83" s="1353">
        <v>49356</v>
      </c>
      <c r="DC83" s="1353"/>
      <c r="DD83" s="1353"/>
      <c r="DE83" s="1353"/>
      <c r="DF83" s="1353"/>
      <c r="DG83" s="1353"/>
      <c r="DH83" s="1353"/>
      <c r="DI83" s="1353"/>
      <c r="DJ83" s="1353"/>
      <c r="DK83" s="1353"/>
      <c r="DT83" s="659"/>
      <c r="DU83" s="660" t="s">
        <v>516</v>
      </c>
      <c r="DV83" s="777">
        <f t="shared" ref="DV83:EK94" si="143">L83-CK83</f>
        <v>0</v>
      </c>
      <c r="DW83" s="777">
        <f t="shared" si="143"/>
        <v>0</v>
      </c>
      <c r="DX83" s="777">
        <f t="shared" si="143"/>
        <v>0</v>
      </c>
      <c r="DY83" s="777">
        <f t="shared" si="143"/>
        <v>0</v>
      </c>
      <c r="DZ83" s="777">
        <f t="shared" si="143"/>
        <v>0</v>
      </c>
      <c r="EA83" s="777">
        <f t="shared" si="143"/>
        <v>0</v>
      </c>
      <c r="EB83" s="777">
        <f t="shared" si="143"/>
        <v>0</v>
      </c>
      <c r="EC83" s="777">
        <f t="shared" si="143"/>
        <v>0</v>
      </c>
      <c r="ED83" s="777">
        <f t="shared" si="143"/>
        <v>0</v>
      </c>
      <c r="EE83" s="777">
        <f t="shared" si="143"/>
        <v>0</v>
      </c>
      <c r="EF83" s="777">
        <f t="shared" si="143"/>
        <v>0</v>
      </c>
      <c r="EG83" s="777">
        <f t="shared" si="143"/>
        <v>0</v>
      </c>
      <c r="EH83" s="777">
        <f t="shared" si="143"/>
        <v>0</v>
      </c>
      <c r="EI83" s="777">
        <f t="shared" si="143"/>
        <v>0</v>
      </c>
      <c r="EJ83" s="777">
        <f t="shared" si="143"/>
        <v>0</v>
      </c>
      <c r="EK83" s="777">
        <f t="shared" si="143"/>
        <v>0</v>
      </c>
      <c r="EL83" s="777">
        <f t="shared" ref="EL83:EV94" si="144">AB83-DA83</f>
        <v>0</v>
      </c>
      <c r="EM83" s="777">
        <f t="shared" si="144"/>
        <v>0</v>
      </c>
      <c r="EN83" s="777">
        <f t="shared" si="144"/>
        <v>0</v>
      </c>
      <c r="EO83" s="777">
        <f t="shared" si="144"/>
        <v>0</v>
      </c>
      <c r="EP83" s="777">
        <f t="shared" si="144"/>
        <v>0</v>
      </c>
      <c r="EQ83" s="777">
        <f t="shared" si="144"/>
        <v>0</v>
      </c>
      <c r="ER83" s="777">
        <f t="shared" si="144"/>
        <v>0</v>
      </c>
      <c r="ES83" s="777">
        <f t="shared" si="144"/>
        <v>0</v>
      </c>
      <c r="ET83" s="777">
        <f t="shared" si="144"/>
        <v>5980</v>
      </c>
      <c r="EU83" s="777">
        <f t="shared" si="144"/>
        <v>0</v>
      </c>
      <c r="EV83" s="777">
        <f t="shared" si="144"/>
        <v>0</v>
      </c>
    </row>
    <row r="84" spans="1:152" ht="23.25" hidden="1" customHeight="1">
      <c r="A84" s="659"/>
      <c r="B84" s="751" t="s">
        <v>517</v>
      </c>
      <c r="C84" s="661">
        <f t="shared" si="130"/>
        <v>15</v>
      </c>
      <c r="D84" s="661">
        <f t="shared" si="131"/>
        <v>14</v>
      </c>
      <c r="E84" s="661">
        <v>14</v>
      </c>
      <c r="F84" s="661"/>
      <c r="G84" s="661">
        <v>14</v>
      </c>
      <c r="H84" s="661"/>
      <c r="I84" s="661">
        <v>1</v>
      </c>
      <c r="J84" s="661">
        <v>1</v>
      </c>
      <c r="K84" s="646">
        <f t="shared" si="117"/>
        <v>2200</v>
      </c>
      <c r="L84" s="662">
        <f t="shared" si="132"/>
        <v>2200</v>
      </c>
      <c r="M84" s="1370">
        <v>1393</v>
      </c>
      <c r="N84" s="1370">
        <v>406</v>
      </c>
      <c r="O84" s="662"/>
      <c r="P84" s="662"/>
      <c r="Q84" s="662"/>
      <c r="R84" s="666"/>
      <c r="S84" s="666">
        <v>49</v>
      </c>
      <c r="T84" s="666">
        <f t="shared" si="133"/>
        <v>49</v>
      </c>
      <c r="U84" s="666">
        <f t="shared" si="134"/>
        <v>1750</v>
      </c>
      <c r="V84" s="662">
        <v>500</v>
      </c>
      <c r="W84" s="662"/>
      <c r="X84" s="662"/>
      <c r="Y84" s="666">
        <f>Z84-BM84</f>
        <v>0</v>
      </c>
      <c r="Z84" s="666">
        <f t="shared" ref="Z84:Z120" si="145">V84*10%</f>
        <v>50</v>
      </c>
      <c r="AA84" s="666">
        <v>50</v>
      </c>
      <c r="AB84" s="666">
        <f t="shared" si="135"/>
        <v>50</v>
      </c>
      <c r="AC84" s="666">
        <f t="shared" si="136"/>
        <v>450</v>
      </c>
      <c r="AD84" s="662"/>
      <c r="AE84" s="662"/>
      <c r="AF84" s="662"/>
      <c r="AG84" s="662"/>
      <c r="AH84" s="662"/>
      <c r="AI84" s="662"/>
      <c r="AJ84" s="662"/>
      <c r="AK84" s="662"/>
      <c r="AL84" s="664"/>
      <c r="AN84" s="610"/>
      <c r="AO84" s="659"/>
      <c r="AP84" s="751" t="s">
        <v>517</v>
      </c>
      <c r="AQ84" s="661">
        <f>AR84+AW84</f>
        <v>16</v>
      </c>
      <c r="AR84" s="661">
        <f>AS84+AT84</f>
        <v>14</v>
      </c>
      <c r="AS84" s="661">
        <v>14</v>
      </c>
      <c r="AT84" s="661"/>
      <c r="AU84" s="661">
        <v>15</v>
      </c>
      <c r="AV84" s="661"/>
      <c r="AW84" s="661">
        <v>2</v>
      </c>
      <c r="AX84" s="661">
        <v>1</v>
      </c>
      <c r="AY84" s="662">
        <f t="shared" si="137"/>
        <v>3157</v>
      </c>
      <c r="AZ84" s="1371">
        <f>(843+3+211+190)+46+12+11</f>
        <v>1316</v>
      </c>
      <c r="BA84" s="1370">
        <v>435</v>
      </c>
      <c r="BB84" s="662"/>
      <c r="BC84" s="662"/>
      <c r="BD84" s="662"/>
      <c r="BE84" s="666">
        <f t="shared" si="138"/>
        <v>43.5</v>
      </c>
      <c r="BF84" s="667">
        <f t="shared" si="139"/>
        <v>44</v>
      </c>
      <c r="BG84" s="666">
        <f t="shared" si="140"/>
        <v>1707</v>
      </c>
      <c r="BH84" s="662">
        <f>1000+500</f>
        <v>1500</v>
      </c>
      <c r="BI84" s="662"/>
      <c r="BJ84" s="662"/>
      <c r="BK84" s="662"/>
      <c r="BL84" s="666">
        <f>(BH84-1000)*10%</f>
        <v>50</v>
      </c>
      <c r="BM84" s="667">
        <f t="shared" si="141"/>
        <v>50</v>
      </c>
      <c r="BN84" s="666">
        <f t="shared" si="142"/>
        <v>1450</v>
      </c>
      <c r="BO84" s="662"/>
      <c r="BP84" s="662"/>
      <c r="BQ84" s="662"/>
      <c r="BR84" s="662"/>
      <c r="BS84" s="662"/>
      <c r="BT84" s="662"/>
      <c r="BU84" s="662">
        <v>6705</v>
      </c>
      <c r="BV84" s="662"/>
      <c r="BW84" s="662"/>
      <c r="CA84" s="1352"/>
      <c r="CB84" s="1352" t="s">
        <v>517</v>
      </c>
      <c r="CC84" s="1352">
        <v>15</v>
      </c>
      <c r="CD84" s="1352">
        <v>14</v>
      </c>
      <c r="CE84" s="1352">
        <v>14</v>
      </c>
      <c r="CF84" s="1352"/>
      <c r="CG84" s="1352">
        <v>14</v>
      </c>
      <c r="CH84" s="1352"/>
      <c r="CI84" s="1352">
        <v>1</v>
      </c>
      <c r="CJ84" s="1352">
        <v>1</v>
      </c>
      <c r="CK84" s="1353">
        <v>2200</v>
      </c>
      <c r="CL84" s="1353">
        <v>1393</v>
      </c>
      <c r="CM84" s="1354">
        <v>406</v>
      </c>
      <c r="CN84" s="1354"/>
      <c r="CO84" s="1354"/>
      <c r="CP84" s="1354"/>
      <c r="CQ84" s="1354"/>
      <c r="CR84" s="1354">
        <v>49</v>
      </c>
      <c r="CS84" s="1354">
        <v>49</v>
      </c>
      <c r="CT84" s="1353">
        <v>1750</v>
      </c>
      <c r="CU84" s="1353">
        <v>500</v>
      </c>
      <c r="CV84" s="1353"/>
      <c r="CW84" s="1353"/>
      <c r="CX84" s="1353">
        <v>0</v>
      </c>
      <c r="CY84" s="1353">
        <v>50</v>
      </c>
      <c r="CZ84" s="1353">
        <v>50</v>
      </c>
      <c r="DA84" s="1353">
        <v>50</v>
      </c>
      <c r="DB84" s="1353">
        <v>450</v>
      </c>
      <c r="DC84" s="1353"/>
      <c r="DD84" s="1353"/>
      <c r="DE84" s="1353"/>
      <c r="DF84" s="1353"/>
      <c r="DG84" s="1353"/>
      <c r="DH84" s="1353"/>
      <c r="DI84" s="1353"/>
      <c r="DJ84" s="1353"/>
      <c r="DK84" s="1353"/>
      <c r="DT84" s="659"/>
      <c r="DU84" s="751" t="s">
        <v>517</v>
      </c>
      <c r="DV84" s="777">
        <f t="shared" si="143"/>
        <v>0</v>
      </c>
      <c r="DW84" s="777">
        <f t="shared" si="143"/>
        <v>0</v>
      </c>
      <c r="DX84" s="777">
        <f t="shared" si="143"/>
        <v>0</v>
      </c>
      <c r="DY84" s="777">
        <f t="shared" si="143"/>
        <v>0</v>
      </c>
      <c r="DZ84" s="777">
        <f t="shared" si="143"/>
        <v>0</v>
      </c>
      <c r="EA84" s="777">
        <f t="shared" si="143"/>
        <v>0</v>
      </c>
      <c r="EB84" s="777">
        <f t="shared" si="143"/>
        <v>0</v>
      </c>
      <c r="EC84" s="777">
        <f t="shared" si="143"/>
        <v>0</v>
      </c>
      <c r="ED84" s="777">
        <f t="shared" si="143"/>
        <v>0</v>
      </c>
      <c r="EE84" s="777">
        <f t="shared" si="143"/>
        <v>0</v>
      </c>
      <c r="EF84" s="777">
        <f t="shared" si="143"/>
        <v>0</v>
      </c>
      <c r="EG84" s="777">
        <f t="shared" si="143"/>
        <v>0</v>
      </c>
      <c r="EH84" s="777">
        <f t="shared" si="143"/>
        <v>0</v>
      </c>
      <c r="EI84" s="777">
        <f t="shared" si="143"/>
        <v>0</v>
      </c>
      <c r="EJ84" s="777">
        <f t="shared" si="143"/>
        <v>0</v>
      </c>
      <c r="EK84" s="777">
        <f t="shared" si="143"/>
        <v>0</v>
      </c>
      <c r="EL84" s="777">
        <f t="shared" si="144"/>
        <v>0</v>
      </c>
      <c r="EM84" s="777">
        <f t="shared" si="144"/>
        <v>0</v>
      </c>
      <c r="EN84" s="777">
        <f t="shared" si="144"/>
        <v>0</v>
      </c>
      <c r="EO84" s="777">
        <f t="shared" si="144"/>
        <v>0</v>
      </c>
      <c r="EP84" s="777">
        <f t="shared" si="144"/>
        <v>0</v>
      </c>
      <c r="EQ84" s="777">
        <f t="shared" si="144"/>
        <v>0</v>
      </c>
      <c r="ER84" s="777">
        <f t="shared" si="144"/>
        <v>0</v>
      </c>
      <c r="ES84" s="777">
        <f t="shared" si="144"/>
        <v>0</v>
      </c>
      <c r="ET84" s="777">
        <f t="shared" si="144"/>
        <v>0</v>
      </c>
      <c r="EU84" s="777">
        <f t="shared" si="144"/>
        <v>0</v>
      </c>
      <c r="EV84" s="777">
        <f t="shared" si="144"/>
        <v>0</v>
      </c>
    </row>
    <row r="85" spans="1:152" ht="33" hidden="1" customHeight="1">
      <c r="A85" s="659"/>
      <c r="B85" s="751" t="s">
        <v>518</v>
      </c>
      <c r="C85" s="661">
        <f t="shared" si="130"/>
        <v>17</v>
      </c>
      <c r="D85" s="661">
        <f t="shared" si="131"/>
        <v>14</v>
      </c>
      <c r="E85" s="661">
        <v>14</v>
      </c>
      <c r="F85" s="661"/>
      <c r="G85" s="661">
        <v>15</v>
      </c>
      <c r="H85" s="661"/>
      <c r="I85" s="661">
        <v>3</v>
      </c>
      <c r="J85" s="711">
        <v>2</v>
      </c>
      <c r="K85" s="646">
        <f t="shared" si="117"/>
        <v>1789</v>
      </c>
      <c r="L85" s="662">
        <f t="shared" si="132"/>
        <v>1809</v>
      </c>
      <c r="M85" s="1370">
        <v>1170</v>
      </c>
      <c r="N85" s="1370">
        <v>406</v>
      </c>
      <c r="O85" s="662"/>
      <c r="P85" s="662"/>
      <c r="Q85" s="662"/>
      <c r="R85" s="666"/>
      <c r="S85" s="666">
        <v>41</v>
      </c>
      <c r="T85" s="666">
        <f t="shared" si="133"/>
        <v>41</v>
      </c>
      <c r="U85" s="666">
        <f t="shared" si="134"/>
        <v>1535</v>
      </c>
      <c r="V85" s="662">
        <v>204</v>
      </c>
      <c r="W85" s="662">
        <v>95</v>
      </c>
      <c r="X85" s="662"/>
      <c r="Y85" s="666"/>
      <c r="Z85" s="666">
        <f t="shared" si="145"/>
        <v>20.400000000000002</v>
      </c>
      <c r="AA85" s="666">
        <v>45</v>
      </c>
      <c r="AB85" s="666">
        <f t="shared" si="135"/>
        <v>45</v>
      </c>
      <c r="AC85" s="666">
        <f t="shared" si="136"/>
        <v>254</v>
      </c>
      <c r="AD85" s="662">
        <v>20</v>
      </c>
      <c r="AE85" s="662"/>
      <c r="AF85" s="662"/>
      <c r="AG85" s="662">
        <v>400</v>
      </c>
      <c r="AH85" s="662"/>
      <c r="AI85" s="662">
        <v>100</v>
      </c>
      <c r="AJ85" s="662"/>
      <c r="AK85" s="662"/>
      <c r="AL85" s="664"/>
      <c r="AN85" s="610"/>
      <c r="AO85" s="659"/>
      <c r="AP85" s="751" t="s">
        <v>518</v>
      </c>
      <c r="AQ85" s="661">
        <f>AR85+AW85</f>
        <v>18</v>
      </c>
      <c r="AR85" s="661">
        <f>AS85+AT85</f>
        <v>15</v>
      </c>
      <c r="AS85" s="661">
        <v>15</v>
      </c>
      <c r="AT85" s="661"/>
      <c r="AU85" s="661">
        <v>15</v>
      </c>
      <c r="AV85" s="661"/>
      <c r="AW85" s="661">
        <v>3</v>
      </c>
      <c r="AX85" s="711">
        <v>2</v>
      </c>
      <c r="AY85" s="662">
        <f t="shared" si="137"/>
        <v>2009</v>
      </c>
      <c r="AZ85" s="1371">
        <f>(845+5+211+190)+(56+14+13)</f>
        <v>1334</v>
      </c>
      <c r="BA85" s="1370">
        <v>435</v>
      </c>
      <c r="BB85" s="662"/>
      <c r="BC85" s="662"/>
      <c r="BD85" s="662"/>
      <c r="BE85" s="666">
        <f t="shared" si="138"/>
        <v>43.5</v>
      </c>
      <c r="BF85" s="667">
        <f t="shared" si="139"/>
        <v>44</v>
      </c>
      <c r="BG85" s="666">
        <f>(AZ85+BA85+BB85+BC85)-BF85</f>
        <v>1725</v>
      </c>
      <c r="BH85" s="662">
        <f>178+138</f>
        <v>316</v>
      </c>
      <c r="BI85" s="662"/>
      <c r="BJ85" s="662"/>
      <c r="BK85" s="662"/>
      <c r="BL85" s="666">
        <f>BH85*10%</f>
        <v>31.6</v>
      </c>
      <c r="BM85" s="667">
        <f t="shared" si="141"/>
        <v>32</v>
      </c>
      <c r="BN85" s="666">
        <f t="shared" si="142"/>
        <v>284</v>
      </c>
      <c r="BO85" s="662"/>
      <c r="BP85" s="662"/>
      <c r="BQ85" s="662">
        <f>393-98</f>
        <v>295</v>
      </c>
      <c r="BR85" s="662">
        <v>80</v>
      </c>
      <c r="BS85" s="662"/>
      <c r="BT85" s="662">
        <v>138</v>
      </c>
      <c r="BU85" s="662"/>
      <c r="BV85" s="662"/>
      <c r="BW85" s="662"/>
      <c r="CA85" s="1352"/>
      <c r="CB85" s="1352" t="s">
        <v>518</v>
      </c>
      <c r="CC85" s="1352">
        <v>18</v>
      </c>
      <c r="CD85" s="1352">
        <v>15</v>
      </c>
      <c r="CE85" s="1352">
        <v>15</v>
      </c>
      <c r="CF85" s="1352"/>
      <c r="CG85" s="1352">
        <v>15</v>
      </c>
      <c r="CH85" s="1352"/>
      <c r="CI85" s="1352">
        <v>3</v>
      </c>
      <c r="CJ85" s="1352">
        <v>2</v>
      </c>
      <c r="CK85" s="1353">
        <v>1916</v>
      </c>
      <c r="CL85" s="1353">
        <v>1248</v>
      </c>
      <c r="CM85" s="1354">
        <v>435</v>
      </c>
      <c r="CN85" s="1354"/>
      <c r="CO85" s="1354"/>
      <c r="CP85" s="1354"/>
      <c r="CQ85" s="1354">
        <v>0</v>
      </c>
      <c r="CR85" s="1354">
        <v>41</v>
      </c>
      <c r="CS85" s="1354">
        <v>41</v>
      </c>
      <c r="CT85" s="1353">
        <v>1642</v>
      </c>
      <c r="CU85" s="1353">
        <v>204</v>
      </c>
      <c r="CV85" s="1353">
        <v>95</v>
      </c>
      <c r="CW85" s="1353"/>
      <c r="CX85" s="1353"/>
      <c r="CY85" s="1353">
        <v>20.400000000000002</v>
      </c>
      <c r="CZ85" s="1353">
        <v>45</v>
      </c>
      <c r="DA85" s="1353">
        <v>45</v>
      </c>
      <c r="DB85" s="1353">
        <v>254</v>
      </c>
      <c r="DC85" s="1353">
        <v>20</v>
      </c>
      <c r="DD85" s="1353"/>
      <c r="DE85" s="1353"/>
      <c r="DF85" s="1353"/>
      <c r="DG85" s="1353"/>
      <c r="DH85" s="1353"/>
      <c r="DI85" s="1353"/>
      <c r="DJ85" s="1353"/>
      <c r="DK85" s="1353"/>
      <c r="DT85" s="659"/>
      <c r="DU85" s="751" t="s">
        <v>518</v>
      </c>
      <c r="DV85" s="777">
        <f t="shared" si="143"/>
        <v>-107</v>
      </c>
      <c r="DW85" s="777">
        <f t="shared" si="143"/>
        <v>-78</v>
      </c>
      <c r="DX85" s="777">
        <f t="shared" si="143"/>
        <v>-29</v>
      </c>
      <c r="DY85" s="777">
        <f t="shared" si="143"/>
        <v>0</v>
      </c>
      <c r="DZ85" s="777">
        <f t="shared" si="143"/>
        <v>0</v>
      </c>
      <c r="EA85" s="777">
        <f t="shared" si="143"/>
        <v>0</v>
      </c>
      <c r="EB85" s="777">
        <f t="shared" si="143"/>
        <v>0</v>
      </c>
      <c r="EC85" s="777">
        <f t="shared" si="143"/>
        <v>0</v>
      </c>
      <c r="ED85" s="777">
        <f t="shared" si="143"/>
        <v>0</v>
      </c>
      <c r="EE85" s="777">
        <f t="shared" si="143"/>
        <v>-107</v>
      </c>
      <c r="EF85" s="777">
        <f t="shared" si="143"/>
        <v>0</v>
      </c>
      <c r="EG85" s="777">
        <f t="shared" si="143"/>
        <v>0</v>
      </c>
      <c r="EH85" s="777">
        <f t="shared" si="143"/>
        <v>0</v>
      </c>
      <c r="EI85" s="777">
        <f t="shared" si="143"/>
        <v>0</v>
      </c>
      <c r="EJ85" s="777">
        <f t="shared" si="143"/>
        <v>0</v>
      </c>
      <c r="EK85" s="777">
        <f t="shared" si="143"/>
        <v>0</v>
      </c>
      <c r="EL85" s="777">
        <f t="shared" si="144"/>
        <v>0</v>
      </c>
      <c r="EM85" s="777">
        <f t="shared" si="144"/>
        <v>0</v>
      </c>
      <c r="EN85" s="777">
        <f t="shared" si="144"/>
        <v>0</v>
      </c>
      <c r="EO85" s="777">
        <f t="shared" si="144"/>
        <v>0</v>
      </c>
      <c r="EP85" s="777">
        <f t="shared" si="144"/>
        <v>0</v>
      </c>
      <c r="EQ85" s="777">
        <f t="shared" si="144"/>
        <v>400</v>
      </c>
      <c r="ER85" s="777">
        <f t="shared" si="144"/>
        <v>0</v>
      </c>
      <c r="ES85" s="777">
        <f t="shared" si="144"/>
        <v>100</v>
      </c>
      <c r="ET85" s="777">
        <f t="shared" si="144"/>
        <v>0</v>
      </c>
      <c r="EU85" s="777">
        <f t="shared" si="144"/>
        <v>0</v>
      </c>
      <c r="EV85" s="777">
        <f t="shared" si="144"/>
        <v>0</v>
      </c>
    </row>
    <row r="86" spans="1:152" s="698" customFormat="1" ht="54.75" hidden="1" customHeight="1">
      <c r="A86" s="659"/>
      <c r="B86" s="660" t="s">
        <v>519</v>
      </c>
      <c r="C86" s="661">
        <f t="shared" si="130"/>
        <v>134</v>
      </c>
      <c r="D86" s="661">
        <f t="shared" si="131"/>
        <v>121</v>
      </c>
      <c r="E86" s="661"/>
      <c r="F86" s="661">
        <v>121</v>
      </c>
      <c r="G86" s="661"/>
      <c r="H86" s="661">
        <v>112</v>
      </c>
      <c r="I86" s="661">
        <v>13</v>
      </c>
      <c r="J86" s="661">
        <v>6</v>
      </c>
      <c r="K86" s="646">
        <f t="shared" si="117"/>
        <v>14755</v>
      </c>
      <c r="L86" s="662">
        <f t="shared" si="132"/>
        <v>14755</v>
      </c>
      <c r="M86" s="1370">
        <f>(9004+378+250)-1930</f>
        <v>7702</v>
      </c>
      <c r="N86" s="1370">
        <v>1073</v>
      </c>
      <c r="O86" s="662"/>
      <c r="P86" s="662"/>
      <c r="Q86" s="662"/>
      <c r="R86" s="666"/>
      <c r="S86" s="666">
        <f>57+60+31</f>
        <v>148</v>
      </c>
      <c r="T86" s="666">
        <f t="shared" si="133"/>
        <v>148</v>
      </c>
      <c r="U86" s="666">
        <f t="shared" si="134"/>
        <v>8627</v>
      </c>
      <c r="V86" s="662">
        <f>(1200+80+80+3200+150+77+100)+1930+470</f>
        <v>7287</v>
      </c>
      <c r="W86" s="662"/>
      <c r="X86" s="662"/>
      <c r="Y86" s="666">
        <f>Z86-BM86</f>
        <v>515.70000000000005</v>
      </c>
      <c r="Z86" s="666">
        <f>(V86-1930)*10%</f>
        <v>535.70000000000005</v>
      </c>
      <c r="AA86" s="666">
        <f>150+376+117</f>
        <v>643</v>
      </c>
      <c r="AB86" s="666">
        <f t="shared" si="135"/>
        <v>1159</v>
      </c>
      <c r="AC86" s="666">
        <f t="shared" si="136"/>
        <v>6128</v>
      </c>
      <c r="AD86" s="662"/>
      <c r="AE86" s="662"/>
      <c r="AF86" s="662"/>
      <c r="AG86" s="662"/>
      <c r="AH86" s="662"/>
      <c r="AI86" s="662"/>
      <c r="AJ86" s="662"/>
      <c r="AK86" s="662"/>
      <c r="AL86" s="697"/>
      <c r="AM86" s="624"/>
      <c r="AN86" s="610"/>
      <c r="AO86" s="694"/>
      <c r="AP86" s="1373" t="s">
        <v>520</v>
      </c>
      <c r="AQ86" s="696">
        <f>AR86+AW86</f>
        <v>81</v>
      </c>
      <c r="AR86" s="696">
        <f>AS86+AT86</f>
        <v>77</v>
      </c>
      <c r="AS86" s="696"/>
      <c r="AT86" s="696">
        <v>77</v>
      </c>
      <c r="AU86" s="696"/>
      <c r="AV86" s="696">
        <v>76</v>
      </c>
      <c r="AW86" s="696">
        <v>4</v>
      </c>
      <c r="AX86" s="696">
        <v>4</v>
      </c>
      <c r="AY86" s="697">
        <f t="shared" si="137"/>
        <v>7489</v>
      </c>
      <c r="AZ86" s="1372">
        <f>(4802-43+1)+43+193</f>
        <v>4996</v>
      </c>
      <c r="BA86" s="1372">
        <v>1240</v>
      </c>
      <c r="BB86" s="697"/>
      <c r="BC86" s="697"/>
      <c r="BD86" s="697"/>
      <c r="BE86" s="666">
        <f t="shared" si="138"/>
        <v>124</v>
      </c>
      <c r="BF86" s="668">
        <f t="shared" si="139"/>
        <v>124</v>
      </c>
      <c r="BG86" s="668">
        <f>(AZ86+BA86+BB86+BC86)-BF86</f>
        <v>6112</v>
      </c>
      <c r="BH86" s="697">
        <f>1200+37+80+80</f>
        <v>1397</v>
      </c>
      <c r="BI86" s="697"/>
      <c r="BJ86" s="697"/>
      <c r="BK86" s="697"/>
      <c r="BL86" s="666">
        <f>(BH86-1200)*10%</f>
        <v>19.700000000000003</v>
      </c>
      <c r="BM86" s="668">
        <f t="shared" si="141"/>
        <v>20</v>
      </c>
      <c r="BN86" s="668">
        <f t="shared" si="142"/>
        <v>1377</v>
      </c>
      <c r="BO86" s="697"/>
      <c r="BP86" s="697"/>
      <c r="BQ86" s="697">
        <f>9771-(310+133)</f>
        <v>9328</v>
      </c>
      <c r="BR86" s="697"/>
      <c r="BS86" s="697"/>
      <c r="BT86" s="697"/>
      <c r="BU86" s="697"/>
      <c r="BV86" s="697"/>
      <c r="BW86" s="697"/>
      <c r="BY86" s="891"/>
      <c r="BZ86" s="891"/>
      <c r="CA86" s="1352"/>
      <c r="CB86" s="1352" t="s">
        <v>519</v>
      </c>
      <c r="CC86" s="1352">
        <v>134</v>
      </c>
      <c r="CD86" s="1352">
        <v>121</v>
      </c>
      <c r="CE86" s="1352"/>
      <c r="CF86" s="1352">
        <v>121</v>
      </c>
      <c r="CG86" s="1352"/>
      <c r="CH86" s="1352">
        <v>112</v>
      </c>
      <c r="CI86" s="1352">
        <v>13</v>
      </c>
      <c r="CJ86" s="1352">
        <v>6</v>
      </c>
      <c r="CK86" s="1353">
        <v>14755</v>
      </c>
      <c r="CL86" s="1353">
        <v>7702</v>
      </c>
      <c r="CM86" s="1354">
        <v>1073</v>
      </c>
      <c r="CN86" s="1354"/>
      <c r="CO86" s="1354"/>
      <c r="CP86" s="1354"/>
      <c r="CQ86" s="1354"/>
      <c r="CR86" s="1354">
        <v>148</v>
      </c>
      <c r="CS86" s="1354">
        <v>148</v>
      </c>
      <c r="CT86" s="1353">
        <v>8627</v>
      </c>
      <c r="CU86" s="1353">
        <v>7287</v>
      </c>
      <c r="CV86" s="1353"/>
      <c r="CW86" s="1353"/>
      <c r="CX86" s="1353">
        <v>515.70000000000005</v>
      </c>
      <c r="CY86" s="1353">
        <v>535.70000000000005</v>
      </c>
      <c r="CZ86" s="1353">
        <v>643</v>
      </c>
      <c r="DA86" s="1353">
        <v>1159</v>
      </c>
      <c r="DB86" s="1353">
        <v>6128</v>
      </c>
      <c r="DC86" s="1353"/>
      <c r="DD86" s="1353"/>
      <c r="DE86" s="1353"/>
      <c r="DF86" s="1353"/>
      <c r="DG86" s="1353"/>
      <c r="DH86" s="1353"/>
      <c r="DI86" s="1353"/>
      <c r="DJ86" s="1353"/>
      <c r="DK86" s="1353"/>
      <c r="DT86" s="694"/>
      <c r="DU86" s="695" t="s">
        <v>519</v>
      </c>
      <c r="DV86" s="777">
        <f t="shared" si="143"/>
        <v>0</v>
      </c>
      <c r="DW86" s="777">
        <f t="shared" si="143"/>
        <v>0</v>
      </c>
      <c r="DX86" s="777">
        <f t="shared" si="143"/>
        <v>0</v>
      </c>
      <c r="DY86" s="777">
        <f t="shared" si="143"/>
        <v>0</v>
      </c>
      <c r="DZ86" s="777">
        <f t="shared" si="143"/>
        <v>0</v>
      </c>
      <c r="EA86" s="777">
        <f t="shared" si="143"/>
        <v>0</v>
      </c>
      <c r="EB86" s="777">
        <f t="shared" si="143"/>
        <v>0</v>
      </c>
      <c r="EC86" s="777">
        <f t="shared" si="143"/>
        <v>0</v>
      </c>
      <c r="ED86" s="777">
        <f t="shared" si="143"/>
        <v>0</v>
      </c>
      <c r="EE86" s="777">
        <f t="shared" si="143"/>
        <v>0</v>
      </c>
      <c r="EF86" s="777">
        <f t="shared" si="143"/>
        <v>0</v>
      </c>
      <c r="EG86" s="777">
        <f t="shared" si="143"/>
        <v>0</v>
      </c>
      <c r="EH86" s="777">
        <f t="shared" si="143"/>
        <v>0</v>
      </c>
      <c r="EI86" s="777">
        <f t="shared" si="143"/>
        <v>0</v>
      </c>
      <c r="EJ86" s="777">
        <f t="shared" si="143"/>
        <v>0</v>
      </c>
      <c r="EK86" s="777">
        <f t="shared" si="143"/>
        <v>0</v>
      </c>
      <c r="EL86" s="777">
        <f t="shared" si="144"/>
        <v>0</v>
      </c>
      <c r="EM86" s="777">
        <f t="shared" si="144"/>
        <v>0</v>
      </c>
      <c r="EN86" s="777">
        <f t="shared" si="144"/>
        <v>0</v>
      </c>
      <c r="EO86" s="777">
        <f t="shared" si="144"/>
        <v>0</v>
      </c>
      <c r="EP86" s="777">
        <f t="shared" si="144"/>
        <v>0</v>
      </c>
      <c r="EQ86" s="777">
        <f t="shared" si="144"/>
        <v>0</v>
      </c>
      <c r="ER86" s="777">
        <f t="shared" si="144"/>
        <v>0</v>
      </c>
      <c r="ES86" s="777">
        <f t="shared" si="144"/>
        <v>0</v>
      </c>
      <c r="ET86" s="777">
        <f t="shared" si="144"/>
        <v>0</v>
      </c>
      <c r="EU86" s="777">
        <f t="shared" si="144"/>
        <v>0</v>
      </c>
      <c r="EV86" s="777">
        <f t="shared" si="144"/>
        <v>0</v>
      </c>
    </row>
    <row r="87" spans="1:152" ht="23.25" hidden="1" customHeight="1">
      <c r="A87" s="659"/>
      <c r="B87" s="751" t="s">
        <v>521</v>
      </c>
      <c r="C87" s="661">
        <f t="shared" si="130"/>
        <v>0</v>
      </c>
      <c r="D87" s="661">
        <f t="shared" si="131"/>
        <v>0</v>
      </c>
      <c r="E87" s="661"/>
      <c r="F87" s="661"/>
      <c r="G87" s="661"/>
      <c r="H87" s="661"/>
      <c r="I87" s="661"/>
      <c r="J87" s="661"/>
      <c r="K87" s="646">
        <f t="shared" si="117"/>
        <v>0</v>
      </c>
      <c r="L87" s="662">
        <f t="shared" si="132"/>
        <v>0</v>
      </c>
      <c r="M87" s="662"/>
      <c r="N87" s="662"/>
      <c r="O87" s="662"/>
      <c r="P87" s="662"/>
      <c r="Q87" s="662"/>
      <c r="R87" s="666"/>
      <c r="S87" s="666"/>
      <c r="T87" s="666">
        <f t="shared" si="133"/>
        <v>0</v>
      </c>
      <c r="U87" s="666">
        <f t="shared" si="134"/>
        <v>0</v>
      </c>
      <c r="V87" s="662"/>
      <c r="W87" s="662"/>
      <c r="X87" s="662"/>
      <c r="Y87" s="666">
        <f>Z87-BM87</f>
        <v>0</v>
      </c>
      <c r="Z87" s="666">
        <f t="shared" si="145"/>
        <v>0</v>
      </c>
      <c r="AA87" s="666"/>
      <c r="AB87" s="666">
        <f t="shared" si="135"/>
        <v>0</v>
      </c>
      <c r="AC87" s="666">
        <f t="shared" si="136"/>
        <v>0</v>
      </c>
      <c r="AD87" s="662"/>
      <c r="AE87" s="662"/>
      <c r="AF87" s="662"/>
      <c r="AG87" s="662"/>
      <c r="AH87" s="662"/>
      <c r="AI87" s="662"/>
      <c r="AJ87" s="662"/>
      <c r="AK87" s="662"/>
      <c r="AL87" s="664"/>
      <c r="AN87" s="610"/>
      <c r="AO87" s="659"/>
      <c r="AP87" s="751" t="s">
        <v>521</v>
      </c>
      <c r="AQ87" s="661">
        <f>AR87+AW87</f>
        <v>29</v>
      </c>
      <c r="AR87" s="661">
        <f t="shared" ref="AR87:AR93" si="146">AS87+AT87</f>
        <v>26</v>
      </c>
      <c r="AS87" s="661"/>
      <c r="AT87" s="661">
        <v>26</v>
      </c>
      <c r="AU87" s="661"/>
      <c r="AV87" s="661">
        <v>25</v>
      </c>
      <c r="AW87" s="661">
        <v>3</v>
      </c>
      <c r="AX87" s="661">
        <v>3</v>
      </c>
      <c r="AY87" s="662">
        <f t="shared" si="137"/>
        <v>2698</v>
      </c>
      <c r="AZ87" s="665">
        <f>(2020+42+159)-459</f>
        <v>1762</v>
      </c>
      <c r="BA87" s="662">
        <v>530</v>
      </c>
      <c r="BB87" s="662"/>
      <c r="BC87" s="662"/>
      <c r="BD87" s="662"/>
      <c r="BE87" s="666">
        <f t="shared" si="138"/>
        <v>53</v>
      </c>
      <c r="BF87" s="667">
        <f t="shared" si="139"/>
        <v>53</v>
      </c>
      <c r="BG87" s="666">
        <f t="shared" si="140"/>
        <v>2239</v>
      </c>
      <c r="BH87" s="662">
        <v>459</v>
      </c>
      <c r="BI87" s="662"/>
      <c r="BJ87" s="662"/>
      <c r="BK87" s="662"/>
      <c r="BL87" s="666">
        <f>(BH87-459)*10%</f>
        <v>0</v>
      </c>
      <c r="BM87" s="667">
        <f t="shared" si="141"/>
        <v>0</v>
      </c>
      <c r="BN87" s="666">
        <f t="shared" si="142"/>
        <v>459</v>
      </c>
      <c r="BO87" s="662"/>
      <c r="BP87" s="662"/>
      <c r="BQ87" s="662">
        <v>230</v>
      </c>
      <c r="BR87" s="662"/>
      <c r="BS87" s="662"/>
      <c r="BT87" s="662"/>
      <c r="BU87" s="662"/>
      <c r="BV87" s="662"/>
      <c r="BW87" s="662"/>
      <c r="CA87" s="1352"/>
      <c r="CB87" s="1352" t="s">
        <v>521</v>
      </c>
      <c r="CC87" s="1352">
        <v>0</v>
      </c>
      <c r="CD87" s="1352">
        <v>0</v>
      </c>
      <c r="CE87" s="1352"/>
      <c r="CF87" s="1352"/>
      <c r="CG87" s="1352"/>
      <c r="CH87" s="1352"/>
      <c r="CI87" s="1352"/>
      <c r="CJ87" s="1352"/>
      <c r="CK87" s="1353">
        <v>0</v>
      </c>
      <c r="CL87" s="1353"/>
      <c r="CM87" s="1354"/>
      <c r="CN87" s="1354"/>
      <c r="CO87" s="1354"/>
      <c r="CP87" s="1354"/>
      <c r="CQ87" s="1354"/>
      <c r="CR87" s="1354"/>
      <c r="CS87" s="1354">
        <v>0</v>
      </c>
      <c r="CT87" s="1353">
        <v>0</v>
      </c>
      <c r="CU87" s="1353"/>
      <c r="CV87" s="1353"/>
      <c r="CW87" s="1353"/>
      <c r="CX87" s="1353">
        <v>0</v>
      </c>
      <c r="CY87" s="1353">
        <v>0</v>
      </c>
      <c r="CZ87" s="1353"/>
      <c r="DA87" s="1353">
        <v>0</v>
      </c>
      <c r="DB87" s="1353">
        <v>0</v>
      </c>
      <c r="DC87" s="1353"/>
      <c r="DD87" s="1353"/>
      <c r="DE87" s="1353"/>
      <c r="DF87" s="1353"/>
      <c r="DG87" s="1353"/>
      <c r="DH87" s="1353"/>
      <c r="DI87" s="1353"/>
      <c r="DJ87" s="1353"/>
      <c r="DK87" s="1353"/>
      <c r="DT87" s="659"/>
      <c r="DU87" s="751" t="s">
        <v>521</v>
      </c>
      <c r="DV87" s="777">
        <f t="shared" si="143"/>
        <v>0</v>
      </c>
      <c r="DW87" s="777">
        <f t="shared" si="143"/>
        <v>0</v>
      </c>
      <c r="DX87" s="777">
        <f t="shared" si="143"/>
        <v>0</v>
      </c>
      <c r="DY87" s="777">
        <f t="shared" si="143"/>
        <v>0</v>
      </c>
      <c r="DZ87" s="777">
        <f t="shared" si="143"/>
        <v>0</v>
      </c>
      <c r="EA87" s="777">
        <f t="shared" si="143"/>
        <v>0</v>
      </c>
      <c r="EB87" s="777">
        <f t="shared" si="143"/>
        <v>0</v>
      </c>
      <c r="EC87" s="777">
        <f t="shared" si="143"/>
        <v>0</v>
      </c>
      <c r="ED87" s="777">
        <f t="shared" si="143"/>
        <v>0</v>
      </c>
      <c r="EE87" s="777">
        <f t="shared" si="143"/>
        <v>0</v>
      </c>
      <c r="EF87" s="777">
        <f t="shared" si="143"/>
        <v>0</v>
      </c>
      <c r="EG87" s="777">
        <f t="shared" si="143"/>
        <v>0</v>
      </c>
      <c r="EH87" s="777">
        <f t="shared" si="143"/>
        <v>0</v>
      </c>
      <c r="EI87" s="777">
        <f t="shared" si="143"/>
        <v>0</v>
      </c>
      <c r="EJ87" s="777">
        <f t="shared" si="143"/>
        <v>0</v>
      </c>
      <c r="EK87" s="777">
        <f t="shared" si="143"/>
        <v>0</v>
      </c>
      <c r="EL87" s="777">
        <f t="shared" si="144"/>
        <v>0</v>
      </c>
      <c r="EM87" s="777">
        <f t="shared" si="144"/>
        <v>0</v>
      </c>
      <c r="EN87" s="777">
        <f t="shared" si="144"/>
        <v>0</v>
      </c>
      <c r="EO87" s="777">
        <f t="shared" si="144"/>
        <v>0</v>
      </c>
      <c r="EP87" s="777">
        <f t="shared" si="144"/>
        <v>0</v>
      </c>
      <c r="EQ87" s="777">
        <f t="shared" si="144"/>
        <v>0</v>
      </c>
      <c r="ER87" s="777">
        <f t="shared" si="144"/>
        <v>0</v>
      </c>
      <c r="ES87" s="777">
        <f t="shared" si="144"/>
        <v>0</v>
      </c>
      <c r="ET87" s="777">
        <f t="shared" si="144"/>
        <v>0</v>
      </c>
      <c r="EU87" s="777">
        <f t="shared" si="144"/>
        <v>0</v>
      </c>
      <c r="EV87" s="777">
        <f t="shared" si="144"/>
        <v>0</v>
      </c>
    </row>
    <row r="88" spans="1:152" ht="23.25" hidden="1" customHeight="1">
      <c r="A88" s="659"/>
      <c r="B88" s="751" t="s">
        <v>522</v>
      </c>
      <c r="C88" s="661">
        <f t="shared" si="130"/>
        <v>29</v>
      </c>
      <c r="D88" s="661">
        <f t="shared" si="131"/>
        <v>27</v>
      </c>
      <c r="E88" s="661"/>
      <c r="F88" s="661">
        <v>27</v>
      </c>
      <c r="G88" s="661"/>
      <c r="H88" s="661">
        <v>24</v>
      </c>
      <c r="I88" s="661">
        <v>2</v>
      </c>
      <c r="J88" s="661">
        <v>2</v>
      </c>
      <c r="K88" s="646">
        <f t="shared" si="117"/>
        <v>4647</v>
      </c>
      <c r="L88" s="662">
        <f t="shared" si="132"/>
        <v>4647</v>
      </c>
      <c r="M88" s="1370">
        <f>(1821+126+58)-301</f>
        <v>1704</v>
      </c>
      <c r="N88" s="1370">
        <f>656-73</f>
        <v>583</v>
      </c>
      <c r="O88" s="662"/>
      <c r="P88" s="662"/>
      <c r="Q88" s="662"/>
      <c r="R88" s="666"/>
      <c r="S88" s="666">
        <v>53</v>
      </c>
      <c r="T88" s="666">
        <f t="shared" si="133"/>
        <v>53</v>
      </c>
      <c r="U88" s="666">
        <f t="shared" si="134"/>
        <v>2234</v>
      </c>
      <c r="V88" s="662">
        <f>1124+301</f>
        <v>1425</v>
      </c>
      <c r="W88" s="662">
        <v>1000</v>
      </c>
      <c r="X88" s="662"/>
      <c r="Y88" s="666"/>
      <c r="Z88" s="666">
        <f>(V88-301)*10%</f>
        <v>112.4</v>
      </c>
      <c r="AA88" s="666">
        <v>12</v>
      </c>
      <c r="AB88" s="666">
        <f t="shared" si="135"/>
        <v>12</v>
      </c>
      <c r="AC88" s="666">
        <f t="shared" si="136"/>
        <v>2413</v>
      </c>
      <c r="AD88" s="662"/>
      <c r="AE88" s="662"/>
      <c r="AF88" s="662"/>
      <c r="AG88" s="662"/>
      <c r="AH88" s="662"/>
      <c r="AI88" s="662"/>
      <c r="AJ88" s="662"/>
      <c r="AK88" s="662"/>
      <c r="AL88" s="664"/>
      <c r="AN88" s="610"/>
      <c r="AO88" s="659"/>
      <c r="AP88" s="751" t="s">
        <v>522</v>
      </c>
      <c r="AQ88" s="661">
        <f t="shared" ref="AQ88:AQ93" si="147">AR88+AW88</f>
        <v>28</v>
      </c>
      <c r="AR88" s="661">
        <f t="shared" si="146"/>
        <v>26</v>
      </c>
      <c r="AS88" s="661"/>
      <c r="AT88" s="661">
        <v>26</v>
      </c>
      <c r="AU88" s="661"/>
      <c r="AV88" s="661">
        <v>23</v>
      </c>
      <c r="AW88" s="661">
        <v>2</v>
      </c>
      <c r="AX88" s="661">
        <v>2</v>
      </c>
      <c r="AY88" s="662">
        <f t="shared" si="137"/>
        <v>5318</v>
      </c>
      <c r="AZ88" s="1371">
        <f>(((1881-102-24)+82)+(102+24)+59)-377</f>
        <v>1645</v>
      </c>
      <c r="BA88" s="1370">
        <f>624</f>
        <v>624</v>
      </c>
      <c r="BB88" s="662"/>
      <c r="BC88" s="662"/>
      <c r="BD88" s="662"/>
      <c r="BE88" s="666">
        <f t="shared" si="138"/>
        <v>62.400000000000006</v>
      </c>
      <c r="BF88" s="667">
        <f t="shared" si="139"/>
        <v>62</v>
      </c>
      <c r="BG88" s="666">
        <f t="shared" si="140"/>
        <v>2207</v>
      </c>
      <c r="BH88" s="662">
        <f>200+377+2667</f>
        <v>3244</v>
      </c>
      <c r="BI88" s="662"/>
      <c r="BJ88" s="662">
        <f>154</f>
        <v>154</v>
      </c>
      <c r="BK88" s="662"/>
      <c r="BL88" s="666">
        <f>(BH88-377)*10%</f>
        <v>286.7</v>
      </c>
      <c r="BM88" s="667">
        <f t="shared" si="141"/>
        <v>287</v>
      </c>
      <c r="BN88" s="666">
        <f t="shared" si="142"/>
        <v>3111</v>
      </c>
      <c r="BO88" s="662"/>
      <c r="BP88" s="662"/>
      <c r="BQ88" s="662">
        <f>244-24</f>
        <v>220</v>
      </c>
      <c r="BR88" s="662">
        <v>15</v>
      </c>
      <c r="BS88" s="662"/>
      <c r="BT88" s="662"/>
      <c r="BU88" s="662"/>
      <c r="BV88" s="662"/>
      <c r="BW88" s="662"/>
      <c r="CA88" s="1352"/>
      <c r="CB88" s="1352" t="s">
        <v>522</v>
      </c>
      <c r="CC88" s="1352">
        <v>29</v>
      </c>
      <c r="CD88" s="1352">
        <v>27</v>
      </c>
      <c r="CE88" s="1352"/>
      <c r="CF88" s="1352">
        <v>27</v>
      </c>
      <c r="CG88" s="1352"/>
      <c r="CH88" s="1352">
        <v>24</v>
      </c>
      <c r="CI88" s="1352">
        <v>2</v>
      </c>
      <c r="CJ88" s="1352">
        <v>2</v>
      </c>
      <c r="CK88" s="1353">
        <v>4717</v>
      </c>
      <c r="CL88" s="1353">
        <v>1704</v>
      </c>
      <c r="CM88" s="1354">
        <v>656</v>
      </c>
      <c r="CN88" s="1354"/>
      <c r="CO88" s="1354"/>
      <c r="CP88" s="1354"/>
      <c r="CQ88" s="1354">
        <v>3.2</v>
      </c>
      <c r="CR88" s="1354">
        <v>53</v>
      </c>
      <c r="CS88" s="1354">
        <v>56</v>
      </c>
      <c r="CT88" s="1353">
        <v>2304</v>
      </c>
      <c r="CU88" s="1353">
        <v>1425</v>
      </c>
      <c r="CV88" s="1353">
        <v>1000</v>
      </c>
      <c r="CW88" s="1353"/>
      <c r="CX88" s="1353"/>
      <c r="CY88" s="1353">
        <v>112.4</v>
      </c>
      <c r="CZ88" s="1353">
        <v>12</v>
      </c>
      <c r="DA88" s="1353">
        <v>12</v>
      </c>
      <c r="DB88" s="1353">
        <v>2413</v>
      </c>
      <c r="DC88" s="1353"/>
      <c r="DD88" s="1353"/>
      <c r="DE88" s="1353"/>
      <c r="DF88" s="1353"/>
      <c r="DG88" s="1353"/>
      <c r="DH88" s="1353"/>
      <c r="DI88" s="1353"/>
      <c r="DJ88" s="1353"/>
      <c r="DK88" s="1353"/>
      <c r="DT88" s="659"/>
      <c r="DU88" s="751" t="s">
        <v>752</v>
      </c>
      <c r="DV88" s="777">
        <f t="shared" si="143"/>
        <v>-70</v>
      </c>
      <c r="DW88" s="777">
        <f t="shared" si="143"/>
        <v>0</v>
      </c>
      <c r="DX88" s="777">
        <f t="shared" si="143"/>
        <v>-73</v>
      </c>
      <c r="DY88" s="777">
        <f t="shared" si="143"/>
        <v>0</v>
      </c>
      <c r="DZ88" s="777">
        <f t="shared" si="143"/>
        <v>0</v>
      </c>
      <c r="EA88" s="777">
        <f t="shared" si="143"/>
        <v>0</v>
      </c>
      <c r="EB88" s="777">
        <f t="shared" si="143"/>
        <v>-3.2</v>
      </c>
      <c r="EC88" s="777">
        <f t="shared" si="143"/>
        <v>0</v>
      </c>
      <c r="ED88" s="777">
        <f t="shared" si="143"/>
        <v>-3</v>
      </c>
      <c r="EE88" s="777">
        <f t="shared" si="143"/>
        <v>-70</v>
      </c>
      <c r="EF88" s="777">
        <f t="shared" si="143"/>
        <v>0</v>
      </c>
      <c r="EG88" s="777">
        <f t="shared" si="143"/>
        <v>0</v>
      </c>
      <c r="EH88" s="777">
        <f t="shared" si="143"/>
        <v>0</v>
      </c>
      <c r="EI88" s="777">
        <f t="shared" si="143"/>
        <v>0</v>
      </c>
      <c r="EJ88" s="777">
        <f t="shared" si="143"/>
        <v>0</v>
      </c>
      <c r="EK88" s="777">
        <f t="shared" si="143"/>
        <v>0</v>
      </c>
      <c r="EL88" s="777">
        <f t="shared" si="144"/>
        <v>0</v>
      </c>
      <c r="EM88" s="777">
        <f t="shared" si="144"/>
        <v>0</v>
      </c>
      <c r="EN88" s="777">
        <f t="shared" si="144"/>
        <v>0</v>
      </c>
      <c r="EO88" s="777">
        <f t="shared" si="144"/>
        <v>0</v>
      </c>
      <c r="EP88" s="777">
        <f t="shared" si="144"/>
        <v>0</v>
      </c>
      <c r="EQ88" s="777">
        <f t="shared" si="144"/>
        <v>0</v>
      </c>
      <c r="ER88" s="777">
        <f t="shared" si="144"/>
        <v>0</v>
      </c>
      <c r="ES88" s="777">
        <f t="shared" si="144"/>
        <v>0</v>
      </c>
      <c r="ET88" s="777">
        <f t="shared" si="144"/>
        <v>0</v>
      </c>
      <c r="EU88" s="777">
        <f t="shared" si="144"/>
        <v>0</v>
      </c>
      <c r="EV88" s="777">
        <f t="shared" si="144"/>
        <v>0</v>
      </c>
    </row>
    <row r="89" spans="1:152" ht="23.25" hidden="1" customHeight="1">
      <c r="A89" s="659"/>
      <c r="B89" s="751" t="s">
        <v>523</v>
      </c>
      <c r="C89" s="661">
        <f t="shared" si="130"/>
        <v>0</v>
      </c>
      <c r="D89" s="661">
        <f t="shared" si="131"/>
        <v>0</v>
      </c>
      <c r="E89" s="661"/>
      <c r="F89" s="661"/>
      <c r="G89" s="661"/>
      <c r="H89" s="661"/>
      <c r="I89" s="661"/>
      <c r="J89" s="661"/>
      <c r="K89" s="646">
        <f t="shared" si="117"/>
        <v>0</v>
      </c>
      <c r="L89" s="662">
        <f t="shared" si="132"/>
        <v>0</v>
      </c>
      <c r="M89" s="1370"/>
      <c r="N89" s="1370"/>
      <c r="O89" s="662"/>
      <c r="P89" s="662"/>
      <c r="Q89" s="662"/>
      <c r="R89" s="666"/>
      <c r="S89" s="666"/>
      <c r="T89" s="666">
        <f t="shared" si="133"/>
        <v>0</v>
      </c>
      <c r="U89" s="666">
        <f t="shared" si="134"/>
        <v>0</v>
      </c>
      <c r="V89" s="662"/>
      <c r="W89" s="662"/>
      <c r="X89" s="662"/>
      <c r="Y89" s="666"/>
      <c r="Z89" s="666">
        <f t="shared" si="145"/>
        <v>0</v>
      </c>
      <c r="AA89" s="666"/>
      <c r="AB89" s="666">
        <f t="shared" si="135"/>
        <v>0</v>
      </c>
      <c r="AC89" s="666">
        <f t="shared" si="136"/>
        <v>0</v>
      </c>
      <c r="AD89" s="662"/>
      <c r="AE89" s="662"/>
      <c r="AF89" s="662"/>
      <c r="AG89" s="662"/>
      <c r="AH89" s="662"/>
      <c r="AI89" s="662"/>
      <c r="AJ89" s="662"/>
      <c r="AK89" s="662"/>
      <c r="AL89" s="664"/>
      <c r="AN89" s="610"/>
      <c r="AO89" s="659"/>
      <c r="AP89" s="751" t="s">
        <v>523</v>
      </c>
      <c r="AQ89" s="661">
        <f t="shared" si="147"/>
        <v>13</v>
      </c>
      <c r="AR89" s="661">
        <f t="shared" si="146"/>
        <v>10</v>
      </c>
      <c r="AS89" s="661"/>
      <c r="AT89" s="661">
        <v>10</v>
      </c>
      <c r="AU89" s="661"/>
      <c r="AV89" s="661">
        <v>9</v>
      </c>
      <c r="AW89" s="661">
        <v>3</v>
      </c>
      <c r="AX89" s="661">
        <v>3</v>
      </c>
      <c r="AY89" s="662">
        <f t="shared" si="137"/>
        <v>2082</v>
      </c>
      <c r="AZ89" s="1371">
        <f>((472+37+3+80+119-46)+46+122)-80</f>
        <v>753</v>
      </c>
      <c r="BA89" s="1370">
        <v>260</v>
      </c>
      <c r="BB89" s="662"/>
      <c r="BC89" s="662"/>
      <c r="BD89" s="662"/>
      <c r="BE89" s="666">
        <f t="shared" si="138"/>
        <v>26</v>
      </c>
      <c r="BF89" s="667">
        <f t="shared" si="139"/>
        <v>26</v>
      </c>
      <c r="BG89" s="666">
        <f t="shared" si="140"/>
        <v>987</v>
      </c>
      <c r="BH89" s="662">
        <f>989+78+80</f>
        <v>1147</v>
      </c>
      <c r="BI89" s="662"/>
      <c r="BJ89" s="662"/>
      <c r="BK89" s="662"/>
      <c r="BL89" s="666">
        <f>(BH89-80)*10%</f>
        <v>106.7</v>
      </c>
      <c r="BM89" s="667">
        <f t="shared" si="141"/>
        <v>107</v>
      </c>
      <c r="BN89" s="666">
        <f t="shared" si="142"/>
        <v>1040</v>
      </c>
      <c r="BO89" s="662">
        <f>26+29</f>
        <v>55</v>
      </c>
      <c r="BP89" s="662"/>
      <c r="BQ89" s="662"/>
      <c r="BR89" s="662"/>
      <c r="BS89" s="662"/>
      <c r="BT89" s="662"/>
      <c r="BU89" s="662"/>
      <c r="BV89" s="662"/>
      <c r="BW89" s="662"/>
      <c r="CA89" s="1352"/>
      <c r="CB89" s="1352" t="s">
        <v>523</v>
      </c>
      <c r="CC89" s="1352">
        <v>0</v>
      </c>
      <c r="CD89" s="1352">
        <v>0</v>
      </c>
      <c r="CE89" s="1352"/>
      <c r="CF89" s="1352"/>
      <c r="CG89" s="1352"/>
      <c r="CH89" s="1352"/>
      <c r="CI89" s="1352"/>
      <c r="CJ89" s="1352"/>
      <c r="CK89" s="1353">
        <v>0</v>
      </c>
      <c r="CL89" s="1353"/>
      <c r="CM89" s="1354"/>
      <c r="CN89" s="1354"/>
      <c r="CO89" s="1354"/>
      <c r="CP89" s="1354"/>
      <c r="CQ89" s="1354"/>
      <c r="CR89" s="1354"/>
      <c r="CS89" s="1354">
        <v>0</v>
      </c>
      <c r="CT89" s="1353">
        <v>0</v>
      </c>
      <c r="CU89" s="1353"/>
      <c r="CV89" s="1353"/>
      <c r="CW89" s="1353"/>
      <c r="CX89" s="1353"/>
      <c r="CY89" s="1353">
        <v>0</v>
      </c>
      <c r="CZ89" s="1353"/>
      <c r="DA89" s="1353">
        <v>0</v>
      </c>
      <c r="DB89" s="1353">
        <v>0</v>
      </c>
      <c r="DC89" s="1353"/>
      <c r="DD89" s="1353"/>
      <c r="DE89" s="1353"/>
      <c r="DF89" s="1353"/>
      <c r="DG89" s="1353"/>
      <c r="DH89" s="1353"/>
      <c r="DI89" s="1353"/>
      <c r="DJ89" s="1353"/>
      <c r="DK89" s="1353"/>
      <c r="DT89" s="659"/>
      <c r="DU89" s="751" t="s">
        <v>523</v>
      </c>
      <c r="DV89" s="777">
        <f t="shared" si="143"/>
        <v>0</v>
      </c>
      <c r="DW89" s="777">
        <f t="shared" si="143"/>
        <v>0</v>
      </c>
      <c r="DX89" s="777">
        <f t="shared" si="143"/>
        <v>0</v>
      </c>
      <c r="DY89" s="777">
        <f t="shared" si="143"/>
        <v>0</v>
      </c>
      <c r="DZ89" s="777">
        <f t="shared" si="143"/>
        <v>0</v>
      </c>
      <c r="EA89" s="777">
        <f t="shared" si="143"/>
        <v>0</v>
      </c>
      <c r="EB89" s="777">
        <f t="shared" si="143"/>
        <v>0</v>
      </c>
      <c r="EC89" s="777">
        <f t="shared" si="143"/>
        <v>0</v>
      </c>
      <c r="ED89" s="777">
        <f t="shared" si="143"/>
        <v>0</v>
      </c>
      <c r="EE89" s="777">
        <f t="shared" si="143"/>
        <v>0</v>
      </c>
      <c r="EF89" s="777">
        <f t="shared" si="143"/>
        <v>0</v>
      </c>
      <c r="EG89" s="777">
        <f t="shared" si="143"/>
        <v>0</v>
      </c>
      <c r="EH89" s="777">
        <f t="shared" si="143"/>
        <v>0</v>
      </c>
      <c r="EI89" s="777">
        <f t="shared" si="143"/>
        <v>0</v>
      </c>
      <c r="EJ89" s="777">
        <f t="shared" si="143"/>
        <v>0</v>
      </c>
      <c r="EK89" s="777">
        <f t="shared" si="143"/>
        <v>0</v>
      </c>
      <c r="EL89" s="777">
        <f t="shared" si="144"/>
        <v>0</v>
      </c>
      <c r="EM89" s="777">
        <f t="shared" si="144"/>
        <v>0</v>
      </c>
      <c r="EN89" s="777">
        <f t="shared" si="144"/>
        <v>0</v>
      </c>
      <c r="EO89" s="777">
        <f t="shared" si="144"/>
        <v>0</v>
      </c>
      <c r="EP89" s="777">
        <f t="shared" si="144"/>
        <v>0</v>
      </c>
      <c r="EQ89" s="777">
        <f t="shared" si="144"/>
        <v>0</v>
      </c>
      <c r="ER89" s="777">
        <f t="shared" si="144"/>
        <v>0</v>
      </c>
      <c r="ES89" s="777">
        <f t="shared" si="144"/>
        <v>0</v>
      </c>
      <c r="ET89" s="777">
        <f t="shared" si="144"/>
        <v>0</v>
      </c>
      <c r="EU89" s="777">
        <f t="shared" si="144"/>
        <v>0</v>
      </c>
      <c r="EV89" s="777">
        <f t="shared" si="144"/>
        <v>0</v>
      </c>
    </row>
    <row r="90" spans="1:152" ht="23.25" hidden="1" customHeight="1">
      <c r="A90" s="659"/>
      <c r="B90" s="751" t="s">
        <v>524</v>
      </c>
      <c r="C90" s="661">
        <f t="shared" si="130"/>
        <v>0</v>
      </c>
      <c r="D90" s="661">
        <f t="shared" si="131"/>
        <v>0</v>
      </c>
      <c r="E90" s="661"/>
      <c r="F90" s="661"/>
      <c r="G90" s="661"/>
      <c r="H90" s="661"/>
      <c r="I90" s="661"/>
      <c r="J90" s="661"/>
      <c r="K90" s="646">
        <f t="shared" si="117"/>
        <v>0</v>
      </c>
      <c r="L90" s="662">
        <f t="shared" si="132"/>
        <v>0</v>
      </c>
      <c r="M90" s="1370"/>
      <c r="N90" s="662"/>
      <c r="O90" s="662"/>
      <c r="P90" s="662"/>
      <c r="Q90" s="662"/>
      <c r="R90" s="666"/>
      <c r="S90" s="666"/>
      <c r="T90" s="666">
        <f t="shared" si="133"/>
        <v>0</v>
      </c>
      <c r="U90" s="666">
        <f t="shared" si="134"/>
        <v>0</v>
      </c>
      <c r="V90" s="662"/>
      <c r="W90" s="662"/>
      <c r="X90" s="662"/>
      <c r="Y90" s="666"/>
      <c r="Z90" s="666">
        <f t="shared" si="145"/>
        <v>0</v>
      </c>
      <c r="AA90" s="666"/>
      <c r="AB90" s="666">
        <f t="shared" si="135"/>
        <v>0</v>
      </c>
      <c r="AC90" s="666">
        <f t="shared" si="136"/>
        <v>0</v>
      </c>
      <c r="AD90" s="662"/>
      <c r="AE90" s="662"/>
      <c r="AF90" s="662"/>
      <c r="AG90" s="662"/>
      <c r="AH90" s="662"/>
      <c r="AI90" s="662"/>
      <c r="AJ90" s="662"/>
      <c r="AK90" s="662"/>
      <c r="AL90" s="664"/>
      <c r="AN90" s="610"/>
      <c r="AO90" s="659"/>
      <c r="AP90" s="751" t="s">
        <v>524</v>
      </c>
      <c r="AQ90" s="661">
        <f t="shared" si="147"/>
        <v>29</v>
      </c>
      <c r="AR90" s="661">
        <f t="shared" si="146"/>
        <v>26</v>
      </c>
      <c r="AS90" s="661"/>
      <c r="AT90" s="661">
        <v>26</v>
      </c>
      <c r="AU90" s="661"/>
      <c r="AV90" s="661">
        <v>26</v>
      </c>
      <c r="AW90" s="661">
        <v>3</v>
      </c>
      <c r="AX90" s="661">
        <v>2</v>
      </c>
      <c r="AY90" s="662">
        <f t="shared" si="137"/>
        <v>6300</v>
      </c>
      <c r="AZ90" s="1371">
        <f>(2257+69)-714</f>
        <v>1612</v>
      </c>
      <c r="BA90" s="662">
        <v>624</v>
      </c>
      <c r="BB90" s="662"/>
      <c r="BC90" s="662"/>
      <c r="BD90" s="662"/>
      <c r="BE90" s="666">
        <f t="shared" si="138"/>
        <v>62.400000000000006</v>
      </c>
      <c r="BF90" s="667">
        <f t="shared" si="139"/>
        <v>62</v>
      </c>
      <c r="BG90" s="666">
        <f t="shared" si="140"/>
        <v>2174</v>
      </c>
      <c r="BH90" s="662">
        <f>3600+714</f>
        <v>4314</v>
      </c>
      <c r="BI90" s="662"/>
      <c r="BJ90" s="662">
        <v>172</v>
      </c>
      <c r="BK90" s="662"/>
      <c r="BL90" s="666">
        <f>(BH90-714)*10%</f>
        <v>360</v>
      </c>
      <c r="BM90" s="667">
        <f t="shared" si="141"/>
        <v>360</v>
      </c>
      <c r="BN90" s="666">
        <f t="shared" si="142"/>
        <v>4126</v>
      </c>
      <c r="BO90" s="662"/>
      <c r="BP90" s="662"/>
      <c r="BQ90" s="662">
        <f>155-16</f>
        <v>139</v>
      </c>
      <c r="BR90" s="662">
        <v>12</v>
      </c>
      <c r="BS90" s="662"/>
      <c r="BT90" s="662"/>
      <c r="BU90" s="662"/>
      <c r="BV90" s="662"/>
      <c r="BW90" s="662"/>
      <c r="CA90" s="1352"/>
      <c r="CB90" s="1352" t="s">
        <v>524</v>
      </c>
      <c r="CC90" s="1352">
        <v>0</v>
      </c>
      <c r="CD90" s="1352">
        <v>0</v>
      </c>
      <c r="CE90" s="1352"/>
      <c r="CF90" s="1352"/>
      <c r="CG90" s="1352"/>
      <c r="CH90" s="1352"/>
      <c r="CI90" s="1352"/>
      <c r="CJ90" s="1352"/>
      <c r="CK90" s="1353">
        <v>0</v>
      </c>
      <c r="CL90" s="1353"/>
      <c r="CM90" s="1354"/>
      <c r="CN90" s="1354"/>
      <c r="CO90" s="1354"/>
      <c r="CP90" s="1354"/>
      <c r="CQ90" s="1354"/>
      <c r="CR90" s="1354"/>
      <c r="CS90" s="1354">
        <v>0</v>
      </c>
      <c r="CT90" s="1353">
        <v>0</v>
      </c>
      <c r="CU90" s="1353"/>
      <c r="CV90" s="1353"/>
      <c r="CW90" s="1353"/>
      <c r="CX90" s="1353"/>
      <c r="CY90" s="1353">
        <v>0</v>
      </c>
      <c r="CZ90" s="1353"/>
      <c r="DA90" s="1353">
        <v>0</v>
      </c>
      <c r="DB90" s="1353">
        <v>0</v>
      </c>
      <c r="DC90" s="1353"/>
      <c r="DD90" s="1353"/>
      <c r="DE90" s="1353"/>
      <c r="DF90" s="1353"/>
      <c r="DG90" s="1353"/>
      <c r="DH90" s="1353"/>
      <c r="DI90" s="1353"/>
      <c r="DJ90" s="1353"/>
      <c r="DK90" s="1353"/>
      <c r="DT90" s="659"/>
      <c r="DU90" s="751" t="s">
        <v>524</v>
      </c>
      <c r="DV90" s="777">
        <f t="shared" si="143"/>
        <v>0</v>
      </c>
      <c r="DW90" s="777">
        <f t="shared" si="143"/>
        <v>0</v>
      </c>
      <c r="DX90" s="777">
        <f t="shared" si="143"/>
        <v>0</v>
      </c>
      <c r="DY90" s="777">
        <f t="shared" si="143"/>
        <v>0</v>
      </c>
      <c r="DZ90" s="777">
        <f t="shared" si="143"/>
        <v>0</v>
      </c>
      <c r="EA90" s="777">
        <f t="shared" si="143"/>
        <v>0</v>
      </c>
      <c r="EB90" s="777">
        <f t="shared" si="143"/>
        <v>0</v>
      </c>
      <c r="EC90" s="777">
        <f t="shared" si="143"/>
        <v>0</v>
      </c>
      <c r="ED90" s="777">
        <f t="shared" si="143"/>
        <v>0</v>
      </c>
      <c r="EE90" s="777">
        <f t="shared" si="143"/>
        <v>0</v>
      </c>
      <c r="EF90" s="777">
        <f t="shared" si="143"/>
        <v>0</v>
      </c>
      <c r="EG90" s="777">
        <f t="shared" si="143"/>
        <v>0</v>
      </c>
      <c r="EH90" s="777">
        <f t="shared" si="143"/>
        <v>0</v>
      </c>
      <c r="EI90" s="777">
        <f t="shared" si="143"/>
        <v>0</v>
      </c>
      <c r="EJ90" s="777">
        <f t="shared" si="143"/>
        <v>0</v>
      </c>
      <c r="EK90" s="777">
        <f t="shared" si="143"/>
        <v>0</v>
      </c>
      <c r="EL90" s="777">
        <f t="shared" si="144"/>
        <v>0</v>
      </c>
      <c r="EM90" s="777">
        <f t="shared" si="144"/>
        <v>0</v>
      </c>
      <c r="EN90" s="777">
        <f t="shared" si="144"/>
        <v>0</v>
      </c>
      <c r="EO90" s="777">
        <f t="shared" si="144"/>
        <v>0</v>
      </c>
      <c r="EP90" s="777">
        <f t="shared" si="144"/>
        <v>0</v>
      </c>
      <c r="EQ90" s="777">
        <f t="shared" si="144"/>
        <v>0</v>
      </c>
      <c r="ER90" s="777">
        <f t="shared" si="144"/>
        <v>0</v>
      </c>
      <c r="ES90" s="777">
        <f t="shared" si="144"/>
        <v>0</v>
      </c>
      <c r="ET90" s="777">
        <f t="shared" si="144"/>
        <v>0</v>
      </c>
      <c r="EU90" s="777">
        <f t="shared" si="144"/>
        <v>0</v>
      </c>
      <c r="EV90" s="777">
        <f t="shared" si="144"/>
        <v>0</v>
      </c>
    </row>
    <row r="91" spans="1:152" ht="23.25" hidden="1" customHeight="1">
      <c r="A91" s="659"/>
      <c r="B91" s="751" t="s">
        <v>525</v>
      </c>
      <c r="C91" s="661">
        <f t="shared" si="130"/>
        <v>11</v>
      </c>
      <c r="D91" s="661">
        <f t="shared" si="131"/>
        <v>10</v>
      </c>
      <c r="E91" s="661"/>
      <c r="F91" s="661">
        <v>10</v>
      </c>
      <c r="G91" s="661"/>
      <c r="H91" s="661">
        <v>9</v>
      </c>
      <c r="I91" s="661">
        <v>1</v>
      </c>
      <c r="J91" s="661">
        <v>1</v>
      </c>
      <c r="K91" s="646">
        <f t="shared" si="117"/>
        <v>1362</v>
      </c>
      <c r="L91" s="662">
        <f t="shared" si="132"/>
        <v>1362</v>
      </c>
      <c r="M91" s="662">
        <v>818</v>
      </c>
      <c r="N91" s="662">
        <v>261</v>
      </c>
      <c r="O91" s="662"/>
      <c r="P91" s="662"/>
      <c r="Q91" s="662"/>
      <c r="R91" s="666">
        <f>((N91+O91)-(BA91+BB91))*10%</f>
        <v>0.1</v>
      </c>
      <c r="S91" s="666">
        <v>21</v>
      </c>
      <c r="T91" s="666">
        <f t="shared" si="133"/>
        <v>21</v>
      </c>
      <c r="U91" s="666">
        <f t="shared" si="134"/>
        <v>1058</v>
      </c>
      <c r="V91" s="662">
        <f>304</f>
        <v>304</v>
      </c>
      <c r="W91" s="662"/>
      <c r="X91" s="662"/>
      <c r="Y91" s="666">
        <f>Z91-BM91</f>
        <v>0</v>
      </c>
      <c r="Z91" s="666">
        <f>(V91-304)*10%</f>
        <v>0</v>
      </c>
      <c r="AA91" s="666"/>
      <c r="AB91" s="666">
        <f t="shared" si="135"/>
        <v>0</v>
      </c>
      <c r="AC91" s="666">
        <f t="shared" si="136"/>
        <v>304</v>
      </c>
      <c r="AD91" s="662"/>
      <c r="AE91" s="662"/>
      <c r="AF91" s="662"/>
      <c r="AG91" s="662">
        <v>108</v>
      </c>
      <c r="AH91" s="662"/>
      <c r="AI91" s="662"/>
      <c r="AJ91" s="662"/>
      <c r="AK91" s="662"/>
      <c r="AL91" s="664"/>
      <c r="AN91" s="610"/>
      <c r="AO91" s="659"/>
      <c r="AP91" s="751" t="s">
        <v>525</v>
      </c>
      <c r="AQ91" s="661">
        <f t="shared" si="147"/>
        <v>11</v>
      </c>
      <c r="AR91" s="661">
        <f t="shared" si="146"/>
        <v>10</v>
      </c>
      <c r="AS91" s="661"/>
      <c r="AT91" s="661">
        <v>10</v>
      </c>
      <c r="AU91" s="661"/>
      <c r="AV91" s="661">
        <v>8</v>
      </c>
      <c r="AW91" s="661">
        <v>1</v>
      </c>
      <c r="AX91" s="661">
        <v>1</v>
      </c>
      <c r="AY91" s="662">
        <f t="shared" si="137"/>
        <v>1264</v>
      </c>
      <c r="AZ91" s="665">
        <f>(((983-90)+90+47)-305)</f>
        <v>725</v>
      </c>
      <c r="BA91" s="662">
        <v>260</v>
      </c>
      <c r="BB91" s="662"/>
      <c r="BC91" s="662"/>
      <c r="BD91" s="662"/>
      <c r="BE91" s="666">
        <f t="shared" si="138"/>
        <v>26</v>
      </c>
      <c r="BF91" s="667">
        <f t="shared" si="139"/>
        <v>26</v>
      </c>
      <c r="BG91" s="666">
        <f t="shared" si="140"/>
        <v>959</v>
      </c>
      <c r="BH91" s="662">
        <f>305</f>
        <v>305</v>
      </c>
      <c r="BI91" s="662"/>
      <c r="BJ91" s="662"/>
      <c r="BK91" s="662"/>
      <c r="BL91" s="666">
        <f>(BH91-305)*10%</f>
        <v>0</v>
      </c>
      <c r="BM91" s="667">
        <f t="shared" si="141"/>
        <v>0</v>
      </c>
      <c r="BN91" s="666">
        <f t="shared" si="142"/>
        <v>305</v>
      </c>
      <c r="BO91" s="662"/>
      <c r="BP91" s="662"/>
      <c r="BQ91" s="662">
        <f>109-5</f>
        <v>104</v>
      </c>
      <c r="BR91" s="662">
        <v>10</v>
      </c>
      <c r="BS91" s="662"/>
      <c r="BT91" s="662"/>
      <c r="BU91" s="662"/>
      <c r="BV91" s="662"/>
      <c r="BW91" s="662"/>
      <c r="CA91" s="1352"/>
      <c r="CB91" s="1352" t="s">
        <v>525</v>
      </c>
      <c r="CC91" s="1352">
        <v>11</v>
      </c>
      <c r="CD91" s="1352">
        <v>10</v>
      </c>
      <c r="CE91" s="1352"/>
      <c r="CF91" s="1352">
        <v>10</v>
      </c>
      <c r="CG91" s="1352"/>
      <c r="CH91" s="1352">
        <v>9</v>
      </c>
      <c r="CI91" s="1352">
        <v>1</v>
      </c>
      <c r="CJ91" s="1352">
        <v>1</v>
      </c>
      <c r="CK91" s="1353">
        <v>1362</v>
      </c>
      <c r="CL91" s="1353">
        <v>818</v>
      </c>
      <c r="CM91" s="1354">
        <v>261</v>
      </c>
      <c r="CN91" s="1354"/>
      <c r="CO91" s="1354"/>
      <c r="CP91" s="1354"/>
      <c r="CQ91" s="1354">
        <v>0.1</v>
      </c>
      <c r="CR91" s="1354">
        <v>21</v>
      </c>
      <c r="CS91" s="1354">
        <v>21</v>
      </c>
      <c r="CT91" s="1353">
        <v>1058</v>
      </c>
      <c r="CU91" s="1353">
        <v>304</v>
      </c>
      <c r="CV91" s="1353"/>
      <c r="CW91" s="1353"/>
      <c r="CX91" s="1353">
        <v>0</v>
      </c>
      <c r="CY91" s="1353">
        <v>0</v>
      </c>
      <c r="CZ91" s="1353"/>
      <c r="DA91" s="1353">
        <v>0</v>
      </c>
      <c r="DB91" s="1353">
        <v>304</v>
      </c>
      <c r="DC91" s="1353"/>
      <c r="DD91" s="1353"/>
      <c r="DE91" s="1353"/>
      <c r="DF91" s="1353"/>
      <c r="DG91" s="1353"/>
      <c r="DH91" s="1353"/>
      <c r="DI91" s="1353"/>
      <c r="DJ91" s="1353"/>
      <c r="DK91" s="1353"/>
      <c r="DT91" s="659"/>
      <c r="DU91" s="751" t="s">
        <v>525</v>
      </c>
      <c r="DV91" s="777">
        <f t="shared" si="143"/>
        <v>0</v>
      </c>
      <c r="DW91" s="777">
        <f t="shared" si="143"/>
        <v>0</v>
      </c>
      <c r="DX91" s="777">
        <f t="shared" si="143"/>
        <v>0</v>
      </c>
      <c r="DY91" s="777">
        <f t="shared" si="143"/>
        <v>0</v>
      </c>
      <c r="DZ91" s="777">
        <f t="shared" si="143"/>
        <v>0</v>
      </c>
      <c r="EA91" s="777">
        <f t="shared" si="143"/>
        <v>0</v>
      </c>
      <c r="EB91" s="777">
        <f t="shared" si="143"/>
        <v>0</v>
      </c>
      <c r="EC91" s="777">
        <f t="shared" si="143"/>
        <v>0</v>
      </c>
      <c r="ED91" s="777">
        <f t="shared" si="143"/>
        <v>0</v>
      </c>
      <c r="EE91" s="777">
        <f t="shared" si="143"/>
        <v>0</v>
      </c>
      <c r="EF91" s="777">
        <f t="shared" si="143"/>
        <v>0</v>
      </c>
      <c r="EG91" s="777">
        <f t="shared" si="143"/>
        <v>0</v>
      </c>
      <c r="EH91" s="777">
        <f t="shared" si="143"/>
        <v>0</v>
      </c>
      <c r="EI91" s="777">
        <f t="shared" si="143"/>
        <v>0</v>
      </c>
      <c r="EJ91" s="777">
        <f t="shared" si="143"/>
        <v>0</v>
      </c>
      <c r="EK91" s="777">
        <f t="shared" si="143"/>
        <v>0</v>
      </c>
      <c r="EL91" s="777">
        <f t="shared" si="144"/>
        <v>0</v>
      </c>
      <c r="EM91" s="777">
        <f t="shared" si="144"/>
        <v>0</v>
      </c>
      <c r="EN91" s="777">
        <f t="shared" si="144"/>
        <v>0</v>
      </c>
      <c r="EO91" s="777">
        <f t="shared" si="144"/>
        <v>0</v>
      </c>
      <c r="EP91" s="777">
        <f t="shared" si="144"/>
        <v>0</v>
      </c>
      <c r="EQ91" s="777">
        <f t="shared" si="144"/>
        <v>108</v>
      </c>
      <c r="ER91" s="777">
        <f t="shared" si="144"/>
        <v>0</v>
      </c>
      <c r="ES91" s="777">
        <f t="shared" si="144"/>
        <v>0</v>
      </c>
      <c r="ET91" s="777">
        <f t="shared" si="144"/>
        <v>0</v>
      </c>
      <c r="EU91" s="777">
        <f t="shared" si="144"/>
        <v>0</v>
      </c>
      <c r="EV91" s="777">
        <f t="shared" si="144"/>
        <v>0</v>
      </c>
    </row>
    <row r="92" spans="1:152" s="698" customFormat="1" ht="70.95" hidden="1" customHeight="1">
      <c r="A92" s="659"/>
      <c r="B92" s="660" t="s">
        <v>526</v>
      </c>
      <c r="C92" s="661">
        <f t="shared" si="130"/>
        <v>169</v>
      </c>
      <c r="D92" s="661">
        <f t="shared" si="131"/>
        <v>160</v>
      </c>
      <c r="E92" s="661"/>
      <c r="F92" s="661">
        <v>160</v>
      </c>
      <c r="G92" s="661"/>
      <c r="H92" s="661">
        <v>160</v>
      </c>
      <c r="I92" s="661">
        <v>9</v>
      </c>
      <c r="J92" s="661">
        <v>9</v>
      </c>
      <c r="K92" s="646">
        <f t="shared" si="117"/>
        <v>13768</v>
      </c>
      <c r="L92" s="662">
        <f t="shared" si="132"/>
        <v>13768</v>
      </c>
      <c r="M92" s="662">
        <v>9589</v>
      </c>
      <c r="N92" s="662">
        <v>2457</v>
      </c>
      <c r="O92" s="662"/>
      <c r="P92" s="662"/>
      <c r="Q92" s="662"/>
      <c r="R92" s="666">
        <f>((N92+O92)-(BA92+BB92))*10%</f>
        <v>245.70000000000002</v>
      </c>
      <c r="S92" s="666">
        <f>(382/9)*4+(88/9)*4</f>
        <v>208.88888888888889</v>
      </c>
      <c r="T92" s="666">
        <f>ROUND((Q92+R92+S92),0)</f>
        <v>455</v>
      </c>
      <c r="U92" s="666">
        <f t="shared" si="134"/>
        <v>11591</v>
      </c>
      <c r="V92" s="662">
        <v>2177</v>
      </c>
      <c r="W92" s="662"/>
      <c r="X92" s="662"/>
      <c r="Y92" s="666">
        <f>Z92-BM92</f>
        <v>0</v>
      </c>
      <c r="Z92" s="666">
        <f>(V92-2177)*10%</f>
        <v>0</v>
      </c>
      <c r="AA92" s="666"/>
      <c r="AB92" s="666">
        <f t="shared" si="135"/>
        <v>0</v>
      </c>
      <c r="AC92" s="666">
        <f t="shared" si="136"/>
        <v>2177</v>
      </c>
      <c r="AD92" s="662"/>
      <c r="AE92" s="662"/>
      <c r="AF92" s="662"/>
      <c r="AG92" s="662"/>
      <c r="AH92" s="662"/>
      <c r="AI92" s="662"/>
      <c r="AJ92" s="662"/>
      <c r="AK92" s="662"/>
      <c r="AL92" s="697"/>
      <c r="AM92" s="624"/>
      <c r="AN92" s="610"/>
      <c r="AO92" s="694"/>
      <c r="AP92" s="1373" t="s">
        <v>527</v>
      </c>
      <c r="AQ92" s="696">
        <f t="shared" si="147"/>
        <v>299</v>
      </c>
      <c r="AR92" s="696">
        <f t="shared" si="146"/>
        <v>278</v>
      </c>
      <c r="AS92" s="696"/>
      <c r="AT92" s="696">
        <v>278</v>
      </c>
      <c r="AU92" s="696"/>
      <c r="AV92" s="696">
        <v>246</v>
      </c>
      <c r="AW92" s="696">
        <f>2+3+2+3+2+3+2+2+2</f>
        <v>21</v>
      </c>
      <c r="AX92" s="696">
        <v>14</v>
      </c>
      <c r="AY92" s="697">
        <f t="shared" si="137"/>
        <v>25135</v>
      </c>
      <c r="AZ92" s="697">
        <f>((22544+2591))</f>
        <v>25135</v>
      </c>
      <c r="BA92" s="697"/>
      <c r="BB92" s="697"/>
      <c r="BC92" s="697"/>
      <c r="BD92" s="697"/>
      <c r="BE92" s="666">
        <f t="shared" si="138"/>
        <v>0</v>
      </c>
      <c r="BF92" s="668">
        <f t="shared" si="139"/>
        <v>0</v>
      </c>
      <c r="BG92" s="668">
        <f t="shared" si="140"/>
        <v>25135</v>
      </c>
      <c r="BH92" s="697"/>
      <c r="BI92" s="697"/>
      <c r="BJ92" s="697"/>
      <c r="BK92" s="697"/>
      <c r="BL92" s="666">
        <f>BH92*10%</f>
        <v>0</v>
      </c>
      <c r="BM92" s="668">
        <f t="shared" si="141"/>
        <v>0</v>
      </c>
      <c r="BN92" s="668">
        <f t="shared" si="142"/>
        <v>0</v>
      </c>
      <c r="BO92" s="697"/>
      <c r="BP92" s="697"/>
      <c r="BQ92" s="697">
        <f>(8603-(300+311))</f>
        <v>7992</v>
      </c>
      <c r="BR92" s="697"/>
      <c r="BS92" s="697"/>
      <c r="BT92" s="697"/>
      <c r="BU92" s="697"/>
      <c r="BV92" s="697"/>
      <c r="BW92" s="697"/>
      <c r="BY92" s="891"/>
      <c r="BZ92" s="891"/>
      <c r="CA92" s="1352"/>
      <c r="CB92" s="1352" t="s">
        <v>526</v>
      </c>
      <c r="CC92" s="1352">
        <v>169</v>
      </c>
      <c r="CD92" s="1352">
        <v>160</v>
      </c>
      <c r="CE92" s="1352"/>
      <c r="CF92" s="1352">
        <v>160</v>
      </c>
      <c r="CG92" s="1352"/>
      <c r="CH92" s="1352">
        <v>160</v>
      </c>
      <c r="CI92" s="1352">
        <v>9</v>
      </c>
      <c r="CJ92" s="1352">
        <v>9</v>
      </c>
      <c r="CK92" s="1353">
        <v>13768</v>
      </c>
      <c r="CL92" s="1353">
        <v>9589</v>
      </c>
      <c r="CM92" s="1354">
        <v>2457</v>
      </c>
      <c r="CN92" s="1354"/>
      <c r="CO92" s="1354"/>
      <c r="CP92" s="1354"/>
      <c r="CQ92" s="1354">
        <v>245.70000000000002</v>
      </c>
      <c r="CR92" s="1354">
        <v>208.88888888888889</v>
      </c>
      <c r="CS92" s="1354">
        <v>455</v>
      </c>
      <c r="CT92" s="1353">
        <v>11591</v>
      </c>
      <c r="CU92" s="1353">
        <v>2177</v>
      </c>
      <c r="CV92" s="1353"/>
      <c r="CW92" s="1353"/>
      <c r="CX92" s="1353">
        <v>0</v>
      </c>
      <c r="CY92" s="1353">
        <v>0</v>
      </c>
      <c r="CZ92" s="1353"/>
      <c r="DA92" s="1353">
        <v>0</v>
      </c>
      <c r="DB92" s="1353">
        <v>2177</v>
      </c>
      <c r="DC92" s="1353"/>
      <c r="DD92" s="1353"/>
      <c r="DE92" s="1353"/>
      <c r="DF92" s="1353"/>
      <c r="DG92" s="1353"/>
      <c r="DH92" s="1353"/>
      <c r="DI92" s="1353"/>
      <c r="DJ92" s="1353"/>
      <c r="DK92" s="1353"/>
      <c r="DT92" s="694"/>
      <c r="DU92" s="695" t="s">
        <v>526</v>
      </c>
      <c r="DV92" s="777">
        <f t="shared" si="143"/>
        <v>0</v>
      </c>
      <c r="DW92" s="777">
        <f t="shared" si="143"/>
        <v>0</v>
      </c>
      <c r="DX92" s="777">
        <f t="shared" si="143"/>
        <v>0</v>
      </c>
      <c r="DY92" s="777">
        <f t="shared" si="143"/>
        <v>0</v>
      </c>
      <c r="DZ92" s="777">
        <f t="shared" si="143"/>
        <v>0</v>
      </c>
      <c r="EA92" s="777">
        <f t="shared" si="143"/>
        <v>0</v>
      </c>
      <c r="EB92" s="777">
        <f t="shared" si="143"/>
        <v>0</v>
      </c>
      <c r="EC92" s="777">
        <f t="shared" si="143"/>
        <v>0</v>
      </c>
      <c r="ED92" s="777">
        <f t="shared" si="143"/>
        <v>0</v>
      </c>
      <c r="EE92" s="777">
        <f t="shared" si="143"/>
        <v>0</v>
      </c>
      <c r="EF92" s="777">
        <f t="shared" si="143"/>
        <v>0</v>
      </c>
      <c r="EG92" s="777">
        <f t="shared" si="143"/>
        <v>0</v>
      </c>
      <c r="EH92" s="777">
        <f t="shared" si="143"/>
        <v>0</v>
      </c>
      <c r="EI92" s="777">
        <f t="shared" si="143"/>
        <v>0</v>
      </c>
      <c r="EJ92" s="777">
        <f t="shared" si="143"/>
        <v>0</v>
      </c>
      <c r="EK92" s="777">
        <f t="shared" si="143"/>
        <v>0</v>
      </c>
      <c r="EL92" s="777">
        <f t="shared" si="144"/>
        <v>0</v>
      </c>
      <c r="EM92" s="777">
        <f t="shared" si="144"/>
        <v>0</v>
      </c>
      <c r="EN92" s="777">
        <f t="shared" si="144"/>
        <v>0</v>
      </c>
      <c r="EO92" s="777">
        <f t="shared" si="144"/>
        <v>0</v>
      </c>
      <c r="EP92" s="777">
        <f t="shared" si="144"/>
        <v>0</v>
      </c>
      <c r="EQ92" s="777">
        <f t="shared" si="144"/>
        <v>0</v>
      </c>
      <c r="ER92" s="777">
        <f t="shared" si="144"/>
        <v>0</v>
      </c>
      <c r="ES92" s="777">
        <f t="shared" si="144"/>
        <v>0</v>
      </c>
      <c r="ET92" s="777">
        <f t="shared" si="144"/>
        <v>0</v>
      </c>
      <c r="EU92" s="777">
        <f t="shared" si="144"/>
        <v>0</v>
      </c>
      <c r="EV92" s="777">
        <f t="shared" si="144"/>
        <v>0</v>
      </c>
    </row>
    <row r="93" spans="1:152" ht="23.25" hidden="1" customHeight="1">
      <c r="A93" s="659"/>
      <c r="B93" s="751" t="s">
        <v>528</v>
      </c>
      <c r="C93" s="661">
        <f t="shared" si="130"/>
        <v>0</v>
      </c>
      <c r="D93" s="661">
        <f t="shared" si="131"/>
        <v>0</v>
      </c>
      <c r="E93" s="661"/>
      <c r="F93" s="661"/>
      <c r="G93" s="661"/>
      <c r="H93" s="661"/>
      <c r="I93" s="661"/>
      <c r="J93" s="661"/>
      <c r="K93" s="646">
        <f t="shared" si="117"/>
        <v>0</v>
      </c>
      <c r="L93" s="662">
        <f t="shared" si="132"/>
        <v>0</v>
      </c>
      <c r="M93" s="662"/>
      <c r="N93" s="662"/>
      <c r="O93" s="662"/>
      <c r="P93" s="662"/>
      <c r="Q93" s="662"/>
      <c r="R93" s="666"/>
      <c r="S93" s="666"/>
      <c r="T93" s="666">
        <f t="shared" si="133"/>
        <v>0</v>
      </c>
      <c r="U93" s="666">
        <f t="shared" si="134"/>
        <v>0</v>
      </c>
      <c r="V93" s="662"/>
      <c r="W93" s="662"/>
      <c r="X93" s="662"/>
      <c r="Y93" s="666">
        <f>Z93-BM93</f>
        <v>0</v>
      </c>
      <c r="Z93" s="666">
        <f t="shared" si="145"/>
        <v>0</v>
      </c>
      <c r="AA93" s="666"/>
      <c r="AB93" s="666">
        <f t="shared" si="135"/>
        <v>0</v>
      </c>
      <c r="AC93" s="666">
        <f t="shared" si="136"/>
        <v>0</v>
      </c>
      <c r="AD93" s="662"/>
      <c r="AE93" s="662"/>
      <c r="AF93" s="662"/>
      <c r="AG93" s="662"/>
      <c r="AH93" s="662"/>
      <c r="AI93" s="662"/>
      <c r="AJ93" s="662"/>
      <c r="AK93" s="662"/>
      <c r="AL93" s="664"/>
      <c r="AN93" s="610"/>
      <c r="AO93" s="659"/>
      <c r="AP93" s="751" t="s">
        <v>528</v>
      </c>
      <c r="AQ93" s="661">
        <f t="shared" si="147"/>
        <v>40</v>
      </c>
      <c r="AR93" s="661">
        <f t="shared" si="146"/>
        <v>40</v>
      </c>
      <c r="AS93" s="661"/>
      <c r="AT93" s="661">
        <v>40</v>
      </c>
      <c r="AU93" s="661"/>
      <c r="AV93" s="661">
        <v>38</v>
      </c>
      <c r="AW93" s="661"/>
      <c r="AX93" s="661"/>
      <c r="AY93" s="662">
        <f t="shared" si="137"/>
        <v>3288</v>
      </c>
      <c r="AZ93" s="665">
        <f>2006+73+489</f>
        <v>2568</v>
      </c>
      <c r="BA93" s="662">
        <v>800</v>
      </c>
      <c r="BB93" s="662"/>
      <c r="BC93" s="662"/>
      <c r="BD93" s="662"/>
      <c r="BE93" s="666">
        <f t="shared" si="138"/>
        <v>80</v>
      </c>
      <c r="BF93" s="667">
        <f t="shared" si="139"/>
        <v>80</v>
      </c>
      <c r="BG93" s="666">
        <f t="shared" si="140"/>
        <v>3288</v>
      </c>
      <c r="BH93" s="662"/>
      <c r="BI93" s="662"/>
      <c r="BJ93" s="662"/>
      <c r="BK93" s="662"/>
      <c r="BL93" s="666">
        <f>BH93*10%</f>
        <v>0</v>
      </c>
      <c r="BM93" s="667"/>
      <c r="BN93" s="666">
        <f t="shared" si="142"/>
        <v>0</v>
      </c>
      <c r="BO93" s="662"/>
      <c r="BP93" s="662"/>
      <c r="BQ93" s="662"/>
      <c r="BR93" s="662"/>
      <c r="BS93" s="662"/>
      <c r="BT93" s="662"/>
      <c r="BU93" s="662"/>
      <c r="BV93" s="662"/>
      <c r="BW93" s="662"/>
      <c r="CA93" s="1352"/>
      <c r="CB93" s="1352" t="s">
        <v>528</v>
      </c>
      <c r="CC93" s="1352">
        <v>0</v>
      </c>
      <c r="CD93" s="1352">
        <v>0</v>
      </c>
      <c r="CE93" s="1352"/>
      <c r="CF93" s="1352"/>
      <c r="CG93" s="1352"/>
      <c r="CH93" s="1352"/>
      <c r="CI93" s="1352"/>
      <c r="CJ93" s="1352"/>
      <c r="CK93" s="1353">
        <v>0</v>
      </c>
      <c r="CL93" s="1353"/>
      <c r="CM93" s="1354"/>
      <c r="CN93" s="1354"/>
      <c r="CO93" s="1354"/>
      <c r="CP93" s="1354"/>
      <c r="CQ93" s="1354"/>
      <c r="CR93" s="1354"/>
      <c r="CS93" s="1354">
        <v>0</v>
      </c>
      <c r="CT93" s="1353">
        <v>0</v>
      </c>
      <c r="CU93" s="1353"/>
      <c r="CV93" s="1353"/>
      <c r="CW93" s="1353"/>
      <c r="CX93" s="1353">
        <v>0</v>
      </c>
      <c r="CY93" s="1353">
        <v>0</v>
      </c>
      <c r="CZ93" s="1353"/>
      <c r="DA93" s="1353">
        <v>0</v>
      </c>
      <c r="DB93" s="1353">
        <v>0</v>
      </c>
      <c r="DC93" s="1353"/>
      <c r="DD93" s="1353"/>
      <c r="DE93" s="1353"/>
      <c r="DF93" s="1353"/>
      <c r="DG93" s="1353"/>
      <c r="DH93" s="1353"/>
      <c r="DI93" s="1353"/>
      <c r="DJ93" s="1353"/>
      <c r="DK93" s="1353"/>
      <c r="DT93" s="659"/>
      <c r="DU93" s="751" t="s">
        <v>528</v>
      </c>
      <c r="DV93" s="777">
        <f t="shared" si="143"/>
        <v>0</v>
      </c>
      <c r="DW93" s="777">
        <f t="shared" si="143"/>
        <v>0</v>
      </c>
      <c r="DX93" s="777">
        <f t="shared" si="143"/>
        <v>0</v>
      </c>
      <c r="DY93" s="777">
        <f t="shared" si="143"/>
        <v>0</v>
      </c>
      <c r="DZ93" s="777">
        <f t="shared" si="143"/>
        <v>0</v>
      </c>
      <c r="EA93" s="777">
        <f t="shared" si="143"/>
        <v>0</v>
      </c>
      <c r="EB93" s="777">
        <f t="shared" si="143"/>
        <v>0</v>
      </c>
      <c r="EC93" s="777">
        <f t="shared" si="143"/>
        <v>0</v>
      </c>
      <c r="ED93" s="777">
        <f t="shared" si="143"/>
        <v>0</v>
      </c>
      <c r="EE93" s="777">
        <f t="shared" si="143"/>
        <v>0</v>
      </c>
      <c r="EF93" s="777">
        <f t="shared" si="143"/>
        <v>0</v>
      </c>
      <c r="EG93" s="777">
        <f t="shared" si="143"/>
        <v>0</v>
      </c>
      <c r="EH93" s="777">
        <f t="shared" si="143"/>
        <v>0</v>
      </c>
      <c r="EI93" s="777">
        <f t="shared" si="143"/>
        <v>0</v>
      </c>
      <c r="EJ93" s="777">
        <f t="shared" si="143"/>
        <v>0</v>
      </c>
      <c r="EK93" s="777">
        <f t="shared" si="143"/>
        <v>0</v>
      </c>
      <c r="EL93" s="777">
        <f t="shared" si="144"/>
        <v>0</v>
      </c>
      <c r="EM93" s="777">
        <f t="shared" si="144"/>
        <v>0</v>
      </c>
      <c r="EN93" s="777">
        <f t="shared" si="144"/>
        <v>0</v>
      </c>
      <c r="EO93" s="777">
        <f t="shared" si="144"/>
        <v>0</v>
      </c>
      <c r="EP93" s="777">
        <f t="shared" si="144"/>
        <v>0</v>
      </c>
      <c r="EQ93" s="777">
        <f t="shared" si="144"/>
        <v>0</v>
      </c>
      <c r="ER93" s="777">
        <f t="shared" si="144"/>
        <v>0</v>
      </c>
      <c r="ES93" s="777">
        <f t="shared" si="144"/>
        <v>0</v>
      </c>
      <c r="ET93" s="777">
        <f t="shared" si="144"/>
        <v>0</v>
      </c>
      <c r="EU93" s="777">
        <f t="shared" si="144"/>
        <v>0</v>
      </c>
      <c r="EV93" s="777">
        <f t="shared" si="144"/>
        <v>0</v>
      </c>
    </row>
    <row r="94" spans="1:152" s="693" customFormat="1" ht="34.5" customHeight="1">
      <c r="A94" s="682"/>
      <c r="B94" s="683" t="s">
        <v>529</v>
      </c>
      <c r="C94" s="684">
        <f t="shared" si="130"/>
        <v>0</v>
      </c>
      <c r="D94" s="684">
        <f t="shared" si="131"/>
        <v>0</v>
      </c>
      <c r="E94" s="684"/>
      <c r="F94" s="684"/>
      <c r="G94" s="684"/>
      <c r="H94" s="684"/>
      <c r="I94" s="684"/>
      <c r="J94" s="684"/>
      <c r="K94" s="646">
        <f t="shared" si="117"/>
        <v>470</v>
      </c>
      <c r="L94" s="692">
        <f t="shared" si="132"/>
        <v>470</v>
      </c>
      <c r="M94" s="692"/>
      <c r="N94" s="692"/>
      <c r="O94" s="692"/>
      <c r="P94" s="692"/>
      <c r="Q94" s="692"/>
      <c r="R94" s="666">
        <f>((N94+O94)-(BA94+BB94))*10%</f>
        <v>0</v>
      </c>
      <c r="S94" s="685"/>
      <c r="T94" s="666">
        <f t="shared" si="133"/>
        <v>0</v>
      </c>
      <c r="U94" s="666">
        <f t="shared" si="134"/>
        <v>0</v>
      </c>
      <c r="V94" s="692">
        <v>470</v>
      </c>
      <c r="W94" s="692"/>
      <c r="X94" s="692"/>
      <c r="Y94" s="666">
        <f>Z94-BM94</f>
        <v>0</v>
      </c>
      <c r="Z94" s="666"/>
      <c r="AA94" s="685"/>
      <c r="AB94" s="666">
        <f t="shared" si="135"/>
        <v>0</v>
      </c>
      <c r="AC94" s="666">
        <f t="shared" si="136"/>
        <v>470</v>
      </c>
      <c r="AD94" s="692"/>
      <c r="AE94" s="692"/>
      <c r="AF94" s="692"/>
      <c r="AG94" s="692"/>
      <c r="AH94" s="692"/>
      <c r="AI94" s="692"/>
      <c r="AJ94" s="692"/>
      <c r="AK94" s="692"/>
      <c r="AL94" s="688"/>
      <c r="AM94" s="689"/>
      <c r="AN94" s="690"/>
      <c r="AO94" s="682"/>
      <c r="AP94" s="1374" t="s">
        <v>530</v>
      </c>
      <c r="AQ94" s="684"/>
      <c r="AR94" s="684"/>
      <c r="AS94" s="684"/>
      <c r="AT94" s="684"/>
      <c r="AU94" s="684"/>
      <c r="AV94" s="684"/>
      <c r="AW94" s="684"/>
      <c r="AX94" s="684"/>
      <c r="AY94" s="692"/>
      <c r="AZ94" s="713"/>
      <c r="BA94" s="692"/>
      <c r="BB94" s="692"/>
      <c r="BC94" s="692"/>
      <c r="BD94" s="692"/>
      <c r="BE94" s="685"/>
      <c r="BF94" s="686"/>
      <c r="BG94" s="685"/>
      <c r="BH94" s="692"/>
      <c r="BI94" s="692"/>
      <c r="BJ94" s="692"/>
      <c r="BK94" s="692"/>
      <c r="BL94" s="685"/>
      <c r="BM94" s="686"/>
      <c r="BN94" s="685"/>
      <c r="BO94" s="692"/>
      <c r="BP94" s="692"/>
      <c r="BQ94" s="692"/>
      <c r="BR94" s="692"/>
      <c r="BS94" s="692"/>
      <c r="BT94" s="692"/>
      <c r="BU94" s="692"/>
      <c r="BV94" s="692">
        <v>30000</v>
      </c>
      <c r="BW94" s="692"/>
      <c r="BY94" s="1355"/>
      <c r="BZ94" s="1355"/>
      <c r="CA94" s="1356"/>
      <c r="CB94" s="1356" t="s">
        <v>529</v>
      </c>
      <c r="CC94" s="1356">
        <v>0</v>
      </c>
      <c r="CD94" s="1356">
        <v>0</v>
      </c>
      <c r="CE94" s="1356"/>
      <c r="CF94" s="1356"/>
      <c r="CG94" s="1356"/>
      <c r="CH94" s="1356"/>
      <c r="CI94" s="1356"/>
      <c r="CJ94" s="1356"/>
      <c r="CK94" s="1357">
        <v>470</v>
      </c>
      <c r="CL94" s="1357"/>
      <c r="CM94" s="1358"/>
      <c r="CN94" s="1358"/>
      <c r="CO94" s="1358"/>
      <c r="CP94" s="1358"/>
      <c r="CQ94" s="1358">
        <v>0</v>
      </c>
      <c r="CR94" s="1358"/>
      <c r="CS94" s="1358">
        <v>0</v>
      </c>
      <c r="CT94" s="1357">
        <v>0</v>
      </c>
      <c r="CU94" s="1357">
        <v>470</v>
      </c>
      <c r="CV94" s="1357"/>
      <c r="CW94" s="1357"/>
      <c r="CX94" s="1357">
        <v>0</v>
      </c>
      <c r="CY94" s="1357"/>
      <c r="CZ94" s="1357"/>
      <c r="DA94" s="1357">
        <v>0</v>
      </c>
      <c r="DB94" s="1357">
        <v>470</v>
      </c>
      <c r="DC94" s="1357"/>
      <c r="DD94" s="1357"/>
      <c r="DE94" s="1357"/>
      <c r="DF94" s="1357"/>
      <c r="DG94" s="1357"/>
      <c r="DH94" s="1357"/>
      <c r="DI94" s="1357"/>
      <c r="DJ94" s="1357"/>
      <c r="DK94" s="1357"/>
      <c r="DT94" s="682"/>
      <c r="DU94" s="683" t="s">
        <v>529</v>
      </c>
      <c r="DV94" s="777">
        <f t="shared" si="143"/>
        <v>0</v>
      </c>
      <c r="DW94" s="777">
        <f t="shared" si="143"/>
        <v>0</v>
      </c>
      <c r="DX94" s="777">
        <f t="shared" si="143"/>
        <v>0</v>
      </c>
      <c r="DY94" s="777">
        <f t="shared" si="143"/>
        <v>0</v>
      </c>
      <c r="DZ94" s="777">
        <f t="shared" si="143"/>
        <v>0</v>
      </c>
      <c r="EA94" s="777">
        <f t="shared" si="143"/>
        <v>0</v>
      </c>
      <c r="EB94" s="777">
        <f t="shared" si="143"/>
        <v>0</v>
      </c>
      <c r="EC94" s="777">
        <f t="shared" si="143"/>
        <v>0</v>
      </c>
      <c r="ED94" s="777">
        <f t="shared" si="143"/>
        <v>0</v>
      </c>
      <c r="EE94" s="777">
        <f t="shared" si="143"/>
        <v>0</v>
      </c>
      <c r="EF94" s="777">
        <f t="shared" si="143"/>
        <v>0</v>
      </c>
      <c r="EG94" s="777">
        <f t="shared" si="143"/>
        <v>0</v>
      </c>
      <c r="EH94" s="777">
        <f t="shared" si="143"/>
        <v>0</v>
      </c>
      <c r="EI94" s="777">
        <f t="shared" si="143"/>
        <v>0</v>
      </c>
      <c r="EJ94" s="777">
        <f t="shared" si="143"/>
        <v>0</v>
      </c>
      <c r="EK94" s="777">
        <f t="shared" si="143"/>
        <v>0</v>
      </c>
      <c r="EL94" s="777">
        <f t="shared" si="144"/>
        <v>0</v>
      </c>
      <c r="EM94" s="777">
        <f t="shared" si="144"/>
        <v>0</v>
      </c>
      <c r="EN94" s="777">
        <f t="shared" si="144"/>
        <v>0</v>
      </c>
      <c r="EO94" s="777">
        <f t="shared" si="144"/>
        <v>0</v>
      </c>
      <c r="EP94" s="777">
        <f t="shared" si="144"/>
        <v>0</v>
      </c>
      <c r="EQ94" s="777">
        <f t="shared" si="144"/>
        <v>0</v>
      </c>
      <c r="ER94" s="777">
        <f t="shared" si="144"/>
        <v>0</v>
      </c>
      <c r="ES94" s="777">
        <f t="shared" si="144"/>
        <v>0</v>
      </c>
      <c r="ET94" s="777">
        <f t="shared" si="144"/>
        <v>0</v>
      </c>
      <c r="EU94" s="777">
        <f t="shared" si="144"/>
        <v>0</v>
      </c>
      <c r="EV94" s="777">
        <f t="shared" si="144"/>
        <v>0</v>
      </c>
    </row>
    <row r="95" spans="1:152" ht="24" customHeight="1">
      <c r="A95" s="1429" t="s">
        <v>463</v>
      </c>
      <c r="B95" s="651" t="s">
        <v>531</v>
      </c>
      <c r="C95" s="1430">
        <f t="shared" ref="C95:Y95" si="148">SUM(C96:C97,C115:C120)</f>
        <v>1939</v>
      </c>
      <c r="D95" s="1430">
        <f t="shared" si="148"/>
        <v>1888</v>
      </c>
      <c r="E95" s="1430">
        <f t="shared" si="148"/>
        <v>0</v>
      </c>
      <c r="F95" s="1430">
        <f t="shared" si="148"/>
        <v>1888</v>
      </c>
      <c r="G95" s="1430">
        <f t="shared" si="148"/>
        <v>0</v>
      </c>
      <c r="H95" s="1430">
        <f t="shared" si="148"/>
        <v>1570</v>
      </c>
      <c r="I95" s="1430">
        <f t="shared" si="148"/>
        <v>51</v>
      </c>
      <c r="J95" s="1430">
        <f t="shared" si="148"/>
        <v>51</v>
      </c>
      <c r="K95" s="646">
        <f t="shared" si="117"/>
        <v>503015</v>
      </c>
      <c r="L95" s="653">
        <f>SUM(L96:L97,L115:L120)</f>
        <v>503015</v>
      </c>
      <c r="M95" s="767">
        <f t="shared" si="148"/>
        <v>68275</v>
      </c>
      <c r="N95" s="767">
        <f t="shared" si="148"/>
        <v>10052</v>
      </c>
      <c r="O95" s="767">
        <f t="shared" si="148"/>
        <v>0</v>
      </c>
      <c r="P95" s="767">
        <f t="shared" si="148"/>
        <v>0</v>
      </c>
      <c r="Q95" s="767">
        <f t="shared" si="148"/>
        <v>0</v>
      </c>
      <c r="R95" s="767">
        <f t="shared" si="148"/>
        <v>387.8</v>
      </c>
      <c r="S95" s="767">
        <f t="shared" si="148"/>
        <v>517</v>
      </c>
      <c r="T95" s="767">
        <f t="shared" si="148"/>
        <v>905</v>
      </c>
      <c r="U95" s="767">
        <f t="shared" si="148"/>
        <v>77422</v>
      </c>
      <c r="V95" s="767">
        <f t="shared" si="148"/>
        <v>425593</v>
      </c>
      <c r="W95" s="767">
        <f t="shared" si="148"/>
        <v>0</v>
      </c>
      <c r="X95" s="767">
        <f t="shared" si="148"/>
        <v>0</v>
      </c>
      <c r="Y95" s="767">
        <f t="shared" si="148"/>
        <v>40831.5</v>
      </c>
      <c r="Z95" s="767">
        <f>SUM(Z96:Z97,Z115:Z120)</f>
        <v>40831.5</v>
      </c>
      <c r="AA95" s="767">
        <f>SUM(AA96:AA97,AA115:AA120)</f>
        <v>0</v>
      </c>
      <c r="AB95" s="767">
        <f>SUM(AB96:AB97,AB115:AB120)</f>
        <v>0</v>
      </c>
      <c r="AC95" s="767">
        <f t="shared" ref="AC95:AM95" si="149">SUM(AC96:AC97,AC115:AC120)</f>
        <v>425593</v>
      </c>
      <c r="AD95" s="767">
        <f t="shared" si="149"/>
        <v>0</v>
      </c>
      <c r="AE95" s="767">
        <f t="shared" si="149"/>
        <v>0</v>
      </c>
      <c r="AF95" s="767">
        <f t="shared" si="149"/>
        <v>0</v>
      </c>
      <c r="AG95" s="767">
        <f t="shared" si="149"/>
        <v>0</v>
      </c>
      <c r="AH95" s="767">
        <f t="shared" si="149"/>
        <v>0</v>
      </c>
      <c r="AI95" s="767">
        <f t="shared" si="149"/>
        <v>0</v>
      </c>
      <c r="AJ95" s="767">
        <f t="shared" si="149"/>
        <v>109295</v>
      </c>
      <c r="AK95" s="767">
        <f t="shared" si="149"/>
        <v>0</v>
      </c>
      <c r="AL95" s="769">
        <f t="shared" si="149"/>
        <v>0</v>
      </c>
      <c r="AM95" s="770">
        <f t="shared" si="149"/>
        <v>0</v>
      </c>
      <c r="AN95" s="610"/>
      <c r="AO95" s="1323" t="s">
        <v>463</v>
      </c>
      <c r="AP95" s="651" t="s">
        <v>531</v>
      </c>
      <c r="AQ95" s="1320">
        <f t="shared" ref="AQ95:BL95" si="150">SUM(AQ96:AQ97,AQ115:AQ120)</f>
        <v>2795</v>
      </c>
      <c r="AR95" s="1320">
        <f t="shared" si="150"/>
        <v>2672</v>
      </c>
      <c r="AS95" s="1320">
        <f t="shared" si="150"/>
        <v>0</v>
      </c>
      <c r="AT95" s="1320">
        <f t="shared" si="150"/>
        <v>2672</v>
      </c>
      <c r="AU95" s="1320">
        <f t="shared" si="150"/>
        <v>0</v>
      </c>
      <c r="AV95" s="1320">
        <f t="shared" si="150"/>
        <v>2551</v>
      </c>
      <c r="AW95" s="1320">
        <f t="shared" si="150"/>
        <v>123</v>
      </c>
      <c r="AX95" s="1320">
        <f t="shared" si="150"/>
        <v>113</v>
      </c>
      <c r="AY95" s="767">
        <f t="shared" si="150"/>
        <v>486959</v>
      </c>
      <c r="AZ95" s="771">
        <f t="shared" si="150"/>
        <v>54799</v>
      </c>
      <c r="BA95" s="767">
        <f t="shared" si="150"/>
        <v>6392</v>
      </c>
      <c r="BB95" s="767">
        <f t="shared" si="150"/>
        <v>0</v>
      </c>
      <c r="BC95" s="767">
        <f t="shared" si="150"/>
        <v>0</v>
      </c>
      <c r="BD95" s="767">
        <f t="shared" si="150"/>
        <v>0</v>
      </c>
      <c r="BE95" s="767">
        <f t="shared" si="150"/>
        <v>639.20000000000005</v>
      </c>
      <c r="BF95" s="768">
        <f t="shared" si="150"/>
        <v>639</v>
      </c>
      <c r="BG95" s="767">
        <f t="shared" si="150"/>
        <v>60552</v>
      </c>
      <c r="BH95" s="767">
        <f t="shared" si="150"/>
        <v>424682</v>
      </c>
      <c r="BI95" s="767">
        <f t="shared" si="150"/>
        <v>0</v>
      </c>
      <c r="BJ95" s="767">
        <f t="shared" si="150"/>
        <v>250</v>
      </c>
      <c r="BK95" s="767">
        <f t="shared" si="150"/>
        <v>0</v>
      </c>
      <c r="BL95" s="767">
        <f t="shared" si="150"/>
        <v>0</v>
      </c>
      <c r="BM95" s="768"/>
      <c r="BN95" s="767">
        <f t="shared" ref="BN95:BW95" si="151">SUM(BN96:BN97,BN115:BN120)</f>
        <v>424932</v>
      </c>
      <c r="BO95" s="767">
        <f t="shared" si="151"/>
        <v>1475</v>
      </c>
      <c r="BP95" s="767">
        <f t="shared" si="151"/>
        <v>0</v>
      </c>
      <c r="BQ95" s="767">
        <f t="shared" si="151"/>
        <v>655118</v>
      </c>
      <c r="BR95" s="767">
        <f t="shared" si="151"/>
        <v>0</v>
      </c>
      <c r="BS95" s="767">
        <f t="shared" si="151"/>
        <v>0</v>
      </c>
      <c r="BT95" s="767">
        <f t="shared" si="151"/>
        <v>0</v>
      </c>
      <c r="BU95" s="767">
        <f t="shared" si="151"/>
        <v>0</v>
      </c>
      <c r="BV95" s="767">
        <f t="shared" si="151"/>
        <v>0</v>
      </c>
      <c r="BW95" s="767">
        <f t="shared" si="151"/>
        <v>0</v>
      </c>
      <c r="CA95" s="1352" t="s">
        <v>463</v>
      </c>
      <c r="CB95" s="1352" t="s">
        <v>531</v>
      </c>
      <c r="CC95" s="1352">
        <v>2943</v>
      </c>
      <c r="CD95" s="1352">
        <v>2820</v>
      </c>
      <c r="CE95" s="1352">
        <v>0</v>
      </c>
      <c r="CF95" s="1352">
        <v>1718</v>
      </c>
      <c r="CG95" s="1352">
        <v>0</v>
      </c>
      <c r="CH95" s="1352">
        <v>1697</v>
      </c>
      <c r="CI95" s="1352">
        <v>65</v>
      </c>
      <c r="CJ95" s="1352">
        <v>65</v>
      </c>
      <c r="CK95" s="1353">
        <v>87542</v>
      </c>
      <c r="CL95" s="1353">
        <v>61117</v>
      </c>
      <c r="CM95" s="1354">
        <v>10052</v>
      </c>
      <c r="CN95" s="1354">
        <v>0</v>
      </c>
      <c r="CO95" s="1354">
        <v>0</v>
      </c>
      <c r="CP95" s="1354">
        <v>0</v>
      </c>
      <c r="CQ95" s="1354">
        <v>387.8</v>
      </c>
      <c r="CR95" s="1354">
        <v>517</v>
      </c>
      <c r="CS95" s="1354">
        <v>905</v>
      </c>
      <c r="CT95" s="1353">
        <v>70264</v>
      </c>
      <c r="CU95" s="1353">
        <v>17278</v>
      </c>
      <c r="CV95" s="1353">
        <v>0</v>
      </c>
      <c r="CW95" s="1353">
        <v>0</v>
      </c>
      <c r="CX95" s="1353">
        <v>0</v>
      </c>
      <c r="CY95" s="1353">
        <v>0</v>
      </c>
      <c r="CZ95" s="1353">
        <v>0</v>
      </c>
      <c r="DA95" s="1353">
        <v>0</v>
      </c>
      <c r="DB95" s="1353">
        <v>17278</v>
      </c>
      <c r="DC95" s="1353">
        <v>0</v>
      </c>
      <c r="DD95" s="1353">
        <v>0</v>
      </c>
      <c r="DE95" s="1353">
        <v>0</v>
      </c>
      <c r="DF95" s="1353">
        <v>0</v>
      </c>
      <c r="DG95" s="1353">
        <v>0</v>
      </c>
      <c r="DH95" s="1353">
        <v>0</v>
      </c>
      <c r="DI95" s="1353">
        <v>0</v>
      </c>
      <c r="DJ95" s="1353">
        <v>0</v>
      </c>
      <c r="DK95" s="1353">
        <v>0</v>
      </c>
      <c r="DT95" s="1323" t="s">
        <v>463</v>
      </c>
      <c r="DU95" s="651" t="s">
        <v>531</v>
      </c>
      <c r="DV95" s="1364">
        <f>DV96+DV97</f>
        <v>5658</v>
      </c>
      <c r="DW95" s="1364">
        <f t="shared" ref="DW95:EV95" si="152">DW96+DW97</f>
        <v>5658</v>
      </c>
      <c r="DX95" s="1364">
        <f t="shared" si="152"/>
        <v>0</v>
      </c>
      <c r="DY95" s="1364">
        <f t="shared" si="152"/>
        <v>0</v>
      </c>
      <c r="DZ95" s="1364">
        <f t="shared" si="152"/>
        <v>0</v>
      </c>
      <c r="EA95" s="1364">
        <f t="shared" si="152"/>
        <v>0</v>
      </c>
      <c r="EB95" s="1364">
        <f t="shared" si="152"/>
        <v>0</v>
      </c>
      <c r="EC95" s="1364">
        <f t="shared" si="152"/>
        <v>0</v>
      </c>
      <c r="ED95" s="1364">
        <f t="shared" si="152"/>
        <v>0</v>
      </c>
      <c r="EE95" s="1364">
        <f t="shared" si="152"/>
        <v>5658</v>
      </c>
      <c r="EF95" s="1364">
        <f t="shared" si="152"/>
        <v>0</v>
      </c>
      <c r="EG95" s="1364">
        <f t="shared" si="152"/>
        <v>0</v>
      </c>
      <c r="EH95" s="1364">
        <f t="shared" si="152"/>
        <v>0</v>
      </c>
      <c r="EI95" s="1364">
        <f t="shared" si="152"/>
        <v>0</v>
      </c>
      <c r="EJ95" s="1364">
        <f t="shared" si="152"/>
        <v>0</v>
      </c>
      <c r="EK95" s="1364">
        <f t="shared" si="152"/>
        <v>0</v>
      </c>
      <c r="EL95" s="1364">
        <f t="shared" si="152"/>
        <v>0</v>
      </c>
      <c r="EM95" s="1364">
        <f t="shared" si="152"/>
        <v>0</v>
      </c>
      <c r="EN95" s="1364">
        <f t="shared" si="152"/>
        <v>0</v>
      </c>
      <c r="EO95" s="1364">
        <f t="shared" si="152"/>
        <v>0</v>
      </c>
      <c r="EP95" s="1364">
        <f t="shared" si="152"/>
        <v>0</v>
      </c>
      <c r="EQ95" s="1364">
        <f t="shared" si="152"/>
        <v>0</v>
      </c>
      <c r="ER95" s="1364">
        <f t="shared" si="152"/>
        <v>0</v>
      </c>
      <c r="ES95" s="1364">
        <f t="shared" si="152"/>
        <v>0</v>
      </c>
      <c r="ET95" s="1364">
        <f t="shared" si="152"/>
        <v>0</v>
      </c>
      <c r="EU95" s="1364">
        <f t="shared" si="152"/>
        <v>0</v>
      </c>
      <c r="EV95" s="1364">
        <f t="shared" si="152"/>
        <v>0</v>
      </c>
    </row>
    <row r="96" spans="1:152" ht="29.25" customHeight="1">
      <c r="A96" s="659">
        <v>30</v>
      </c>
      <c r="B96" s="660" t="s">
        <v>532</v>
      </c>
      <c r="C96" s="661">
        <f>D96+I96</f>
        <v>57</v>
      </c>
      <c r="D96" s="661">
        <f>E96+F96</f>
        <v>55</v>
      </c>
      <c r="E96" s="661"/>
      <c r="F96" s="661">
        <v>55</v>
      </c>
      <c r="G96" s="661"/>
      <c r="H96" s="661">
        <v>53</v>
      </c>
      <c r="I96" s="661">
        <v>2</v>
      </c>
      <c r="J96" s="661">
        <v>2</v>
      </c>
      <c r="K96" s="646">
        <f t="shared" si="117"/>
        <v>1900</v>
      </c>
      <c r="L96" s="662">
        <f>U96+AC96+AD96+AE96</f>
        <v>1900</v>
      </c>
      <c r="M96" s="662">
        <v>1900</v>
      </c>
      <c r="N96" s="662"/>
      <c r="O96" s="662"/>
      <c r="P96" s="662"/>
      <c r="Q96" s="662"/>
      <c r="R96" s="666">
        <f>((N96+O96)-(BA96+BB96))*10%</f>
        <v>0</v>
      </c>
      <c r="S96" s="666"/>
      <c r="T96" s="666">
        <f>ROUND((Q96+R96+S96),0)</f>
        <v>0</v>
      </c>
      <c r="U96" s="666">
        <f>(M96+N96+O96+P96)-T96</f>
        <v>1900</v>
      </c>
      <c r="V96" s="662"/>
      <c r="W96" s="662"/>
      <c r="X96" s="662"/>
      <c r="Y96" s="666">
        <f>Z96-BM96</f>
        <v>0</v>
      </c>
      <c r="Z96" s="666">
        <f t="shared" si="145"/>
        <v>0</v>
      </c>
      <c r="AA96" s="666"/>
      <c r="AB96" s="666">
        <f>ROUND((Y96+AA96+X96),0)</f>
        <v>0</v>
      </c>
      <c r="AC96" s="666">
        <f>(V96+W96)-AA96</f>
        <v>0</v>
      </c>
      <c r="AD96" s="662"/>
      <c r="AE96" s="662"/>
      <c r="AF96" s="662"/>
      <c r="AG96" s="662"/>
      <c r="AH96" s="662"/>
      <c r="AI96" s="662"/>
      <c r="AJ96" s="662"/>
      <c r="AK96" s="662"/>
      <c r="AL96" s="664"/>
      <c r="AN96" s="610"/>
      <c r="AO96" s="659">
        <v>35</v>
      </c>
      <c r="AP96" s="660" t="s">
        <v>532</v>
      </c>
      <c r="AQ96" s="661">
        <f>AR96+AW96</f>
        <v>57</v>
      </c>
      <c r="AR96" s="661">
        <f>AS96+AT96</f>
        <v>55</v>
      </c>
      <c r="AS96" s="661"/>
      <c r="AT96" s="661">
        <v>55</v>
      </c>
      <c r="AU96" s="661"/>
      <c r="AV96" s="661">
        <v>55</v>
      </c>
      <c r="AW96" s="661">
        <v>2</v>
      </c>
      <c r="AX96" s="661">
        <v>2</v>
      </c>
      <c r="AY96" s="662">
        <f>BG96+BN96+BO96+BP96</f>
        <v>2750</v>
      </c>
      <c r="AZ96" s="665">
        <f>2396-96</f>
        <v>2300</v>
      </c>
      <c r="BA96" s="662"/>
      <c r="BB96" s="662"/>
      <c r="BC96" s="662"/>
      <c r="BD96" s="662"/>
      <c r="BE96" s="666">
        <f>(BA96+BB96)*10%</f>
        <v>0</v>
      </c>
      <c r="BF96" s="667">
        <f>ROUND(BE96,0)</f>
        <v>0</v>
      </c>
      <c r="BG96" s="666">
        <f>(AZ96+BA96+BB96+BC96)-BF96</f>
        <v>2300</v>
      </c>
      <c r="BH96" s="662"/>
      <c r="BI96" s="662"/>
      <c r="BJ96" s="662">
        <f>250</f>
        <v>250</v>
      </c>
      <c r="BK96" s="662"/>
      <c r="BL96" s="666">
        <f>BH96*10%</f>
        <v>0</v>
      </c>
      <c r="BM96" s="667">
        <f>ROUND(BL96,0)</f>
        <v>0</v>
      </c>
      <c r="BN96" s="666">
        <f>(BH96+BI96+BJ96)-BM96</f>
        <v>250</v>
      </c>
      <c r="BO96" s="662">
        <v>200</v>
      </c>
      <c r="BP96" s="662"/>
      <c r="BQ96" s="662">
        <f>14363-50</f>
        <v>14313</v>
      </c>
      <c r="BR96" s="662"/>
      <c r="BS96" s="662"/>
      <c r="BT96" s="662"/>
      <c r="BU96" s="662"/>
      <c r="BV96" s="662"/>
      <c r="BW96" s="662"/>
      <c r="CA96" s="1352">
        <v>32</v>
      </c>
      <c r="CB96" s="1352" t="s">
        <v>532</v>
      </c>
      <c r="CC96" s="1352">
        <v>57</v>
      </c>
      <c r="CD96" s="1352">
        <v>55</v>
      </c>
      <c r="CE96" s="1352"/>
      <c r="CF96" s="1352">
        <v>55</v>
      </c>
      <c r="CG96" s="1352"/>
      <c r="CH96" s="1352">
        <v>53</v>
      </c>
      <c r="CI96" s="1352">
        <v>2</v>
      </c>
      <c r="CJ96" s="1352">
        <v>2</v>
      </c>
      <c r="CK96" s="1353">
        <v>1900</v>
      </c>
      <c r="CL96" s="1353">
        <v>1900</v>
      </c>
      <c r="CM96" s="1354"/>
      <c r="CN96" s="1354"/>
      <c r="CO96" s="1354"/>
      <c r="CP96" s="1354"/>
      <c r="CQ96" s="1354">
        <v>0</v>
      </c>
      <c r="CR96" s="1354"/>
      <c r="CS96" s="1354">
        <v>0</v>
      </c>
      <c r="CT96" s="1353">
        <v>1900</v>
      </c>
      <c r="CU96" s="1353"/>
      <c r="CV96" s="1353"/>
      <c r="CW96" s="1353"/>
      <c r="CX96" s="1353">
        <v>0</v>
      </c>
      <c r="CY96" s="1353">
        <v>0</v>
      </c>
      <c r="CZ96" s="1353"/>
      <c r="DA96" s="1353">
        <v>0</v>
      </c>
      <c r="DB96" s="1353">
        <v>0</v>
      </c>
      <c r="DC96" s="1353"/>
      <c r="DD96" s="1353"/>
      <c r="DE96" s="1353"/>
      <c r="DF96" s="1353"/>
      <c r="DG96" s="1353"/>
      <c r="DH96" s="1353"/>
      <c r="DI96" s="1353"/>
      <c r="DJ96" s="1353"/>
      <c r="DK96" s="1353"/>
      <c r="DT96" s="659">
        <v>32</v>
      </c>
      <c r="DU96" s="660" t="s">
        <v>532</v>
      </c>
      <c r="DV96" s="775"/>
      <c r="DW96" s="775"/>
      <c r="DX96" s="775"/>
      <c r="DY96" s="775"/>
      <c r="DZ96" s="775"/>
      <c r="EA96" s="775"/>
      <c r="EB96" s="775"/>
      <c r="EC96" s="775"/>
      <c r="ED96" s="775"/>
      <c r="EE96" s="775"/>
      <c r="EF96" s="775"/>
      <c r="EG96" s="775"/>
      <c r="EH96" s="775"/>
      <c r="EI96" s="775"/>
      <c r="EJ96" s="775"/>
      <c r="EK96" s="775"/>
      <c r="EL96" s="775"/>
      <c r="EM96" s="775"/>
      <c r="EN96" s="775"/>
      <c r="EO96" s="775"/>
      <c r="EP96" s="775"/>
      <c r="EQ96" s="775"/>
      <c r="ER96" s="775"/>
      <c r="ES96" s="775"/>
      <c r="ET96" s="775"/>
      <c r="EU96" s="775"/>
      <c r="EV96" s="775"/>
    </row>
    <row r="97" spans="1:153" ht="32.25" customHeight="1">
      <c r="A97" s="659">
        <v>31</v>
      </c>
      <c r="B97" s="660" t="s">
        <v>533</v>
      </c>
      <c r="C97" s="661">
        <f t="shared" ref="C97:J97" si="153">C99+C102+C108+C109+C112+C113+C114+C98</f>
        <v>1882</v>
      </c>
      <c r="D97" s="661">
        <f t="shared" si="153"/>
        <v>1833</v>
      </c>
      <c r="E97" s="661">
        <f t="shared" si="153"/>
        <v>0</v>
      </c>
      <c r="F97" s="661">
        <f t="shared" si="153"/>
        <v>1833</v>
      </c>
      <c r="G97" s="661">
        <f t="shared" si="153"/>
        <v>0</v>
      </c>
      <c r="H97" s="661">
        <f t="shared" si="153"/>
        <v>1517</v>
      </c>
      <c r="I97" s="661">
        <f t="shared" si="153"/>
        <v>49</v>
      </c>
      <c r="J97" s="661">
        <f t="shared" si="153"/>
        <v>49</v>
      </c>
      <c r="K97" s="646">
        <f t="shared" si="117"/>
        <v>92800</v>
      </c>
      <c r="L97" s="662">
        <f>L99+L102+L108+L109+L112+L113+L114+L98</f>
        <v>92800</v>
      </c>
      <c r="M97" s="662">
        <f t="shared" ref="M97:AC97" si="154">M99+M102+M108+M109+M112+M113+M114+M98</f>
        <v>66375</v>
      </c>
      <c r="N97" s="662">
        <f t="shared" si="154"/>
        <v>10052</v>
      </c>
      <c r="O97" s="662">
        <f t="shared" si="154"/>
        <v>0</v>
      </c>
      <c r="P97" s="662">
        <f t="shared" si="154"/>
        <v>0</v>
      </c>
      <c r="Q97" s="662">
        <f t="shared" si="154"/>
        <v>0</v>
      </c>
      <c r="R97" s="662">
        <f t="shared" si="154"/>
        <v>387.8</v>
      </c>
      <c r="S97" s="662">
        <f t="shared" si="154"/>
        <v>517</v>
      </c>
      <c r="T97" s="662">
        <f t="shared" si="154"/>
        <v>905</v>
      </c>
      <c r="U97" s="662">
        <f t="shared" si="154"/>
        <v>75522</v>
      </c>
      <c r="V97" s="662">
        <f t="shared" si="154"/>
        <v>17278</v>
      </c>
      <c r="W97" s="662">
        <f t="shared" si="154"/>
        <v>0</v>
      </c>
      <c r="X97" s="662">
        <f t="shared" si="154"/>
        <v>0</v>
      </c>
      <c r="Y97" s="662">
        <f t="shared" si="154"/>
        <v>0</v>
      </c>
      <c r="Z97" s="662">
        <f t="shared" si="154"/>
        <v>0</v>
      </c>
      <c r="AA97" s="662">
        <f t="shared" si="154"/>
        <v>0</v>
      </c>
      <c r="AB97" s="662"/>
      <c r="AC97" s="662">
        <f t="shared" si="154"/>
        <v>17278</v>
      </c>
      <c r="AD97" s="662"/>
      <c r="AE97" s="662">
        <f t="shared" ref="AE97:AL97" si="155">AE99+AE102+AE108+AE109+AE112+AE113+AE114+AE98</f>
        <v>0</v>
      </c>
      <c r="AF97" s="662">
        <f t="shared" si="155"/>
        <v>0</v>
      </c>
      <c r="AG97" s="662">
        <f t="shared" si="155"/>
        <v>0</v>
      </c>
      <c r="AH97" s="662">
        <f t="shared" si="155"/>
        <v>0</v>
      </c>
      <c r="AI97" s="662">
        <f t="shared" si="155"/>
        <v>0</v>
      </c>
      <c r="AJ97" s="662">
        <f t="shared" si="155"/>
        <v>0</v>
      </c>
      <c r="AK97" s="662">
        <f t="shared" si="155"/>
        <v>0</v>
      </c>
      <c r="AL97" s="664">
        <f t="shared" si="155"/>
        <v>0</v>
      </c>
      <c r="AM97" s="772">
        <f>AM99+AM102+AM108+AM109+AM112+AM113+AM114</f>
        <v>0</v>
      </c>
      <c r="AN97" s="610"/>
      <c r="AO97" s="659">
        <v>36</v>
      </c>
      <c r="AP97" s="660" t="s">
        <v>533</v>
      </c>
      <c r="AQ97" s="662">
        <f>AQ99+AQ102+AQ108+AQ109+AQ112+AQ113+AQ114+AQ98</f>
        <v>2738</v>
      </c>
      <c r="AR97" s="662">
        <f t="shared" ref="AR97:BW97" si="156">AR99+AR102+AR108+AR109+AR112+AR113+AR114+AR98</f>
        <v>2617</v>
      </c>
      <c r="AS97" s="662">
        <f t="shared" si="156"/>
        <v>0</v>
      </c>
      <c r="AT97" s="662">
        <f t="shared" si="156"/>
        <v>2617</v>
      </c>
      <c r="AU97" s="662">
        <f t="shared" si="156"/>
        <v>0</v>
      </c>
      <c r="AV97" s="662">
        <f t="shared" si="156"/>
        <v>2496</v>
      </c>
      <c r="AW97" s="662">
        <f t="shared" si="156"/>
        <v>121</v>
      </c>
      <c r="AX97" s="662">
        <f t="shared" si="156"/>
        <v>111</v>
      </c>
      <c r="AY97" s="662">
        <f t="shared" si="156"/>
        <v>76251</v>
      </c>
      <c r="AZ97" s="665">
        <f t="shared" si="156"/>
        <v>52499</v>
      </c>
      <c r="BA97" s="662">
        <f t="shared" si="156"/>
        <v>6392</v>
      </c>
      <c r="BB97" s="662">
        <f t="shared" si="156"/>
        <v>0</v>
      </c>
      <c r="BC97" s="662">
        <f t="shared" si="156"/>
        <v>0</v>
      </c>
      <c r="BD97" s="662">
        <f t="shared" si="156"/>
        <v>0</v>
      </c>
      <c r="BE97" s="662">
        <f t="shared" si="156"/>
        <v>639.20000000000005</v>
      </c>
      <c r="BF97" s="663">
        <f t="shared" si="156"/>
        <v>639</v>
      </c>
      <c r="BG97" s="662">
        <f t="shared" si="156"/>
        <v>58252</v>
      </c>
      <c r="BH97" s="662">
        <f t="shared" si="156"/>
        <v>16724</v>
      </c>
      <c r="BI97" s="662">
        <f t="shared" si="156"/>
        <v>0</v>
      </c>
      <c r="BJ97" s="662">
        <f t="shared" si="156"/>
        <v>0</v>
      </c>
      <c r="BK97" s="662">
        <f t="shared" si="156"/>
        <v>0</v>
      </c>
      <c r="BL97" s="662">
        <f t="shared" si="156"/>
        <v>0</v>
      </c>
      <c r="BM97" s="663">
        <f t="shared" si="156"/>
        <v>0</v>
      </c>
      <c r="BN97" s="662">
        <f t="shared" si="156"/>
        <v>16724</v>
      </c>
      <c r="BO97" s="662">
        <f t="shared" si="156"/>
        <v>1275</v>
      </c>
      <c r="BP97" s="662">
        <f t="shared" si="156"/>
        <v>0</v>
      </c>
      <c r="BQ97" s="662">
        <f t="shared" si="156"/>
        <v>638785</v>
      </c>
      <c r="BR97" s="662">
        <f t="shared" si="156"/>
        <v>0</v>
      </c>
      <c r="BS97" s="662">
        <f t="shared" si="156"/>
        <v>0</v>
      </c>
      <c r="BT97" s="662">
        <f t="shared" si="156"/>
        <v>0</v>
      </c>
      <c r="BU97" s="662">
        <f t="shared" si="156"/>
        <v>0</v>
      </c>
      <c r="BV97" s="662">
        <f t="shared" si="156"/>
        <v>0</v>
      </c>
      <c r="BW97" s="662">
        <f t="shared" si="156"/>
        <v>0</v>
      </c>
      <c r="CA97" s="1352">
        <v>33</v>
      </c>
      <c r="CB97" s="1352" t="s">
        <v>533</v>
      </c>
      <c r="CC97" s="1352">
        <v>2886</v>
      </c>
      <c r="CD97" s="1352">
        <v>2765</v>
      </c>
      <c r="CE97" s="1352">
        <v>0</v>
      </c>
      <c r="CF97" s="1352">
        <v>1663</v>
      </c>
      <c r="CG97" s="1352">
        <v>0</v>
      </c>
      <c r="CH97" s="1352">
        <v>1644</v>
      </c>
      <c r="CI97" s="1352">
        <v>63</v>
      </c>
      <c r="CJ97" s="1352">
        <v>63</v>
      </c>
      <c r="CK97" s="1353">
        <v>85642</v>
      </c>
      <c r="CL97" s="1353">
        <v>59217</v>
      </c>
      <c r="CM97" s="1354">
        <v>10052</v>
      </c>
      <c r="CN97" s="1354">
        <v>0</v>
      </c>
      <c r="CO97" s="1354">
        <v>0</v>
      </c>
      <c r="CP97" s="1354">
        <v>0</v>
      </c>
      <c r="CQ97" s="1354">
        <v>387.8</v>
      </c>
      <c r="CR97" s="1354">
        <v>517</v>
      </c>
      <c r="CS97" s="1354">
        <v>905</v>
      </c>
      <c r="CT97" s="1353">
        <v>68364</v>
      </c>
      <c r="CU97" s="1353">
        <v>17278</v>
      </c>
      <c r="CV97" s="1353">
        <v>0</v>
      </c>
      <c r="CW97" s="1353">
        <v>0</v>
      </c>
      <c r="CX97" s="1353">
        <v>0</v>
      </c>
      <c r="CY97" s="1353">
        <v>0</v>
      </c>
      <c r="CZ97" s="1353">
        <v>0</v>
      </c>
      <c r="DA97" s="1353"/>
      <c r="DB97" s="1353">
        <v>17278</v>
      </c>
      <c r="DC97" s="1353"/>
      <c r="DD97" s="1353">
        <v>0</v>
      </c>
      <c r="DE97" s="1353">
        <v>0</v>
      </c>
      <c r="DF97" s="1353">
        <v>0</v>
      </c>
      <c r="DG97" s="1353">
        <v>0</v>
      </c>
      <c r="DH97" s="1353">
        <v>0</v>
      </c>
      <c r="DI97" s="1353">
        <v>0</v>
      </c>
      <c r="DJ97" s="1353">
        <v>0</v>
      </c>
      <c r="DK97" s="1353">
        <v>0</v>
      </c>
      <c r="DT97" s="659">
        <v>33</v>
      </c>
      <c r="DU97" s="660" t="s">
        <v>533</v>
      </c>
      <c r="DV97" s="777">
        <f>DV98+DV99+DV102+DV108+DV109+DV112+DV113+DV114</f>
        <v>5658</v>
      </c>
      <c r="DW97" s="777">
        <f t="shared" ref="DW97:EV97" si="157">DW98+DW99+DW102+DW108+DW109+DW112+DW113+DW114</f>
        <v>5658</v>
      </c>
      <c r="DX97" s="777">
        <f t="shared" si="157"/>
        <v>0</v>
      </c>
      <c r="DY97" s="777">
        <f t="shared" si="157"/>
        <v>0</v>
      </c>
      <c r="DZ97" s="777">
        <f t="shared" si="157"/>
        <v>0</v>
      </c>
      <c r="EA97" s="777">
        <f t="shared" si="157"/>
        <v>0</v>
      </c>
      <c r="EB97" s="777">
        <f t="shared" si="157"/>
        <v>0</v>
      </c>
      <c r="EC97" s="777">
        <f t="shared" si="157"/>
        <v>0</v>
      </c>
      <c r="ED97" s="777">
        <f t="shared" si="157"/>
        <v>0</v>
      </c>
      <c r="EE97" s="777">
        <f t="shared" si="157"/>
        <v>5658</v>
      </c>
      <c r="EF97" s="777">
        <f t="shared" si="157"/>
        <v>0</v>
      </c>
      <c r="EG97" s="777">
        <f t="shared" si="157"/>
        <v>0</v>
      </c>
      <c r="EH97" s="777">
        <f t="shared" si="157"/>
        <v>0</v>
      </c>
      <c r="EI97" s="777">
        <f t="shared" si="157"/>
        <v>0</v>
      </c>
      <c r="EJ97" s="777">
        <f t="shared" si="157"/>
        <v>0</v>
      </c>
      <c r="EK97" s="777">
        <f t="shared" si="157"/>
        <v>0</v>
      </c>
      <c r="EL97" s="777">
        <f t="shared" si="157"/>
        <v>0</v>
      </c>
      <c r="EM97" s="777">
        <f t="shared" si="157"/>
        <v>0</v>
      </c>
      <c r="EN97" s="777">
        <f t="shared" si="157"/>
        <v>0</v>
      </c>
      <c r="EO97" s="777">
        <f t="shared" si="157"/>
        <v>0</v>
      </c>
      <c r="EP97" s="777">
        <f t="shared" si="157"/>
        <v>0</v>
      </c>
      <c r="EQ97" s="777">
        <f t="shared" si="157"/>
        <v>0</v>
      </c>
      <c r="ER97" s="777">
        <f t="shared" si="157"/>
        <v>0</v>
      </c>
      <c r="ES97" s="777">
        <f t="shared" si="157"/>
        <v>0</v>
      </c>
      <c r="ET97" s="777">
        <f t="shared" si="157"/>
        <v>0</v>
      </c>
      <c r="EU97" s="777">
        <f t="shared" si="157"/>
        <v>0</v>
      </c>
      <c r="EV97" s="777">
        <f t="shared" si="157"/>
        <v>0</v>
      </c>
    </row>
    <row r="98" spans="1:153" ht="24" hidden="1" customHeight="1">
      <c r="A98" s="659"/>
      <c r="B98" s="660" t="s">
        <v>534</v>
      </c>
      <c r="C98" s="661">
        <f>D98+I98</f>
        <v>0</v>
      </c>
      <c r="D98" s="661">
        <f>E98+F98</f>
        <v>0</v>
      </c>
      <c r="E98" s="661"/>
      <c r="F98" s="661"/>
      <c r="G98" s="661"/>
      <c r="H98" s="661"/>
      <c r="I98" s="661"/>
      <c r="J98" s="661"/>
      <c r="K98" s="646">
        <f t="shared" si="117"/>
        <v>0</v>
      </c>
      <c r="L98" s="662">
        <f>U98+AC98+AD98+AE98</f>
        <v>0</v>
      </c>
      <c r="M98" s="662"/>
      <c r="N98" s="662"/>
      <c r="O98" s="662"/>
      <c r="P98" s="662"/>
      <c r="Q98" s="662"/>
      <c r="R98" s="666">
        <f t="shared" ref="R98:R113" si="158">((N98+O98)-(BA98+BB98))*10%</f>
        <v>0</v>
      </c>
      <c r="S98" s="666"/>
      <c r="T98" s="666"/>
      <c r="U98" s="666">
        <f t="shared" ref="U98:U114" si="159">(M98+N98+O98+P98)-T98</f>
        <v>0</v>
      </c>
      <c r="V98" s="662"/>
      <c r="W98" s="662"/>
      <c r="X98" s="662"/>
      <c r="Y98" s="666">
        <f t="shared" ref="Y98:Y120" si="160">Z98-BM98</f>
        <v>0</v>
      </c>
      <c r="Z98" s="666">
        <f t="shared" si="145"/>
        <v>0</v>
      </c>
      <c r="AA98" s="666"/>
      <c r="AB98" s="666">
        <f t="shared" ref="AB98:AB114" si="161">ROUND((Y98+AA98+X98),0)</f>
        <v>0</v>
      </c>
      <c r="AC98" s="666">
        <f t="shared" ref="AC98:AC120" si="162">(V98+W98)-AB98</f>
        <v>0</v>
      </c>
      <c r="AD98" s="662"/>
      <c r="AE98" s="662"/>
      <c r="AF98" s="662"/>
      <c r="AG98" s="662"/>
      <c r="AH98" s="662"/>
      <c r="AI98" s="662"/>
      <c r="AJ98" s="662"/>
      <c r="AK98" s="662"/>
      <c r="AL98" s="664"/>
      <c r="AM98" s="781"/>
      <c r="AN98" s="610"/>
      <c r="AO98" s="659"/>
      <c r="AP98" s="660" t="s">
        <v>534</v>
      </c>
      <c r="AQ98" s="661">
        <f>AR98+AW98</f>
        <v>565</v>
      </c>
      <c r="AR98" s="661">
        <f>AS98+AT98</f>
        <v>535</v>
      </c>
      <c r="AS98" s="661"/>
      <c r="AT98" s="661">
        <v>535</v>
      </c>
      <c r="AU98" s="661"/>
      <c r="AV98" s="661">
        <v>535</v>
      </c>
      <c r="AW98" s="661">
        <v>30</v>
      </c>
      <c r="AX98" s="661">
        <v>30</v>
      </c>
      <c r="AY98" s="662">
        <f>BG98+BN98+BO98+BP98</f>
        <v>1275</v>
      </c>
      <c r="AZ98" s="665"/>
      <c r="BA98" s="662"/>
      <c r="BB98" s="662"/>
      <c r="BC98" s="662"/>
      <c r="BD98" s="662"/>
      <c r="BE98" s="666">
        <f>(BA98+BB98)*10%</f>
        <v>0</v>
      </c>
      <c r="BF98" s="667">
        <f>ROUND(BE98,0)</f>
        <v>0</v>
      </c>
      <c r="BG98" s="666">
        <f>(AZ98+BA98+BB98+BC98)-BF98</f>
        <v>0</v>
      </c>
      <c r="BH98" s="662"/>
      <c r="BI98" s="662"/>
      <c r="BJ98" s="662">
        <f>8600-8600</f>
        <v>0</v>
      </c>
      <c r="BK98" s="662"/>
      <c r="BL98" s="666">
        <f>BH98*10%</f>
        <v>0</v>
      </c>
      <c r="BM98" s="667">
        <f>ROUND(BL98,0)</f>
        <v>0</v>
      </c>
      <c r="BN98" s="666">
        <f>(BH98+BI98+BJ98)-BM98</f>
        <v>0</v>
      </c>
      <c r="BO98" s="662">
        <v>1275</v>
      </c>
      <c r="BP98" s="662"/>
      <c r="BQ98" s="662">
        <f>291008-261</f>
        <v>290747</v>
      </c>
      <c r="BR98" s="662"/>
      <c r="BS98" s="662"/>
      <c r="BT98" s="662"/>
      <c r="BU98" s="662"/>
      <c r="BV98" s="662"/>
      <c r="BW98" s="662"/>
      <c r="CA98" s="1352"/>
      <c r="CB98" s="1352" t="s">
        <v>534</v>
      </c>
      <c r="CC98" s="1352">
        <v>554</v>
      </c>
      <c r="CD98" s="1352">
        <v>527</v>
      </c>
      <c r="CE98" s="1352"/>
      <c r="CF98" s="1352">
        <v>527</v>
      </c>
      <c r="CG98" s="1352"/>
      <c r="CH98" s="1352">
        <v>527</v>
      </c>
      <c r="CI98" s="1352">
        <v>27</v>
      </c>
      <c r="CJ98" s="1352">
        <v>27</v>
      </c>
      <c r="CK98" s="1353">
        <v>0</v>
      </c>
      <c r="CL98" s="1353"/>
      <c r="CM98" s="1354"/>
      <c r="CN98" s="1354"/>
      <c r="CO98" s="1354"/>
      <c r="CP98" s="1354"/>
      <c r="CQ98" s="1354">
        <v>0</v>
      </c>
      <c r="CR98" s="1354"/>
      <c r="CS98" s="1354"/>
      <c r="CT98" s="1353">
        <v>0</v>
      </c>
      <c r="CU98" s="1353"/>
      <c r="CV98" s="1353"/>
      <c r="CW98" s="1353"/>
      <c r="CX98" s="1353">
        <v>0</v>
      </c>
      <c r="CY98" s="1353">
        <v>0</v>
      </c>
      <c r="CZ98" s="1353"/>
      <c r="DA98" s="1353">
        <v>0</v>
      </c>
      <c r="DB98" s="1353">
        <v>0</v>
      </c>
      <c r="DC98" s="1353"/>
      <c r="DD98" s="1353"/>
      <c r="DE98" s="1353"/>
      <c r="DF98" s="1353"/>
      <c r="DG98" s="1353"/>
      <c r="DH98" s="1353"/>
      <c r="DI98" s="1353"/>
      <c r="DJ98" s="1353"/>
      <c r="DK98" s="1353"/>
      <c r="DT98" s="659"/>
      <c r="DU98" s="660" t="s">
        <v>534</v>
      </c>
      <c r="DV98" s="777">
        <f t="shared" ref="DV98:EV98" si="163">L98-CK98</f>
        <v>0</v>
      </c>
      <c r="DW98" s="777">
        <f t="shared" si="163"/>
        <v>0</v>
      </c>
      <c r="DX98" s="777">
        <f t="shared" si="163"/>
        <v>0</v>
      </c>
      <c r="DY98" s="777">
        <f t="shared" si="163"/>
        <v>0</v>
      </c>
      <c r="DZ98" s="777">
        <f t="shared" si="163"/>
        <v>0</v>
      </c>
      <c r="EA98" s="777">
        <f t="shared" si="163"/>
        <v>0</v>
      </c>
      <c r="EB98" s="777">
        <f t="shared" si="163"/>
        <v>0</v>
      </c>
      <c r="EC98" s="777">
        <f t="shared" si="163"/>
        <v>0</v>
      </c>
      <c r="ED98" s="777">
        <f t="shared" si="163"/>
        <v>0</v>
      </c>
      <c r="EE98" s="777">
        <f t="shared" si="163"/>
        <v>0</v>
      </c>
      <c r="EF98" s="777">
        <f t="shared" si="163"/>
        <v>0</v>
      </c>
      <c r="EG98" s="777">
        <f t="shared" si="163"/>
        <v>0</v>
      </c>
      <c r="EH98" s="777">
        <f t="shared" si="163"/>
        <v>0</v>
      </c>
      <c r="EI98" s="777">
        <f t="shared" si="163"/>
        <v>0</v>
      </c>
      <c r="EJ98" s="777">
        <f t="shared" si="163"/>
        <v>0</v>
      </c>
      <c r="EK98" s="777">
        <f t="shared" si="163"/>
        <v>0</v>
      </c>
      <c r="EL98" s="777">
        <f t="shared" si="163"/>
        <v>0</v>
      </c>
      <c r="EM98" s="777">
        <f t="shared" si="163"/>
        <v>0</v>
      </c>
      <c r="EN98" s="777">
        <f t="shared" si="163"/>
        <v>0</v>
      </c>
      <c r="EO98" s="777">
        <f t="shared" si="163"/>
        <v>0</v>
      </c>
      <c r="EP98" s="777">
        <f t="shared" si="163"/>
        <v>0</v>
      </c>
      <c r="EQ98" s="777">
        <f t="shared" si="163"/>
        <v>0</v>
      </c>
      <c r="ER98" s="777">
        <f t="shared" si="163"/>
        <v>0</v>
      </c>
      <c r="ES98" s="777">
        <f t="shared" si="163"/>
        <v>0</v>
      </c>
      <c r="ET98" s="777">
        <f t="shared" si="163"/>
        <v>0</v>
      </c>
      <c r="EU98" s="777">
        <f t="shared" si="163"/>
        <v>0</v>
      </c>
      <c r="EV98" s="777">
        <f t="shared" si="163"/>
        <v>0</v>
      </c>
    </row>
    <row r="99" spans="1:153" ht="43.5" hidden="1" customHeight="1">
      <c r="A99" s="659"/>
      <c r="B99" s="660" t="s">
        <v>535</v>
      </c>
      <c r="C99" s="661">
        <f>C100+C101</f>
        <v>160</v>
      </c>
      <c r="D99" s="661">
        <f>D100+D101</f>
        <v>160</v>
      </c>
      <c r="E99" s="661">
        <f t="shared" ref="E99:P99" si="164">E100+E101</f>
        <v>0</v>
      </c>
      <c r="F99" s="661">
        <f t="shared" si="164"/>
        <v>160</v>
      </c>
      <c r="G99" s="661">
        <f t="shared" si="164"/>
        <v>0</v>
      </c>
      <c r="H99" s="661">
        <f t="shared" si="164"/>
        <v>0</v>
      </c>
      <c r="I99" s="661">
        <f t="shared" si="164"/>
        <v>0</v>
      </c>
      <c r="J99" s="661">
        <f t="shared" si="164"/>
        <v>0</v>
      </c>
      <c r="K99" s="646">
        <f t="shared" si="117"/>
        <v>1500</v>
      </c>
      <c r="L99" s="662">
        <f t="shared" si="164"/>
        <v>1500</v>
      </c>
      <c r="M99" s="661">
        <f t="shared" si="164"/>
        <v>1500</v>
      </c>
      <c r="N99" s="661">
        <f t="shared" si="164"/>
        <v>0</v>
      </c>
      <c r="O99" s="661">
        <f t="shared" si="164"/>
        <v>0</v>
      </c>
      <c r="P99" s="661">
        <f t="shared" si="164"/>
        <v>0</v>
      </c>
      <c r="Q99" s="662">
        <f>Q100+Q101</f>
        <v>0</v>
      </c>
      <c r="R99" s="666">
        <f t="shared" si="158"/>
        <v>0</v>
      </c>
      <c r="S99" s="662">
        <f>S100+S101</f>
        <v>0</v>
      </c>
      <c r="T99" s="666">
        <f t="shared" ref="T99:T120" si="165">ROUND((Q99+R99+S99),0)</f>
        <v>0</v>
      </c>
      <c r="U99" s="666">
        <f t="shared" si="159"/>
        <v>1500</v>
      </c>
      <c r="V99" s="662"/>
      <c r="W99" s="662"/>
      <c r="X99" s="662"/>
      <c r="Y99" s="666">
        <f t="shared" si="160"/>
        <v>0</v>
      </c>
      <c r="Z99" s="666">
        <f t="shared" si="145"/>
        <v>0</v>
      </c>
      <c r="AA99" s="662"/>
      <c r="AB99" s="666">
        <f t="shared" si="161"/>
        <v>0</v>
      </c>
      <c r="AC99" s="666">
        <f t="shared" si="162"/>
        <v>0</v>
      </c>
      <c r="AD99" s="662">
        <f>AD100+AD101</f>
        <v>0</v>
      </c>
      <c r="AE99" s="662">
        <f>AE100+AE101</f>
        <v>0</v>
      </c>
      <c r="AF99" s="662"/>
      <c r="AG99" s="662"/>
      <c r="AH99" s="662"/>
      <c r="AI99" s="662"/>
      <c r="AJ99" s="662"/>
      <c r="AK99" s="662"/>
      <c r="AL99" s="664"/>
      <c r="AN99" s="610"/>
      <c r="AO99" s="659"/>
      <c r="AP99" s="660" t="s">
        <v>535</v>
      </c>
      <c r="AQ99" s="661">
        <f>AQ100+AQ101</f>
        <v>361</v>
      </c>
      <c r="AR99" s="661">
        <f t="shared" ref="AR99:AX99" si="166">AR100+AR101</f>
        <v>341</v>
      </c>
      <c r="AS99" s="661">
        <f t="shared" si="166"/>
        <v>0</v>
      </c>
      <c r="AT99" s="661">
        <f t="shared" si="166"/>
        <v>341</v>
      </c>
      <c r="AU99" s="661">
        <f t="shared" si="166"/>
        <v>0</v>
      </c>
      <c r="AV99" s="661">
        <f t="shared" si="166"/>
        <v>325</v>
      </c>
      <c r="AW99" s="661">
        <f t="shared" si="166"/>
        <v>20</v>
      </c>
      <c r="AX99" s="661">
        <f t="shared" si="166"/>
        <v>10</v>
      </c>
      <c r="AY99" s="662">
        <f>AY100+AY101</f>
        <v>4000</v>
      </c>
      <c r="AZ99" s="665">
        <f t="shared" ref="AZ99:BP99" si="167">AZ100+AZ101</f>
        <v>4000</v>
      </c>
      <c r="BA99" s="662">
        <f t="shared" si="167"/>
        <v>0</v>
      </c>
      <c r="BB99" s="662">
        <f t="shared" si="167"/>
        <v>0</v>
      </c>
      <c r="BC99" s="662">
        <f t="shared" si="167"/>
        <v>0</v>
      </c>
      <c r="BD99" s="662">
        <f t="shared" si="167"/>
        <v>0</v>
      </c>
      <c r="BE99" s="662">
        <f t="shared" si="167"/>
        <v>0</v>
      </c>
      <c r="BF99" s="663">
        <f t="shared" si="167"/>
        <v>0</v>
      </c>
      <c r="BG99" s="662">
        <f t="shared" si="167"/>
        <v>4000</v>
      </c>
      <c r="BH99" s="662">
        <f t="shared" si="167"/>
        <v>0</v>
      </c>
      <c r="BI99" s="662">
        <f t="shared" si="167"/>
        <v>0</v>
      </c>
      <c r="BJ99" s="662">
        <f t="shared" si="167"/>
        <v>0</v>
      </c>
      <c r="BK99" s="662">
        <f t="shared" si="167"/>
        <v>0</v>
      </c>
      <c r="BL99" s="662">
        <f t="shared" si="167"/>
        <v>0</v>
      </c>
      <c r="BM99" s="663"/>
      <c r="BN99" s="662">
        <f t="shared" si="167"/>
        <v>0</v>
      </c>
      <c r="BO99" s="662">
        <f t="shared" si="167"/>
        <v>0</v>
      </c>
      <c r="BP99" s="662">
        <f t="shared" si="167"/>
        <v>0</v>
      </c>
      <c r="BQ99" s="662">
        <f>(61037+35049)-(74+42)</f>
        <v>95970</v>
      </c>
      <c r="BR99" s="662"/>
      <c r="BS99" s="662"/>
      <c r="BT99" s="662"/>
      <c r="BU99" s="662"/>
      <c r="BV99" s="662"/>
      <c r="BW99" s="662"/>
      <c r="CA99" s="1352"/>
      <c r="CB99" s="1352" t="s">
        <v>535</v>
      </c>
      <c r="CC99" s="1352">
        <v>347</v>
      </c>
      <c r="CD99" s="1352">
        <v>330</v>
      </c>
      <c r="CE99" s="1352"/>
      <c r="CF99" s="1352"/>
      <c r="CG99" s="1352"/>
      <c r="CH99" s="1352"/>
      <c r="CI99" s="1352"/>
      <c r="CJ99" s="1352"/>
      <c r="CK99" s="1353">
        <v>0</v>
      </c>
      <c r="CL99" s="1353">
        <v>0</v>
      </c>
      <c r="CM99" s="1354">
        <v>0</v>
      </c>
      <c r="CN99" s="1354">
        <v>0</v>
      </c>
      <c r="CO99" s="1354">
        <v>0</v>
      </c>
      <c r="CP99" s="1354">
        <v>0</v>
      </c>
      <c r="CQ99" s="1354">
        <v>0</v>
      </c>
      <c r="CR99" s="1354">
        <v>0</v>
      </c>
      <c r="CS99" s="1354">
        <v>0</v>
      </c>
      <c r="CT99" s="1353">
        <v>0</v>
      </c>
      <c r="CU99" s="1353"/>
      <c r="CV99" s="1353"/>
      <c r="CW99" s="1353"/>
      <c r="CX99" s="1353">
        <v>0</v>
      </c>
      <c r="CY99" s="1353">
        <v>0</v>
      </c>
      <c r="CZ99" s="1353"/>
      <c r="DA99" s="1353">
        <v>0</v>
      </c>
      <c r="DB99" s="1353">
        <v>0</v>
      </c>
      <c r="DC99" s="1353">
        <v>0</v>
      </c>
      <c r="DD99" s="1353">
        <v>0</v>
      </c>
      <c r="DE99" s="1353"/>
      <c r="DF99" s="1353"/>
      <c r="DG99" s="1353"/>
      <c r="DH99" s="1353"/>
      <c r="DI99" s="1353"/>
      <c r="DJ99" s="1353"/>
      <c r="DK99" s="1353"/>
      <c r="DT99" s="659"/>
      <c r="DU99" s="660" t="s">
        <v>535</v>
      </c>
      <c r="DV99" s="775"/>
      <c r="DW99" s="775"/>
      <c r="DX99" s="775"/>
      <c r="DY99" s="775"/>
      <c r="DZ99" s="775"/>
      <c r="EA99" s="775"/>
      <c r="EB99" s="775"/>
      <c r="EC99" s="775"/>
      <c r="ED99" s="775"/>
      <c r="EE99" s="775"/>
      <c r="EF99" s="775"/>
      <c r="EG99" s="775"/>
      <c r="EH99" s="775"/>
      <c r="EI99" s="775"/>
      <c r="EJ99" s="775"/>
      <c r="EK99" s="775"/>
      <c r="EL99" s="775"/>
      <c r="EM99" s="775"/>
      <c r="EN99" s="775"/>
      <c r="EO99" s="775"/>
      <c r="EP99" s="775"/>
      <c r="EQ99" s="775"/>
      <c r="ER99" s="775"/>
      <c r="ES99" s="775"/>
      <c r="ET99" s="775"/>
      <c r="EU99" s="775"/>
      <c r="EV99" s="775"/>
    </row>
    <row r="100" spans="1:153" ht="43.5" hidden="1" customHeight="1">
      <c r="A100" s="694"/>
      <c r="B100" s="695" t="s">
        <v>536</v>
      </c>
      <c r="C100" s="696">
        <f>D100+I100</f>
        <v>160</v>
      </c>
      <c r="D100" s="696">
        <f>E100+F100</f>
        <v>160</v>
      </c>
      <c r="E100" s="696"/>
      <c r="F100" s="696">
        <v>160</v>
      </c>
      <c r="G100" s="696"/>
      <c r="H100" s="696">
        <f>154-154</f>
        <v>0</v>
      </c>
      <c r="I100" s="696">
        <f>8-8</f>
        <v>0</v>
      </c>
      <c r="J100" s="696">
        <f>8-8</f>
        <v>0</v>
      </c>
      <c r="K100" s="646">
        <f t="shared" si="117"/>
        <v>1500</v>
      </c>
      <c r="L100" s="662">
        <f>U100+AC100+AD100+AE100</f>
        <v>1500</v>
      </c>
      <c r="M100" s="662">
        <v>1500</v>
      </c>
      <c r="N100" s="662"/>
      <c r="O100" s="662"/>
      <c r="P100" s="662"/>
      <c r="Q100" s="662"/>
      <c r="R100" s="666">
        <f t="shared" si="158"/>
        <v>0</v>
      </c>
      <c r="S100" s="666"/>
      <c r="T100" s="666">
        <f t="shared" si="165"/>
        <v>0</v>
      </c>
      <c r="U100" s="666">
        <f t="shared" si="159"/>
        <v>1500</v>
      </c>
      <c r="V100" s="662"/>
      <c r="W100" s="662"/>
      <c r="X100" s="662"/>
      <c r="Y100" s="666">
        <f t="shared" si="160"/>
        <v>0</v>
      </c>
      <c r="Z100" s="666">
        <f t="shared" si="145"/>
        <v>0</v>
      </c>
      <c r="AA100" s="666"/>
      <c r="AB100" s="666">
        <f t="shared" si="161"/>
        <v>0</v>
      </c>
      <c r="AC100" s="666">
        <f t="shared" si="162"/>
        <v>0</v>
      </c>
      <c r="AD100" s="662"/>
      <c r="AE100" s="662"/>
      <c r="AF100" s="662"/>
      <c r="AG100" s="662"/>
      <c r="AH100" s="662"/>
      <c r="AI100" s="662"/>
      <c r="AJ100" s="662"/>
      <c r="AK100" s="662"/>
      <c r="AL100" s="664"/>
      <c r="AN100" s="610"/>
      <c r="AO100" s="659"/>
      <c r="AP100" s="660" t="s">
        <v>536</v>
      </c>
      <c r="AQ100" s="661">
        <f>AR100+AW100</f>
        <v>180</v>
      </c>
      <c r="AR100" s="661">
        <f>AS100+AT100</f>
        <v>170</v>
      </c>
      <c r="AS100" s="661"/>
      <c r="AT100" s="661">
        <v>170</v>
      </c>
      <c r="AU100" s="661"/>
      <c r="AV100" s="661">
        <v>161</v>
      </c>
      <c r="AW100" s="661">
        <v>10</v>
      </c>
      <c r="AX100" s="661">
        <v>10</v>
      </c>
      <c r="AY100" s="662">
        <f>BG100+BN100+BO100+BP100</f>
        <v>4000</v>
      </c>
      <c r="AZ100" s="665">
        <v>4000</v>
      </c>
      <c r="BA100" s="662"/>
      <c r="BB100" s="662"/>
      <c r="BC100" s="662"/>
      <c r="BD100" s="662"/>
      <c r="BE100" s="666">
        <f>(BA100+BB100)*10%</f>
        <v>0</v>
      </c>
      <c r="BF100" s="667">
        <f>ROUND(BE100,0)</f>
        <v>0</v>
      </c>
      <c r="BG100" s="666">
        <f>(AZ100+BA100+BB100+BC100)-BF100</f>
        <v>4000</v>
      </c>
      <c r="BH100" s="662"/>
      <c r="BI100" s="662"/>
      <c r="BJ100" s="662"/>
      <c r="BK100" s="662"/>
      <c r="BL100" s="666">
        <f>BH100*10%</f>
        <v>0</v>
      </c>
      <c r="BM100" s="667">
        <f>ROUND(BL100,0)</f>
        <v>0</v>
      </c>
      <c r="BN100" s="666">
        <f>(BH100+BI100+BJ100)-BM100</f>
        <v>0</v>
      </c>
      <c r="BO100" s="662"/>
      <c r="BP100" s="662"/>
      <c r="BQ100" s="662"/>
      <c r="BR100" s="662"/>
      <c r="BS100" s="662"/>
      <c r="BT100" s="662"/>
      <c r="BU100" s="662"/>
      <c r="BV100" s="662"/>
      <c r="BW100" s="662"/>
      <c r="CA100" s="1352"/>
      <c r="CB100" s="1352" t="s">
        <v>536</v>
      </c>
      <c r="CC100" s="1352">
        <v>168</v>
      </c>
      <c r="CD100" s="1352">
        <v>160</v>
      </c>
      <c r="CE100" s="1352"/>
      <c r="CF100" s="1352">
        <v>160</v>
      </c>
      <c r="CG100" s="1352"/>
      <c r="CH100" s="1352">
        <v>154</v>
      </c>
      <c r="CI100" s="1352">
        <v>8</v>
      </c>
      <c r="CJ100" s="1352">
        <v>8</v>
      </c>
      <c r="CK100" s="1353">
        <v>0</v>
      </c>
      <c r="CL100" s="1353"/>
      <c r="CM100" s="1354"/>
      <c r="CN100" s="1354"/>
      <c r="CO100" s="1354"/>
      <c r="CP100" s="1354"/>
      <c r="CQ100" s="1354">
        <v>0</v>
      </c>
      <c r="CR100" s="1354"/>
      <c r="CS100" s="1354">
        <v>0</v>
      </c>
      <c r="CT100" s="1353">
        <v>0</v>
      </c>
      <c r="CU100" s="1353"/>
      <c r="CV100" s="1353"/>
      <c r="CW100" s="1353"/>
      <c r="CX100" s="1353">
        <v>0</v>
      </c>
      <c r="CY100" s="1353">
        <v>0</v>
      </c>
      <c r="CZ100" s="1353"/>
      <c r="DA100" s="1353">
        <v>0</v>
      </c>
      <c r="DB100" s="1353">
        <v>0</v>
      </c>
      <c r="DC100" s="1353"/>
      <c r="DD100" s="1353"/>
      <c r="DE100" s="1353"/>
      <c r="DF100" s="1353"/>
      <c r="DG100" s="1353"/>
      <c r="DH100" s="1353"/>
      <c r="DI100" s="1353"/>
      <c r="DJ100" s="1353"/>
      <c r="DK100" s="1353"/>
      <c r="DT100" s="659"/>
      <c r="DU100" s="660" t="s">
        <v>536</v>
      </c>
      <c r="DV100" s="777">
        <f t="shared" ref="DV100:EK101" si="168">L100-CK100</f>
        <v>1500</v>
      </c>
      <c r="DW100" s="777">
        <f t="shared" si="168"/>
        <v>1500</v>
      </c>
      <c r="DX100" s="777">
        <f t="shared" si="168"/>
        <v>0</v>
      </c>
      <c r="DY100" s="777">
        <f t="shared" si="168"/>
        <v>0</v>
      </c>
      <c r="DZ100" s="777">
        <f t="shared" si="168"/>
        <v>0</v>
      </c>
      <c r="EA100" s="777">
        <f t="shared" si="168"/>
        <v>0</v>
      </c>
      <c r="EB100" s="777">
        <f t="shared" si="168"/>
        <v>0</v>
      </c>
      <c r="EC100" s="777">
        <f t="shared" si="168"/>
        <v>0</v>
      </c>
      <c r="ED100" s="777">
        <f t="shared" si="168"/>
        <v>0</v>
      </c>
      <c r="EE100" s="777">
        <f t="shared" si="168"/>
        <v>1500</v>
      </c>
      <c r="EF100" s="777">
        <f t="shared" si="168"/>
        <v>0</v>
      </c>
      <c r="EG100" s="777">
        <f t="shared" si="168"/>
        <v>0</v>
      </c>
      <c r="EH100" s="777">
        <f t="shared" si="168"/>
        <v>0</v>
      </c>
      <c r="EI100" s="777">
        <f t="shared" si="168"/>
        <v>0</v>
      </c>
      <c r="EJ100" s="777">
        <f t="shared" si="168"/>
        <v>0</v>
      </c>
      <c r="EK100" s="777">
        <f t="shared" si="168"/>
        <v>0</v>
      </c>
      <c r="EL100" s="777">
        <f t="shared" ref="EL100:EV101" si="169">AB100-DA100</f>
        <v>0</v>
      </c>
      <c r="EM100" s="777">
        <f t="shared" si="169"/>
        <v>0</v>
      </c>
      <c r="EN100" s="777">
        <f t="shared" si="169"/>
        <v>0</v>
      </c>
      <c r="EO100" s="777">
        <f t="shared" si="169"/>
        <v>0</v>
      </c>
      <c r="EP100" s="777">
        <f t="shared" si="169"/>
        <v>0</v>
      </c>
      <c r="EQ100" s="777">
        <f t="shared" si="169"/>
        <v>0</v>
      </c>
      <c r="ER100" s="777">
        <f t="shared" si="169"/>
        <v>0</v>
      </c>
      <c r="ES100" s="777">
        <f t="shared" si="169"/>
        <v>0</v>
      </c>
      <c r="ET100" s="777">
        <f t="shared" si="169"/>
        <v>0</v>
      </c>
      <c r="EU100" s="777">
        <f t="shared" si="169"/>
        <v>0</v>
      </c>
      <c r="EV100" s="777">
        <f t="shared" si="169"/>
        <v>0</v>
      </c>
    </row>
    <row r="101" spans="1:153" ht="43.5" hidden="1" customHeight="1">
      <c r="A101" s="659"/>
      <c r="B101" s="660" t="s">
        <v>537</v>
      </c>
      <c r="C101" s="661">
        <f>D101+I101</f>
        <v>0</v>
      </c>
      <c r="D101" s="661">
        <f>E101+F101</f>
        <v>0</v>
      </c>
      <c r="E101" s="661"/>
      <c r="F101" s="661">
        <f>170-170</f>
        <v>0</v>
      </c>
      <c r="G101" s="661"/>
      <c r="H101" s="661">
        <f>165-165</f>
        <v>0</v>
      </c>
      <c r="I101" s="661">
        <f>9-9</f>
        <v>0</v>
      </c>
      <c r="J101" s="661">
        <f>9-9</f>
        <v>0</v>
      </c>
      <c r="K101" s="646">
        <f t="shared" si="117"/>
        <v>0</v>
      </c>
      <c r="L101" s="662">
        <f>U101+AC101+AD101+AE101</f>
        <v>0</v>
      </c>
      <c r="M101" s="662"/>
      <c r="N101" s="662"/>
      <c r="O101" s="662"/>
      <c r="P101" s="662"/>
      <c r="Q101" s="662"/>
      <c r="R101" s="666">
        <f t="shared" si="158"/>
        <v>0</v>
      </c>
      <c r="S101" s="666"/>
      <c r="T101" s="666">
        <f t="shared" si="165"/>
        <v>0</v>
      </c>
      <c r="U101" s="666">
        <f t="shared" si="159"/>
        <v>0</v>
      </c>
      <c r="V101" s="662"/>
      <c r="W101" s="662"/>
      <c r="X101" s="662"/>
      <c r="Y101" s="666">
        <f t="shared" si="160"/>
        <v>0</v>
      </c>
      <c r="Z101" s="666">
        <f t="shared" si="145"/>
        <v>0</v>
      </c>
      <c r="AA101" s="666"/>
      <c r="AB101" s="666">
        <f t="shared" si="161"/>
        <v>0</v>
      </c>
      <c r="AC101" s="666">
        <f t="shared" si="162"/>
        <v>0</v>
      </c>
      <c r="AD101" s="662"/>
      <c r="AE101" s="662"/>
      <c r="AF101" s="662"/>
      <c r="AG101" s="662"/>
      <c r="AH101" s="662"/>
      <c r="AI101" s="662"/>
      <c r="AJ101" s="662"/>
      <c r="AK101" s="662"/>
      <c r="AL101" s="664"/>
      <c r="AN101" s="610"/>
      <c r="AO101" s="659"/>
      <c r="AP101" s="660" t="s">
        <v>537</v>
      </c>
      <c r="AQ101" s="661">
        <f>AR101+AW101</f>
        <v>181</v>
      </c>
      <c r="AR101" s="661">
        <f>AS101+AT101</f>
        <v>171</v>
      </c>
      <c r="AS101" s="661"/>
      <c r="AT101" s="661">
        <f>165+6</f>
        <v>171</v>
      </c>
      <c r="AU101" s="661"/>
      <c r="AV101" s="661">
        <v>164</v>
      </c>
      <c r="AW101" s="661">
        <v>10</v>
      </c>
      <c r="AX101" s="661"/>
      <c r="AY101" s="662">
        <f>BG101+BN101+BO101+BP101</f>
        <v>0</v>
      </c>
      <c r="AZ101" s="665"/>
      <c r="BA101" s="662"/>
      <c r="BB101" s="662"/>
      <c r="BC101" s="662"/>
      <c r="BD101" s="662"/>
      <c r="BE101" s="666">
        <f>(BA101+BB101)*10%</f>
        <v>0</v>
      </c>
      <c r="BF101" s="667">
        <f>ROUND(BE101,0)</f>
        <v>0</v>
      </c>
      <c r="BG101" s="666">
        <f>(AZ101+BA101+BB101+BC101)-BF101</f>
        <v>0</v>
      </c>
      <c r="BH101" s="662"/>
      <c r="BI101" s="662"/>
      <c r="BJ101" s="662"/>
      <c r="BK101" s="662"/>
      <c r="BL101" s="666">
        <f>BH101*10%</f>
        <v>0</v>
      </c>
      <c r="BM101" s="667">
        <f>ROUND(BL101,0)</f>
        <v>0</v>
      </c>
      <c r="BN101" s="666">
        <f>(BH101+BI101+BJ101)-BM101</f>
        <v>0</v>
      </c>
      <c r="BO101" s="662"/>
      <c r="BP101" s="662"/>
      <c r="BQ101" s="662"/>
      <c r="BR101" s="662"/>
      <c r="BS101" s="662"/>
      <c r="BT101" s="662"/>
      <c r="BU101" s="662"/>
      <c r="BV101" s="662"/>
      <c r="BW101" s="662"/>
      <c r="CA101" s="1352"/>
      <c r="CB101" s="1352" t="s">
        <v>537</v>
      </c>
      <c r="CC101" s="1352">
        <v>179</v>
      </c>
      <c r="CD101" s="1352">
        <v>170</v>
      </c>
      <c r="CE101" s="1352"/>
      <c r="CF101" s="1352">
        <v>170</v>
      </c>
      <c r="CG101" s="1352"/>
      <c r="CH101" s="1352">
        <v>165</v>
      </c>
      <c r="CI101" s="1352">
        <v>9</v>
      </c>
      <c r="CJ101" s="1352">
        <v>9</v>
      </c>
      <c r="CK101" s="1353">
        <v>0</v>
      </c>
      <c r="CL101" s="1353"/>
      <c r="CM101" s="1354"/>
      <c r="CN101" s="1354"/>
      <c r="CO101" s="1354"/>
      <c r="CP101" s="1354"/>
      <c r="CQ101" s="1354">
        <v>0</v>
      </c>
      <c r="CR101" s="1354"/>
      <c r="CS101" s="1354">
        <v>0</v>
      </c>
      <c r="CT101" s="1353">
        <v>0</v>
      </c>
      <c r="CU101" s="1353"/>
      <c r="CV101" s="1353"/>
      <c r="CW101" s="1353"/>
      <c r="CX101" s="1353">
        <v>0</v>
      </c>
      <c r="CY101" s="1353">
        <v>0</v>
      </c>
      <c r="CZ101" s="1353"/>
      <c r="DA101" s="1353">
        <v>0</v>
      </c>
      <c r="DB101" s="1353">
        <v>0</v>
      </c>
      <c r="DC101" s="1353"/>
      <c r="DD101" s="1353"/>
      <c r="DE101" s="1353"/>
      <c r="DF101" s="1353"/>
      <c r="DG101" s="1353"/>
      <c r="DH101" s="1353"/>
      <c r="DI101" s="1353"/>
      <c r="DJ101" s="1353"/>
      <c r="DK101" s="1353"/>
      <c r="DT101" s="659"/>
      <c r="DU101" s="660" t="s">
        <v>537</v>
      </c>
      <c r="DV101" s="777">
        <f t="shared" si="168"/>
        <v>0</v>
      </c>
      <c r="DW101" s="777">
        <f t="shared" si="168"/>
        <v>0</v>
      </c>
      <c r="DX101" s="777">
        <f t="shared" si="168"/>
        <v>0</v>
      </c>
      <c r="DY101" s="777">
        <f t="shared" si="168"/>
        <v>0</v>
      </c>
      <c r="DZ101" s="777">
        <f t="shared" si="168"/>
        <v>0</v>
      </c>
      <c r="EA101" s="777">
        <f t="shared" si="168"/>
        <v>0</v>
      </c>
      <c r="EB101" s="777">
        <f t="shared" si="168"/>
        <v>0</v>
      </c>
      <c r="EC101" s="777">
        <f t="shared" si="168"/>
        <v>0</v>
      </c>
      <c r="ED101" s="777">
        <f t="shared" si="168"/>
        <v>0</v>
      </c>
      <c r="EE101" s="777">
        <f t="shared" si="168"/>
        <v>0</v>
      </c>
      <c r="EF101" s="777">
        <f t="shared" si="168"/>
        <v>0</v>
      </c>
      <c r="EG101" s="777">
        <f t="shared" si="168"/>
        <v>0</v>
      </c>
      <c r="EH101" s="777">
        <f t="shared" si="168"/>
        <v>0</v>
      </c>
      <c r="EI101" s="777">
        <f t="shared" si="168"/>
        <v>0</v>
      </c>
      <c r="EJ101" s="777">
        <f t="shared" si="168"/>
        <v>0</v>
      </c>
      <c r="EK101" s="777">
        <f t="shared" si="168"/>
        <v>0</v>
      </c>
      <c r="EL101" s="777">
        <f t="shared" si="169"/>
        <v>0</v>
      </c>
      <c r="EM101" s="777">
        <f t="shared" si="169"/>
        <v>0</v>
      </c>
      <c r="EN101" s="777">
        <f t="shared" si="169"/>
        <v>0</v>
      </c>
      <c r="EO101" s="777">
        <f t="shared" si="169"/>
        <v>0</v>
      </c>
      <c r="EP101" s="777">
        <f t="shared" si="169"/>
        <v>0</v>
      </c>
      <c r="EQ101" s="777">
        <f t="shared" si="169"/>
        <v>0</v>
      </c>
      <c r="ER101" s="777">
        <f t="shared" si="169"/>
        <v>0</v>
      </c>
      <c r="ES101" s="777">
        <f t="shared" si="169"/>
        <v>0</v>
      </c>
      <c r="ET101" s="777">
        <f t="shared" si="169"/>
        <v>0</v>
      </c>
      <c r="EU101" s="777">
        <f t="shared" si="169"/>
        <v>0</v>
      </c>
      <c r="EV101" s="777">
        <f t="shared" si="169"/>
        <v>0</v>
      </c>
    </row>
    <row r="102" spans="1:153" ht="34.5" hidden="1" customHeight="1">
      <c r="A102" s="659"/>
      <c r="B102" s="660" t="s">
        <v>538</v>
      </c>
      <c r="C102" s="661">
        <f>C103+C104+C105+C106+C107</f>
        <v>813</v>
      </c>
      <c r="D102" s="661">
        <f>D103+D104+D105+D106+D107</f>
        <v>772</v>
      </c>
      <c r="E102" s="661">
        <f t="shared" ref="E102:J102" si="170">E103+E104+E105+E106+E107</f>
        <v>0</v>
      </c>
      <c r="F102" s="661">
        <f t="shared" si="170"/>
        <v>772</v>
      </c>
      <c r="G102" s="661">
        <f t="shared" si="170"/>
        <v>0</v>
      </c>
      <c r="H102" s="661">
        <f t="shared" si="170"/>
        <v>717</v>
      </c>
      <c r="I102" s="661">
        <f t="shared" si="170"/>
        <v>41</v>
      </c>
      <c r="J102" s="661">
        <f t="shared" si="170"/>
        <v>41</v>
      </c>
      <c r="K102" s="646">
        <f t="shared" si="117"/>
        <v>12500</v>
      </c>
      <c r="L102" s="662">
        <f t="shared" ref="L102:Q102" si="171">SUM(L103:L107)</f>
        <v>12500</v>
      </c>
      <c r="M102" s="662">
        <f>SUM(M103:M107)</f>
        <v>12500</v>
      </c>
      <c r="N102" s="662">
        <f t="shared" si="171"/>
        <v>0</v>
      </c>
      <c r="O102" s="662">
        <f t="shared" si="171"/>
        <v>0</v>
      </c>
      <c r="P102" s="662">
        <f t="shared" si="171"/>
        <v>0</v>
      </c>
      <c r="Q102" s="662">
        <f t="shared" si="171"/>
        <v>0</v>
      </c>
      <c r="R102" s="666">
        <f t="shared" si="158"/>
        <v>0</v>
      </c>
      <c r="S102" s="662"/>
      <c r="T102" s="666">
        <f t="shared" si="165"/>
        <v>0</v>
      </c>
      <c r="U102" s="666">
        <f t="shared" si="159"/>
        <v>12500</v>
      </c>
      <c r="V102" s="662"/>
      <c r="W102" s="662"/>
      <c r="X102" s="662"/>
      <c r="Y102" s="666">
        <f t="shared" si="160"/>
        <v>0</v>
      </c>
      <c r="Z102" s="666">
        <f t="shared" si="145"/>
        <v>0</v>
      </c>
      <c r="AA102" s="662"/>
      <c r="AB102" s="666">
        <f t="shared" si="161"/>
        <v>0</v>
      </c>
      <c r="AC102" s="666">
        <f t="shared" si="162"/>
        <v>0</v>
      </c>
      <c r="AD102" s="662">
        <f>SUM(AD103:AD107)</f>
        <v>0</v>
      </c>
      <c r="AE102" s="662">
        <f>SUM(AE103:AE107)</f>
        <v>0</v>
      </c>
      <c r="AF102" s="662"/>
      <c r="AG102" s="662"/>
      <c r="AH102" s="662"/>
      <c r="AI102" s="662"/>
      <c r="AJ102" s="662"/>
      <c r="AK102" s="662"/>
      <c r="AL102" s="664"/>
      <c r="AN102" s="610"/>
      <c r="AO102" s="659"/>
      <c r="AP102" s="660" t="s">
        <v>538</v>
      </c>
      <c r="AQ102" s="661">
        <f>AQ103+AQ104+AQ105+AQ106+AQ107</f>
        <v>616</v>
      </c>
      <c r="AR102" s="661">
        <f t="shared" ref="AR102:AX102" si="172">AR103+AR104+AR105+AR106+AR107</f>
        <v>583</v>
      </c>
      <c r="AS102" s="661">
        <f t="shared" si="172"/>
        <v>0</v>
      </c>
      <c r="AT102" s="661">
        <f t="shared" si="172"/>
        <v>583</v>
      </c>
      <c r="AU102" s="661">
        <f t="shared" si="172"/>
        <v>0</v>
      </c>
      <c r="AV102" s="661">
        <f t="shared" si="172"/>
        <v>537</v>
      </c>
      <c r="AW102" s="661">
        <f t="shared" si="172"/>
        <v>33</v>
      </c>
      <c r="AX102" s="661">
        <f t="shared" si="172"/>
        <v>33</v>
      </c>
      <c r="AY102" s="662">
        <f t="shared" ref="AY102:BP102" si="173">SUM(AY103:AY107)</f>
        <v>900</v>
      </c>
      <c r="AZ102" s="665">
        <f t="shared" si="173"/>
        <v>900</v>
      </c>
      <c r="BA102" s="662">
        <f t="shared" si="173"/>
        <v>0</v>
      </c>
      <c r="BB102" s="662">
        <f t="shared" si="173"/>
        <v>0</v>
      </c>
      <c r="BC102" s="662">
        <f t="shared" si="173"/>
        <v>0</v>
      </c>
      <c r="BD102" s="662">
        <f t="shared" si="173"/>
        <v>0</v>
      </c>
      <c r="BE102" s="662">
        <f t="shared" si="173"/>
        <v>0</v>
      </c>
      <c r="BF102" s="663">
        <f t="shared" si="173"/>
        <v>0</v>
      </c>
      <c r="BG102" s="662">
        <f>SUM(BG103:BG107)</f>
        <v>900</v>
      </c>
      <c r="BH102" s="662">
        <f t="shared" si="173"/>
        <v>0</v>
      </c>
      <c r="BI102" s="662">
        <f t="shared" si="173"/>
        <v>0</v>
      </c>
      <c r="BJ102" s="662">
        <f t="shared" si="173"/>
        <v>0</v>
      </c>
      <c r="BK102" s="662">
        <f t="shared" si="173"/>
        <v>0</v>
      </c>
      <c r="BL102" s="662">
        <f t="shared" si="173"/>
        <v>0</v>
      </c>
      <c r="BM102" s="663"/>
      <c r="BN102" s="662">
        <f t="shared" si="173"/>
        <v>0</v>
      </c>
      <c r="BO102" s="662">
        <f t="shared" si="173"/>
        <v>0</v>
      </c>
      <c r="BP102" s="662">
        <f t="shared" si="173"/>
        <v>0</v>
      </c>
      <c r="BQ102" s="662">
        <f>(29187+22058+26913+46249+23150)-(18+19+16+23+15)</f>
        <v>147466</v>
      </c>
      <c r="BR102" s="662"/>
      <c r="BS102" s="662"/>
      <c r="BT102" s="662"/>
      <c r="BU102" s="662"/>
      <c r="BV102" s="662"/>
      <c r="BW102" s="662"/>
      <c r="CA102" s="1352"/>
      <c r="CB102" s="1352" t="s">
        <v>538</v>
      </c>
      <c r="CC102" s="1352">
        <v>813</v>
      </c>
      <c r="CD102" s="1352">
        <v>772</v>
      </c>
      <c r="CE102" s="1352"/>
      <c r="CF102" s="1352"/>
      <c r="CG102" s="1352"/>
      <c r="CH102" s="1352"/>
      <c r="CI102" s="1352"/>
      <c r="CJ102" s="1352"/>
      <c r="CK102" s="1353">
        <v>12100</v>
      </c>
      <c r="CL102" s="1353">
        <v>12100</v>
      </c>
      <c r="CM102" s="1354">
        <v>0</v>
      </c>
      <c r="CN102" s="1354">
        <v>0</v>
      </c>
      <c r="CO102" s="1354">
        <v>0</v>
      </c>
      <c r="CP102" s="1354">
        <v>0</v>
      </c>
      <c r="CQ102" s="1354">
        <v>0</v>
      </c>
      <c r="CR102" s="1354"/>
      <c r="CS102" s="1354">
        <v>0</v>
      </c>
      <c r="CT102" s="1353">
        <v>12100</v>
      </c>
      <c r="CU102" s="1353"/>
      <c r="CV102" s="1353"/>
      <c r="CW102" s="1353"/>
      <c r="CX102" s="1353">
        <v>0</v>
      </c>
      <c r="CY102" s="1353">
        <v>0</v>
      </c>
      <c r="CZ102" s="1353"/>
      <c r="DA102" s="1353">
        <v>0</v>
      </c>
      <c r="DB102" s="1353">
        <v>0</v>
      </c>
      <c r="DC102" s="1353">
        <v>0</v>
      </c>
      <c r="DD102" s="1353">
        <v>0</v>
      </c>
      <c r="DE102" s="1353"/>
      <c r="DF102" s="1353"/>
      <c r="DG102" s="1353"/>
      <c r="DH102" s="1353"/>
      <c r="DI102" s="1353"/>
      <c r="DJ102" s="1353"/>
      <c r="DK102" s="1353"/>
      <c r="DT102" s="659"/>
      <c r="DU102" s="660" t="s">
        <v>538</v>
      </c>
      <c r="DV102" s="1363">
        <f>SUM(DV103:DV107)</f>
        <v>400</v>
      </c>
      <c r="DW102" s="1363">
        <f t="shared" ref="DW102:EW102" si="174">SUM(DW103:DW107)</f>
        <v>400</v>
      </c>
      <c r="DX102" s="1363">
        <f t="shared" si="174"/>
        <v>0</v>
      </c>
      <c r="DY102" s="1363">
        <f t="shared" si="174"/>
        <v>0</v>
      </c>
      <c r="DZ102" s="1363">
        <f t="shared" si="174"/>
        <v>0</v>
      </c>
      <c r="EA102" s="1363">
        <f t="shared" si="174"/>
        <v>0</v>
      </c>
      <c r="EB102" s="1363">
        <f t="shared" si="174"/>
        <v>0</v>
      </c>
      <c r="EC102" s="1363">
        <f t="shared" si="174"/>
        <v>0</v>
      </c>
      <c r="ED102" s="1363">
        <f t="shared" si="174"/>
        <v>0</v>
      </c>
      <c r="EE102" s="1363">
        <f t="shared" si="174"/>
        <v>400</v>
      </c>
      <c r="EF102" s="1363">
        <f t="shared" si="174"/>
        <v>0</v>
      </c>
      <c r="EG102" s="1363">
        <f t="shared" si="174"/>
        <v>0</v>
      </c>
      <c r="EH102" s="1363">
        <f t="shared" si="174"/>
        <v>0</v>
      </c>
      <c r="EI102" s="1363">
        <f t="shared" si="174"/>
        <v>0</v>
      </c>
      <c r="EJ102" s="1363">
        <f t="shared" si="174"/>
        <v>0</v>
      </c>
      <c r="EK102" s="1363">
        <f t="shared" si="174"/>
        <v>0</v>
      </c>
      <c r="EL102" s="1363">
        <f t="shared" si="174"/>
        <v>0</v>
      </c>
      <c r="EM102" s="1363">
        <f t="shared" si="174"/>
        <v>0</v>
      </c>
      <c r="EN102" s="1363">
        <f t="shared" si="174"/>
        <v>0</v>
      </c>
      <c r="EO102" s="1363">
        <f t="shared" si="174"/>
        <v>0</v>
      </c>
      <c r="EP102" s="1363">
        <f t="shared" si="174"/>
        <v>0</v>
      </c>
      <c r="EQ102" s="1363">
        <f t="shared" si="174"/>
        <v>0</v>
      </c>
      <c r="ER102" s="1363">
        <f t="shared" si="174"/>
        <v>0</v>
      </c>
      <c r="ES102" s="1363">
        <f t="shared" si="174"/>
        <v>0</v>
      </c>
      <c r="ET102" s="1363">
        <f t="shared" si="174"/>
        <v>0</v>
      </c>
      <c r="EU102" s="1363">
        <f t="shared" si="174"/>
        <v>0</v>
      </c>
      <c r="EV102" s="1363">
        <f t="shared" si="174"/>
        <v>0</v>
      </c>
      <c r="EW102" s="1375">
        <f t="shared" si="174"/>
        <v>0</v>
      </c>
    </row>
    <row r="103" spans="1:153" ht="34.5" hidden="1" customHeight="1">
      <c r="A103" s="659"/>
      <c r="B103" s="660" t="s">
        <v>539</v>
      </c>
      <c r="C103" s="661">
        <f t="shared" ref="C103:C114" si="175">D103+I103</f>
        <v>209</v>
      </c>
      <c r="D103" s="661">
        <f t="shared" ref="D103:D114" si="176">E103+F103</f>
        <v>201</v>
      </c>
      <c r="E103" s="661"/>
      <c r="F103" s="661">
        <v>201</v>
      </c>
      <c r="G103" s="661"/>
      <c r="H103" s="661">
        <v>181</v>
      </c>
      <c r="I103" s="661">
        <v>8</v>
      </c>
      <c r="J103" s="661">
        <v>8</v>
      </c>
      <c r="K103" s="646">
        <f t="shared" si="117"/>
        <v>0</v>
      </c>
      <c r="L103" s="662">
        <f t="shared" ref="L103:L120" si="177">U103+AC103+AD103+AE103</f>
        <v>0</v>
      </c>
      <c r="M103" s="662"/>
      <c r="N103" s="662"/>
      <c r="O103" s="662"/>
      <c r="P103" s="662"/>
      <c r="Q103" s="662"/>
      <c r="R103" s="666">
        <f t="shared" si="158"/>
        <v>0</v>
      </c>
      <c r="S103" s="666"/>
      <c r="T103" s="666">
        <f t="shared" si="165"/>
        <v>0</v>
      </c>
      <c r="U103" s="666">
        <f t="shared" si="159"/>
        <v>0</v>
      </c>
      <c r="V103" s="662"/>
      <c r="W103" s="662"/>
      <c r="X103" s="662"/>
      <c r="Y103" s="666">
        <f t="shared" si="160"/>
        <v>0</v>
      </c>
      <c r="Z103" s="666">
        <f t="shared" si="145"/>
        <v>0</v>
      </c>
      <c r="AA103" s="666"/>
      <c r="AB103" s="666">
        <f t="shared" si="161"/>
        <v>0</v>
      </c>
      <c r="AC103" s="666">
        <f t="shared" si="162"/>
        <v>0</v>
      </c>
      <c r="AD103" s="662"/>
      <c r="AE103" s="662"/>
      <c r="AF103" s="662"/>
      <c r="AG103" s="662"/>
      <c r="AH103" s="662"/>
      <c r="AI103" s="662"/>
      <c r="AJ103" s="662"/>
      <c r="AK103" s="662"/>
      <c r="AL103" s="664"/>
      <c r="AN103" s="610"/>
      <c r="AO103" s="659"/>
      <c r="AP103" s="660" t="s">
        <v>540</v>
      </c>
      <c r="AQ103" s="661">
        <f t="shared" ref="AQ103:AQ114" si="178">AR103+AW103</f>
        <v>177</v>
      </c>
      <c r="AR103" s="661">
        <f t="shared" ref="AR103:AR114" si="179">AS103+AT103</f>
        <v>170</v>
      </c>
      <c r="AS103" s="661"/>
      <c r="AT103" s="661">
        <v>170</v>
      </c>
      <c r="AU103" s="661"/>
      <c r="AV103" s="661">
        <v>130</v>
      </c>
      <c r="AW103" s="661">
        <v>7</v>
      </c>
      <c r="AX103" s="661">
        <v>7</v>
      </c>
      <c r="AY103" s="662">
        <f t="shared" ref="AY103:AY120" si="180">BG103+BN103+BO103+BP103</f>
        <v>0</v>
      </c>
      <c r="AZ103" s="665"/>
      <c r="BA103" s="662"/>
      <c r="BB103" s="662"/>
      <c r="BC103" s="662"/>
      <c r="BD103" s="662"/>
      <c r="BE103" s="666">
        <f t="shared" ref="BE103:BE114" si="181">(BA103+BB103)*10%</f>
        <v>0</v>
      </c>
      <c r="BF103" s="667">
        <f>ROUND(BE103,0)</f>
        <v>0</v>
      </c>
      <c r="BG103" s="666">
        <f t="shared" ref="BG103:BG114" si="182">(AZ103+BA103+BB103+BC103)-BF103</f>
        <v>0</v>
      </c>
      <c r="BH103" s="662"/>
      <c r="BI103" s="662"/>
      <c r="BJ103" s="662"/>
      <c r="BK103" s="662"/>
      <c r="BL103" s="666">
        <f>BH103*10%</f>
        <v>0</v>
      </c>
      <c r="BM103" s="667">
        <f t="shared" ref="BM103:BM114" si="183">ROUND(BL103,0)</f>
        <v>0</v>
      </c>
      <c r="BN103" s="666">
        <f t="shared" ref="BN103:BN114" si="184">(BH103+BI103+BJ103)-BM103</f>
        <v>0</v>
      </c>
      <c r="BO103" s="662"/>
      <c r="BP103" s="662"/>
      <c r="BQ103" s="662"/>
      <c r="BR103" s="662"/>
      <c r="BS103" s="662"/>
      <c r="BT103" s="662"/>
      <c r="BU103" s="662"/>
      <c r="BV103" s="662"/>
      <c r="BW103" s="662"/>
      <c r="CA103" s="1352"/>
      <c r="CB103" s="1352" t="s">
        <v>539</v>
      </c>
      <c r="CC103" s="1352">
        <v>209</v>
      </c>
      <c r="CD103" s="1352">
        <v>201</v>
      </c>
      <c r="CE103" s="1352"/>
      <c r="CF103" s="1352">
        <v>201</v>
      </c>
      <c r="CG103" s="1352"/>
      <c r="CH103" s="1352">
        <v>181</v>
      </c>
      <c r="CI103" s="1352">
        <v>8</v>
      </c>
      <c r="CJ103" s="1352">
        <v>8</v>
      </c>
      <c r="CK103" s="1353">
        <v>0</v>
      </c>
      <c r="CL103" s="1353"/>
      <c r="CM103" s="1354"/>
      <c r="CN103" s="1354"/>
      <c r="CO103" s="1354"/>
      <c r="CP103" s="1354"/>
      <c r="CQ103" s="1354">
        <v>0</v>
      </c>
      <c r="CR103" s="1354"/>
      <c r="CS103" s="1354">
        <v>0</v>
      </c>
      <c r="CT103" s="1353">
        <v>0</v>
      </c>
      <c r="CU103" s="1353"/>
      <c r="CV103" s="1353"/>
      <c r="CW103" s="1353"/>
      <c r="CX103" s="1353">
        <v>0</v>
      </c>
      <c r="CY103" s="1353">
        <v>0</v>
      </c>
      <c r="CZ103" s="1353"/>
      <c r="DA103" s="1353">
        <v>0</v>
      </c>
      <c r="DB103" s="1353">
        <v>0</v>
      </c>
      <c r="DC103" s="1353"/>
      <c r="DD103" s="1353"/>
      <c r="DE103" s="1353"/>
      <c r="DF103" s="1353"/>
      <c r="DG103" s="1353"/>
      <c r="DH103" s="1353"/>
      <c r="DI103" s="1353"/>
      <c r="DJ103" s="1353"/>
      <c r="DK103" s="1353"/>
      <c r="DT103" s="659"/>
      <c r="DU103" s="660" t="s">
        <v>539</v>
      </c>
      <c r="DV103" s="777">
        <f t="shared" ref="DV103:EK114" si="185">L103-CK103</f>
        <v>0</v>
      </c>
      <c r="DW103" s="777">
        <f t="shared" si="185"/>
        <v>0</v>
      </c>
      <c r="DX103" s="777">
        <f t="shared" si="185"/>
        <v>0</v>
      </c>
      <c r="DY103" s="777">
        <f t="shared" si="185"/>
        <v>0</v>
      </c>
      <c r="DZ103" s="777">
        <f t="shared" si="185"/>
        <v>0</v>
      </c>
      <c r="EA103" s="777">
        <f t="shared" si="185"/>
        <v>0</v>
      </c>
      <c r="EB103" s="777">
        <f t="shared" si="185"/>
        <v>0</v>
      </c>
      <c r="EC103" s="777">
        <f t="shared" si="185"/>
        <v>0</v>
      </c>
      <c r="ED103" s="777">
        <f t="shared" si="185"/>
        <v>0</v>
      </c>
      <c r="EE103" s="777">
        <f t="shared" si="185"/>
        <v>0</v>
      </c>
      <c r="EF103" s="777">
        <f t="shared" si="185"/>
        <v>0</v>
      </c>
      <c r="EG103" s="777">
        <f t="shared" si="185"/>
        <v>0</v>
      </c>
      <c r="EH103" s="777">
        <f t="shared" si="185"/>
        <v>0</v>
      </c>
      <c r="EI103" s="777">
        <f t="shared" si="185"/>
        <v>0</v>
      </c>
      <c r="EJ103" s="777">
        <f t="shared" si="185"/>
        <v>0</v>
      </c>
      <c r="EK103" s="777">
        <f t="shared" si="185"/>
        <v>0</v>
      </c>
      <c r="EL103" s="777">
        <f t="shared" ref="EL103:EV114" si="186">AB103-DA103</f>
        <v>0</v>
      </c>
      <c r="EM103" s="777">
        <f t="shared" si="186"/>
        <v>0</v>
      </c>
      <c r="EN103" s="777">
        <f t="shared" si="186"/>
        <v>0</v>
      </c>
      <c r="EO103" s="777">
        <f t="shared" si="186"/>
        <v>0</v>
      </c>
      <c r="EP103" s="777">
        <f t="shared" si="186"/>
        <v>0</v>
      </c>
      <c r="EQ103" s="777">
        <f t="shared" si="186"/>
        <v>0</v>
      </c>
      <c r="ER103" s="777">
        <f t="shared" si="186"/>
        <v>0</v>
      </c>
      <c r="ES103" s="777">
        <f t="shared" si="186"/>
        <v>0</v>
      </c>
      <c r="ET103" s="777">
        <f t="shared" si="186"/>
        <v>0</v>
      </c>
      <c r="EU103" s="777">
        <f t="shared" si="186"/>
        <v>0</v>
      </c>
      <c r="EV103" s="777">
        <f t="shared" si="186"/>
        <v>0</v>
      </c>
    </row>
    <row r="104" spans="1:153" ht="33.75" hidden="1" customHeight="1">
      <c r="A104" s="694"/>
      <c r="B104" s="695" t="s">
        <v>541</v>
      </c>
      <c r="C104" s="696">
        <f t="shared" si="175"/>
        <v>160</v>
      </c>
      <c r="D104" s="696">
        <f t="shared" si="176"/>
        <v>152</v>
      </c>
      <c r="E104" s="696"/>
      <c r="F104" s="696">
        <v>152</v>
      </c>
      <c r="G104" s="696"/>
      <c r="H104" s="696">
        <v>139</v>
      </c>
      <c r="I104" s="696">
        <v>8</v>
      </c>
      <c r="J104" s="696">
        <v>8</v>
      </c>
      <c r="K104" s="646">
        <f t="shared" si="117"/>
        <v>4500</v>
      </c>
      <c r="L104" s="662">
        <f t="shared" si="177"/>
        <v>4500</v>
      </c>
      <c r="M104" s="662">
        <v>4500</v>
      </c>
      <c r="N104" s="662"/>
      <c r="O104" s="662"/>
      <c r="P104" s="662"/>
      <c r="Q104" s="662"/>
      <c r="R104" s="666">
        <f t="shared" si="158"/>
        <v>0</v>
      </c>
      <c r="S104" s="666"/>
      <c r="T104" s="666">
        <f t="shared" si="165"/>
        <v>0</v>
      </c>
      <c r="U104" s="666">
        <f t="shared" si="159"/>
        <v>4500</v>
      </c>
      <c r="V104" s="662"/>
      <c r="W104" s="662"/>
      <c r="X104" s="662"/>
      <c r="Y104" s="666">
        <f t="shared" si="160"/>
        <v>0</v>
      </c>
      <c r="Z104" s="666">
        <f t="shared" si="145"/>
        <v>0</v>
      </c>
      <c r="AA104" s="666"/>
      <c r="AB104" s="666">
        <f t="shared" si="161"/>
        <v>0</v>
      </c>
      <c r="AC104" s="666">
        <f t="shared" si="162"/>
        <v>0</v>
      </c>
      <c r="AD104" s="662"/>
      <c r="AE104" s="662"/>
      <c r="AF104" s="662"/>
      <c r="AG104" s="662"/>
      <c r="AH104" s="662"/>
      <c r="AI104" s="662"/>
      <c r="AJ104" s="662"/>
      <c r="AK104" s="662"/>
      <c r="AL104" s="664"/>
      <c r="AN104" s="610"/>
      <c r="AO104" s="659"/>
      <c r="AP104" s="660" t="s">
        <v>542</v>
      </c>
      <c r="AQ104" s="661">
        <f t="shared" si="178"/>
        <v>117</v>
      </c>
      <c r="AR104" s="661">
        <f t="shared" si="179"/>
        <v>110</v>
      </c>
      <c r="AS104" s="661"/>
      <c r="AT104" s="661">
        <v>110</v>
      </c>
      <c r="AU104" s="661"/>
      <c r="AV104" s="661">
        <v>107</v>
      </c>
      <c r="AW104" s="661">
        <v>7</v>
      </c>
      <c r="AX104" s="661">
        <v>7</v>
      </c>
      <c r="AY104" s="662">
        <f t="shared" si="180"/>
        <v>900</v>
      </c>
      <c r="AZ104" s="665">
        <f>3056-2156</f>
        <v>900</v>
      </c>
      <c r="BA104" s="662"/>
      <c r="BB104" s="662"/>
      <c r="BC104" s="662"/>
      <c r="BD104" s="662"/>
      <c r="BE104" s="666">
        <f t="shared" si="181"/>
        <v>0</v>
      </c>
      <c r="BF104" s="667">
        <f>ROUND(BE104,0)</f>
        <v>0</v>
      </c>
      <c r="BG104" s="666">
        <f t="shared" si="182"/>
        <v>900</v>
      </c>
      <c r="BH104" s="662"/>
      <c r="BI104" s="662"/>
      <c r="BJ104" s="662"/>
      <c r="BK104" s="662"/>
      <c r="BL104" s="666">
        <f t="shared" ref="BL104:BL114" si="187">BH104*10%</f>
        <v>0</v>
      </c>
      <c r="BM104" s="667">
        <f t="shared" si="183"/>
        <v>0</v>
      </c>
      <c r="BN104" s="666">
        <f t="shared" si="184"/>
        <v>0</v>
      </c>
      <c r="BO104" s="662"/>
      <c r="BP104" s="662"/>
      <c r="BQ104" s="662"/>
      <c r="BR104" s="662"/>
      <c r="BS104" s="662"/>
      <c r="BT104" s="662"/>
      <c r="BU104" s="662"/>
      <c r="BV104" s="662"/>
      <c r="BW104" s="662"/>
      <c r="CA104" s="1352"/>
      <c r="CB104" s="1352" t="s">
        <v>541</v>
      </c>
      <c r="CC104" s="1352">
        <v>160</v>
      </c>
      <c r="CD104" s="1352">
        <v>152</v>
      </c>
      <c r="CE104" s="1352"/>
      <c r="CF104" s="1352">
        <v>152</v>
      </c>
      <c r="CG104" s="1352"/>
      <c r="CH104" s="1352">
        <v>139</v>
      </c>
      <c r="CI104" s="1352">
        <v>8</v>
      </c>
      <c r="CJ104" s="1352">
        <v>8</v>
      </c>
      <c r="CK104" s="1353">
        <v>4000</v>
      </c>
      <c r="CL104" s="1353">
        <v>4000</v>
      </c>
      <c r="CM104" s="1354"/>
      <c r="CN104" s="1354"/>
      <c r="CO104" s="1354"/>
      <c r="CP104" s="1354"/>
      <c r="CQ104" s="1354">
        <v>0</v>
      </c>
      <c r="CR104" s="1354"/>
      <c r="CS104" s="1354">
        <v>0</v>
      </c>
      <c r="CT104" s="1353">
        <v>4000</v>
      </c>
      <c r="CU104" s="1353"/>
      <c r="CV104" s="1353"/>
      <c r="CW104" s="1353"/>
      <c r="CX104" s="1353">
        <v>0</v>
      </c>
      <c r="CY104" s="1353">
        <v>0</v>
      </c>
      <c r="CZ104" s="1353"/>
      <c r="DA104" s="1353">
        <v>0</v>
      </c>
      <c r="DB104" s="1353">
        <v>0</v>
      </c>
      <c r="DC104" s="1353"/>
      <c r="DD104" s="1353"/>
      <c r="DE104" s="1353"/>
      <c r="DF104" s="1353"/>
      <c r="DG104" s="1353"/>
      <c r="DH104" s="1353"/>
      <c r="DI104" s="1353"/>
      <c r="DJ104" s="1353"/>
      <c r="DK104" s="1353"/>
      <c r="DT104" s="659"/>
      <c r="DU104" s="660" t="s">
        <v>541</v>
      </c>
      <c r="DV104" s="777">
        <f t="shared" si="185"/>
        <v>500</v>
      </c>
      <c r="DW104" s="777">
        <f t="shared" si="185"/>
        <v>500</v>
      </c>
      <c r="DX104" s="777">
        <f t="shared" si="185"/>
        <v>0</v>
      </c>
      <c r="DY104" s="777">
        <f t="shared" si="185"/>
        <v>0</v>
      </c>
      <c r="DZ104" s="777">
        <f t="shared" si="185"/>
        <v>0</v>
      </c>
      <c r="EA104" s="777">
        <f t="shared" si="185"/>
        <v>0</v>
      </c>
      <c r="EB104" s="777">
        <f t="shared" si="185"/>
        <v>0</v>
      </c>
      <c r="EC104" s="777">
        <f t="shared" si="185"/>
        <v>0</v>
      </c>
      <c r="ED104" s="777">
        <f t="shared" si="185"/>
        <v>0</v>
      </c>
      <c r="EE104" s="777">
        <f t="shared" si="185"/>
        <v>500</v>
      </c>
      <c r="EF104" s="777">
        <f t="shared" si="185"/>
        <v>0</v>
      </c>
      <c r="EG104" s="777">
        <f t="shared" si="185"/>
        <v>0</v>
      </c>
      <c r="EH104" s="777">
        <f t="shared" si="185"/>
        <v>0</v>
      </c>
      <c r="EI104" s="777">
        <f t="shared" si="185"/>
        <v>0</v>
      </c>
      <c r="EJ104" s="777">
        <f t="shared" si="185"/>
        <v>0</v>
      </c>
      <c r="EK104" s="777">
        <f t="shared" si="185"/>
        <v>0</v>
      </c>
      <c r="EL104" s="777">
        <f t="shared" si="186"/>
        <v>0</v>
      </c>
      <c r="EM104" s="777">
        <f t="shared" si="186"/>
        <v>0</v>
      </c>
      <c r="EN104" s="777">
        <f t="shared" si="186"/>
        <v>0</v>
      </c>
      <c r="EO104" s="777">
        <f t="shared" si="186"/>
        <v>0</v>
      </c>
      <c r="EP104" s="777">
        <f t="shared" si="186"/>
        <v>0</v>
      </c>
      <c r="EQ104" s="777">
        <f t="shared" si="186"/>
        <v>0</v>
      </c>
      <c r="ER104" s="777">
        <f t="shared" si="186"/>
        <v>0</v>
      </c>
      <c r="ES104" s="777">
        <f t="shared" si="186"/>
        <v>0</v>
      </c>
      <c r="ET104" s="777">
        <f t="shared" si="186"/>
        <v>0</v>
      </c>
      <c r="EU104" s="777">
        <f t="shared" si="186"/>
        <v>0</v>
      </c>
      <c r="EV104" s="777">
        <f t="shared" si="186"/>
        <v>0</v>
      </c>
    </row>
    <row r="105" spans="1:153" ht="34.5" hidden="1" customHeight="1">
      <c r="A105" s="659"/>
      <c r="B105" s="660" t="s">
        <v>543</v>
      </c>
      <c r="C105" s="661">
        <f t="shared" si="175"/>
        <v>166</v>
      </c>
      <c r="D105" s="661">
        <f t="shared" si="176"/>
        <v>158</v>
      </c>
      <c r="E105" s="661"/>
      <c r="F105" s="661">
        <v>158</v>
      </c>
      <c r="G105" s="661"/>
      <c r="H105" s="661">
        <v>145</v>
      </c>
      <c r="I105" s="661">
        <v>8</v>
      </c>
      <c r="J105" s="661">
        <v>8</v>
      </c>
      <c r="K105" s="646">
        <f t="shared" si="117"/>
        <v>1500</v>
      </c>
      <c r="L105" s="662">
        <f t="shared" si="177"/>
        <v>1500</v>
      </c>
      <c r="M105" s="703">
        <v>1500</v>
      </c>
      <c r="N105" s="662"/>
      <c r="O105" s="662"/>
      <c r="P105" s="662"/>
      <c r="Q105" s="662"/>
      <c r="R105" s="666">
        <f t="shared" si="158"/>
        <v>0</v>
      </c>
      <c r="S105" s="666"/>
      <c r="T105" s="666">
        <f t="shared" si="165"/>
        <v>0</v>
      </c>
      <c r="U105" s="666">
        <f t="shared" si="159"/>
        <v>1500</v>
      </c>
      <c r="V105" s="662"/>
      <c r="W105" s="662"/>
      <c r="X105" s="662"/>
      <c r="Y105" s="666">
        <f t="shared" si="160"/>
        <v>0</v>
      </c>
      <c r="Z105" s="666">
        <f t="shared" si="145"/>
        <v>0</v>
      </c>
      <c r="AA105" s="666"/>
      <c r="AB105" s="666">
        <f t="shared" si="161"/>
        <v>0</v>
      </c>
      <c r="AC105" s="666">
        <f t="shared" si="162"/>
        <v>0</v>
      </c>
      <c r="AD105" s="662"/>
      <c r="AE105" s="662"/>
      <c r="AF105" s="662"/>
      <c r="AG105" s="662"/>
      <c r="AH105" s="662"/>
      <c r="AI105" s="662"/>
      <c r="AJ105" s="662"/>
      <c r="AK105" s="662"/>
      <c r="AL105" s="664"/>
      <c r="AN105" s="610"/>
      <c r="AO105" s="659"/>
      <c r="AP105" s="660" t="s">
        <v>544</v>
      </c>
      <c r="AQ105" s="661">
        <f t="shared" si="178"/>
        <v>116</v>
      </c>
      <c r="AR105" s="661">
        <f t="shared" si="179"/>
        <v>110</v>
      </c>
      <c r="AS105" s="661"/>
      <c r="AT105" s="661">
        <v>110</v>
      </c>
      <c r="AU105" s="661"/>
      <c r="AV105" s="661">
        <v>109</v>
      </c>
      <c r="AW105" s="661">
        <v>6</v>
      </c>
      <c r="AX105" s="661">
        <v>6</v>
      </c>
      <c r="AY105" s="662">
        <f t="shared" si="180"/>
        <v>0</v>
      </c>
      <c r="AZ105" s="665"/>
      <c r="BA105" s="662"/>
      <c r="BB105" s="662"/>
      <c r="BC105" s="662"/>
      <c r="BD105" s="662"/>
      <c r="BE105" s="666">
        <f t="shared" si="181"/>
        <v>0</v>
      </c>
      <c r="BF105" s="667">
        <f>ROUND(BE105,0)</f>
        <v>0</v>
      </c>
      <c r="BG105" s="666">
        <f t="shared" si="182"/>
        <v>0</v>
      </c>
      <c r="BH105" s="662"/>
      <c r="BI105" s="662"/>
      <c r="BJ105" s="662"/>
      <c r="BK105" s="662"/>
      <c r="BL105" s="666">
        <f t="shared" si="187"/>
        <v>0</v>
      </c>
      <c r="BM105" s="667">
        <f t="shared" si="183"/>
        <v>0</v>
      </c>
      <c r="BN105" s="666">
        <f t="shared" si="184"/>
        <v>0</v>
      </c>
      <c r="BO105" s="662"/>
      <c r="BP105" s="662"/>
      <c r="BQ105" s="662"/>
      <c r="BR105" s="662"/>
      <c r="BS105" s="662"/>
      <c r="BT105" s="662"/>
      <c r="BU105" s="662"/>
      <c r="BV105" s="662"/>
      <c r="BW105" s="662"/>
      <c r="CA105" s="1352"/>
      <c r="CB105" s="1352" t="s">
        <v>543</v>
      </c>
      <c r="CC105" s="1352">
        <v>166</v>
      </c>
      <c r="CD105" s="1352">
        <v>158</v>
      </c>
      <c r="CE105" s="1352"/>
      <c r="CF105" s="1352">
        <v>158</v>
      </c>
      <c r="CG105" s="1352"/>
      <c r="CH105" s="1352">
        <v>145</v>
      </c>
      <c r="CI105" s="1352">
        <v>8</v>
      </c>
      <c r="CJ105" s="1352">
        <v>8</v>
      </c>
      <c r="CK105" s="1353">
        <v>2400</v>
      </c>
      <c r="CL105" s="1353">
        <v>2400</v>
      </c>
      <c r="CM105" s="1354"/>
      <c r="CN105" s="1354"/>
      <c r="CO105" s="1354"/>
      <c r="CP105" s="1354"/>
      <c r="CQ105" s="1354">
        <v>0</v>
      </c>
      <c r="CR105" s="1354"/>
      <c r="CS105" s="1354">
        <v>0</v>
      </c>
      <c r="CT105" s="1353">
        <v>2400</v>
      </c>
      <c r="CU105" s="1353"/>
      <c r="CV105" s="1353"/>
      <c r="CW105" s="1353"/>
      <c r="CX105" s="1353">
        <v>0</v>
      </c>
      <c r="CY105" s="1353">
        <v>0</v>
      </c>
      <c r="CZ105" s="1353"/>
      <c r="DA105" s="1353">
        <v>0</v>
      </c>
      <c r="DB105" s="1353">
        <v>0</v>
      </c>
      <c r="DC105" s="1353"/>
      <c r="DD105" s="1353"/>
      <c r="DE105" s="1353"/>
      <c r="DF105" s="1353"/>
      <c r="DG105" s="1353"/>
      <c r="DH105" s="1353"/>
      <c r="DI105" s="1353"/>
      <c r="DJ105" s="1353"/>
      <c r="DK105" s="1353"/>
      <c r="DT105" s="659"/>
      <c r="DU105" s="660" t="s">
        <v>543</v>
      </c>
      <c r="DV105" s="777">
        <f t="shared" si="185"/>
        <v>-900</v>
      </c>
      <c r="DW105" s="777">
        <f t="shared" si="185"/>
        <v>-900</v>
      </c>
      <c r="DX105" s="777">
        <f t="shared" si="185"/>
        <v>0</v>
      </c>
      <c r="DY105" s="777">
        <f t="shared" si="185"/>
        <v>0</v>
      </c>
      <c r="DZ105" s="777">
        <f t="shared" si="185"/>
        <v>0</v>
      </c>
      <c r="EA105" s="777">
        <f t="shared" si="185"/>
        <v>0</v>
      </c>
      <c r="EB105" s="777">
        <f t="shared" si="185"/>
        <v>0</v>
      </c>
      <c r="EC105" s="777">
        <f t="shared" si="185"/>
        <v>0</v>
      </c>
      <c r="ED105" s="777">
        <f t="shared" si="185"/>
        <v>0</v>
      </c>
      <c r="EE105" s="777">
        <f t="shared" si="185"/>
        <v>-900</v>
      </c>
      <c r="EF105" s="777">
        <f t="shared" si="185"/>
        <v>0</v>
      </c>
      <c r="EG105" s="777">
        <f t="shared" si="185"/>
        <v>0</v>
      </c>
      <c r="EH105" s="777">
        <f t="shared" si="185"/>
        <v>0</v>
      </c>
      <c r="EI105" s="777">
        <f t="shared" si="185"/>
        <v>0</v>
      </c>
      <c r="EJ105" s="777">
        <f t="shared" si="185"/>
        <v>0</v>
      </c>
      <c r="EK105" s="777">
        <f t="shared" si="185"/>
        <v>0</v>
      </c>
      <c r="EL105" s="777">
        <f t="shared" si="186"/>
        <v>0</v>
      </c>
      <c r="EM105" s="777">
        <f t="shared" si="186"/>
        <v>0</v>
      </c>
      <c r="EN105" s="777">
        <f t="shared" si="186"/>
        <v>0</v>
      </c>
      <c r="EO105" s="777">
        <f t="shared" si="186"/>
        <v>0</v>
      </c>
      <c r="EP105" s="777">
        <f t="shared" si="186"/>
        <v>0</v>
      </c>
      <c r="EQ105" s="777">
        <f t="shared" si="186"/>
        <v>0</v>
      </c>
      <c r="ER105" s="777">
        <f t="shared" si="186"/>
        <v>0</v>
      </c>
      <c r="ES105" s="777">
        <f t="shared" si="186"/>
        <v>0</v>
      </c>
      <c r="ET105" s="777">
        <f t="shared" si="186"/>
        <v>0</v>
      </c>
      <c r="EU105" s="777">
        <f t="shared" si="186"/>
        <v>0</v>
      </c>
      <c r="EV105" s="777">
        <f t="shared" si="186"/>
        <v>0</v>
      </c>
    </row>
    <row r="106" spans="1:153" ht="34.5" hidden="1" customHeight="1">
      <c r="A106" s="659"/>
      <c r="B106" s="660" t="s">
        <v>545</v>
      </c>
      <c r="C106" s="661">
        <f t="shared" si="175"/>
        <v>124</v>
      </c>
      <c r="D106" s="661">
        <f t="shared" si="176"/>
        <v>117</v>
      </c>
      <c r="E106" s="661"/>
      <c r="F106" s="661">
        <v>117</v>
      </c>
      <c r="G106" s="661"/>
      <c r="H106" s="661">
        <v>117</v>
      </c>
      <c r="I106" s="661">
        <v>7</v>
      </c>
      <c r="J106" s="661">
        <v>7</v>
      </c>
      <c r="K106" s="646">
        <f t="shared" si="117"/>
        <v>4000</v>
      </c>
      <c r="L106" s="662">
        <f t="shared" si="177"/>
        <v>4000</v>
      </c>
      <c r="M106" s="703">
        <v>4000</v>
      </c>
      <c r="N106" s="662"/>
      <c r="O106" s="662"/>
      <c r="P106" s="662"/>
      <c r="Q106" s="662"/>
      <c r="R106" s="666">
        <f t="shared" si="158"/>
        <v>0</v>
      </c>
      <c r="S106" s="666"/>
      <c r="T106" s="666">
        <f t="shared" si="165"/>
        <v>0</v>
      </c>
      <c r="U106" s="666">
        <f t="shared" si="159"/>
        <v>4000</v>
      </c>
      <c r="V106" s="662"/>
      <c r="W106" s="662"/>
      <c r="X106" s="662"/>
      <c r="Y106" s="666">
        <f t="shared" si="160"/>
        <v>0</v>
      </c>
      <c r="Z106" s="666">
        <f t="shared" si="145"/>
        <v>0</v>
      </c>
      <c r="AA106" s="666"/>
      <c r="AB106" s="666">
        <f t="shared" si="161"/>
        <v>0</v>
      </c>
      <c r="AC106" s="666">
        <f t="shared" si="162"/>
        <v>0</v>
      </c>
      <c r="AD106" s="662"/>
      <c r="AE106" s="662"/>
      <c r="AF106" s="662"/>
      <c r="AG106" s="662"/>
      <c r="AH106" s="662"/>
      <c r="AI106" s="662"/>
      <c r="AJ106" s="662"/>
      <c r="AK106" s="662"/>
      <c r="AL106" s="664"/>
      <c r="AN106" s="610"/>
      <c r="AO106" s="659"/>
      <c r="AP106" s="660" t="s">
        <v>546</v>
      </c>
      <c r="AQ106" s="661">
        <f t="shared" si="178"/>
        <v>84</v>
      </c>
      <c r="AR106" s="661">
        <f t="shared" si="179"/>
        <v>78</v>
      </c>
      <c r="AS106" s="661"/>
      <c r="AT106" s="661">
        <v>78</v>
      </c>
      <c r="AU106" s="661"/>
      <c r="AV106" s="661">
        <v>78</v>
      </c>
      <c r="AW106" s="661">
        <v>6</v>
      </c>
      <c r="AX106" s="661">
        <v>6</v>
      </c>
      <c r="AY106" s="662">
        <f t="shared" si="180"/>
        <v>0</v>
      </c>
      <c r="AZ106" s="665"/>
      <c r="BA106" s="662"/>
      <c r="BB106" s="662"/>
      <c r="BC106" s="662"/>
      <c r="BD106" s="662"/>
      <c r="BE106" s="666">
        <f t="shared" si="181"/>
        <v>0</v>
      </c>
      <c r="BF106" s="667">
        <f>ROUND(BE106,0)</f>
        <v>0</v>
      </c>
      <c r="BG106" s="666">
        <f t="shared" si="182"/>
        <v>0</v>
      </c>
      <c r="BH106" s="662"/>
      <c r="BI106" s="662"/>
      <c r="BJ106" s="662"/>
      <c r="BK106" s="662"/>
      <c r="BL106" s="666">
        <f t="shared" si="187"/>
        <v>0</v>
      </c>
      <c r="BM106" s="667">
        <f t="shared" si="183"/>
        <v>0</v>
      </c>
      <c r="BN106" s="666">
        <f t="shared" si="184"/>
        <v>0</v>
      </c>
      <c r="BO106" s="662"/>
      <c r="BP106" s="662"/>
      <c r="BQ106" s="662"/>
      <c r="BR106" s="662"/>
      <c r="BS106" s="662"/>
      <c r="BT106" s="662"/>
      <c r="BU106" s="662"/>
      <c r="BV106" s="662"/>
      <c r="BW106" s="662"/>
      <c r="CA106" s="1352"/>
      <c r="CB106" s="1352" t="s">
        <v>545</v>
      </c>
      <c r="CC106" s="1352">
        <v>124</v>
      </c>
      <c r="CD106" s="1352">
        <v>117</v>
      </c>
      <c r="CE106" s="1352"/>
      <c r="CF106" s="1352">
        <v>117</v>
      </c>
      <c r="CG106" s="1352"/>
      <c r="CH106" s="1352">
        <v>117</v>
      </c>
      <c r="CI106" s="1352">
        <v>7</v>
      </c>
      <c r="CJ106" s="1352">
        <v>7</v>
      </c>
      <c r="CK106" s="1353">
        <v>5700</v>
      </c>
      <c r="CL106" s="1353">
        <v>5700</v>
      </c>
      <c r="CM106" s="1354"/>
      <c r="CN106" s="1354"/>
      <c r="CO106" s="1354"/>
      <c r="CP106" s="1354"/>
      <c r="CQ106" s="1354">
        <v>0</v>
      </c>
      <c r="CR106" s="1354"/>
      <c r="CS106" s="1354">
        <v>0</v>
      </c>
      <c r="CT106" s="1353">
        <v>5700</v>
      </c>
      <c r="CU106" s="1353"/>
      <c r="CV106" s="1353"/>
      <c r="CW106" s="1353"/>
      <c r="CX106" s="1353">
        <v>0</v>
      </c>
      <c r="CY106" s="1353">
        <v>0</v>
      </c>
      <c r="CZ106" s="1353"/>
      <c r="DA106" s="1353">
        <v>0</v>
      </c>
      <c r="DB106" s="1353">
        <v>0</v>
      </c>
      <c r="DC106" s="1353"/>
      <c r="DD106" s="1353"/>
      <c r="DE106" s="1353"/>
      <c r="DF106" s="1353"/>
      <c r="DG106" s="1353"/>
      <c r="DH106" s="1353"/>
      <c r="DI106" s="1353"/>
      <c r="DJ106" s="1353"/>
      <c r="DK106" s="1353"/>
      <c r="DT106" s="659"/>
      <c r="DU106" s="660" t="s">
        <v>545</v>
      </c>
      <c r="DV106" s="777">
        <f t="shared" si="185"/>
        <v>-1700</v>
      </c>
      <c r="DW106" s="777">
        <f t="shared" si="185"/>
        <v>-1700</v>
      </c>
      <c r="DX106" s="777">
        <f t="shared" si="185"/>
        <v>0</v>
      </c>
      <c r="DY106" s="777">
        <f t="shared" si="185"/>
        <v>0</v>
      </c>
      <c r="DZ106" s="777">
        <f t="shared" si="185"/>
        <v>0</v>
      </c>
      <c r="EA106" s="777">
        <f t="shared" si="185"/>
        <v>0</v>
      </c>
      <c r="EB106" s="777">
        <f t="shared" si="185"/>
        <v>0</v>
      </c>
      <c r="EC106" s="777">
        <f t="shared" si="185"/>
        <v>0</v>
      </c>
      <c r="ED106" s="777">
        <f t="shared" si="185"/>
        <v>0</v>
      </c>
      <c r="EE106" s="777">
        <f t="shared" si="185"/>
        <v>-1700</v>
      </c>
      <c r="EF106" s="777">
        <f t="shared" si="185"/>
        <v>0</v>
      </c>
      <c r="EG106" s="777">
        <f t="shared" si="185"/>
        <v>0</v>
      </c>
      <c r="EH106" s="777">
        <f t="shared" si="185"/>
        <v>0</v>
      </c>
      <c r="EI106" s="777">
        <f t="shared" si="185"/>
        <v>0</v>
      </c>
      <c r="EJ106" s="777">
        <f t="shared" si="185"/>
        <v>0</v>
      </c>
      <c r="EK106" s="777">
        <f t="shared" si="185"/>
        <v>0</v>
      </c>
      <c r="EL106" s="777">
        <f t="shared" si="186"/>
        <v>0</v>
      </c>
      <c r="EM106" s="777">
        <f t="shared" si="186"/>
        <v>0</v>
      </c>
      <c r="EN106" s="777">
        <f t="shared" si="186"/>
        <v>0</v>
      </c>
      <c r="EO106" s="777">
        <f t="shared" si="186"/>
        <v>0</v>
      </c>
      <c r="EP106" s="777">
        <f t="shared" si="186"/>
        <v>0</v>
      </c>
      <c r="EQ106" s="777">
        <f t="shared" si="186"/>
        <v>0</v>
      </c>
      <c r="ER106" s="777">
        <f t="shared" si="186"/>
        <v>0</v>
      </c>
      <c r="ES106" s="777">
        <f t="shared" si="186"/>
        <v>0</v>
      </c>
      <c r="ET106" s="777">
        <f t="shared" si="186"/>
        <v>0</v>
      </c>
      <c r="EU106" s="777">
        <f t="shared" si="186"/>
        <v>0</v>
      </c>
      <c r="EV106" s="777">
        <f t="shared" si="186"/>
        <v>0</v>
      </c>
    </row>
    <row r="107" spans="1:153" ht="34.5" hidden="1" customHeight="1">
      <c r="A107" s="659"/>
      <c r="B107" s="660" t="s">
        <v>547</v>
      </c>
      <c r="C107" s="661">
        <f t="shared" si="175"/>
        <v>154</v>
      </c>
      <c r="D107" s="661">
        <f t="shared" si="176"/>
        <v>144</v>
      </c>
      <c r="E107" s="661"/>
      <c r="F107" s="661">
        <v>144</v>
      </c>
      <c r="G107" s="661"/>
      <c r="H107" s="661">
        <v>135</v>
      </c>
      <c r="I107" s="661">
        <v>10</v>
      </c>
      <c r="J107" s="661">
        <v>10</v>
      </c>
      <c r="K107" s="646">
        <f t="shared" si="117"/>
        <v>2500</v>
      </c>
      <c r="L107" s="662">
        <f t="shared" si="177"/>
        <v>2500</v>
      </c>
      <c r="M107" s="662">
        <v>2500</v>
      </c>
      <c r="N107" s="662"/>
      <c r="O107" s="662"/>
      <c r="P107" s="662"/>
      <c r="Q107" s="662"/>
      <c r="R107" s="666">
        <f t="shared" si="158"/>
        <v>0</v>
      </c>
      <c r="S107" s="666"/>
      <c r="T107" s="666">
        <f t="shared" si="165"/>
        <v>0</v>
      </c>
      <c r="U107" s="666">
        <f t="shared" si="159"/>
        <v>2500</v>
      </c>
      <c r="V107" s="662"/>
      <c r="W107" s="662"/>
      <c r="X107" s="662"/>
      <c r="Y107" s="666">
        <f t="shared" si="160"/>
        <v>0</v>
      </c>
      <c r="Z107" s="666">
        <f t="shared" si="145"/>
        <v>0</v>
      </c>
      <c r="AA107" s="666"/>
      <c r="AB107" s="666">
        <f t="shared" si="161"/>
        <v>0</v>
      </c>
      <c r="AC107" s="666">
        <f t="shared" si="162"/>
        <v>0</v>
      </c>
      <c r="AD107" s="662"/>
      <c r="AE107" s="662"/>
      <c r="AF107" s="662"/>
      <c r="AG107" s="662"/>
      <c r="AH107" s="662"/>
      <c r="AI107" s="662"/>
      <c r="AJ107" s="662"/>
      <c r="AK107" s="662"/>
      <c r="AL107" s="664"/>
      <c r="AN107" s="610"/>
      <c r="AO107" s="659"/>
      <c r="AP107" s="660" t="s">
        <v>548</v>
      </c>
      <c r="AQ107" s="661">
        <f t="shared" si="178"/>
        <v>122</v>
      </c>
      <c r="AR107" s="661">
        <f t="shared" si="179"/>
        <v>115</v>
      </c>
      <c r="AS107" s="661"/>
      <c r="AT107" s="661">
        <v>115</v>
      </c>
      <c r="AU107" s="661"/>
      <c r="AV107" s="661">
        <v>113</v>
      </c>
      <c r="AW107" s="661">
        <v>7</v>
      </c>
      <c r="AX107" s="661">
        <v>7</v>
      </c>
      <c r="AY107" s="662">
        <f t="shared" si="180"/>
        <v>0</v>
      </c>
      <c r="AZ107" s="665">
        <f>493-493</f>
        <v>0</v>
      </c>
      <c r="BA107" s="662"/>
      <c r="BB107" s="662"/>
      <c r="BC107" s="662"/>
      <c r="BD107" s="662"/>
      <c r="BE107" s="666">
        <f t="shared" si="181"/>
        <v>0</v>
      </c>
      <c r="BF107" s="667">
        <f>ROUND(BE107,0)</f>
        <v>0</v>
      </c>
      <c r="BG107" s="666">
        <f t="shared" si="182"/>
        <v>0</v>
      </c>
      <c r="BH107" s="662"/>
      <c r="BI107" s="662"/>
      <c r="BJ107" s="662"/>
      <c r="BK107" s="662"/>
      <c r="BL107" s="666">
        <f t="shared" si="187"/>
        <v>0</v>
      </c>
      <c r="BM107" s="667">
        <f t="shared" si="183"/>
        <v>0</v>
      </c>
      <c r="BN107" s="666">
        <f t="shared" si="184"/>
        <v>0</v>
      </c>
      <c r="BO107" s="662"/>
      <c r="BP107" s="662"/>
      <c r="BQ107" s="662"/>
      <c r="BR107" s="662"/>
      <c r="BS107" s="662"/>
      <c r="BT107" s="662"/>
      <c r="BU107" s="662"/>
      <c r="BV107" s="662"/>
      <c r="BW107" s="662"/>
      <c r="CA107" s="1352"/>
      <c r="CB107" s="1352" t="s">
        <v>547</v>
      </c>
      <c r="CC107" s="1352">
        <v>154</v>
      </c>
      <c r="CD107" s="1352">
        <v>144</v>
      </c>
      <c r="CE107" s="1352"/>
      <c r="CF107" s="1352">
        <v>144</v>
      </c>
      <c r="CG107" s="1352"/>
      <c r="CH107" s="1352">
        <v>135</v>
      </c>
      <c r="CI107" s="1352">
        <v>10</v>
      </c>
      <c r="CJ107" s="1352">
        <v>10</v>
      </c>
      <c r="CK107" s="1353">
        <v>0</v>
      </c>
      <c r="CL107" s="1353"/>
      <c r="CM107" s="1354"/>
      <c r="CN107" s="1354"/>
      <c r="CO107" s="1354"/>
      <c r="CP107" s="1354"/>
      <c r="CQ107" s="1354">
        <v>0</v>
      </c>
      <c r="CR107" s="1354"/>
      <c r="CS107" s="1354">
        <v>0</v>
      </c>
      <c r="CT107" s="1353">
        <v>0</v>
      </c>
      <c r="CU107" s="1353"/>
      <c r="CV107" s="1353"/>
      <c r="CW107" s="1353"/>
      <c r="CX107" s="1353">
        <v>0</v>
      </c>
      <c r="CY107" s="1353">
        <v>0</v>
      </c>
      <c r="CZ107" s="1353"/>
      <c r="DA107" s="1353">
        <v>0</v>
      </c>
      <c r="DB107" s="1353">
        <v>0</v>
      </c>
      <c r="DC107" s="1353"/>
      <c r="DD107" s="1353"/>
      <c r="DE107" s="1353"/>
      <c r="DF107" s="1353"/>
      <c r="DG107" s="1353"/>
      <c r="DH107" s="1353"/>
      <c r="DI107" s="1353"/>
      <c r="DJ107" s="1353"/>
      <c r="DK107" s="1353"/>
      <c r="DT107" s="659"/>
      <c r="DU107" s="660" t="s">
        <v>547</v>
      </c>
      <c r="DV107" s="777">
        <f t="shared" si="185"/>
        <v>2500</v>
      </c>
      <c r="DW107" s="777">
        <f t="shared" si="185"/>
        <v>2500</v>
      </c>
      <c r="DX107" s="777">
        <f t="shared" si="185"/>
        <v>0</v>
      </c>
      <c r="DY107" s="777">
        <f t="shared" si="185"/>
        <v>0</v>
      </c>
      <c r="DZ107" s="777">
        <f t="shared" si="185"/>
        <v>0</v>
      </c>
      <c r="EA107" s="777">
        <f t="shared" si="185"/>
        <v>0</v>
      </c>
      <c r="EB107" s="777">
        <f t="shared" si="185"/>
        <v>0</v>
      </c>
      <c r="EC107" s="777">
        <f t="shared" si="185"/>
        <v>0</v>
      </c>
      <c r="ED107" s="777">
        <f t="shared" si="185"/>
        <v>0</v>
      </c>
      <c r="EE107" s="777">
        <f t="shared" si="185"/>
        <v>2500</v>
      </c>
      <c r="EF107" s="777">
        <f t="shared" si="185"/>
        <v>0</v>
      </c>
      <c r="EG107" s="777">
        <f t="shared" si="185"/>
        <v>0</v>
      </c>
      <c r="EH107" s="777">
        <f t="shared" si="185"/>
        <v>0</v>
      </c>
      <c r="EI107" s="777">
        <f t="shared" si="185"/>
        <v>0</v>
      </c>
      <c r="EJ107" s="777">
        <f t="shared" si="185"/>
        <v>0</v>
      </c>
      <c r="EK107" s="777">
        <f t="shared" si="185"/>
        <v>0</v>
      </c>
      <c r="EL107" s="777">
        <f t="shared" si="186"/>
        <v>0</v>
      </c>
      <c r="EM107" s="777">
        <f t="shared" si="186"/>
        <v>0</v>
      </c>
      <c r="EN107" s="777">
        <f t="shared" si="186"/>
        <v>0</v>
      </c>
      <c r="EO107" s="777">
        <f t="shared" si="186"/>
        <v>0</v>
      </c>
      <c r="EP107" s="777">
        <f t="shared" si="186"/>
        <v>0</v>
      </c>
      <c r="EQ107" s="777">
        <f t="shared" si="186"/>
        <v>0</v>
      </c>
      <c r="ER107" s="777">
        <f t="shared" si="186"/>
        <v>0</v>
      </c>
      <c r="ES107" s="777">
        <f t="shared" si="186"/>
        <v>0</v>
      </c>
      <c r="ET107" s="777">
        <f t="shared" si="186"/>
        <v>0</v>
      </c>
      <c r="EU107" s="777">
        <f t="shared" si="186"/>
        <v>0</v>
      </c>
      <c r="EV107" s="777">
        <f t="shared" si="186"/>
        <v>0</v>
      </c>
    </row>
    <row r="108" spans="1:153" ht="33.75" hidden="1" customHeight="1">
      <c r="A108" s="659"/>
      <c r="B108" s="751" t="s">
        <v>549</v>
      </c>
      <c r="C108" s="661">
        <f t="shared" si="175"/>
        <v>83</v>
      </c>
      <c r="D108" s="661">
        <f t="shared" si="176"/>
        <v>83</v>
      </c>
      <c r="E108" s="661"/>
      <c r="F108" s="661">
        <v>83</v>
      </c>
      <c r="G108" s="661"/>
      <c r="H108" s="661">
        <f>82-82</f>
        <v>0</v>
      </c>
      <c r="I108" s="661">
        <f>9-9</f>
        <v>0</v>
      </c>
      <c r="J108" s="661">
        <f>9-9</f>
        <v>0</v>
      </c>
      <c r="K108" s="646">
        <f t="shared" ref="K108:K112" si="188">L108-AD108</f>
        <v>2000</v>
      </c>
      <c r="L108" s="662">
        <f t="shared" si="177"/>
        <v>2000</v>
      </c>
      <c r="M108" s="662">
        <v>2000</v>
      </c>
      <c r="N108" s="662"/>
      <c r="O108" s="662"/>
      <c r="P108" s="662"/>
      <c r="Q108" s="662"/>
      <c r="R108" s="666">
        <f t="shared" si="158"/>
        <v>0</v>
      </c>
      <c r="S108" s="666"/>
      <c r="T108" s="666">
        <f t="shared" si="165"/>
        <v>0</v>
      </c>
      <c r="U108" s="666">
        <f t="shared" si="159"/>
        <v>2000</v>
      </c>
      <c r="V108" s="662"/>
      <c r="W108" s="662"/>
      <c r="X108" s="662"/>
      <c r="Y108" s="666">
        <f t="shared" si="160"/>
        <v>0</v>
      </c>
      <c r="Z108" s="666">
        <f t="shared" si="145"/>
        <v>0</v>
      </c>
      <c r="AA108" s="666"/>
      <c r="AB108" s="666">
        <f t="shared" si="161"/>
        <v>0</v>
      </c>
      <c r="AC108" s="666">
        <f t="shared" si="162"/>
        <v>0</v>
      </c>
      <c r="AD108" s="662"/>
      <c r="AE108" s="662"/>
      <c r="AF108" s="662"/>
      <c r="AG108" s="662"/>
      <c r="AH108" s="662"/>
      <c r="AI108" s="662"/>
      <c r="AJ108" s="662"/>
      <c r="AK108" s="662"/>
      <c r="AL108" s="664"/>
      <c r="AN108" s="610"/>
      <c r="AO108" s="659"/>
      <c r="AP108" s="751" t="s">
        <v>549</v>
      </c>
      <c r="AQ108" s="661">
        <f t="shared" si="178"/>
        <v>91</v>
      </c>
      <c r="AR108" s="661">
        <f t="shared" si="179"/>
        <v>82</v>
      </c>
      <c r="AS108" s="661"/>
      <c r="AT108" s="661">
        <v>82</v>
      </c>
      <c r="AU108" s="661"/>
      <c r="AV108" s="661">
        <v>80</v>
      </c>
      <c r="AW108" s="661">
        <v>9</v>
      </c>
      <c r="AX108" s="661">
        <v>9</v>
      </c>
      <c r="AY108" s="662">
        <f t="shared" si="180"/>
        <v>0</v>
      </c>
      <c r="AZ108" s="665"/>
      <c r="BA108" s="662"/>
      <c r="BB108" s="662"/>
      <c r="BC108" s="662"/>
      <c r="BD108" s="662"/>
      <c r="BE108" s="666">
        <f t="shared" si="181"/>
        <v>0</v>
      </c>
      <c r="BF108" s="667">
        <f t="shared" ref="BF108:BF120" si="189">ROUND(BE108,0)</f>
        <v>0</v>
      </c>
      <c r="BG108" s="666">
        <f t="shared" si="182"/>
        <v>0</v>
      </c>
      <c r="BH108" s="662"/>
      <c r="BI108" s="662"/>
      <c r="BJ108" s="662"/>
      <c r="BK108" s="662"/>
      <c r="BL108" s="666">
        <f t="shared" si="187"/>
        <v>0</v>
      </c>
      <c r="BM108" s="667">
        <f t="shared" si="183"/>
        <v>0</v>
      </c>
      <c r="BN108" s="666">
        <f t="shared" si="184"/>
        <v>0</v>
      </c>
      <c r="BO108" s="662"/>
      <c r="BP108" s="662"/>
      <c r="BQ108" s="662">
        <f>20626-17</f>
        <v>20609</v>
      </c>
      <c r="BR108" s="662"/>
      <c r="BS108" s="662"/>
      <c r="BT108" s="662"/>
      <c r="BU108" s="662"/>
      <c r="BV108" s="662"/>
      <c r="BW108" s="662"/>
      <c r="CA108" s="1352"/>
      <c r="CB108" s="1352" t="s">
        <v>549</v>
      </c>
      <c r="CC108" s="1352">
        <v>92</v>
      </c>
      <c r="CD108" s="1352">
        <v>83</v>
      </c>
      <c r="CE108" s="1352"/>
      <c r="CF108" s="1352">
        <v>83</v>
      </c>
      <c r="CG108" s="1352"/>
      <c r="CH108" s="1352">
        <v>82</v>
      </c>
      <c r="CI108" s="1352">
        <v>9</v>
      </c>
      <c r="CJ108" s="1352">
        <v>9</v>
      </c>
      <c r="CK108" s="1353">
        <v>0</v>
      </c>
      <c r="CL108" s="1353"/>
      <c r="CM108" s="1354"/>
      <c r="CN108" s="1354"/>
      <c r="CO108" s="1354"/>
      <c r="CP108" s="1354"/>
      <c r="CQ108" s="1354">
        <v>0</v>
      </c>
      <c r="CR108" s="1354"/>
      <c r="CS108" s="1354">
        <v>0</v>
      </c>
      <c r="CT108" s="1353">
        <v>0</v>
      </c>
      <c r="CU108" s="1353"/>
      <c r="CV108" s="1353"/>
      <c r="CW108" s="1353"/>
      <c r="CX108" s="1353">
        <v>0</v>
      </c>
      <c r="CY108" s="1353">
        <v>0</v>
      </c>
      <c r="CZ108" s="1353"/>
      <c r="DA108" s="1353">
        <v>0</v>
      </c>
      <c r="DB108" s="1353">
        <v>0</v>
      </c>
      <c r="DC108" s="1353"/>
      <c r="DD108" s="1353"/>
      <c r="DE108" s="1353"/>
      <c r="DF108" s="1353"/>
      <c r="DG108" s="1353"/>
      <c r="DH108" s="1353"/>
      <c r="DI108" s="1353"/>
      <c r="DJ108" s="1353"/>
      <c r="DK108" s="1353"/>
      <c r="DT108" s="659"/>
      <c r="DU108" s="751" t="s">
        <v>549</v>
      </c>
      <c r="DV108" s="777">
        <f t="shared" si="185"/>
        <v>2000</v>
      </c>
      <c r="DW108" s="777">
        <f t="shared" si="185"/>
        <v>2000</v>
      </c>
      <c r="DX108" s="777">
        <f t="shared" si="185"/>
        <v>0</v>
      </c>
      <c r="DY108" s="777">
        <f t="shared" si="185"/>
        <v>0</v>
      </c>
      <c r="DZ108" s="777">
        <f t="shared" si="185"/>
        <v>0</v>
      </c>
      <c r="EA108" s="777">
        <f t="shared" si="185"/>
        <v>0</v>
      </c>
      <c r="EB108" s="777">
        <f t="shared" si="185"/>
        <v>0</v>
      </c>
      <c r="EC108" s="777">
        <f t="shared" si="185"/>
        <v>0</v>
      </c>
      <c r="ED108" s="777">
        <f t="shared" si="185"/>
        <v>0</v>
      </c>
      <c r="EE108" s="777">
        <f t="shared" si="185"/>
        <v>2000</v>
      </c>
      <c r="EF108" s="777">
        <f t="shared" si="185"/>
        <v>0</v>
      </c>
      <c r="EG108" s="777">
        <f t="shared" si="185"/>
        <v>0</v>
      </c>
      <c r="EH108" s="777">
        <f t="shared" si="185"/>
        <v>0</v>
      </c>
      <c r="EI108" s="777">
        <f t="shared" si="185"/>
        <v>0</v>
      </c>
      <c r="EJ108" s="777">
        <f t="shared" si="185"/>
        <v>0</v>
      </c>
      <c r="EK108" s="777">
        <f t="shared" si="185"/>
        <v>0</v>
      </c>
      <c r="EL108" s="777">
        <f t="shared" si="186"/>
        <v>0</v>
      </c>
      <c r="EM108" s="777">
        <f t="shared" si="186"/>
        <v>0</v>
      </c>
      <c r="EN108" s="777">
        <f t="shared" si="186"/>
        <v>0</v>
      </c>
      <c r="EO108" s="777">
        <f t="shared" si="186"/>
        <v>0</v>
      </c>
      <c r="EP108" s="777">
        <f t="shared" si="186"/>
        <v>0</v>
      </c>
      <c r="EQ108" s="777">
        <f t="shared" si="186"/>
        <v>0</v>
      </c>
      <c r="ER108" s="777">
        <f t="shared" si="186"/>
        <v>0</v>
      </c>
      <c r="ES108" s="777">
        <f t="shared" si="186"/>
        <v>0</v>
      </c>
      <c r="ET108" s="777">
        <f t="shared" si="186"/>
        <v>0</v>
      </c>
      <c r="EU108" s="777">
        <f t="shared" si="186"/>
        <v>0</v>
      </c>
      <c r="EV108" s="777">
        <f t="shared" si="186"/>
        <v>0</v>
      </c>
    </row>
    <row r="109" spans="1:153" ht="29.25" hidden="1" customHeight="1">
      <c r="A109" s="659"/>
      <c r="B109" s="751" t="s">
        <v>550</v>
      </c>
      <c r="C109" s="661">
        <f t="shared" si="175"/>
        <v>0</v>
      </c>
      <c r="D109" s="661">
        <f t="shared" si="176"/>
        <v>0</v>
      </c>
      <c r="E109" s="661"/>
      <c r="F109" s="661">
        <f>235-235</f>
        <v>0</v>
      </c>
      <c r="G109" s="661"/>
      <c r="H109" s="661">
        <f>235-235</f>
        <v>0</v>
      </c>
      <c r="I109" s="661">
        <f>19-19</f>
        <v>0</v>
      </c>
      <c r="J109" s="661">
        <f>19-19</f>
        <v>0</v>
      </c>
      <c r="K109" s="646">
        <f t="shared" si="188"/>
        <v>0</v>
      </c>
      <c r="L109" s="662">
        <f t="shared" ref="L109" si="190">U109+AC109+AD109+AE109</f>
        <v>0</v>
      </c>
      <c r="M109" s="662"/>
      <c r="N109" s="662"/>
      <c r="O109" s="662"/>
      <c r="P109" s="662"/>
      <c r="Q109" s="662"/>
      <c r="R109" s="666">
        <f t="shared" si="158"/>
        <v>0</v>
      </c>
      <c r="S109" s="666"/>
      <c r="T109" s="666">
        <f t="shared" si="165"/>
        <v>0</v>
      </c>
      <c r="U109" s="666">
        <f t="shared" si="159"/>
        <v>0</v>
      </c>
      <c r="V109" s="662"/>
      <c r="W109" s="662"/>
      <c r="X109" s="662"/>
      <c r="Y109" s="666">
        <f t="shared" si="160"/>
        <v>0</v>
      </c>
      <c r="Z109" s="666">
        <f t="shared" si="145"/>
        <v>0</v>
      </c>
      <c r="AA109" s="666"/>
      <c r="AB109" s="666">
        <f t="shared" si="161"/>
        <v>0</v>
      </c>
      <c r="AC109" s="666">
        <f t="shared" si="162"/>
        <v>0</v>
      </c>
      <c r="AD109" s="662"/>
      <c r="AE109" s="662"/>
      <c r="AF109" s="662"/>
      <c r="AG109" s="662"/>
      <c r="AH109" s="662"/>
      <c r="AI109" s="662"/>
      <c r="AJ109" s="662"/>
      <c r="AK109" s="662"/>
      <c r="AL109" s="664"/>
      <c r="AN109" s="610"/>
      <c r="AO109" s="659"/>
      <c r="AP109" s="751" t="s">
        <v>550</v>
      </c>
      <c r="AQ109" s="661">
        <f t="shared" si="178"/>
        <v>258</v>
      </c>
      <c r="AR109" s="661">
        <f t="shared" si="179"/>
        <v>238</v>
      </c>
      <c r="AS109" s="661"/>
      <c r="AT109" s="661">
        <v>238</v>
      </c>
      <c r="AU109" s="661"/>
      <c r="AV109" s="661">
        <v>218</v>
      </c>
      <c r="AW109" s="661">
        <v>20</v>
      </c>
      <c r="AX109" s="661">
        <v>20</v>
      </c>
      <c r="AY109" s="662">
        <f t="shared" si="180"/>
        <v>0</v>
      </c>
      <c r="AZ109" s="665"/>
      <c r="BA109" s="662"/>
      <c r="BB109" s="662"/>
      <c r="BC109" s="662"/>
      <c r="BD109" s="662"/>
      <c r="BE109" s="666">
        <f t="shared" si="181"/>
        <v>0</v>
      </c>
      <c r="BF109" s="667">
        <f t="shared" si="189"/>
        <v>0</v>
      </c>
      <c r="BG109" s="666">
        <f t="shared" si="182"/>
        <v>0</v>
      </c>
      <c r="BH109" s="662"/>
      <c r="BI109" s="662"/>
      <c r="BJ109" s="662"/>
      <c r="BK109" s="662"/>
      <c r="BL109" s="666">
        <f t="shared" si="187"/>
        <v>0</v>
      </c>
      <c r="BM109" s="667">
        <f t="shared" si="183"/>
        <v>0</v>
      </c>
      <c r="BN109" s="666">
        <f t="shared" si="184"/>
        <v>0</v>
      </c>
      <c r="BO109" s="662"/>
      <c r="BP109" s="662"/>
      <c r="BQ109" s="662">
        <f>78456-45</f>
        <v>78411</v>
      </c>
      <c r="BR109" s="662"/>
      <c r="BS109" s="662"/>
      <c r="BT109" s="662"/>
      <c r="BU109" s="662"/>
      <c r="BV109" s="662"/>
      <c r="BW109" s="662"/>
      <c r="CA109" s="1352"/>
      <c r="CB109" s="1352" t="s">
        <v>550</v>
      </c>
      <c r="CC109" s="1352">
        <v>254</v>
      </c>
      <c r="CD109" s="1352">
        <v>235</v>
      </c>
      <c r="CE109" s="1352"/>
      <c r="CF109" s="1352">
        <v>235</v>
      </c>
      <c r="CG109" s="1352"/>
      <c r="CH109" s="1352">
        <v>235</v>
      </c>
      <c r="CI109" s="1352">
        <v>19</v>
      </c>
      <c r="CJ109" s="1352">
        <v>19</v>
      </c>
      <c r="CK109" s="1353">
        <v>0</v>
      </c>
      <c r="CL109" s="1353"/>
      <c r="CM109" s="1354"/>
      <c r="CN109" s="1354"/>
      <c r="CO109" s="1354"/>
      <c r="CP109" s="1354"/>
      <c r="CQ109" s="1354">
        <v>0</v>
      </c>
      <c r="CR109" s="1354"/>
      <c r="CS109" s="1354">
        <v>0</v>
      </c>
      <c r="CT109" s="1353">
        <v>0</v>
      </c>
      <c r="CU109" s="1353"/>
      <c r="CV109" s="1353"/>
      <c r="CW109" s="1353"/>
      <c r="CX109" s="1353">
        <v>0</v>
      </c>
      <c r="CY109" s="1353">
        <v>0</v>
      </c>
      <c r="CZ109" s="1353"/>
      <c r="DA109" s="1353">
        <v>0</v>
      </c>
      <c r="DB109" s="1353">
        <v>0</v>
      </c>
      <c r="DC109" s="1353"/>
      <c r="DD109" s="1353"/>
      <c r="DE109" s="1353"/>
      <c r="DF109" s="1353"/>
      <c r="DG109" s="1353"/>
      <c r="DH109" s="1353"/>
      <c r="DI109" s="1353"/>
      <c r="DJ109" s="1353"/>
      <c r="DK109" s="1353"/>
      <c r="DT109" s="659"/>
      <c r="DU109" s="751" t="s">
        <v>550</v>
      </c>
      <c r="DV109" s="777">
        <f t="shared" si="185"/>
        <v>0</v>
      </c>
      <c r="DW109" s="777">
        <f t="shared" si="185"/>
        <v>0</v>
      </c>
      <c r="DX109" s="777">
        <f t="shared" si="185"/>
        <v>0</v>
      </c>
      <c r="DY109" s="777">
        <f t="shared" si="185"/>
        <v>0</v>
      </c>
      <c r="DZ109" s="777">
        <f t="shared" si="185"/>
        <v>0</v>
      </c>
      <c r="EA109" s="777">
        <f t="shared" si="185"/>
        <v>0</v>
      </c>
      <c r="EB109" s="777">
        <f t="shared" si="185"/>
        <v>0</v>
      </c>
      <c r="EC109" s="777">
        <f t="shared" si="185"/>
        <v>0</v>
      </c>
      <c r="ED109" s="777">
        <f t="shared" si="185"/>
        <v>0</v>
      </c>
      <c r="EE109" s="777">
        <f t="shared" si="185"/>
        <v>0</v>
      </c>
      <c r="EF109" s="777">
        <f t="shared" si="185"/>
        <v>0</v>
      </c>
      <c r="EG109" s="777">
        <f t="shared" si="185"/>
        <v>0</v>
      </c>
      <c r="EH109" s="777">
        <f t="shared" si="185"/>
        <v>0</v>
      </c>
      <c r="EI109" s="777">
        <f t="shared" si="185"/>
        <v>0</v>
      </c>
      <c r="EJ109" s="777">
        <f t="shared" si="185"/>
        <v>0</v>
      </c>
      <c r="EK109" s="777">
        <f t="shared" si="185"/>
        <v>0</v>
      </c>
      <c r="EL109" s="777">
        <f t="shared" si="186"/>
        <v>0</v>
      </c>
      <c r="EM109" s="777">
        <f t="shared" si="186"/>
        <v>0</v>
      </c>
      <c r="EN109" s="777">
        <f t="shared" si="186"/>
        <v>0</v>
      </c>
      <c r="EO109" s="777">
        <f t="shared" si="186"/>
        <v>0</v>
      </c>
      <c r="EP109" s="777">
        <f t="shared" si="186"/>
        <v>0</v>
      </c>
      <c r="EQ109" s="777">
        <f t="shared" si="186"/>
        <v>0</v>
      </c>
      <c r="ER109" s="777">
        <f t="shared" si="186"/>
        <v>0</v>
      </c>
      <c r="ES109" s="777">
        <f t="shared" si="186"/>
        <v>0</v>
      </c>
      <c r="ET109" s="777">
        <f t="shared" si="186"/>
        <v>0</v>
      </c>
      <c r="EU109" s="777">
        <f t="shared" si="186"/>
        <v>0</v>
      </c>
      <c r="EV109" s="777">
        <f t="shared" si="186"/>
        <v>0</v>
      </c>
    </row>
    <row r="110" spans="1:153" ht="29.25" hidden="1" customHeight="1">
      <c r="A110" s="659"/>
      <c r="B110" s="1377" t="s">
        <v>955</v>
      </c>
      <c r="C110" s="661"/>
      <c r="D110" s="661"/>
      <c r="E110" s="661"/>
      <c r="F110" s="661"/>
      <c r="G110" s="661"/>
      <c r="H110" s="661"/>
      <c r="I110" s="661"/>
      <c r="J110" s="661"/>
      <c r="K110" s="646">
        <f t="shared" si="188"/>
        <v>0</v>
      </c>
      <c r="L110" s="662"/>
      <c r="M110" s="662"/>
      <c r="N110" s="662"/>
      <c r="O110" s="662"/>
      <c r="P110" s="662"/>
      <c r="Q110" s="662"/>
      <c r="R110" s="666"/>
      <c r="S110" s="666"/>
      <c r="T110" s="666"/>
      <c r="U110" s="666">
        <f t="shared" si="159"/>
        <v>0</v>
      </c>
      <c r="V110" s="662"/>
      <c r="W110" s="662"/>
      <c r="X110" s="662"/>
      <c r="Y110" s="666"/>
      <c r="Z110" s="666"/>
      <c r="AA110" s="666"/>
      <c r="AB110" s="666"/>
      <c r="AC110" s="666"/>
      <c r="AD110" s="662"/>
      <c r="AE110" s="662"/>
      <c r="AF110" s="662"/>
      <c r="AG110" s="662"/>
      <c r="AH110" s="662"/>
      <c r="AI110" s="662"/>
      <c r="AJ110" s="662"/>
      <c r="AK110" s="662"/>
      <c r="AL110" s="664"/>
      <c r="AN110" s="610"/>
      <c r="AO110" s="659"/>
      <c r="AP110" s="751"/>
      <c r="AQ110" s="661"/>
      <c r="AR110" s="661"/>
      <c r="AS110" s="661"/>
      <c r="AT110" s="661"/>
      <c r="AU110" s="661"/>
      <c r="AV110" s="661"/>
      <c r="AW110" s="661"/>
      <c r="AX110" s="661"/>
      <c r="AY110" s="662"/>
      <c r="AZ110" s="665"/>
      <c r="BA110" s="662"/>
      <c r="BB110" s="662"/>
      <c r="BC110" s="662"/>
      <c r="BD110" s="662"/>
      <c r="BE110" s="666"/>
      <c r="BF110" s="667"/>
      <c r="BG110" s="666"/>
      <c r="BH110" s="662"/>
      <c r="BI110" s="662"/>
      <c r="BJ110" s="662"/>
      <c r="BK110" s="662"/>
      <c r="BL110" s="666"/>
      <c r="BM110" s="667"/>
      <c r="BN110" s="666"/>
      <c r="BO110" s="662"/>
      <c r="BP110" s="662"/>
      <c r="BQ110" s="662"/>
      <c r="BR110" s="662"/>
      <c r="BS110" s="662"/>
      <c r="BT110" s="662"/>
      <c r="BU110" s="662"/>
      <c r="BV110" s="662"/>
      <c r="BW110" s="662"/>
      <c r="CA110" s="1352"/>
      <c r="CB110" s="1352"/>
      <c r="CC110" s="1352"/>
      <c r="CD110" s="1352"/>
      <c r="CE110" s="1352"/>
      <c r="CF110" s="1352"/>
      <c r="CG110" s="1352"/>
      <c r="CH110" s="1352"/>
      <c r="CI110" s="1352"/>
      <c r="CJ110" s="1352"/>
      <c r="CK110" s="1353"/>
      <c r="CL110" s="1353"/>
      <c r="CM110" s="1354"/>
      <c r="CN110" s="1354"/>
      <c r="CO110" s="1354"/>
      <c r="CP110" s="1354"/>
      <c r="CQ110" s="1354"/>
      <c r="CR110" s="1354"/>
      <c r="CS110" s="1354"/>
      <c r="CT110" s="1353"/>
      <c r="CU110" s="1353"/>
      <c r="CV110" s="1353"/>
      <c r="CW110" s="1353"/>
      <c r="CX110" s="1353"/>
      <c r="CY110" s="1353"/>
      <c r="CZ110" s="1353"/>
      <c r="DA110" s="1353"/>
      <c r="DB110" s="1353"/>
      <c r="DC110" s="1353"/>
      <c r="DD110" s="1353"/>
      <c r="DE110" s="1353"/>
      <c r="DF110" s="1353"/>
      <c r="DG110" s="1353"/>
      <c r="DH110" s="1353"/>
      <c r="DI110" s="1353"/>
      <c r="DJ110" s="1353"/>
      <c r="DK110" s="1353"/>
      <c r="DT110" s="659"/>
      <c r="DU110" s="751"/>
      <c r="DV110" s="777"/>
      <c r="DW110" s="777"/>
      <c r="DX110" s="777"/>
      <c r="DY110" s="777"/>
      <c r="DZ110" s="777"/>
      <c r="EA110" s="777"/>
      <c r="EB110" s="777"/>
      <c r="EC110" s="777"/>
      <c r="ED110" s="777"/>
      <c r="EE110" s="777"/>
      <c r="EF110" s="777"/>
      <c r="EG110" s="777"/>
      <c r="EH110" s="777"/>
      <c r="EI110" s="777"/>
      <c r="EJ110" s="777"/>
      <c r="EK110" s="777"/>
      <c r="EL110" s="777"/>
      <c r="EM110" s="777"/>
      <c r="EN110" s="777"/>
      <c r="EO110" s="777"/>
      <c r="EP110" s="777"/>
      <c r="EQ110" s="777"/>
      <c r="ER110" s="777"/>
      <c r="ES110" s="777"/>
      <c r="ET110" s="777"/>
      <c r="EU110" s="777"/>
      <c r="EV110" s="777"/>
    </row>
    <row r="111" spans="1:153" ht="29.25" hidden="1" customHeight="1">
      <c r="A111" s="659"/>
      <c r="B111" s="1377" t="s">
        <v>956</v>
      </c>
      <c r="C111" s="661"/>
      <c r="D111" s="661"/>
      <c r="E111" s="661"/>
      <c r="F111" s="661"/>
      <c r="G111" s="661"/>
      <c r="H111" s="661"/>
      <c r="I111" s="661"/>
      <c r="J111" s="661"/>
      <c r="K111" s="646">
        <f t="shared" si="188"/>
        <v>0</v>
      </c>
      <c r="L111" s="662"/>
      <c r="M111" s="662"/>
      <c r="N111" s="662"/>
      <c r="O111" s="662"/>
      <c r="P111" s="662"/>
      <c r="Q111" s="662"/>
      <c r="R111" s="666"/>
      <c r="S111" s="666"/>
      <c r="T111" s="666"/>
      <c r="U111" s="666"/>
      <c r="V111" s="662"/>
      <c r="W111" s="662"/>
      <c r="X111" s="662"/>
      <c r="Y111" s="666"/>
      <c r="Z111" s="666"/>
      <c r="AA111" s="666"/>
      <c r="AB111" s="666"/>
      <c r="AC111" s="666"/>
      <c r="AD111" s="662"/>
      <c r="AE111" s="662"/>
      <c r="AF111" s="662"/>
      <c r="AG111" s="662"/>
      <c r="AH111" s="662"/>
      <c r="AI111" s="662"/>
      <c r="AJ111" s="662"/>
      <c r="AK111" s="662"/>
      <c r="AL111" s="664"/>
      <c r="AN111" s="610"/>
      <c r="AO111" s="659"/>
      <c r="AP111" s="751"/>
      <c r="AQ111" s="661"/>
      <c r="AR111" s="661"/>
      <c r="AS111" s="661"/>
      <c r="AT111" s="661"/>
      <c r="AU111" s="661"/>
      <c r="AV111" s="661"/>
      <c r="AW111" s="661"/>
      <c r="AX111" s="661"/>
      <c r="AY111" s="662"/>
      <c r="AZ111" s="665"/>
      <c r="BA111" s="662"/>
      <c r="BB111" s="662"/>
      <c r="BC111" s="662"/>
      <c r="BD111" s="662"/>
      <c r="BE111" s="666"/>
      <c r="BF111" s="667"/>
      <c r="BG111" s="666"/>
      <c r="BH111" s="662"/>
      <c r="BI111" s="662"/>
      <c r="BJ111" s="662"/>
      <c r="BK111" s="662"/>
      <c r="BL111" s="666"/>
      <c r="BM111" s="667"/>
      <c r="BN111" s="666"/>
      <c r="BO111" s="662"/>
      <c r="BP111" s="662"/>
      <c r="BQ111" s="662"/>
      <c r="BR111" s="662"/>
      <c r="BS111" s="662"/>
      <c r="BT111" s="662"/>
      <c r="BU111" s="662"/>
      <c r="BV111" s="662"/>
      <c r="BW111" s="662"/>
      <c r="CA111" s="1352"/>
      <c r="CB111" s="1352"/>
      <c r="CC111" s="1352"/>
      <c r="CD111" s="1352"/>
      <c r="CE111" s="1352"/>
      <c r="CF111" s="1352"/>
      <c r="CG111" s="1352"/>
      <c r="CH111" s="1352"/>
      <c r="CI111" s="1352"/>
      <c r="CJ111" s="1352"/>
      <c r="CK111" s="1353"/>
      <c r="CL111" s="1353"/>
      <c r="CM111" s="1354"/>
      <c r="CN111" s="1354"/>
      <c r="CO111" s="1354"/>
      <c r="CP111" s="1354"/>
      <c r="CQ111" s="1354"/>
      <c r="CR111" s="1354"/>
      <c r="CS111" s="1354"/>
      <c r="CT111" s="1353"/>
      <c r="CU111" s="1353"/>
      <c r="CV111" s="1353"/>
      <c r="CW111" s="1353"/>
      <c r="CX111" s="1353"/>
      <c r="CY111" s="1353"/>
      <c r="CZ111" s="1353"/>
      <c r="DA111" s="1353"/>
      <c r="DB111" s="1353"/>
      <c r="DC111" s="1353"/>
      <c r="DD111" s="1353"/>
      <c r="DE111" s="1353"/>
      <c r="DF111" s="1353"/>
      <c r="DG111" s="1353"/>
      <c r="DH111" s="1353"/>
      <c r="DI111" s="1353"/>
      <c r="DJ111" s="1353"/>
      <c r="DK111" s="1353"/>
      <c r="DT111" s="659"/>
      <c r="DU111" s="751"/>
      <c r="DV111" s="777"/>
      <c r="DW111" s="777"/>
      <c r="DX111" s="777"/>
      <c r="DY111" s="777"/>
      <c r="DZ111" s="777"/>
      <c r="EA111" s="777"/>
      <c r="EB111" s="777"/>
      <c r="EC111" s="777"/>
      <c r="ED111" s="777"/>
      <c r="EE111" s="777"/>
      <c r="EF111" s="777"/>
      <c r="EG111" s="777"/>
      <c r="EH111" s="777"/>
      <c r="EI111" s="777"/>
      <c r="EJ111" s="777"/>
      <c r="EK111" s="777"/>
      <c r="EL111" s="777"/>
      <c r="EM111" s="777"/>
      <c r="EN111" s="777"/>
      <c r="EO111" s="777"/>
      <c r="EP111" s="777"/>
      <c r="EQ111" s="777"/>
      <c r="ER111" s="777"/>
      <c r="ES111" s="777"/>
      <c r="ET111" s="777"/>
      <c r="EU111" s="777"/>
      <c r="EV111" s="777"/>
    </row>
    <row r="112" spans="1:153" ht="33" hidden="1" customHeight="1">
      <c r="A112" s="659"/>
      <c r="B112" s="751" t="s">
        <v>551</v>
      </c>
      <c r="C112" s="661">
        <f t="shared" si="175"/>
        <v>108</v>
      </c>
      <c r="D112" s="661">
        <f t="shared" si="176"/>
        <v>100</v>
      </c>
      <c r="E112" s="661"/>
      <c r="F112" s="661">
        <v>100</v>
      </c>
      <c r="G112" s="661"/>
      <c r="H112" s="661">
        <v>82</v>
      </c>
      <c r="I112" s="661">
        <v>8</v>
      </c>
      <c r="J112" s="661">
        <v>8</v>
      </c>
      <c r="K112" s="646">
        <f t="shared" si="188"/>
        <v>7858</v>
      </c>
      <c r="L112" s="662">
        <f t="shared" si="177"/>
        <v>7858</v>
      </c>
      <c r="M112" s="662">
        <f>7800+58</f>
        <v>7858</v>
      </c>
      <c r="N112" s="662"/>
      <c r="O112" s="662"/>
      <c r="P112" s="662"/>
      <c r="Q112" s="662"/>
      <c r="R112" s="666">
        <f t="shared" si="158"/>
        <v>0</v>
      </c>
      <c r="S112" s="666"/>
      <c r="T112" s="666">
        <f t="shared" si="165"/>
        <v>0</v>
      </c>
      <c r="U112" s="666">
        <f t="shared" si="159"/>
        <v>7858</v>
      </c>
      <c r="V112" s="662"/>
      <c r="W112" s="662"/>
      <c r="X112" s="662"/>
      <c r="Y112" s="666">
        <f t="shared" si="160"/>
        <v>0</v>
      </c>
      <c r="Z112" s="666">
        <f t="shared" si="145"/>
        <v>0</v>
      </c>
      <c r="AA112" s="666"/>
      <c r="AB112" s="666">
        <f t="shared" si="161"/>
        <v>0</v>
      </c>
      <c r="AC112" s="666">
        <f t="shared" si="162"/>
        <v>0</v>
      </c>
      <c r="AD112" s="662"/>
      <c r="AE112" s="662"/>
      <c r="AF112" s="662"/>
      <c r="AG112" s="662"/>
      <c r="AH112" s="662"/>
      <c r="AI112" s="662"/>
      <c r="AJ112" s="662"/>
      <c r="AK112" s="662"/>
      <c r="AL112" s="664"/>
      <c r="AN112" s="610"/>
      <c r="AO112" s="659"/>
      <c r="AP112" s="751" t="s">
        <v>551</v>
      </c>
      <c r="AQ112" s="661">
        <f t="shared" si="178"/>
        <v>86</v>
      </c>
      <c r="AR112" s="661">
        <f t="shared" si="179"/>
        <v>77</v>
      </c>
      <c r="AS112" s="661"/>
      <c r="AT112" s="661">
        <v>77</v>
      </c>
      <c r="AU112" s="661"/>
      <c r="AV112" s="661">
        <v>76</v>
      </c>
      <c r="AW112" s="661">
        <v>9</v>
      </c>
      <c r="AX112" s="661">
        <v>9</v>
      </c>
      <c r="AY112" s="662">
        <f t="shared" si="180"/>
        <v>4600</v>
      </c>
      <c r="AZ112" s="665">
        <f>6292-1692</f>
        <v>4600</v>
      </c>
      <c r="BA112" s="662"/>
      <c r="BB112" s="662"/>
      <c r="BC112" s="662"/>
      <c r="BD112" s="662"/>
      <c r="BE112" s="666">
        <f t="shared" si="181"/>
        <v>0</v>
      </c>
      <c r="BF112" s="667">
        <f t="shared" si="189"/>
        <v>0</v>
      </c>
      <c r="BG112" s="666">
        <f t="shared" si="182"/>
        <v>4600</v>
      </c>
      <c r="BH112" s="662"/>
      <c r="BI112" s="662"/>
      <c r="BJ112" s="662"/>
      <c r="BK112" s="662"/>
      <c r="BL112" s="666">
        <f t="shared" si="187"/>
        <v>0</v>
      </c>
      <c r="BM112" s="667">
        <f t="shared" si="183"/>
        <v>0</v>
      </c>
      <c r="BN112" s="666">
        <f t="shared" si="184"/>
        <v>0</v>
      </c>
      <c r="BO112" s="662"/>
      <c r="BP112" s="662"/>
      <c r="BQ112" s="662">
        <f>5085</f>
        <v>5085</v>
      </c>
      <c r="BR112" s="662"/>
      <c r="BS112" s="662"/>
      <c r="BT112" s="662"/>
      <c r="BU112" s="662"/>
      <c r="BV112" s="662"/>
      <c r="BW112" s="662"/>
      <c r="CA112" s="1352"/>
      <c r="CB112" s="1352" t="s">
        <v>551</v>
      </c>
      <c r="CC112" s="1352">
        <v>108</v>
      </c>
      <c r="CD112" s="1352">
        <v>100</v>
      </c>
      <c r="CE112" s="1352"/>
      <c r="CF112" s="1352">
        <v>100</v>
      </c>
      <c r="CG112" s="1352"/>
      <c r="CH112" s="1352">
        <v>82</v>
      </c>
      <c r="CI112" s="1352">
        <v>8</v>
      </c>
      <c r="CJ112" s="1352">
        <v>8</v>
      </c>
      <c r="CK112" s="1353">
        <v>4600</v>
      </c>
      <c r="CL112" s="1353">
        <v>4600</v>
      </c>
      <c r="CM112" s="1354"/>
      <c r="CN112" s="1354"/>
      <c r="CO112" s="1354"/>
      <c r="CP112" s="1354"/>
      <c r="CQ112" s="1354">
        <v>0</v>
      </c>
      <c r="CR112" s="1354"/>
      <c r="CS112" s="1354">
        <v>0</v>
      </c>
      <c r="CT112" s="1353">
        <v>4600</v>
      </c>
      <c r="CU112" s="1353"/>
      <c r="CV112" s="1353"/>
      <c r="CW112" s="1353"/>
      <c r="CX112" s="1353">
        <v>0</v>
      </c>
      <c r="CY112" s="1353">
        <v>0</v>
      </c>
      <c r="CZ112" s="1353"/>
      <c r="DA112" s="1353">
        <v>0</v>
      </c>
      <c r="DB112" s="1353">
        <v>0</v>
      </c>
      <c r="DC112" s="1353"/>
      <c r="DD112" s="1353"/>
      <c r="DE112" s="1353"/>
      <c r="DF112" s="1353"/>
      <c r="DG112" s="1353"/>
      <c r="DH112" s="1353"/>
      <c r="DI112" s="1353"/>
      <c r="DJ112" s="1353"/>
      <c r="DK112" s="1353"/>
      <c r="DT112" s="659"/>
      <c r="DU112" s="751" t="s">
        <v>551</v>
      </c>
      <c r="DV112" s="777">
        <f t="shared" si="185"/>
        <v>3258</v>
      </c>
      <c r="DW112" s="777">
        <f t="shared" si="185"/>
        <v>3258</v>
      </c>
      <c r="DX112" s="777">
        <f t="shared" si="185"/>
        <v>0</v>
      </c>
      <c r="DY112" s="777">
        <f t="shared" si="185"/>
        <v>0</v>
      </c>
      <c r="DZ112" s="777">
        <f t="shared" si="185"/>
        <v>0</v>
      </c>
      <c r="EA112" s="777">
        <f t="shared" si="185"/>
        <v>0</v>
      </c>
      <c r="EB112" s="777">
        <f t="shared" si="185"/>
        <v>0</v>
      </c>
      <c r="EC112" s="777">
        <f t="shared" si="185"/>
        <v>0</v>
      </c>
      <c r="ED112" s="777">
        <f t="shared" si="185"/>
        <v>0</v>
      </c>
      <c r="EE112" s="777">
        <f t="shared" si="185"/>
        <v>3258</v>
      </c>
      <c r="EF112" s="777">
        <f t="shared" si="185"/>
        <v>0</v>
      </c>
      <c r="EG112" s="777">
        <f t="shared" si="185"/>
        <v>0</v>
      </c>
      <c r="EH112" s="777">
        <f t="shared" si="185"/>
        <v>0</v>
      </c>
      <c r="EI112" s="777">
        <f t="shared" si="185"/>
        <v>0</v>
      </c>
      <c r="EJ112" s="777">
        <f t="shared" si="185"/>
        <v>0</v>
      </c>
      <c r="EK112" s="777">
        <f t="shared" si="185"/>
        <v>0</v>
      </c>
      <c r="EL112" s="777">
        <f t="shared" si="186"/>
        <v>0</v>
      </c>
      <c r="EM112" s="777">
        <f t="shared" si="186"/>
        <v>0</v>
      </c>
      <c r="EN112" s="777">
        <f t="shared" si="186"/>
        <v>0</v>
      </c>
      <c r="EO112" s="777">
        <f t="shared" si="186"/>
        <v>0</v>
      </c>
      <c r="EP112" s="777">
        <f t="shared" si="186"/>
        <v>0</v>
      </c>
      <c r="EQ112" s="777">
        <f t="shared" si="186"/>
        <v>0</v>
      </c>
      <c r="ER112" s="777">
        <f t="shared" si="186"/>
        <v>0</v>
      </c>
      <c r="ES112" s="777">
        <f t="shared" si="186"/>
        <v>0</v>
      </c>
      <c r="ET112" s="777">
        <f t="shared" si="186"/>
        <v>0</v>
      </c>
      <c r="EU112" s="777">
        <f t="shared" si="186"/>
        <v>0</v>
      </c>
      <c r="EV112" s="777">
        <f t="shared" si="186"/>
        <v>0</v>
      </c>
    </row>
    <row r="113" spans="1:152" ht="33" hidden="1" customHeight="1">
      <c r="A113" s="659"/>
      <c r="B113" s="751" t="s">
        <v>552</v>
      </c>
      <c r="C113" s="661">
        <f t="shared" si="175"/>
        <v>718</v>
      </c>
      <c r="D113" s="661">
        <f t="shared" si="176"/>
        <v>718</v>
      </c>
      <c r="E113" s="661"/>
      <c r="F113" s="661">
        <v>718</v>
      </c>
      <c r="G113" s="661"/>
      <c r="H113" s="661">
        <v>718</v>
      </c>
      <c r="I113" s="661"/>
      <c r="J113" s="661"/>
      <c r="K113" s="646">
        <f t="shared" si="117"/>
        <v>68942</v>
      </c>
      <c r="L113" s="662">
        <f t="shared" si="177"/>
        <v>68942</v>
      </c>
      <c r="M113" s="662">
        <v>42517</v>
      </c>
      <c r="N113" s="662">
        <v>10052</v>
      </c>
      <c r="O113" s="662"/>
      <c r="P113" s="662"/>
      <c r="Q113" s="662"/>
      <c r="R113" s="666">
        <f t="shared" si="158"/>
        <v>387.8</v>
      </c>
      <c r="S113" s="666">
        <v>517</v>
      </c>
      <c r="T113" s="666">
        <f t="shared" si="165"/>
        <v>905</v>
      </c>
      <c r="U113" s="666">
        <f t="shared" si="159"/>
        <v>51664</v>
      </c>
      <c r="V113" s="662">
        <v>17278</v>
      </c>
      <c r="W113" s="662"/>
      <c r="X113" s="662"/>
      <c r="Y113" s="666">
        <f t="shared" si="160"/>
        <v>0</v>
      </c>
      <c r="Z113" s="666">
        <f>(V113-17278)*10%</f>
        <v>0</v>
      </c>
      <c r="AA113" s="666"/>
      <c r="AB113" s="666">
        <f t="shared" si="161"/>
        <v>0</v>
      </c>
      <c r="AC113" s="666">
        <f t="shared" si="162"/>
        <v>17278</v>
      </c>
      <c r="AD113" s="662"/>
      <c r="AE113" s="662"/>
      <c r="AF113" s="662"/>
      <c r="AG113" s="662"/>
      <c r="AH113" s="662"/>
      <c r="AI113" s="662"/>
      <c r="AJ113" s="662"/>
      <c r="AK113" s="662"/>
      <c r="AL113" s="664"/>
      <c r="AN113" s="610">
        <v>63459</v>
      </c>
      <c r="AO113" s="659"/>
      <c r="AP113" s="751" t="s">
        <v>553</v>
      </c>
      <c r="AQ113" s="661">
        <f t="shared" si="178"/>
        <v>735</v>
      </c>
      <c r="AR113" s="661">
        <f t="shared" si="179"/>
        <v>735</v>
      </c>
      <c r="AS113" s="661"/>
      <c r="AT113" s="661">
        <v>735</v>
      </c>
      <c r="AU113" s="661"/>
      <c r="AV113" s="661">
        <v>725</v>
      </c>
      <c r="AW113" s="661"/>
      <c r="AX113" s="661"/>
      <c r="AY113" s="662">
        <f t="shared" si="180"/>
        <v>63459</v>
      </c>
      <c r="AZ113" s="665">
        <f>56746+287+147+350+372-16724</f>
        <v>41178</v>
      </c>
      <c r="BA113" s="662">
        <v>6174</v>
      </c>
      <c r="BB113" s="662"/>
      <c r="BC113" s="662"/>
      <c r="BD113" s="662"/>
      <c r="BE113" s="666">
        <f t="shared" si="181"/>
        <v>617.40000000000009</v>
      </c>
      <c r="BF113" s="667">
        <f t="shared" si="189"/>
        <v>617</v>
      </c>
      <c r="BG113" s="666">
        <f t="shared" si="182"/>
        <v>46735</v>
      </c>
      <c r="BH113" s="662">
        <v>16724</v>
      </c>
      <c r="BI113" s="662"/>
      <c r="BJ113" s="662"/>
      <c r="BK113" s="662"/>
      <c r="BL113" s="666">
        <f>(BH113-16724)*10%</f>
        <v>0</v>
      </c>
      <c r="BM113" s="667">
        <f t="shared" si="183"/>
        <v>0</v>
      </c>
      <c r="BN113" s="666">
        <f t="shared" si="184"/>
        <v>16724</v>
      </c>
      <c r="BO113" s="662"/>
      <c r="BP113" s="662"/>
      <c r="BQ113" s="662">
        <v>93</v>
      </c>
      <c r="BR113" s="662"/>
      <c r="BS113" s="662"/>
      <c r="BT113" s="662"/>
      <c r="BU113" s="662"/>
      <c r="BV113" s="662"/>
      <c r="BW113" s="662"/>
      <c r="CA113" s="1352"/>
      <c r="CB113" s="1352" t="s">
        <v>552</v>
      </c>
      <c r="CC113" s="1352">
        <v>718</v>
      </c>
      <c r="CD113" s="1352">
        <v>718</v>
      </c>
      <c r="CE113" s="1352"/>
      <c r="CF113" s="1352">
        <v>718</v>
      </c>
      <c r="CG113" s="1352"/>
      <c r="CH113" s="1352">
        <v>718</v>
      </c>
      <c r="CI113" s="1352"/>
      <c r="CJ113" s="1352"/>
      <c r="CK113" s="1353">
        <v>68942</v>
      </c>
      <c r="CL113" s="1353">
        <v>42517</v>
      </c>
      <c r="CM113" s="1354">
        <v>10052</v>
      </c>
      <c r="CN113" s="1354"/>
      <c r="CO113" s="1354"/>
      <c r="CP113" s="1354"/>
      <c r="CQ113" s="1354">
        <v>387.8</v>
      </c>
      <c r="CR113" s="1354">
        <v>517</v>
      </c>
      <c r="CS113" s="1354">
        <v>905</v>
      </c>
      <c r="CT113" s="1353">
        <v>51664</v>
      </c>
      <c r="CU113" s="1353">
        <v>17278</v>
      </c>
      <c r="CV113" s="1353"/>
      <c r="CW113" s="1353"/>
      <c r="CX113" s="1353">
        <v>0</v>
      </c>
      <c r="CY113" s="1353">
        <v>0</v>
      </c>
      <c r="CZ113" s="1353"/>
      <c r="DA113" s="1353">
        <v>0</v>
      </c>
      <c r="DB113" s="1353">
        <v>17278</v>
      </c>
      <c r="DC113" s="1353"/>
      <c r="DD113" s="1353"/>
      <c r="DE113" s="1353"/>
      <c r="DF113" s="1353"/>
      <c r="DG113" s="1353"/>
      <c r="DH113" s="1353"/>
      <c r="DI113" s="1353"/>
      <c r="DJ113" s="1353"/>
      <c r="DK113" s="1353"/>
      <c r="DT113" s="659"/>
      <c r="DU113" s="751" t="s">
        <v>552</v>
      </c>
      <c r="DV113" s="777">
        <f t="shared" si="185"/>
        <v>0</v>
      </c>
      <c r="DW113" s="777">
        <f t="shared" si="185"/>
        <v>0</v>
      </c>
      <c r="DX113" s="777">
        <f t="shared" si="185"/>
        <v>0</v>
      </c>
      <c r="DY113" s="777">
        <f t="shared" si="185"/>
        <v>0</v>
      </c>
      <c r="DZ113" s="777">
        <f t="shared" si="185"/>
        <v>0</v>
      </c>
      <c r="EA113" s="777">
        <f t="shared" si="185"/>
        <v>0</v>
      </c>
      <c r="EB113" s="777">
        <f t="shared" si="185"/>
        <v>0</v>
      </c>
      <c r="EC113" s="777">
        <f t="shared" si="185"/>
        <v>0</v>
      </c>
      <c r="ED113" s="777">
        <f t="shared" si="185"/>
        <v>0</v>
      </c>
      <c r="EE113" s="777">
        <f t="shared" si="185"/>
        <v>0</v>
      </c>
      <c r="EF113" s="777">
        <f t="shared" si="185"/>
        <v>0</v>
      </c>
      <c r="EG113" s="777">
        <f t="shared" si="185"/>
        <v>0</v>
      </c>
      <c r="EH113" s="777">
        <f t="shared" si="185"/>
        <v>0</v>
      </c>
      <c r="EI113" s="777">
        <f t="shared" si="185"/>
        <v>0</v>
      </c>
      <c r="EJ113" s="777">
        <f t="shared" si="185"/>
        <v>0</v>
      </c>
      <c r="EK113" s="777">
        <f t="shared" si="185"/>
        <v>0</v>
      </c>
      <c r="EL113" s="777">
        <f t="shared" si="186"/>
        <v>0</v>
      </c>
      <c r="EM113" s="777">
        <f t="shared" si="186"/>
        <v>0</v>
      </c>
      <c r="EN113" s="777">
        <f t="shared" si="186"/>
        <v>0</v>
      </c>
      <c r="EO113" s="777">
        <f t="shared" si="186"/>
        <v>0</v>
      </c>
      <c r="EP113" s="777">
        <f t="shared" si="186"/>
        <v>0</v>
      </c>
      <c r="EQ113" s="777">
        <f t="shared" si="186"/>
        <v>0</v>
      </c>
      <c r="ER113" s="777">
        <f t="shared" si="186"/>
        <v>0</v>
      </c>
      <c r="ES113" s="777">
        <f t="shared" si="186"/>
        <v>0</v>
      </c>
      <c r="ET113" s="777">
        <f t="shared" si="186"/>
        <v>0</v>
      </c>
      <c r="EU113" s="777">
        <f t="shared" si="186"/>
        <v>0</v>
      </c>
      <c r="EV113" s="777">
        <f t="shared" si="186"/>
        <v>0</v>
      </c>
    </row>
    <row r="114" spans="1:152" ht="33" hidden="1" customHeight="1">
      <c r="A114" s="659"/>
      <c r="B114" s="775" t="s">
        <v>554</v>
      </c>
      <c r="C114" s="661">
        <f t="shared" si="175"/>
        <v>0</v>
      </c>
      <c r="D114" s="661">
        <f t="shared" si="176"/>
        <v>0</v>
      </c>
      <c r="E114" s="776"/>
      <c r="F114" s="776"/>
      <c r="G114" s="776"/>
      <c r="H114" s="776"/>
      <c r="I114" s="776"/>
      <c r="J114" s="776"/>
      <c r="K114" s="646">
        <f t="shared" si="117"/>
        <v>0</v>
      </c>
      <c r="L114" s="662">
        <f t="shared" si="177"/>
        <v>0</v>
      </c>
      <c r="M114" s="662"/>
      <c r="N114" s="662"/>
      <c r="O114" s="775"/>
      <c r="P114" s="775"/>
      <c r="Q114" s="775"/>
      <c r="R114" s="666"/>
      <c r="S114" s="666"/>
      <c r="T114" s="666">
        <f t="shared" si="165"/>
        <v>0</v>
      </c>
      <c r="U114" s="666">
        <f t="shared" si="159"/>
        <v>0</v>
      </c>
      <c r="V114" s="777"/>
      <c r="W114" s="775"/>
      <c r="X114" s="775"/>
      <c r="Y114" s="666">
        <f t="shared" si="160"/>
        <v>0</v>
      </c>
      <c r="Z114" s="666">
        <f t="shared" si="145"/>
        <v>0</v>
      </c>
      <c r="AA114" s="666"/>
      <c r="AB114" s="666">
        <f t="shared" si="161"/>
        <v>0</v>
      </c>
      <c r="AC114" s="666">
        <f t="shared" si="162"/>
        <v>0</v>
      </c>
      <c r="AD114" s="775"/>
      <c r="AE114" s="775"/>
      <c r="AF114" s="775"/>
      <c r="AG114" s="775"/>
      <c r="AH114" s="775"/>
      <c r="AI114" s="775"/>
      <c r="AJ114" s="775"/>
      <c r="AK114" s="775"/>
      <c r="AL114" s="778"/>
      <c r="AN114" s="610"/>
      <c r="AO114" s="659"/>
      <c r="AP114" s="775" t="s">
        <v>554</v>
      </c>
      <c r="AQ114" s="661">
        <f t="shared" si="178"/>
        <v>26</v>
      </c>
      <c r="AR114" s="661">
        <f t="shared" si="179"/>
        <v>26</v>
      </c>
      <c r="AS114" s="776"/>
      <c r="AT114" s="776">
        <v>26</v>
      </c>
      <c r="AU114" s="776"/>
      <c r="AV114" s="776"/>
      <c r="AW114" s="776"/>
      <c r="AX114" s="776"/>
      <c r="AY114" s="662">
        <f t="shared" si="180"/>
        <v>2017</v>
      </c>
      <c r="AZ114" s="665">
        <f>1130+11+414+266</f>
        <v>1821</v>
      </c>
      <c r="BA114" s="662">
        <v>218</v>
      </c>
      <c r="BB114" s="775"/>
      <c r="BC114" s="775"/>
      <c r="BD114" s="775"/>
      <c r="BE114" s="666">
        <f t="shared" si="181"/>
        <v>21.8</v>
      </c>
      <c r="BF114" s="667">
        <f t="shared" si="189"/>
        <v>22</v>
      </c>
      <c r="BG114" s="666">
        <f t="shared" si="182"/>
        <v>2017</v>
      </c>
      <c r="BH114" s="777"/>
      <c r="BI114" s="775"/>
      <c r="BJ114" s="775"/>
      <c r="BK114" s="775"/>
      <c r="BL114" s="666">
        <f t="shared" si="187"/>
        <v>0</v>
      </c>
      <c r="BM114" s="667">
        <f t="shared" si="183"/>
        <v>0</v>
      </c>
      <c r="BN114" s="666">
        <f t="shared" si="184"/>
        <v>0</v>
      </c>
      <c r="BO114" s="775"/>
      <c r="BP114" s="775"/>
      <c r="BQ114" s="775">
        <v>404</v>
      </c>
      <c r="BR114" s="775"/>
      <c r="BS114" s="775"/>
      <c r="BT114" s="775"/>
      <c r="BU114" s="775"/>
      <c r="BV114" s="775"/>
      <c r="BW114" s="775"/>
      <c r="CA114" s="1352"/>
      <c r="CB114" s="1352" t="s">
        <v>554</v>
      </c>
      <c r="CC114" s="1352">
        <v>0</v>
      </c>
      <c r="CD114" s="1352">
        <v>0</v>
      </c>
      <c r="CE114" s="1352"/>
      <c r="CF114" s="1352"/>
      <c r="CG114" s="1352"/>
      <c r="CH114" s="1352"/>
      <c r="CI114" s="1352"/>
      <c r="CJ114" s="1352"/>
      <c r="CK114" s="1353">
        <v>0</v>
      </c>
      <c r="CL114" s="1353"/>
      <c r="CM114" s="1354"/>
      <c r="CN114" s="1354"/>
      <c r="CO114" s="1354"/>
      <c r="CP114" s="1354"/>
      <c r="CQ114" s="1354"/>
      <c r="CR114" s="1354"/>
      <c r="CS114" s="1354">
        <v>0</v>
      </c>
      <c r="CT114" s="1353">
        <v>0</v>
      </c>
      <c r="CU114" s="1353"/>
      <c r="CV114" s="1353"/>
      <c r="CW114" s="1353"/>
      <c r="CX114" s="1353">
        <v>0</v>
      </c>
      <c r="CY114" s="1353">
        <v>0</v>
      </c>
      <c r="CZ114" s="1353"/>
      <c r="DA114" s="1353">
        <v>0</v>
      </c>
      <c r="DB114" s="1353">
        <v>0</v>
      </c>
      <c r="DC114" s="1353"/>
      <c r="DD114" s="1353"/>
      <c r="DE114" s="1353"/>
      <c r="DF114" s="1353"/>
      <c r="DG114" s="1353"/>
      <c r="DH114" s="1353"/>
      <c r="DI114" s="1353"/>
      <c r="DJ114" s="1353"/>
      <c r="DK114" s="1353"/>
      <c r="DT114" s="659"/>
      <c r="DU114" s="775" t="s">
        <v>554</v>
      </c>
      <c r="DV114" s="777">
        <f t="shared" si="185"/>
        <v>0</v>
      </c>
      <c r="DW114" s="777">
        <f t="shared" si="185"/>
        <v>0</v>
      </c>
      <c r="DX114" s="777">
        <f t="shared" si="185"/>
        <v>0</v>
      </c>
      <c r="DY114" s="777">
        <f t="shared" si="185"/>
        <v>0</v>
      </c>
      <c r="DZ114" s="777">
        <f t="shared" si="185"/>
        <v>0</v>
      </c>
      <c r="EA114" s="777">
        <f t="shared" si="185"/>
        <v>0</v>
      </c>
      <c r="EB114" s="777">
        <f t="shared" si="185"/>
        <v>0</v>
      </c>
      <c r="EC114" s="777">
        <f t="shared" si="185"/>
        <v>0</v>
      </c>
      <c r="ED114" s="777">
        <f t="shared" si="185"/>
        <v>0</v>
      </c>
      <c r="EE114" s="777">
        <f t="shared" si="185"/>
        <v>0</v>
      </c>
      <c r="EF114" s="777">
        <f t="shared" si="185"/>
        <v>0</v>
      </c>
      <c r="EG114" s="777">
        <f t="shared" si="185"/>
        <v>0</v>
      </c>
      <c r="EH114" s="777">
        <f t="shared" si="185"/>
        <v>0</v>
      </c>
      <c r="EI114" s="777">
        <f t="shared" si="185"/>
        <v>0</v>
      </c>
      <c r="EJ114" s="777">
        <f t="shared" si="185"/>
        <v>0</v>
      </c>
      <c r="EK114" s="777">
        <f t="shared" si="185"/>
        <v>0</v>
      </c>
      <c r="EL114" s="777">
        <f t="shared" si="186"/>
        <v>0</v>
      </c>
      <c r="EM114" s="777">
        <f t="shared" si="186"/>
        <v>0</v>
      </c>
      <c r="EN114" s="777">
        <f t="shared" si="186"/>
        <v>0</v>
      </c>
      <c r="EO114" s="777">
        <f t="shared" si="186"/>
        <v>0</v>
      </c>
      <c r="EP114" s="777">
        <f t="shared" si="186"/>
        <v>0</v>
      </c>
      <c r="EQ114" s="777">
        <f t="shared" si="186"/>
        <v>0</v>
      </c>
      <c r="ER114" s="777">
        <f t="shared" si="186"/>
        <v>0</v>
      </c>
      <c r="ES114" s="777">
        <f t="shared" si="186"/>
        <v>0</v>
      </c>
      <c r="ET114" s="777">
        <f t="shared" si="186"/>
        <v>0</v>
      </c>
      <c r="EU114" s="777">
        <f t="shared" si="186"/>
        <v>0</v>
      </c>
      <c r="EV114" s="777">
        <f t="shared" si="186"/>
        <v>0</v>
      </c>
    </row>
    <row r="115" spans="1:152" ht="21.75" customHeight="1">
      <c r="A115" s="659">
        <v>32</v>
      </c>
      <c r="B115" s="775" t="s">
        <v>555</v>
      </c>
      <c r="C115" s="661"/>
      <c r="D115" s="661"/>
      <c r="E115" s="776"/>
      <c r="F115" s="776"/>
      <c r="G115" s="776"/>
      <c r="H115" s="776"/>
      <c r="I115" s="776"/>
      <c r="J115" s="776"/>
      <c r="K115" s="646">
        <f t="shared" si="117"/>
        <v>66774</v>
      </c>
      <c r="L115" s="662">
        <f t="shared" si="177"/>
        <v>66774</v>
      </c>
      <c r="M115" s="662"/>
      <c r="N115" s="662"/>
      <c r="O115" s="775"/>
      <c r="P115" s="775"/>
      <c r="Q115" s="775"/>
      <c r="R115" s="775"/>
      <c r="S115" s="666"/>
      <c r="T115" s="666">
        <f t="shared" si="165"/>
        <v>0</v>
      </c>
      <c r="U115" s="666">
        <f>(M115+N115+O115+P115)-R115</f>
        <v>0</v>
      </c>
      <c r="V115" s="777">
        <v>66774</v>
      </c>
      <c r="W115" s="775"/>
      <c r="X115" s="775"/>
      <c r="Y115" s="666">
        <f t="shared" si="160"/>
        <v>6677.4000000000005</v>
      </c>
      <c r="Z115" s="666">
        <f t="shared" si="145"/>
        <v>6677.4000000000005</v>
      </c>
      <c r="AA115" s="777"/>
      <c r="AB115" s="666"/>
      <c r="AC115" s="666">
        <f t="shared" si="162"/>
        <v>66774</v>
      </c>
      <c r="AD115" s="775"/>
      <c r="AE115" s="775"/>
      <c r="AF115" s="775"/>
      <c r="AG115" s="775"/>
      <c r="AH115" s="775"/>
      <c r="AI115" s="775"/>
      <c r="AJ115" s="775"/>
      <c r="AK115" s="775"/>
      <c r="AL115" s="778"/>
      <c r="AN115" s="610"/>
      <c r="AO115" s="659">
        <v>37</v>
      </c>
      <c r="AP115" s="775" t="s">
        <v>555</v>
      </c>
      <c r="AQ115" s="661"/>
      <c r="AR115" s="661"/>
      <c r="AS115" s="776"/>
      <c r="AT115" s="776"/>
      <c r="AU115" s="776"/>
      <c r="AV115" s="776"/>
      <c r="AW115" s="776"/>
      <c r="AX115" s="776"/>
      <c r="AY115" s="662">
        <f t="shared" si="180"/>
        <v>66774</v>
      </c>
      <c r="AZ115" s="665"/>
      <c r="BA115" s="662"/>
      <c r="BB115" s="775"/>
      <c r="BC115" s="775"/>
      <c r="BD115" s="775"/>
      <c r="BE115" s="775"/>
      <c r="BF115" s="667">
        <f t="shared" si="189"/>
        <v>0</v>
      </c>
      <c r="BG115" s="666">
        <f>(AZ115+BA115+BB115+BC115)-BE115</f>
        <v>0</v>
      </c>
      <c r="BH115" s="777">
        <v>66774</v>
      </c>
      <c r="BI115" s="775"/>
      <c r="BJ115" s="775"/>
      <c r="BK115" s="775"/>
      <c r="BL115" s="777"/>
      <c r="BM115" s="779"/>
      <c r="BN115" s="662">
        <f t="shared" ref="BN115:BN120" si="191">BH115+BI115+BJ115-BK115-BL115</f>
        <v>66774</v>
      </c>
      <c r="BO115" s="775"/>
      <c r="BP115" s="775"/>
      <c r="BQ115" s="775">
        <v>404</v>
      </c>
      <c r="BR115" s="775"/>
      <c r="BS115" s="775"/>
      <c r="BT115" s="775"/>
      <c r="BU115" s="775"/>
      <c r="BV115" s="775"/>
      <c r="BW115" s="775"/>
      <c r="CA115" s="1352">
        <v>34</v>
      </c>
      <c r="CB115" s="1352" t="s">
        <v>555</v>
      </c>
      <c r="CC115" s="1352"/>
      <c r="CD115" s="1352"/>
      <c r="CE115" s="1352"/>
      <c r="CF115" s="1352"/>
      <c r="CG115" s="1352"/>
      <c r="CH115" s="1352"/>
      <c r="CI115" s="1352"/>
      <c r="CJ115" s="1352"/>
      <c r="CK115" s="1353">
        <v>0</v>
      </c>
      <c r="CL115" s="1353"/>
      <c r="CM115" s="1354"/>
      <c r="CN115" s="1354"/>
      <c r="CO115" s="1354"/>
      <c r="CP115" s="1354"/>
      <c r="CQ115" s="1354"/>
      <c r="CR115" s="1354"/>
      <c r="CS115" s="1354">
        <v>0</v>
      </c>
      <c r="CT115" s="1353">
        <v>0</v>
      </c>
      <c r="CU115" s="1353"/>
      <c r="CV115" s="1353"/>
      <c r="CW115" s="1353"/>
      <c r="CX115" s="1353">
        <v>0</v>
      </c>
      <c r="CY115" s="1353">
        <v>0</v>
      </c>
      <c r="CZ115" s="1353"/>
      <c r="DA115" s="1353">
        <v>0</v>
      </c>
      <c r="DB115" s="1353">
        <v>0</v>
      </c>
      <c r="DC115" s="1353"/>
      <c r="DD115" s="1353"/>
      <c r="DE115" s="1353"/>
      <c r="DF115" s="1353"/>
      <c r="DG115" s="1353"/>
      <c r="DH115" s="1353"/>
      <c r="DI115" s="1353"/>
      <c r="DJ115" s="1353"/>
      <c r="DK115" s="1353"/>
      <c r="DT115" s="659">
        <v>34</v>
      </c>
      <c r="DU115" s="775" t="s">
        <v>555</v>
      </c>
      <c r="DV115" s="775"/>
      <c r="DW115" s="775"/>
      <c r="DX115" s="775"/>
      <c r="DY115" s="775"/>
      <c r="DZ115" s="775"/>
      <c r="EA115" s="775"/>
      <c r="EB115" s="775"/>
      <c r="EC115" s="775"/>
      <c r="ED115" s="775"/>
      <c r="EE115" s="775"/>
      <c r="EF115" s="775"/>
      <c r="EG115" s="775"/>
      <c r="EH115" s="775"/>
      <c r="EI115" s="775"/>
      <c r="EJ115" s="775"/>
      <c r="EK115" s="775"/>
      <c r="EL115" s="775"/>
      <c r="EM115" s="775"/>
      <c r="EN115" s="775"/>
      <c r="EO115" s="775"/>
      <c r="EP115" s="775"/>
      <c r="EQ115" s="775"/>
      <c r="ER115" s="775"/>
      <c r="ES115" s="775"/>
      <c r="ET115" s="775"/>
      <c r="EU115" s="775"/>
      <c r="EV115" s="775"/>
    </row>
    <row r="116" spans="1:152" ht="21.75" customHeight="1">
      <c r="A116" s="659">
        <v>33</v>
      </c>
      <c r="B116" s="775" t="s">
        <v>556</v>
      </c>
      <c r="C116" s="661"/>
      <c r="D116" s="661"/>
      <c r="E116" s="776"/>
      <c r="F116" s="776"/>
      <c r="G116" s="776"/>
      <c r="H116" s="776"/>
      <c r="I116" s="776"/>
      <c r="J116" s="776"/>
      <c r="K116" s="646">
        <f t="shared" si="117"/>
        <v>15450</v>
      </c>
      <c r="L116" s="662">
        <f t="shared" si="177"/>
        <v>15450</v>
      </c>
      <c r="M116" s="662"/>
      <c r="N116" s="662"/>
      <c r="O116" s="775"/>
      <c r="P116" s="775"/>
      <c r="Q116" s="775"/>
      <c r="R116" s="775"/>
      <c r="S116" s="666"/>
      <c r="T116" s="666">
        <f t="shared" si="165"/>
        <v>0</v>
      </c>
      <c r="U116" s="666">
        <f>(M116+N116+O116+P116)-R116</f>
        <v>0</v>
      </c>
      <c r="V116" s="777">
        <v>15450</v>
      </c>
      <c r="W116" s="775"/>
      <c r="X116" s="775"/>
      <c r="Y116" s="666">
        <f t="shared" si="160"/>
        <v>1545</v>
      </c>
      <c r="Z116" s="666">
        <f t="shared" si="145"/>
        <v>1545</v>
      </c>
      <c r="AA116" s="777"/>
      <c r="AB116" s="666"/>
      <c r="AC116" s="666">
        <f t="shared" si="162"/>
        <v>15450</v>
      </c>
      <c r="AD116" s="775"/>
      <c r="AE116" s="775"/>
      <c r="AF116" s="775"/>
      <c r="AG116" s="775"/>
      <c r="AH116" s="775"/>
      <c r="AI116" s="775"/>
      <c r="AJ116" s="775">
        <v>12789</v>
      </c>
      <c r="AK116" s="775"/>
      <c r="AL116" s="778"/>
      <c r="AN116" s="610"/>
      <c r="AO116" s="659">
        <v>38</v>
      </c>
      <c r="AP116" s="775" t="s">
        <v>556</v>
      </c>
      <c r="AQ116" s="661"/>
      <c r="AR116" s="661"/>
      <c r="AS116" s="776"/>
      <c r="AT116" s="776"/>
      <c r="AU116" s="776"/>
      <c r="AV116" s="776"/>
      <c r="AW116" s="776"/>
      <c r="AX116" s="776"/>
      <c r="AY116" s="662">
        <f t="shared" si="180"/>
        <v>15450</v>
      </c>
      <c r="AZ116" s="665"/>
      <c r="BA116" s="662"/>
      <c r="BB116" s="775"/>
      <c r="BC116" s="775"/>
      <c r="BD116" s="775"/>
      <c r="BE116" s="775"/>
      <c r="BF116" s="667">
        <f t="shared" si="189"/>
        <v>0</v>
      </c>
      <c r="BG116" s="666">
        <f>(AZ116+BA116+BB116+BC116)-BE116</f>
        <v>0</v>
      </c>
      <c r="BH116" s="777">
        <v>15450</v>
      </c>
      <c r="BI116" s="775"/>
      <c r="BJ116" s="775"/>
      <c r="BK116" s="775"/>
      <c r="BL116" s="777"/>
      <c r="BM116" s="779"/>
      <c r="BN116" s="662">
        <f t="shared" si="191"/>
        <v>15450</v>
      </c>
      <c r="BO116" s="775"/>
      <c r="BP116" s="775"/>
      <c r="BQ116" s="775">
        <v>404</v>
      </c>
      <c r="BR116" s="775"/>
      <c r="BS116" s="775"/>
      <c r="BT116" s="775"/>
      <c r="BU116" s="775"/>
      <c r="BV116" s="775"/>
      <c r="BW116" s="775"/>
      <c r="CA116" s="1352">
        <v>35</v>
      </c>
      <c r="CB116" s="1352" t="s">
        <v>556</v>
      </c>
      <c r="CC116" s="1352"/>
      <c r="CD116" s="1352"/>
      <c r="CE116" s="1352"/>
      <c r="CF116" s="1352"/>
      <c r="CG116" s="1352"/>
      <c r="CH116" s="1352"/>
      <c r="CI116" s="1352"/>
      <c r="CJ116" s="1352"/>
      <c r="CK116" s="1353">
        <v>0</v>
      </c>
      <c r="CL116" s="1353"/>
      <c r="CM116" s="1354"/>
      <c r="CN116" s="1354"/>
      <c r="CO116" s="1354"/>
      <c r="CP116" s="1354"/>
      <c r="CQ116" s="1354"/>
      <c r="CR116" s="1354"/>
      <c r="CS116" s="1354">
        <v>0</v>
      </c>
      <c r="CT116" s="1353">
        <v>0</v>
      </c>
      <c r="CU116" s="1353"/>
      <c r="CV116" s="1353"/>
      <c r="CW116" s="1353"/>
      <c r="CX116" s="1353">
        <v>0</v>
      </c>
      <c r="CY116" s="1353">
        <v>0</v>
      </c>
      <c r="CZ116" s="1353"/>
      <c r="DA116" s="1353">
        <v>0</v>
      </c>
      <c r="DB116" s="1353">
        <v>0</v>
      </c>
      <c r="DC116" s="1353"/>
      <c r="DD116" s="1353"/>
      <c r="DE116" s="1353"/>
      <c r="DF116" s="1353"/>
      <c r="DG116" s="1353"/>
      <c r="DH116" s="1353"/>
      <c r="DI116" s="1353"/>
      <c r="DJ116" s="1353"/>
      <c r="DK116" s="1353"/>
      <c r="DT116" s="659">
        <v>35</v>
      </c>
      <c r="DU116" s="775" t="s">
        <v>556</v>
      </c>
      <c r="DV116" s="775"/>
      <c r="DW116" s="775"/>
      <c r="DX116" s="775"/>
      <c r="DY116" s="775"/>
      <c r="DZ116" s="775"/>
      <c r="EA116" s="775"/>
      <c r="EB116" s="775"/>
      <c r="EC116" s="775"/>
      <c r="ED116" s="775"/>
      <c r="EE116" s="775"/>
      <c r="EF116" s="775"/>
      <c r="EG116" s="775"/>
      <c r="EH116" s="775"/>
      <c r="EI116" s="775"/>
      <c r="EJ116" s="775"/>
      <c r="EK116" s="775"/>
      <c r="EL116" s="775"/>
      <c r="EM116" s="775"/>
      <c r="EN116" s="775"/>
      <c r="EO116" s="775"/>
      <c r="EP116" s="775"/>
      <c r="EQ116" s="775"/>
      <c r="ER116" s="775"/>
      <c r="ES116" s="775"/>
      <c r="ET116" s="775"/>
      <c r="EU116" s="775"/>
      <c r="EV116" s="775"/>
    </row>
    <row r="117" spans="1:152" ht="39" customHeight="1">
      <c r="A117" s="659">
        <v>34</v>
      </c>
      <c r="B117" s="780" t="s">
        <v>557</v>
      </c>
      <c r="C117" s="661"/>
      <c r="D117" s="661"/>
      <c r="E117" s="776"/>
      <c r="F117" s="776"/>
      <c r="G117" s="776"/>
      <c r="H117" s="776"/>
      <c r="I117" s="776"/>
      <c r="J117" s="776"/>
      <c r="K117" s="646">
        <f t="shared" si="117"/>
        <v>303759</v>
      </c>
      <c r="L117" s="662">
        <f t="shared" si="177"/>
        <v>303759</v>
      </c>
      <c r="M117" s="662"/>
      <c r="N117" s="662"/>
      <c r="O117" s="775"/>
      <c r="P117" s="775"/>
      <c r="Q117" s="775"/>
      <c r="R117" s="775"/>
      <c r="S117" s="666"/>
      <c r="T117" s="666">
        <f t="shared" si="165"/>
        <v>0</v>
      </c>
      <c r="U117" s="666">
        <f>(M117+N117+O117+P117)-R117</f>
        <v>0</v>
      </c>
      <c r="V117" s="777">
        <v>303759</v>
      </c>
      <c r="W117" s="775"/>
      <c r="X117" s="775"/>
      <c r="Y117" s="666">
        <f t="shared" si="160"/>
        <v>30375.9</v>
      </c>
      <c r="Z117" s="666">
        <f t="shared" si="145"/>
        <v>30375.9</v>
      </c>
      <c r="AA117" s="777"/>
      <c r="AB117" s="666"/>
      <c r="AC117" s="666">
        <f t="shared" si="162"/>
        <v>303759</v>
      </c>
      <c r="AD117" s="775"/>
      <c r="AE117" s="775"/>
      <c r="AF117" s="775"/>
      <c r="AG117" s="775"/>
      <c r="AH117" s="775"/>
      <c r="AI117" s="775"/>
      <c r="AJ117" s="1567">
        <v>57406</v>
      </c>
      <c r="AK117" s="775"/>
      <c r="AL117" s="778"/>
      <c r="AN117" s="610"/>
      <c r="AO117" s="659">
        <v>39</v>
      </c>
      <c r="AP117" s="780" t="s">
        <v>557</v>
      </c>
      <c r="AQ117" s="661"/>
      <c r="AR117" s="661"/>
      <c r="AS117" s="776"/>
      <c r="AT117" s="776"/>
      <c r="AU117" s="776"/>
      <c r="AV117" s="776"/>
      <c r="AW117" s="776"/>
      <c r="AX117" s="776"/>
      <c r="AY117" s="662">
        <f t="shared" si="180"/>
        <v>303759</v>
      </c>
      <c r="AZ117" s="665"/>
      <c r="BA117" s="662"/>
      <c r="BB117" s="775"/>
      <c r="BC117" s="775"/>
      <c r="BD117" s="775"/>
      <c r="BE117" s="775"/>
      <c r="BF117" s="667">
        <f t="shared" si="189"/>
        <v>0</v>
      </c>
      <c r="BG117" s="666">
        <f>(AZ117+BA117+BB117+BC117)-BE117</f>
        <v>0</v>
      </c>
      <c r="BH117" s="777">
        <v>303759</v>
      </c>
      <c r="BI117" s="775"/>
      <c r="BJ117" s="775"/>
      <c r="BK117" s="775"/>
      <c r="BL117" s="777"/>
      <c r="BM117" s="779"/>
      <c r="BN117" s="662">
        <f t="shared" si="191"/>
        <v>303759</v>
      </c>
      <c r="BO117" s="775"/>
      <c r="BP117" s="775"/>
      <c r="BQ117" s="775">
        <v>404</v>
      </c>
      <c r="BR117" s="775"/>
      <c r="BS117" s="775"/>
      <c r="BT117" s="775"/>
      <c r="BU117" s="775"/>
      <c r="BV117" s="775"/>
      <c r="BW117" s="775"/>
      <c r="CA117" s="1352">
        <v>36</v>
      </c>
      <c r="CB117" s="1352" t="s">
        <v>557</v>
      </c>
      <c r="CC117" s="1352"/>
      <c r="CD117" s="1352"/>
      <c r="CE117" s="1352"/>
      <c r="CF117" s="1352"/>
      <c r="CG117" s="1352"/>
      <c r="CH117" s="1352"/>
      <c r="CI117" s="1352"/>
      <c r="CJ117" s="1352"/>
      <c r="CK117" s="1353">
        <v>0</v>
      </c>
      <c r="CL117" s="1353"/>
      <c r="CM117" s="1354"/>
      <c r="CN117" s="1354"/>
      <c r="CO117" s="1354"/>
      <c r="CP117" s="1354"/>
      <c r="CQ117" s="1354"/>
      <c r="CR117" s="1354"/>
      <c r="CS117" s="1354">
        <v>0</v>
      </c>
      <c r="CT117" s="1353">
        <v>0</v>
      </c>
      <c r="CU117" s="1353"/>
      <c r="CV117" s="1353"/>
      <c r="CW117" s="1353"/>
      <c r="CX117" s="1353">
        <v>0</v>
      </c>
      <c r="CY117" s="1353">
        <v>0</v>
      </c>
      <c r="CZ117" s="1353"/>
      <c r="DA117" s="1353">
        <v>0</v>
      </c>
      <c r="DB117" s="1353">
        <v>0</v>
      </c>
      <c r="DC117" s="1353"/>
      <c r="DD117" s="1353"/>
      <c r="DE117" s="1353"/>
      <c r="DF117" s="1353"/>
      <c r="DG117" s="1353"/>
      <c r="DH117" s="1353"/>
      <c r="DI117" s="1353"/>
      <c r="DJ117" s="1353"/>
      <c r="DK117" s="1353"/>
      <c r="DT117" s="659">
        <v>36</v>
      </c>
      <c r="DU117" s="780" t="s">
        <v>557</v>
      </c>
      <c r="DV117" s="775"/>
      <c r="DW117" s="775"/>
      <c r="DX117" s="775"/>
      <c r="DY117" s="775"/>
      <c r="DZ117" s="775"/>
      <c r="EA117" s="775"/>
      <c r="EB117" s="775"/>
      <c r="EC117" s="775"/>
      <c r="ED117" s="775"/>
      <c r="EE117" s="775"/>
      <c r="EF117" s="775"/>
      <c r="EG117" s="775"/>
      <c r="EH117" s="775"/>
      <c r="EI117" s="775"/>
      <c r="EJ117" s="775"/>
      <c r="EK117" s="775"/>
      <c r="EL117" s="775"/>
      <c r="EM117" s="775"/>
      <c r="EN117" s="775"/>
      <c r="EO117" s="775"/>
      <c r="EP117" s="775"/>
      <c r="EQ117" s="775"/>
      <c r="ER117" s="775"/>
      <c r="ES117" s="775"/>
      <c r="ET117" s="775"/>
      <c r="EU117" s="775"/>
      <c r="EV117" s="775"/>
    </row>
    <row r="118" spans="1:152" ht="21.75" customHeight="1">
      <c r="A118" s="659">
        <v>35</v>
      </c>
      <c r="B118" s="780" t="s">
        <v>896</v>
      </c>
      <c r="C118" s="661"/>
      <c r="D118" s="661"/>
      <c r="E118" s="776"/>
      <c r="F118" s="776"/>
      <c r="G118" s="776"/>
      <c r="H118" s="776"/>
      <c r="I118" s="776"/>
      <c r="J118" s="776"/>
      <c r="K118" s="646">
        <f t="shared" si="117"/>
        <v>4278</v>
      </c>
      <c r="L118" s="662">
        <f t="shared" si="177"/>
        <v>4278</v>
      </c>
      <c r="M118" s="662"/>
      <c r="N118" s="662"/>
      <c r="O118" s="775"/>
      <c r="P118" s="775"/>
      <c r="Q118" s="775"/>
      <c r="R118" s="775"/>
      <c r="S118" s="666"/>
      <c r="T118" s="666">
        <f t="shared" si="165"/>
        <v>0</v>
      </c>
      <c r="U118" s="666"/>
      <c r="V118" s="777">
        <v>4278</v>
      </c>
      <c r="W118" s="775"/>
      <c r="X118" s="775"/>
      <c r="Y118" s="666">
        <f t="shared" si="160"/>
        <v>427.8</v>
      </c>
      <c r="Z118" s="666">
        <f t="shared" si="145"/>
        <v>427.8</v>
      </c>
      <c r="AA118" s="777"/>
      <c r="AB118" s="666"/>
      <c r="AC118" s="666">
        <f t="shared" si="162"/>
        <v>4278</v>
      </c>
      <c r="AD118" s="775"/>
      <c r="AE118" s="775"/>
      <c r="AF118" s="775"/>
      <c r="AG118" s="775"/>
      <c r="AH118" s="775"/>
      <c r="AI118" s="775"/>
      <c r="AJ118" s="775"/>
      <c r="AK118" s="775"/>
      <c r="AL118" s="778"/>
      <c r="AN118" s="610"/>
      <c r="AO118" s="659">
        <v>40</v>
      </c>
      <c r="AP118" s="780" t="s">
        <v>558</v>
      </c>
      <c r="AQ118" s="661"/>
      <c r="AR118" s="661"/>
      <c r="AS118" s="776"/>
      <c r="AT118" s="776"/>
      <c r="AU118" s="776"/>
      <c r="AV118" s="776"/>
      <c r="AW118" s="776"/>
      <c r="AX118" s="776"/>
      <c r="AY118" s="662">
        <f t="shared" si="180"/>
        <v>3921</v>
      </c>
      <c r="AZ118" s="665"/>
      <c r="BA118" s="662"/>
      <c r="BB118" s="775"/>
      <c r="BC118" s="775"/>
      <c r="BD118" s="775"/>
      <c r="BE118" s="775"/>
      <c r="BF118" s="667"/>
      <c r="BG118" s="666"/>
      <c r="BH118" s="777">
        <v>3921</v>
      </c>
      <c r="BI118" s="775"/>
      <c r="BJ118" s="775"/>
      <c r="BK118" s="775"/>
      <c r="BL118" s="777"/>
      <c r="BM118" s="779"/>
      <c r="BN118" s="662">
        <f t="shared" si="191"/>
        <v>3921</v>
      </c>
      <c r="BO118" s="775"/>
      <c r="BP118" s="775"/>
      <c r="BQ118" s="775"/>
      <c r="BR118" s="775"/>
      <c r="BS118" s="775"/>
      <c r="BT118" s="775"/>
      <c r="BU118" s="775"/>
      <c r="BV118" s="775"/>
      <c r="BW118" s="775"/>
      <c r="CA118" s="1352">
        <v>37</v>
      </c>
      <c r="CB118" s="1352" t="s">
        <v>558</v>
      </c>
      <c r="CC118" s="1352"/>
      <c r="CD118" s="1352"/>
      <c r="CE118" s="1352"/>
      <c r="CF118" s="1352"/>
      <c r="CG118" s="1352"/>
      <c r="CH118" s="1352"/>
      <c r="CI118" s="1352"/>
      <c r="CJ118" s="1352"/>
      <c r="CK118" s="1353">
        <v>0</v>
      </c>
      <c r="CL118" s="1353"/>
      <c r="CM118" s="1354"/>
      <c r="CN118" s="1354"/>
      <c r="CO118" s="1354"/>
      <c r="CP118" s="1354"/>
      <c r="CQ118" s="1354"/>
      <c r="CR118" s="1354"/>
      <c r="CS118" s="1354">
        <v>0</v>
      </c>
      <c r="CT118" s="1353"/>
      <c r="CU118" s="1353"/>
      <c r="CV118" s="1353"/>
      <c r="CW118" s="1353"/>
      <c r="CX118" s="1353">
        <v>0</v>
      </c>
      <c r="CY118" s="1353">
        <v>0</v>
      </c>
      <c r="CZ118" s="1353"/>
      <c r="DA118" s="1353">
        <v>0</v>
      </c>
      <c r="DB118" s="1353">
        <v>0</v>
      </c>
      <c r="DC118" s="1353"/>
      <c r="DD118" s="1353"/>
      <c r="DE118" s="1353"/>
      <c r="DF118" s="1353"/>
      <c r="DG118" s="1353"/>
      <c r="DH118" s="1353"/>
      <c r="DI118" s="1353"/>
      <c r="DJ118" s="1353"/>
      <c r="DK118" s="1353"/>
      <c r="DT118" s="659">
        <v>37</v>
      </c>
      <c r="DU118" s="780" t="s">
        <v>558</v>
      </c>
      <c r="DV118" s="775"/>
      <c r="DW118" s="775"/>
      <c r="DX118" s="775"/>
      <c r="DY118" s="775"/>
      <c r="DZ118" s="775"/>
      <c r="EA118" s="775"/>
      <c r="EB118" s="775"/>
      <c r="EC118" s="775"/>
      <c r="ED118" s="775"/>
      <c r="EE118" s="775"/>
      <c r="EF118" s="775"/>
      <c r="EG118" s="775"/>
      <c r="EH118" s="775"/>
      <c r="EI118" s="775"/>
      <c r="EJ118" s="775"/>
      <c r="EK118" s="775"/>
      <c r="EL118" s="775"/>
      <c r="EM118" s="775"/>
      <c r="EN118" s="775"/>
      <c r="EO118" s="775"/>
      <c r="EP118" s="775"/>
      <c r="EQ118" s="775"/>
      <c r="ER118" s="775"/>
      <c r="ES118" s="775"/>
      <c r="ET118" s="775"/>
      <c r="EU118" s="775"/>
      <c r="EV118" s="775"/>
    </row>
    <row r="119" spans="1:152" ht="24" customHeight="1">
      <c r="A119" s="659">
        <v>36</v>
      </c>
      <c r="B119" s="780" t="s">
        <v>559</v>
      </c>
      <c r="C119" s="661"/>
      <c r="D119" s="661"/>
      <c r="E119" s="776"/>
      <c r="F119" s="776"/>
      <c r="G119" s="776"/>
      <c r="H119" s="776"/>
      <c r="I119" s="776"/>
      <c r="J119" s="776"/>
      <c r="K119" s="646">
        <f t="shared" si="117"/>
        <v>15337</v>
      </c>
      <c r="L119" s="662">
        <f t="shared" si="177"/>
        <v>15337</v>
      </c>
      <c r="M119" s="662"/>
      <c r="N119" s="662"/>
      <c r="O119" s="775"/>
      <c r="P119" s="775"/>
      <c r="Q119" s="775"/>
      <c r="R119" s="775"/>
      <c r="S119" s="666"/>
      <c r="T119" s="666">
        <f t="shared" si="165"/>
        <v>0</v>
      </c>
      <c r="U119" s="666">
        <f>(M119+N119+O119+P119)-R119</f>
        <v>0</v>
      </c>
      <c r="V119" s="777">
        <v>15337</v>
      </c>
      <c r="W119" s="775"/>
      <c r="X119" s="775"/>
      <c r="Y119" s="666">
        <f t="shared" si="160"/>
        <v>1533.7</v>
      </c>
      <c r="Z119" s="666">
        <f t="shared" si="145"/>
        <v>1533.7</v>
      </c>
      <c r="AA119" s="777"/>
      <c r="AB119" s="666"/>
      <c r="AC119" s="666">
        <f t="shared" si="162"/>
        <v>15337</v>
      </c>
      <c r="AD119" s="775"/>
      <c r="AE119" s="775"/>
      <c r="AF119" s="775"/>
      <c r="AG119" s="775"/>
      <c r="AH119" s="775"/>
      <c r="AI119" s="775"/>
      <c r="AJ119" s="775"/>
      <c r="AK119" s="775"/>
      <c r="AL119" s="778"/>
      <c r="AN119" s="610"/>
      <c r="AO119" s="659">
        <v>41</v>
      </c>
      <c r="AP119" s="780" t="s">
        <v>559</v>
      </c>
      <c r="AQ119" s="661"/>
      <c r="AR119" s="661"/>
      <c r="AS119" s="776"/>
      <c r="AT119" s="776"/>
      <c r="AU119" s="776"/>
      <c r="AV119" s="776"/>
      <c r="AW119" s="776"/>
      <c r="AX119" s="776"/>
      <c r="AY119" s="662">
        <f t="shared" si="180"/>
        <v>15337</v>
      </c>
      <c r="AZ119" s="665"/>
      <c r="BA119" s="662"/>
      <c r="BB119" s="775"/>
      <c r="BC119" s="775"/>
      <c r="BD119" s="775"/>
      <c r="BE119" s="775"/>
      <c r="BF119" s="667">
        <f t="shared" si="189"/>
        <v>0</v>
      </c>
      <c r="BG119" s="666">
        <f>(AZ119+BA119+BB119+BC119)-BE119</f>
        <v>0</v>
      </c>
      <c r="BH119" s="777">
        <v>15337</v>
      </c>
      <c r="BI119" s="775"/>
      <c r="BJ119" s="775"/>
      <c r="BK119" s="775"/>
      <c r="BL119" s="777"/>
      <c r="BM119" s="779"/>
      <c r="BN119" s="662">
        <f t="shared" si="191"/>
        <v>15337</v>
      </c>
      <c r="BO119" s="775"/>
      <c r="BP119" s="775"/>
      <c r="BQ119" s="775">
        <v>404</v>
      </c>
      <c r="BR119" s="775"/>
      <c r="BS119" s="775"/>
      <c r="BT119" s="775"/>
      <c r="BU119" s="775"/>
      <c r="BV119" s="775"/>
      <c r="BW119" s="775"/>
      <c r="CA119" s="1352">
        <v>38</v>
      </c>
      <c r="CB119" s="1352" t="s">
        <v>559</v>
      </c>
      <c r="CC119" s="1352"/>
      <c r="CD119" s="1352"/>
      <c r="CE119" s="1352"/>
      <c r="CF119" s="1352"/>
      <c r="CG119" s="1352"/>
      <c r="CH119" s="1352"/>
      <c r="CI119" s="1352"/>
      <c r="CJ119" s="1352"/>
      <c r="CK119" s="1353">
        <v>0</v>
      </c>
      <c r="CL119" s="1353"/>
      <c r="CM119" s="1354"/>
      <c r="CN119" s="1354"/>
      <c r="CO119" s="1354"/>
      <c r="CP119" s="1354"/>
      <c r="CQ119" s="1354"/>
      <c r="CR119" s="1354"/>
      <c r="CS119" s="1354">
        <v>0</v>
      </c>
      <c r="CT119" s="1353">
        <v>0</v>
      </c>
      <c r="CU119" s="1353"/>
      <c r="CV119" s="1353"/>
      <c r="CW119" s="1353"/>
      <c r="CX119" s="1353">
        <v>0</v>
      </c>
      <c r="CY119" s="1353">
        <v>0</v>
      </c>
      <c r="CZ119" s="1353"/>
      <c r="DA119" s="1353">
        <v>0</v>
      </c>
      <c r="DB119" s="1353">
        <v>0</v>
      </c>
      <c r="DC119" s="1353"/>
      <c r="DD119" s="1353"/>
      <c r="DE119" s="1353"/>
      <c r="DF119" s="1353"/>
      <c r="DG119" s="1353"/>
      <c r="DH119" s="1353"/>
      <c r="DI119" s="1353"/>
      <c r="DJ119" s="1353"/>
      <c r="DK119" s="1353"/>
      <c r="DT119" s="659">
        <v>38</v>
      </c>
      <c r="DU119" s="780" t="s">
        <v>559</v>
      </c>
      <c r="DV119" s="775"/>
      <c r="DW119" s="775"/>
      <c r="DX119" s="775"/>
      <c r="DY119" s="775"/>
      <c r="DZ119" s="775"/>
      <c r="EA119" s="775"/>
      <c r="EB119" s="775"/>
      <c r="EC119" s="775"/>
      <c r="ED119" s="775"/>
      <c r="EE119" s="775"/>
      <c r="EF119" s="775"/>
      <c r="EG119" s="775"/>
      <c r="EH119" s="775"/>
      <c r="EI119" s="775"/>
      <c r="EJ119" s="775"/>
      <c r="EK119" s="775"/>
      <c r="EL119" s="775"/>
      <c r="EM119" s="775"/>
      <c r="EN119" s="775"/>
      <c r="EO119" s="775"/>
      <c r="EP119" s="775"/>
      <c r="EQ119" s="775"/>
      <c r="ER119" s="775"/>
      <c r="ES119" s="775"/>
      <c r="ET119" s="775"/>
      <c r="EU119" s="775"/>
      <c r="EV119" s="775"/>
    </row>
    <row r="120" spans="1:152" ht="34.5" customHeight="1">
      <c r="A120" s="659">
        <v>37</v>
      </c>
      <c r="B120" s="780" t="s">
        <v>560</v>
      </c>
      <c r="C120" s="661"/>
      <c r="D120" s="661"/>
      <c r="E120" s="776"/>
      <c r="F120" s="776"/>
      <c r="G120" s="776"/>
      <c r="H120" s="776"/>
      <c r="I120" s="776"/>
      <c r="J120" s="776"/>
      <c r="K120" s="646">
        <f t="shared" si="117"/>
        <v>2717</v>
      </c>
      <c r="L120" s="662">
        <f t="shared" si="177"/>
        <v>2717</v>
      </c>
      <c r="M120" s="662"/>
      <c r="N120" s="662"/>
      <c r="O120" s="775"/>
      <c r="P120" s="775"/>
      <c r="Q120" s="775"/>
      <c r="R120" s="775"/>
      <c r="S120" s="666"/>
      <c r="T120" s="666">
        <f t="shared" si="165"/>
        <v>0</v>
      </c>
      <c r="U120" s="666">
        <f>(M120+N120+O120+P120)-R120</f>
        <v>0</v>
      </c>
      <c r="V120" s="777">
        <v>2717</v>
      </c>
      <c r="W120" s="775"/>
      <c r="X120" s="775"/>
      <c r="Y120" s="666">
        <f t="shared" si="160"/>
        <v>271.7</v>
      </c>
      <c r="Z120" s="666">
        <f t="shared" si="145"/>
        <v>271.7</v>
      </c>
      <c r="AA120" s="777"/>
      <c r="AB120" s="666"/>
      <c r="AC120" s="666">
        <f t="shared" si="162"/>
        <v>2717</v>
      </c>
      <c r="AD120" s="775"/>
      <c r="AE120" s="775"/>
      <c r="AF120" s="775"/>
      <c r="AG120" s="775"/>
      <c r="AH120" s="775"/>
      <c r="AI120" s="775"/>
      <c r="AJ120" s="775">
        <v>39100</v>
      </c>
      <c r="AK120" s="775"/>
      <c r="AL120" s="778"/>
      <c r="AN120" s="610"/>
      <c r="AO120" s="659">
        <v>42</v>
      </c>
      <c r="AP120" s="780" t="s">
        <v>560</v>
      </c>
      <c r="AQ120" s="661"/>
      <c r="AR120" s="661"/>
      <c r="AS120" s="776"/>
      <c r="AT120" s="776"/>
      <c r="AU120" s="776"/>
      <c r="AV120" s="776"/>
      <c r="AW120" s="776"/>
      <c r="AX120" s="776"/>
      <c r="AY120" s="662">
        <f t="shared" si="180"/>
        <v>2717</v>
      </c>
      <c r="AZ120" s="665"/>
      <c r="BA120" s="662"/>
      <c r="BB120" s="775"/>
      <c r="BC120" s="775"/>
      <c r="BD120" s="775"/>
      <c r="BE120" s="775"/>
      <c r="BF120" s="667">
        <f t="shared" si="189"/>
        <v>0</v>
      </c>
      <c r="BG120" s="666">
        <f>(AZ120+BA120+BB120+BC120)-BE120</f>
        <v>0</v>
      </c>
      <c r="BH120" s="777">
        <v>2717</v>
      </c>
      <c r="BI120" s="775"/>
      <c r="BJ120" s="775"/>
      <c r="BK120" s="775"/>
      <c r="BL120" s="777"/>
      <c r="BM120" s="779"/>
      <c r="BN120" s="662">
        <f t="shared" si="191"/>
        <v>2717</v>
      </c>
      <c r="BO120" s="775"/>
      <c r="BP120" s="775"/>
      <c r="BQ120" s="775">
        <v>404</v>
      </c>
      <c r="BR120" s="775"/>
      <c r="BS120" s="775"/>
      <c r="BT120" s="775"/>
      <c r="BU120" s="775"/>
      <c r="BV120" s="775"/>
      <c r="BW120" s="775"/>
      <c r="CA120" s="1352">
        <v>39</v>
      </c>
      <c r="CB120" s="1352" t="s">
        <v>560</v>
      </c>
      <c r="CC120" s="1352"/>
      <c r="CD120" s="1352"/>
      <c r="CE120" s="1352"/>
      <c r="CF120" s="1352"/>
      <c r="CG120" s="1352"/>
      <c r="CH120" s="1352"/>
      <c r="CI120" s="1352"/>
      <c r="CJ120" s="1352"/>
      <c r="CK120" s="1353">
        <v>0</v>
      </c>
      <c r="CL120" s="1353"/>
      <c r="CM120" s="1354"/>
      <c r="CN120" s="1354"/>
      <c r="CO120" s="1354"/>
      <c r="CP120" s="1354"/>
      <c r="CQ120" s="1354"/>
      <c r="CR120" s="1354"/>
      <c r="CS120" s="1354">
        <v>0</v>
      </c>
      <c r="CT120" s="1353">
        <v>0</v>
      </c>
      <c r="CU120" s="1353"/>
      <c r="CV120" s="1353"/>
      <c r="CW120" s="1353"/>
      <c r="CX120" s="1353">
        <v>0</v>
      </c>
      <c r="CY120" s="1353">
        <v>0</v>
      </c>
      <c r="CZ120" s="1353"/>
      <c r="DA120" s="1353">
        <v>0</v>
      </c>
      <c r="DB120" s="1353">
        <v>0</v>
      </c>
      <c r="DC120" s="1353"/>
      <c r="DD120" s="1353"/>
      <c r="DE120" s="1353"/>
      <c r="DF120" s="1353"/>
      <c r="DG120" s="1353"/>
      <c r="DH120" s="1353"/>
      <c r="DI120" s="1353"/>
      <c r="DJ120" s="1353"/>
      <c r="DK120" s="1353"/>
      <c r="DT120" s="659">
        <v>39</v>
      </c>
      <c r="DU120" s="780" t="s">
        <v>560</v>
      </c>
      <c r="DV120" s="775"/>
      <c r="DW120" s="775"/>
      <c r="DX120" s="775"/>
      <c r="DY120" s="775"/>
      <c r="DZ120" s="775"/>
      <c r="EA120" s="775"/>
      <c r="EB120" s="775"/>
      <c r="EC120" s="775"/>
      <c r="ED120" s="775"/>
      <c r="EE120" s="775"/>
      <c r="EF120" s="775"/>
      <c r="EG120" s="775"/>
      <c r="EH120" s="775"/>
      <c r="EI120" s="775"/>
      <c r="EJ120" s="775"/>
      <c r="EK120" s="775"/>
      <c r="EL120" s="775"/>
      <c r="EM120" s="775"/>
      <c r="EN120" s="775"/>
      <c r="EO120" s="775"/>
      <c r="EP120" s="775"/>
      <c r="EQ120" s="775"/>
      <c r="ER120" s="775"/>
      <c r="ES120" s="775"/>
      <c r="ET120" s="775"/>
      <c r="EU120" s="775"/>
      <c r="EV120" s="775"/>
    </row>
    <row r="121" spans="1:152" s="614" customFormat="1" ht="32.25" customHeight="1">
      <c r="A121" s="1429" t="s">
        <v>317</v>
      </c>
      <c r="B121" s="651" t="s">
        <v>561</v>
      </c>
      <c r="C121" s="1430">
        <f>D121+I121</f>
        <v>215</v>
      </c>
      <c r="D121" s="1430">
        <f>E121+F121</f>
        <v>178</v>
      </c>
      <c r="E121" s="1430">
        <f t="shared" ref="E121:AJ121" si="192">E122</f>
        <v>0</v>
      </c>
      <c r="F121" s="1430">
        <f t="shared" si="192"/>
        <v>178</v>
      </c>
      <c r="G121" s="1430">
        <f t="shared" si="192"/>
        <v>0</v>
      </c>
      <c r="H121" s="1430">
        <f t="shared" si="192"/>
        <v>155</v>
      </c>
      <c r="I121" s="1430">
        <f t="shared" si="192"/>
        <v>37</v>
      </c>
      <c r="J121" s="1430">
        <f t="shared" si="192"/>
        <v>31</v>
      </c>
      <c r="K121" s="1548">
        <f t="shared" si="117"/>
        <v>30344</v>
      </c>
      <c r="L121" s="820">
        <f t="shared" si="192"/>
        <v>30362</v>
      </c>
      <c r="M121" s="653">
        <f t="shared" si="192"/>
        <v>14881</v>
      </c>
      <c r="N121" s="653">
        <f t="shared" si="192"/>
        <v>3371</v>
      </c>
      <c r="O121" s="653">
        <f t="shared" si="192"/>
        <v>356</v>
      </c>
      <c r="P121" s="653">
        <f t="shared" si="192"/>
        <v>0</v>
      </c>
      <c r="Q121" s="653">
        <f t="shared" si="192"/>
        <v>51</v>
      </c>
      <c r="R121" s="653">
        <f t="shared" si="192"/>
        <v>34.6</v>
      </c>
      <c r="S121" s="653">
        <f t="shared" si="192"/>
        <v>425</v>
      </c>
      <c r="T121" s="653">
        <f t="shared" si="192"/>
        <v>511</v>
      </c>
      <c r="U121" s="653">
        <f t="shared" si="192"/>
        <v>18097</v>
      </c>
      <c r="V121" s="653">
        <f t="shared" si="192"/>
        <v>11589</v>
      </c>
      <c r="W121" s="653">
        <f t="shared" si="192"/>
        <v>1943</v>
      </c>
      <c r="X121" s="653">
        <f t="shared" si="192"/>
        <v>136</v>
      </c>
      <c r="Y121" s="653">
        <f t="shared" si="192"/>
        <v>126.10000000000002</v>
      </c>
      <c r="Z121" s="653">
        <f t="shared" si="192"/>
        <v>861</v>
      </c>
      <c r="AA121" s="653">
        <f t="shared" si="192"/>
        <v>1022</v>
      </c>
      <c r="AB121" s="653">
        <f t="shared" si="192"/>
        <v>1285</v>
      </c>
      <c r="AC121" s="653">
        <f t="shared" si="192"/>
        <v>12247</v>
      </c>
      <c r="AD121" s="653">
        <f t="shared" si="192"/>
        <v>18</v>
      </c>
      <c r="AE121" s="653">
        <f t="shared" si="192"/>
        <v>0</v>
      </c>
      <c r="AF121" s="653">
        <f t="shared" si="192"/>
        <v>0</v>
      </c>
      <c r="AG121" s="653">
        <f t="shared" si="192"/>
        <v>0</v>
      </c>
      <c r="AH121" s="653">
        <f t="shared" si="192"/>
        <v>0</v>
      </c>
      <c r="AI121" s="653">
        <f t="shared" si="192"/>
        <v>0</v>
      </c>
      <c r="AJ121" s="653">
        <f t="shared" si="192"/>
        <v>0</v>
      </c>
      <c r="AK121" s="653">
        <f>AK122</f>
        <v>0</v>
      </c>
      <c r="AL121" s="656">
        <f>AL122</f>
        <v>0</v>
      </c>
      <c r="AM121" s="612"/>
      <c r="AN121" s="610">
        <v>15891</v>
      </c>
      <c r="AO121" s="1323" t="s">
        <v>317</v>
      </c>
      <c r="AP121" s="651" t="s">
        <v>561</v>
      </c>
      <c r="AQ121" s="1320">
        <f>AR121+AW121</f>
        <v>209</v>
      </c>
      <c r="AR121" s="1320">
        <f>AS121+AT121</f>
        <v>172</v>
      </c>
      <c r="AS121" s="1320">
        <f t="shared" ref="AS121:BU121" si="193">AS122</f>
        <v>0</v>
      </c>
      <c r="AT121" s="1320">
        <f t="shared" si="193"/>
        <v>172</v>
      </c>
      <c r="AU121" s="1320">
        <f t="shared" si="193"/>
        <v>0</v>
      </c>
      <c r="AV121" s="1320">
        <f t="shared" si="193"/>
        <v>145</v>
      </c>
      <c r="AW121" s="1320">
        <f t="shared" si="193"/>
        <v>37</v>
      </c>
      <c r="AX121" s="1320">
        <f t="shared" si="193"/>
        <v>37</v>
      </c>
      <c r="AY121" s="653">
        <f t="shared" si="193"/>
        <v>30032</v>
      </c>
      <c r="AZ121" s="658">
        <f t="shared" si="193"/>
        <v>12776</v>
      </c>
      <c r="BA121" s="653">
        <f t="shared" si="193"/>
        <v>3346</v>
      </c>
      <c r="BB121" s="653">
        <f t="shared" si="193"/>
        <v>578</v>
      </c>
      <c r="BC121" s="653">
        <f t="shared" si="193"/>
        <v>0</v>
      </c>
      <c r="BD121" s="653">
        <f t="shared" si="193"/>
        <v>0</v>
      </c>
      <c r="BE121" s="653">
        <f t="shared" si="193"/>
        <v>392.40000000000003</v>
      </c>
      <c r="BF121" s="655">
        <f t="shared" si="193"/>
        <v>393</v>
      </c>
      <c r="BG121" s="653">
        <f t="shared" si="193"/>
        <v>16307</v>
      </c>
      <c r="BH121" s="653">
        <f t="shared" si="193"/>
        <v>12610</v>
      </c>
      <c r="BI121" s="653">
        <f t="shared" si="193"/>
        <v>0</v>
      </c>
      <c r="BJ121" s="653">
        <f t="shared" si="193"/>
        <v>1980</v>
      </c>
      <c r="BK121" s="653">
        <f t="shared" si="193"/>
        <v>0</v>
      </c>
      <c r="BL121" s="653">
        <f t="shared" si="193"/>
        <v>914.5</v>
      </c>
      <c r="BM121" s="655">
        <f t="shared" si="193"/>
        <v>915</v>
      </c>
      <c r="BN121" s="653">
        <f t="shared" si="193"/>
        <v>13675</v>
      </c>
      <c r="BO121" s="653">
        <f t="shared" si="193"/>
        <v>50</v>
      </c>
      <c r="BP121" s="653">
        <f t="shared" si="193"/>
        <v>0</v>
      </c>
      <c r="BQ121" s="653">
        <f t="shared" si="193"/>
        <v>724</v>
      </c>
      <c r="BR121" s="653">
        <f t="shared" si="193"/>
        <v>38</v>
      </c>
      <c r="BS121" s="653">
        <f t="shared" si="193"/>
        <v>0</v>
      </c>
      <c r="BT121" s="653">
        <f t="shared" si="193"/>
        <v>0</v>
      </c>
      <c r="BU121" s="653">
        <f t="shared" si="193"/>
        <v>2289</v>
      </c>
      <c r="BV121" s="653">
        <f>BV122</f>
        <v>0</v>
      </c>
      <c r="BW121" s="653">
        <f>BW122</f>
        <v>0</v>
      </c>
      <c r="BY121" s="732"/>
      <c r="BZ121" s="732"/>
      <c r="CA121" s="1348" t="s">
        <v>317</v>
      </c>
      <c r="CB121" s="1348" t="s">
        <v>561</v>
      </c>
      <c r="CC121" s="1348">
        <v>0</v>
      </c>
      <c r="CD121" s="1348">
        <v>0</v>
      </c>
      <c r="CE121" s="1348">
        <v>0</v>
      </c>
      <c r="CF121" s="1348">
        <v>0</v>
      </c>
      <c r="CG121" s="1348">
        <v>0</v>
      </c>
      <c r="CH121" s="1348">
        <v>0</v>
      </c>
      <c r="CI121" s="1348">
        <v>0</v>
      </c>
      <c r="CJ121" s="1348">
        <v>0</v>
      </c>
      <c r="CK121" s="1349">
        <v>29815</v>
      </c>
      <c r="CL121" s="1349">
        <v>14016</v>
      </c>
      <c r="CM121" s="1350">
        <v>3580</v>
      </c>
      <c r="CN121" s="1350">
        <v>356</v>
      </c>
      <c r="CO121" s="1350">
        <v>0</v>
      </c>
      <c r="CP121" s="1350">
        <v>0</v>
      </c>
      <c r="CQ121" s="1350">
        <v>12.700000000000001</v>
      </c>
      <c r="CR121" s="1350">
        <v>425</v>
      </c>
      <c r="CS121" s="1350">
        <v>438</v>
      </c>
      <c r="CT121" s="1349">
        <v>17514</v>
      </c>
      <c r="CU121" s="1349">
        <v>11589</v>
      </c>
      <c r="CV121" s="1349">
        <v>1843</v>
      </c>
      <c r="CW121" s="1349">
        <v>0</v>
      </c>
      <c r="CX121" s="1349">
        <v>126.10000000000002</v>
      </c>
      <c r="CY121" s="1349">
        <v>861</v>
      </c>
      <c r="CZ121" s="1349">
        <v>1022</v>
      </c>
      <c r="DA121" s="1349">
        <v>1149</v>
      </c>
      <c r="DB121" s="1349">
        <v>12283</v>
      </c>
      <c r="DC121" s="1349">
        <v>18</v>
      </c>
      <c r="DD121" s="1349">
        <v>0</v>
      </c>
      <c r="DE121" s="1349">
        <v>0</v>
      </c>
      <c r="DF121" s="1349">
        <v>0</v>
      </c>
      <c r="DG121" s="1349">
        <v>0</v>
      </c>
      <c r="DH121" s="1349">
        <v>0</v>
      </c>
      <c r="DI121" s="1349">
        <v>0</v>
      </c>
      <c r="DJ121" s="1349">
        <v>0</v>
      </c>
      <c r="DK121" s="1349">
        <v>0</v>
      </c>
      <c r="DT121" s="1323" t="s">
        <v>317</v>
      </c>
      <c r="DU121" s="651" t="s">
        <v>561</v>
      </c>
      <c r="DV121" s="1351">
        <f>DV122</f>
        <v>547</v>
      </c>
      <c r="DW121" s="1351">
        <f t="shared" ref="DW121:EV121" si="194">DW122</f>
        <v>865</v>
      </c>
      <c r="DX121" s="1351">
        <f t="shared" si="194"/>
        <v>-209</v>
      </c>
      <c r="DY121" s="1351">
        <f t="shared" si="194"/>
        <v>0</v>
      </c>
      <c r="DZ121" s="1351">
        <f t="shared" si="194"/>
        <v>0</v>
      </c>
      <c r="EA121" s="1351">
        <f t="shared" si="194"/>
        <v>51</v>
      </c>
      <c r="EB121" s="1351">
        <f t="shared" si="194"/>
        <v>21.9</v>
      </c>
      <c r="EC121" s="1351">
        <f t="shared" si="194"/>
        <v>0</v>
      </c>
      <c r="ED121" s="1351">
        <f t="shared" si="194"/>
        <v>73</v>
      </c>
      <c r="EE121" s="1351">
        <f t="shared" si="194"/>
        <v>583</v>
      </c>
      <c r="EF121" s="1351">
        <f t="shared" si="194"/>
        <v>0</v>
      </c>
      <c r="EG121" s="1351">
        <f t="shared" si="194"/>
        <v>100</v>
      </c>
      <c r="EH121" s="1351">
        <f t="shared" si="194"/>
        <v>136</v>
      </c>
      <c r="EI121" s="1351">
        <f t="shared" si="194"/>
        <v>0</v>
      </c>
      <c r="EJ121" s="1351">
        <f t="shared" si="194"/>
        <v>0</v>
      </c>
      <c r="EK121" s="1351">
        <f t="shared" si="194"/>
        <v>0</v>
      </c>
      <c r="EL121" s="1351">
        <f t="shared" si="194"/>
        <v>136</v>
      </c>
      <c r="EM121" s="1351">
        <f t="shared" si="194"/>
        <v>-36</v>
      </c>
      <c r="EN121" s="1351">
        <f t="shared" si="194"/>
        <v>0</v>
      </c>
      <c r="EO121" s="1351">
        <f t="shared" si="194"/>
        <v>0</v>
      </c>
      <c r="EP121" s="1351">
        <f t="shared" si="194"/>
        <v>0</v>
      </c>
      <c r="EQ121" s="1351">
        <f t="shared" si="194"/>
        <v>0</v>
      </c>
      <c r="ER121" s="1351">
        <f t="shared" si="194"/>
        <v>0</v>
      </c>
      <c r="ES121" s="1351">
        <f t="shared" si="194"/>
        <v>0</v>
      </c>
      <c r="ET121" s="1351">
        <f t="shared" si="194"/>
        <v>0</v>
      </c>
      <c r="EU121" s="1351">
        <f t="shared" si="194"/>
        <v>0</v>
      </c>
      <c r="EV121" s="1351">
        <f t="shared" si="194"/>
        <v>0</v>
      </c>
    </row>
    <row r="122" spans="1:152" ht="32.25" customHeight="1">
      <c r="A122" s="659">
        <v>38</v>
      </c>
      <c r="B122" s="660" t="s">
        <v>562</v>
      </c>
      <c r="C122" s="661">
        <f t="shared" ref="C122:J122" si="195">SUM(C123:C129)</f>
        <v>215</v>
      </c>
      <c r="D122" s="661">
        <f t="shared" si="195"/>
        <v>178</v>
      </c>
      <c r="E122" s="661">
        <f t="shared" si="195"/>
        <v>0</v>
      </c>
      <c r="F122" s="661">
        <f t="shared" si="195"/>
        <v>178</v>
      </c>
      <c r="G122" s="661">
        <f t="shared" si="195"/>
        <v>0</v>
      </c>
      <c r="H122" s="661">
        <f t="shared" si="195"/>
        <v>155</v>
      </c>
      <c r="I122" s="661">
        <f t="shared" si="195"/>
        <v>37</v>
      </c>
      <c r="J122" s="661">
        <f t="shared" si="195"/>
        <v>31</v>
      </c>
      <c r="K122" s="646">
        <f t="shared" si="117"/>
        <v>30344</v>
      </c>
      <c r="L122" s="662">
        <f>SUM(L123:L129)</f>
        <v>30362</v>
      </c>
      <c r="M122" s="662">
        <f>SUM(M123:M129)</f>
        <v>14881</v>
      </c>
      <c r="N122" s="662">
        <f t="shared" ref="N122:AM122" si="196">SUM(N123:N129)</f>
        <v>3371</v>
      </c>
      <c r="O122" s="662">
        <f t="shared" si="196"/>
        <v>356</v>
      </c>
      <c r="P122" s="662">
        <f t="shared" si="196"/>
        <v>0</v>
      </c>
      <c r="Q122" s="662">
        <f t="shared" si="196"/>
        <v>51</v>
      </c>
      <c r="R122" s="662">
        <f t="shared" si="196"/>
        <v>34.6</v>
      </c>
      <c r="S122" s="662">
        <f t="shared" si="196"/>
        <v>425</v>
      </c>
      <c r="T122" s="662">
        <f t="shared" si="196"/>
        <v>511</v>
      </c>
      <c r="U122" s="662">
        <f t="shared" si="196"/>
        <v>18097</v>
      </c>
      <c r="V122" s="662">
        <f t="shared" si="196"/>
        <v>11589</v>
      </c>
      <c r="W122" s="662">
        <f t="shared" si="196"/>
        <v>1943</v>
      </c>
      <c r="X122" s="662">
        <f t="shared" si="196"/>
        <v>136</v>
      </c>
      <c r="Y122" s="662">
        <f t="shared" si="196"/>
        <v>126.10000000000002</v>
      </c>
      <c r="Z122" s="662">
        <f t="shared" si="196"/>
        <v>861</v>
      </c>
      <c r="AA122" s="662">
        <f t="shared" si="196"/>
        <v>1022</v>
      </c>
      <c r="AB122" s="662">
        <f t="shared" si="196"/>
        <v>1285</v>
      </c>
      <c r="AC122" s="662">
        <f t="shared" si="196"/>
        <v>12247</v>
      </c>
      <c r="AD122" s="662">
        <f t="shared" si="196"/>
        <v>18</v>
      </c>
      <c r="AE122" s="662">
        <f t="shared" si="196"/>
        <v>0</v>
      </c>
      <c r="AF122" s="662">
        <f t="shared" si="196"/>
        <v>0</v>
      </c>
      <c r="AG122" s="662">
        <f>SUM(AG123:AG129)</f>
        <v>0</v>
      </c>
      <c r="AH122" s="662">
        <f>SUM(AH123:AH129)</f>
        <v>0</v>
      </c>
      <c r="AI122" s="662">
        <f t="shared" si="196"/>
        <v>0</v>
      </c>
      <c r="AJ122" s="662">
        <f t="shared" si="196"/>
        <v>0</v>
      </c>
      <c r="AK122" s="662">
        <f t="shared" si="196"/>
        <v>0</v>
      </c>
      <c r="AL122" s="664">
        <f t="shared" si="196"/>
        <v>0</v>
      </c>
      <c r="AM122" s="772">
        <f t="shared" si="196"/>
        <v>0</v>
      </c>
      <c r="AN122" s="610"/>
      <c r="AO122" s="659">
        <v>43</v>
      </c>
      <c r="AP122" s="660" t="s">
        <v>562</v>
      </c>
      <c r="AQ122" s="661">
        <f>SUM(AQ123:AQ129)</f>
        <v>209</v>
      </c>
      <c r="AR122" s="661">
        <f t="shared" ref="AR122:AX122" si="197">SUM(AR123:AR129)</f>
        <v>172</v>
      </c>
      <c r="AS122" s="661">
        <f t="shared" si="197"/>
        <v>0</v>
      </c>
      <c r="AT122" s="661">
        <f>SUM(AT123:AT129)</f>
        <v>172</v>
      </c>
      <c r="AU122" s="661">
        <f t="shared" si="197"/>
        <v>0</v>
      </c>
      <c r="AV122" s="661">
        <f>SUM(AV123:AV129)</f>
        <v>145</v>
      </c>
      <c r="AW122" s="661">
        <f t="shared" si="197"/>
        <v>37</v>
      </c>
      <c r="AX122" s="661">
        <f t="shared" si="197"/>
        <v>37</v>
      </c>
      <c r="AY122" s="662">
        <f>SUM(AY123:AY129)</f>
        <v>30032</v>
      </c>
      <c r="AZ122" s="665">
        <f>SUM(AZ123:AZ129)</f>
        <v>12776</v>
      </c>
      <c r="BA122" s="662">
        <f t="shared" ref="BA122:BW122" si="198">SUM(BA123:BA129)</f>
        <v>3346</v>
      </c>
      <c r="BB122" s="662">
        <f t="shared" si="198"/>
        <v>578</v>
      </c>
      <c r="BC122" s="662">
        <f t="shared" si="198"/>
        <v>0</v>
      </c>
      <c r="BD122" s="662">
        <f t="shared" si="198"/>
        <v>0</v>
      </c>
      <c r="BE122" s="662">
        <f t="shared" si="198"/>
        <v>392.40000000000003</v>
      </c>
      <c r="BF122" s="663">
        <f t="shared" si="198"/>
        <v>393</v>
      </c>
      <c r="BG122" s="662">
        <f t="shared" si="198"/>
        <v>16307</v>
      </c>
      <c r="BH122" s="662">
        <f t="shared" si="198"/>
        <v>12610</v>
      </c>
      <c r="BI122" s="662">
        <f t="shared" si="198"/>
        <v>0</v>
      </c>
      <c r="BJ122" s="662">
        <f t="shared" si="198"/>
        <v>1980</v>
      </c>
      <c r="BK122" s="662">
        <f t="shared" si="198"/>
        <v>0</v>
      </c>
      <c r="BL122" s="662">
        <f t="shared" si="198"/>
        <v>914.5</v>
      </c>
      <c r="BM122" s="663">
        <f t="shared" si="198"/>
        <v>915</v>
      </c>
      <c r="BN122" s="662">
        <f t="shared" si="198"/>
        <v>13675</v>
      </c>
      <c r="BO122" s="662">
        <f t="shared" si="198"/>
        <v>50</v>
      </c>
      <c r="BP122" s="662">
        <f t="shared" si="198"/>
        <v>0</v>
      </c>
      <c r="BQ122" s="662">
        <f t="shared" si="198"/>
        <v>724</v>
      </c>
      <c r="BR122" s="662">
        <f>SUM(BR123:BR129)</f>
        <v>38</v>
      </c>
      <c r="BS122" s="662">
        <f>SUM(BS123:BS129)</f>
        <v>0</v>
      </c>
      <c r="BT122" s="662">
        <f t="shared" si="198"/>
        <v>0</v>
      </c>
      <c r="BU122" s="662">
        <f t="shared" si="198"/>
        <v>2289</v>
      </c>
      <c r="BV122" s="662">
        <f t="shared" si="198"/>
        <v>0</v>
      </c>
      <c r="BW122" s="662">
        <f t="shared" si="198"/>
        <v>0</v>
      </c>
      <c r="CA122" s="1352">
        <v>40</v>
      </c>
      <c r="CB122" s="1352" t="s">
        <v>562</v>
      </c>
      <c r="CC122" s="1352">
        <v>201</v>
      </c>
      <c r="CD122" s="1352">
        <v>164</v>
      </c>
      <c r="CE122" s="1352"/>
      <c r="CF122" s="1352"/>
      <c r="CG122" s="1352"/>
      <c r="CH122" s="1352"/>
      <c r="CI122" s="1352"/>
      <c r="CJ122" s="1352"/>
      <c r="CK122" s="1353">
        <v>29815</v>
      </c>
      <c r="CL122" s="1353">
        <v>14016</v>
      </c>
      <c r="CM122" s="1354">
        <v>3580</v>
      </c>
      <c r="CN122" s="1354">
        <v>356</v>
      </c>
      <c r="CO122" s="1354">
        <v>0</v>
      </c>
      <c r="CP122" s="1354">
        <v>0</v>
      </c>
      <c r="CQ122" s="1354">
        <v>12.700000000000001</v>
      </c>
      <c r="CR122" s="1354">
        <v>425</v>
      </c>
      <c r="CS122" s="1354">
        <v>438</v>
      </c>
      <c r="CT122" s="1353">
        <v>17514</v>
      </c>
      <c r="CU122" s="1353">
        <v>11589</v>
      </c>
      <c r="CV122" s="1353">
        <v>1843</v>
      </c>
      <c r="CW122" s="1353">
        <v>0</v>
      </c>
      <c r="CX122" s="1353">
        <v>126.10000000000002</v>
      </c>
      <c r="CY122" s="1353">
        <v>861</v>
      </c>
      <c r="CZ122" s="1353">
        <v>1022</v>
      </c>
      <c r="DA122" s="1353">
        <v>1149</v>
      </c>
      <c r="DB122" s="1353">
        <v>12283</v>
      </c>
      <c r="DC122" s="1353">
        <v>18</v>
      </c>
      <c r="DD122" s="1353">
        <v>0</v>
      </c>
      <c r="DE122" s="1353">
        <v>0</v>
      </c>
      <c r="DF122" s="1353">
        <v>0</v>
      </c>
      <c r="DG122" s="1353">
        <v>0</v>
      </c>
      <c r="DH122" s="1353">
        <v>0</v>
      </c>
      <c r="DI122" s="1353">
        <v>0</v>
      </c>
      <c r="DJ122" s="1353">
        <v>0</v>
      </c>
      <c r="DK122" s="1353">
        <v>0</v>
      </c>
      <c r="DT122" s="659">
        <v>40</v>
      </c>
      <c r="DU122" s="660" t="s">
        <v>562</v>
      </c>
      <c r="DV122" s="777">
        <f>SUM(DV123:DV129)</f>
        <v>547</v>
      </c>
      <c r="DW122" s="777">
        <f t="shared" ref="DW122:EV122" si="199">SUM(DW123:DW129)</f>
        <v>865</v>
      </c>
      <c r="DX122" s="777">
        <f t="shared" si="199"/>
        <v>-209</v>
      </c>
      <c r="DY122" s="777">
        <f t="shared" si="199"/>
        <v>0</v>
      </c>
      <c r="DZ122" s="777">
        <f t="shared" si="199"/>
        <v>0</v>
      </c>
      <c r="EA122" s="777">
        <f t="shared" si="199"/>
        <v>51</v>
      </c>
      <c r="EB122" s="777">
        <f t="shared" si="199"/>
        <v>21.9</v>
      </c>
      <c r="EC122" s="777">
        <f t="shared" si="199"/>
        <v>0</v>
      </c>
      <c r="ED122" s="777">
        <f t="shared" si="199"/>
        <v>73</v>
      </c>
      <c r="EE122" s="777">
        <f t="shared" si="199"/>
        <v>583</v>
      </c>
      <c r="EF122" s="777">
        <f t="shared" si="199"/>
        <v>0</v>
      </c>
      <c r="EG122" s="777">
        <f t="shared" si="199"/>
        <v>100</v>
      </c>
      <c r="EH122" s="777">
        <f t="shared" si="199"/>
        <v>136</v>
      </c>
      <c r="EI122" s="777">
        <f t="shared" si="199"/>
        <v>0</v>
      </c>
      <c r="EJ122" s="777">
        <f t="shared" si="199"/>
        <v>0</v>
      </c>
      <c r="EK122" s="777">
        <f t="shared" si="199"/>
        <v>0</v>
      </c>
      <c r="EL122" s="777">
        <f t="shared" si="199"/>
        <v>136</v>
      </c>
      <c r="EM122" s="777">
        <f t="shared" si="199"/>
        <v>-36</v>
      </c>
      <c r="EN122" s="777">
        <f t="shared" si="199"/>
        <v>0</v>
      </c>
      <c r="EO122" s="777">
        <f t="shared" si="199"/>
        <v>0</v>
      </c>
      <c r="EP122" s="777">
        <f t="shared" si="199"/>
        <v>0</v>
      </c>
      <c r="EQ122" s="777">
        <f t="shared" si="199"/>
        <v>0</v>
      </c>
      <c r="ER122" s="777">
        <f t="shared" si="199"/>
        <v>0</v>
      </c>
      <c r="ES122" s="777">
        <f t="shared" si="199"/>
        <v>0</v>
      </c>
      <c r="ET122" s="777">
        <f t="shared" si="199"/>
        <v>0</v>
      </c>
      <c r="EU122" s="777">
        <f t="shared" si="199"/>
        <v>0</v>
      </c>
      <c r="EV122" s="777">
        <f t="shared" si="199"/>
        <v>0</v>
      </c>
    </row>
    <row r="123" spans="1:152" ht="39" hidden="1" customHeight="1">
      <c r="A123" s="659"/>
      <c r="B123" s="660" t="s">
        <v>459</v>
      </c>
      <c r="C123" s="661">
        <f t="shared" ref="C123:C129" si="200">D123+I123</f>
        <v>0</v>
      </c>
      <c r="D123" s="661">
        <f t="shared" ref="D123:D129" si="201">E123+F123</f>
        <v>0</v>
      </c>
      <c r="E123" s="661"/>
      <c r="F123" s="661"/>
      <c r="G123" s="661"/>
      <c r="H123" s="661"/>
      <c r="I123" s="661"/>
      <c r="J123" s="661"/>
      <c r="K123" s="646">
        <f t="shared" si="117"/>
        <v>0</v>
      </c>
      <c r="L123" s="662">
        <f t="shared" ref="L123:L129" si="202">U123+AC123+AD123+AE123</f>
        <v>0</v>
      </c>
      <c r="M123" s="666"/>
      <c r="N123" s="666"/>
      <c r="O123" s="666"/>
      <c r="P123" s="666"/>
      <c r="Q123" s="666"/>
      <c r="R123" s="666">
        <f>((N123+O123)-(BA123+BB123))*10%</f>
        <v>0</v>
      </c>
      <c r="S123" s="666"/>
      <c r="T123" s="666">
        <f t="shared" ref="T123:T129" si="203">ROUND((Q123+R123+S123),0)</f>
        <v>0</v>
      </c>
      <c r="U123" s="666">
        <f t="shared" ref="U123:U129" si="204">(M123+N123+O123+P123)-T123</f>
        <v>0</v>
      </c>
      <c r="V123" s="666"/>
      <c r="W123" s="666"/>
      <c r="X123" s="666"/>
      <c r="Y123" s="666">
        <f>Z123-BM123</f>
        <v>0</v>
      </c>
      <c r="Z123" s="666">
        <f>V123*10%</f>
        <v>0</v>
      </c>
      <c r="AA123" s="666"/>
      <c r="AB123" s="666">
        <f t="shared" ref="AB123:AB129" si="205">ROUND((Y123+AA123+X123),0)</f>
        <v>0</v>
      </c>
      <c r="AC123" s="666">
        <f t="shared" ref="AC123:AC129" si="206">(V123+W123)-AB123</f>
        <v>0</v>
      </c>
      <c r="AD123" s="666"/>
      <c r="AE123" s="666"/>
      <c r="AF123" s="666"/>
      <c r="AG123" s="666"/>
      <c r="AH123" s="666"/>
      <c r="AI123" s="666"/>
      <c r="AJ123" s="666"/>
      <c r="AK123" s="666"/>
      <c r="AL123" s="664"/>
      <c r="AN123" s="610"/>
      <c r="AO123" s="659"/>
      <c r="AP123" s="660" t="s">
        <v>459</v>
      </c>
      <c r="AQ123" s="661">
        <f t="shared" ref="AQ123:AQ129" si="207">AR123+AW123</f>
        <v>0</v>
      </c>
      <c r="AR123" s="661">
        <f t="shared" ref="AR123:AR129" si="208">AS123+AT123</f>
        <v>0</v>
      </c>
      <c r="AS123" s="661"/>
      <c r="AT123" s="661"/>
      <c r="AU123" s="661"/>
      <c r="AV123" s="661"/>
      <c r="AW123" s="661"/>
      <c r="AX123" s="661"/>
      <c r="AY123" s="666">
        <f t="shared" ref="AY123:AY129" si="209">BG123+BN123+BO123+BP123</f>
        <v>0</v>
      </c>
      <c r="AZ123" s="670"/>
      <c r="BA123" s="666"/>
      <c r="BB123" s="666"/>
      <c r="BC123" s="666"/>
      <c r="BD123" s="666"/>
      <c r="BE123" s="666">
        <f t="shared" ref="BE123:BE129" si="210">(BA123+BB123)*10%</f>
        <v>0</v>
      </c>
      <c r="BF123" s="667">
        <f t="shared" ref="BF123:BF131" si="211">ROUND(BE123,0)</f>
        <v>0</v>
      </c>
      <c r="BG123" s="666">
        <f t="shared" ref="BG123:BG129" si="212">(AZ123+BA123+BB123+BC123)-BF123</f>
        <v>0</v>
      </c>
      <c r="BH123" s="666">
        <f>1308-1308</f>
        <v>0</v>
      </c>
      <c r="BI123" s="666"/>
      <c r="BJ123" s="666"/>
      <c r="BK123" s="666"/>
      <c r="BL123" s="666">
        <f t="shared" ref="BL123:BL129" si="213">BH123*10%</f>
        <v>0</v>
      </c>
      <c r="BM123" s="667">
        <f t="shared" ref="BM123:BM131" si="214">ROUND(BL123,0)</f>
        <v>0</v>
      </c>
      <c r="BN123" s="666">
        <f t="shared" ref="BN123:BN129" si="215">(BH123+BI123+BJ123)-BM123</f>
        <v>0</v>
      </c>
      <c r="BO123" s="666"/>
      <c r="BP123" s="666"/>
      <c r="BQ123" s="666"/>
      <c r="BR123" s="666"/>
      <c r="BS123" s="666"/>
      <c r="BT123" s="666"/>
      <c r="BU123" s="666">
        <v>2289</v>
      </c>
      <c r="BV123" s="666"/>
      <c r="BW123" s="662"/>
      <c r="CA123" s="1352"/>
      <c r="CB123" s="1352" t="s">
        <v>459</v>
      </c>
      <c r="CC123" s="1352">
        <v>0</v>
      </c>
      <c r="CD123" s="1352">
        <v>0</v>
      </c>
      <c r="CE123" s="1352"/>
      <c r="CF123" s="1352"/>
      <c r="CG123" s="1352"/>
      <c r="CH123" s="1352"/>
      <c r="CI123" s="1352"/>
      <c r="CJ123" s="1352"/>
      <c r="CK123" s="1353">
        <v>0</v>
      </c>
      <c r="CL123" s="1353"/>
      <c r="CM123" s="1354"/>
      <c r="CN123" s="1354"/>
      <c r="CO123" s="1354"/>
      <c r="CP123" s="1354"/>
      <c r="CQ123" s="1354">
        <v>0</v>
      </c>
      <c r="CR123" s="1354"/>
      <c r="CS123" s="1354">
        <v>0</v>
      </c>
      <c r="CT123" s="1353">
        <v>0</v>
      </c>
      <c r="CU123" s="1353"/>
      <c r="CV123" s="1353"/>
      <c r="CW123" s="1353"/>
      <c r="CX123" s="1353">
        <v>0</v>
      </c>
      <c r="CY123" s="1353">
        <v>0</v>
      </c>
      <c r="CZ123" s="1353"/>
      <c r="DA123" s="1353">
        <v>0</v>
      </c>
      <c r="DB123" s="1353">
        <v>0</v>
      </c>
      <c r="DC123" s="1353"/>
      <c r="DD123" s="1353"/>
      <c r="DE123" s="1353"/>
      <c r="DF123" s="1353"/>
      <c r="DG123" s="1353"/>
      <c r="DH123" s="1353"/>
      <c r="DI123" s="1353"/>
      <c r="DJ123" s="1353"/>
      <c r="DK123" s="1353"/>
      <c r="DT123" s="659"/>
      <c r="DU123" s="660" t="s">
        <v>459</v>
      </c>
      <c r="DV123" s="777">
        <f t="shared" ref="DV123:EK129" si="216">L123-CK123</f>
        <v>0</v>
      </c>
      <c r="DW123" s="777">
        <f t="shared" si="216"/>
        <v>0</v>
      </c>
      <c r="DX123" s="777">
        <f t="shared" si="216"/>
        <v>0</v>
      </c>
      <c r="DY123" s="777">
        <f t="shared" si="216"/>
        <v>0</v>
      </c>
      <c r="DZ123" s="777">
        <f t="shared" si="216"/>
        <v>0</v>
      </c>
      <c r="EA123" s="777">
        <f t="shared" si="216"/>
        <v>0</v>
      </c>
      <c r="EB123" s="777">
        <f t="shared" si="216"/>
        <v>0</v>
      </c>
      <c r="EC123" s="777">
        <f t="shared" si="216"/>
        <v>0</v>
      </c>
      <c r="ED123" s="777">
        <f t="shared" si="216"/>
        <v>0</v>
      </c>
      <c r="EE123" s="777">
        <f t="shared" si="216"/>
        <v>0</v>
      </c>
      <c r="EF123" s="777">
        <f t="shared" si="216"/>
        <v>0</v>
      </c>
      <c r="EG123" s="777">
        <f t="shared" si="216"/>
        <v>0</v>
      </c>
      <c r="EH123" s="777">
        <f t="shared" si="216"/>
        <v>0</v>
      </c>
      <c r="EI123" s="777">
        <f t="shared" si="216"/>
        <v>0</v>
      </c>
      <c r="EJ123" s="777">
        <f t="shared" si="216"/>
        <v>0</v>
      </c>
      <c r="EK123" s="777">
        <f t="shared" si="216"/>
        <v>0</v>
      </c>
      <c r="EL123" s="777">
        <f t="shared" ref="EL123:EV129" si="217">AB123-DA123</f>
        <v>0</v>
      </c>
      <c r="EM123" s="777">
        <f t="shared" si="217"/>
        <v>0</v>
      </c>
      <c r="EN123" s="777">
        <f t="shared" si="217"/>
        <v>0</v>
      </c>
      <c r="EO123" s="777">
        <f t="shared" si="217"/>
        <v>0</v>
      </c>
      <c r="EP123" s="777">
        <f t="shared" si="217"/>
        <v>0</v>
      </c>
      <c r="EQ123" s="777">
        <f t="shared" si="217"/>
        <v>0</v>
      </c>
      <c r="ER123" s="777">
        <f t="shared" si="217"/>
        <v>0</v>
      </c>
      <c r="ES123" s="777">
        <f t="shared" si="217"/>
        <v>0</v>
      </c>
      <c r="ET123" s="777">
        <f t="shared" si="217"/>
        <v>0</v>
      </c>
      <c r="EU123" s="777">
        <f t="shared" si="217"/>
        <v>0</v>
      </c>
      <c r="EV123" s="777">
        <f t="shared" si="217"/>
        <v>0</v>
      </c>
    </row>
    <row r="124" spans="1:152" ht="31.5" hidden="1" customHeight="1">
      <c r="A124" s="659"/>
      <c r="B124" s="660" t="s">
        <v>563</v>
      </c>
      <c r="C124" s="661">
        <f t="shared" si="200"/>
        <v>47</v>
      </c>
      <c r="D124" s="661">
        <f t="shared" si="201"/>
        <v>41</v>
      </c>
      <c r="E124" s="661"/>
      <c r="F124" s="661">
        <v>41</v>
      </c>
      <c r="G124" s="661"/>
      <c r="H124" s="661">
        <v>37</v>
      </c>
      <c r="I124" s="661">
        <v>6</v>
      </c>
      <c r="J124" s="661">
        <v>5</v>
      </c>
      <c r="K124" s="646">
        <f t="shared" si="117"/>
        <v>5060</v>
      </c>
      <c r="L124" s="662">
        <f t="shared" si="202"/>
        <v>5060</v>
      </c>
      <c r="M124" s="666">
        <v>3659</v>
      </c>
      <c r="N124" s="666">
        <v>800</v>
      </c>
      <c r="O124" s="666">
        <v>32</v>
      </c>
      <c r="P124" s="666"/>
      <c r="Q124" s="666"/>
      <c r="R124" s="666"/>
      <c r="S124" s="666">
        <v>99</v>
      </c>
      <c r="T124" s="666">
        <f t="shared" si="203"/>
        <v>99</v>
      </c>
      <c r="U124" s="666">
        <f t="shared" si="204"/>
        <v>4392</v>
      </c>
      <c r="V124" s="666">
        <v>687</v>
      </c>
      <c r="W124" s="666">
        <v>35</v>
      </c>
      <c r="X124" s="666"/>
      <c r="Y124" s="666">
        <f>Z124-BM124</f>
        <v>2.7000000000000028</v>
      </c>
      <c r="Z124" s="666">
        <f>V124*10%</f>
        <v>68.7</v>
      </c>
      <c r="AA124" s="666">
        <v>51</v>
      </c>
      <c r="AB124" s="666">
        <f>ROUND((Y124+AA124+X124),0)</f>
        <v>54</v>
      </c>
      <c r="AC124" s="666">
        <f t="shared" si="206"/>
        <v>668</v>
      </c>
      <c r="AD124" s="666"/>
      <c r="AE124" s="666"/>
      <c r="AF124" s="666"/>
      <c r="AG124" s="666"/>
      <c r="AH124" s="666"/>
      <c r="AI124" s="666"/>
      <c r="AJ124" s="666"/>
      <c r="AK124" s="666"/>
      <c r="AL124" s="664"/>
      <c r="AN124" s="610"/>
      <c r="AO124" s="659"/>
      <c r="AP124" s="660" t="s">
        <v>563</v>
      </c>
      <c r="AQ124" s="661">
        <f t="shared" si="207"/>
        <v>48</v>
      </c>
      <c r="AR124" s="661">
        <f t="shared" si="208"/>
        <v>42</v>
      </c>
      <c r="AS124" s="661"/>
      <c r="AT124" s="661">
        <v>42</v>
      </c>
      <c r="AU124" s="661"/>
      <c r="AV124" s="661">
        <v>40</v>
      </c>
      <c r="AW124" s="661">
        <v>6</v>
      </c>
      <c r="AX124" s="661">
        <v>6</v>
      </c>
      <c r="AY124" s="666">
        <f t="shared" si="209"/>
        <v>5200</v>
      </c>
      <c r="AZ124" s="670">
        <v>3506</v>
      </c>
      <c r="BA124" s="666">
        <v>814</v>
      </c>
      <c r="BB124" s="666">
        <v>131</v>
      </c>
      <c r="BC124" s="666"/>
      <c r="BD124" s="666"/>
      <c r="BE124" s="666">
        <f t="shared" si="210"/>
        <v>94.5</v>
      </c>
      <c r="BF124" s="667">
        <f t="shared" si="211"/>
        <v>95</v>
      </c>
      <c r="BG124" s="666">
        <f t="shared" si="212"/>
        <v>4356</v>
      </c>
      <c r="BH124" s="666">
        <v>660</v>
      </c>
      <c r="BI124" s="666"/>
      <c r="BJ124" s="666">
        <v>250</v>
      </c>
      <c r="BK124" s="666"/>
      <c r="BL124" s="666">
        <f t="shared" si="213"/>
        <v>66</v>
      </c>
      <c r="BM124" s="667">
        <f t="shared" si="214"/>
        <v>66</v>
      </c>
      <c r="BN124" s="666">
        <f t="shared" si="215"/>
        <v>844</v>
      </c>
      <c r="BO124" s="666"/>
      <c r="BP124" s="666"/>
      <c r="BQ124" s="666">
        <v>300</v>
      </c>
      <c r="BR124" s="666"/>
      <c r="BS124" s="666"/>
      <c r="BT124" s="666"/>
      <c r="BU124" s="666"/>
      <c r="BV124" s="666"/>
      <c r="BW124" s="662"/>
      <c r="CA124" s="1352"/>
      <c r="CB124" s="1352" t="s">
        <v>563</v>
      </c>
      <c r="CC124" s="1352">
        <v>48</v>
      </c>
      <c r="CD124" s="1352">
        <v>42</v>
      </c>
      <c r="CE124" s="1352"/>
      <c r="CF124" s="1352">
        <v>42</v>
      </c>
      <c r="CG124" s="1352"/>
      <c r="CH124" s="1352">
        <v>38</v>
      </c>
      <c r="CI124" s="1352">
        <v>6</v>
      </c>
      <c r="CJ124" s="1352">
        <v>5</v>
      </c>
      <c r="CK124" s="1353">
        <v>5263</v>
      </c>
      <c r="CL124" s="1353">
        <v>3749</v>
      </c>
      <c r="CM124" s="1354">
        <v>913</v>
      </c>
      <c r="CN124" s="1354">
        <v>32</v>
      </c>
      <c r="CO124" s="1354"/>
      <c r="CP124" s="1354"/>
      <c r="CQ124" s="1354">
        <v>0</v>
      </c>
      <c r="CR124" s="1354">
        <v>99</v>
      </c>
      <c r="CS124" s="1354">
        <v>99</v>
      </c>
      <c r="CT124" s="1353">
        <v>4595</v>
      </c>
      <c r="CU124" s="1353">
        <v>687</v>
      </c>
      <c r="CV124" s="1353">
        <v>35</v>
      </c>
      <c r="CW124" s="1353"/>
      <c r="CX124" s="1353">
        <v>2.7000000000000028</v>
      </c>
      <c r="CY124" s="1353">
        <v>68.7</v>
      </c>
      <c r="CZ124" s="1353">
        <v>51</v>
      </c>
      <c r="DA124" s="1353">
        <v>54</v>
      </c>
      <c r="DB124" s="1353">
        <v>668</v>
      </c>
      <c r="DC124" s="1353"/>
      <c r="DD124" s="1353"/>
      <c r="DE124" s="1353"/>
      <c r="DF124" s="1353"/>
      <c r="DG124" s="1353"/>
      <c r="DH124" s="1353"/>
      <c r="DI124" s="1353"/>
      <c r="DJ124" s="1353"/>
      <c r="DK124" s="1353"/>
      <c r="DT124" s="659"/>
      <c r="DU124" s="660" t="s">
        <v>563</v>
      </c>
      <c r="DV124" s="777">
        <f t="shared" si="216"/>
        <v>-203</v>
      </c>
      <c r="DW124" s="777">
        <f t="shared" si="216"/>
        <v>-90</v>
      </c>
      <c r="DX124" s="777">
        <f t="shared" si="216"/>
        <v>-113</v>
      </c>
      <c r="DY124" s="777">
        <f t="shared" si="216"/>
        <v>0</v>
      </c>
      <c r="DZ124" s="777">
        <f t="shared" si="216"/>
        <v>0</v>
      </c>
      <c r="EA124" s="777">
        <f t="shared" si="216"/>
        <v>0</v>
      </c>
      <c r="EB124" s="777">
        <f t="shared" si="216"/>
        <v>0</v>
      </c>
      <c r="EC124" s="777">
        <f t="shared" si="216"/>
        <v>0</v>
      </c>
      <c r="ED124" s="777">
        <f t="shared" si="216"/>
        <v>0</v>
      </c>
      <c r="EE124" s="777">
        <f t="shared" si="216"/>
        <v>-203</v>
      </c>
      <c r="EF124" s="777">
        <f t="shared" si="216"/>
        <v>0</v>
      </c>
      <c r="EG124" s="777">
        <f t="shared" si="216"/>
        <v>0</v>
      </c>
      <c r="EH124" s="777">
        <f t="shared" si="216"/>
        <v>0</v>
      </c>
      <c r="EI124" s="777">
        <f t="shared" si="216"/>
        <v>0</v>
      </c>
      <c r="EJ124" s="777">
        <f t="shared" si="216"/>
        <v>0</v>
      </c>
      <c r="EK124" s="777">
        <f t="shared" si="216"/>
        <v>0</v>
      </c>
      <c r="EL124" s="777">
        <f t="shared" si="217"/>
        <v>0</v>
      </c>
      <c r="EM124" s="777">
        <f t="shared" si="217"/>
        <v>0</v>
      </c>
      <c r="EN124" s="777">
        <f t="shared" si="217"/>
        <v>0</v>
      </c>
      <c r="EO124" s="777">
        <f t="shared" si="217"/>
        <v>0</v>
      </c>
      <c r="EP124" s="777">
        <f t="shared" si="217"/>
        <v>0</v>
      </c>
      <c r="EQ124" s="777">
        <f t="shared" si="217"/>
        <v>0</v>
      </c>
      <c r="ER124" s="777">
        <f t="shared" si="217"/>
        <v>0</v>
      </c>
      <c r="ES124" s="777">
        <f t="shared" si="217"/>
        <v>0</v>
      </c>
      <c r="ET124" s="777">
        <f t="shared" si="217"/>
        <v>0</v>
      </c>
      <c r="EU124" s="777">
        <f t="shared" si="217"/>
        <v>0</v>
      </c>
      <c r="EV124" s="777">
        <f t="shared" si="217"/>
        <v>0</v>
      </c>
    </row>
    <row r="125" spans="1:152" ht="31.5" hidden="1" customHeight="1">
      <c r="A125" s="659"/>
      <c r="B125" s="660" t="s">
        <v>564</v>
      </c>
      <c r="C125" s="661">
        <f t="shared" si="200"/>
        <v>26</v>
      </c>
      <c r="D125" s="661">
        <f t="shared" si="201"/>
        <v>24</v>
      </c>
      <c r="E125" s="661"/>
      <c r="F125" s="661">
        <v>24</v>
      </c>
      <c r="G125" s="661"/>
      <c r="H125" s="661">
        <v>22</v>
      </c>
      <c r="I125" s="661">
        <v>2</v>
      </c>
      <c r="J125" s="661">
        <v>2</v>
      </c>
      <c r="K125" s="646">
        <f t="shared" si="117"/>
        <v>3565</v>
      </c>
      <c r="L125" s="662">
        <f t="shared" si="202"/>
        <v>3583</v>
      </c>
      <c r="M125" s="666">
        <v>1982</v>
      </c>
      <c r="N125" s="666">
        <f>540-48</f>
        <v>492</v>
      </c>
      <c r="O125" s="666">
        <v>43</v>
      </c>
      <c r="P125" s="666"/>
      <c r="Q125" s="666"/>
      <c r="R125" s="666"/>
      <c r="S125" s="666">
        <v>63</v>
      </c>
      <c r="T125" s="666">
        <f t="shared" si="203"/>
        <v>63</v>
      </c>
      <c r="U125" s="666">
        <f t="shared" si="204"/>
        <v>2454</v>
      </c>
      <c r="V125" s="666">
        <v>426</v>
      </c>
      <c r="W125" s="666">
        <v>730</v>
      </c>
      <c r="X125" s="666"/>
      <c r="Y125" s="666">
        <f>Z125-BM125</f>
        <v>10.600000000000001</v>
      </c>
      <c r="Z125" s="666">
        <f>V125*10%</f>
        <v>42.6</v>
      </c>
      <c r="AA125" s="666">
        <v>34</v>
      </c>
      <c r="AB125" s="666">
        <f t="shared" si="205"/>
        <v>45</v>
      </c>
      <c r="AC125" s="666">
        <f t="shared" si="206"/>
        <v>1111</v>
      </c>
      <c r="AD125" s="666">
        <v>18</v>
      </c>
      <c r="AE125" s="666"/>
      <c r="AF125" s="666"/>
      <c r="AG125" s="666"/>
      <c r="AH125" s="666"/>
      <c r="AI125" s="666"/>
      <c r="AJ125" s="666"/>
      <c r="AK125" s="666"/>
      <c r="AL125" s="664"/>
      <c r="AN125" s="610">
        <v>3138</v>
      </c>
      <c r="AO125" s="659"/>
      <c r="AP125" s="660" t="s">
        <v>564</v>
      </c>
      <c r="AQ125" s="661">
        <f t="shared" si="207"/>
        <v>27</v>
      </c>
      <c r="AR125" s="661">
        <f t="shared" si="208"/>
        <v>25</v>
      </c>
      <c r="AS125" s="661"/>
      <c r="AT125" s="661">
        <v>25</v>
      </c>
      <c r="AU125" s="661"/>
      <c r="AV125" s="661">
        <v>24</v>
      </c>
      <c r="AW125" s="661">
        <v>2</v>
      </c>
      <c r="AX125" s="661">
        <v>2</v>
      </c>
      <c r="AY125" s="666">
        <f t="shared" si="209"/>
        <v>3045</v>
      </c>
      <c r="AZ125" s="670">
        <v>1894</v>
      </c>
      <c r="BA125" s="666">
        <v>538</v>
      </c>
      <c r="BB125" s="666">
        <v>70</v>
      </c>
      <c r="BC125" s="666"/>
      <c r="BD125" s="666"/>
      <c r="BE125" s="666">
        <f t="shared" si="210"/>
        <v>60.800000000000004</v>
      </c>
      <c r="BF125" s="667">
        <f t="shared" si="211"/>
        <v>61</v>
      </c>
      <c r="BG125" s="666">
        <f t="shared" si="212"/>
        <v>2441</v>
      </c>
      <c r="BH125" s="666">
        <f>318-150+150</f>
        <v>318</v>
      </c>
      <c r="BI125" s="666"/>
      <c r="BJ125" s="666">
        <f>18+150-150+300</f>
        <v>318</v>
      </c>
      <c r="BK125" s="666"/>
      <c r="BL125" s="666">
        <f t="shared" si="213"/>
        <v>31.8</v>
      </c>
      <c r="BM125" s="667">
        <f t="shared" si="214"/>
        <v>32</v>
      </c>
      <c r="BN125" s="666">
        <f t="shared" si="215"/>
        <v>604</v>
      </c>
      <c r="BO125" s="666"/>
      <c r="BP125" s="666"/>
      <c r="BQ125" s="666">
        <v>50</v>
      </c>
      <c r="BR125" s="666"/>
      <c r="BS125" s="666"/>
      <c r="BT125" s="666"/>
      <c r="BU125" s="666"/>
      <c r="BV125" s="666"/>
      <c r="BW125" s="662"/>
      <c r="CA125" s="1352"/>
      <c r="CB125" s="1352" t="s">
        <v>564</v>
      </c>
      <c r="CC125" s="1352">
        <v>26</v>
      </c>
      <c r="CD125" s="1352">
        <v>24</v>
      </c>
      <c r="CE125" s="1352"/>
      <c r="CF125" s="1352">
        <v>24</v>
      </c>
      <c r="CG125" s="1352"/>
      <c r="CH125" s="1352">
        <v>22</v>
      </c>
      <c r="CI125" s="1352">
        <v>2</v>
      </c>
      <c r="CJ125" s="1352">
        <v>2</v>
      </c>
      <c r="CK125" s="1353">
        <v>3631</v>
      </c>
      <c r="CL125" s="1353">
        <v>1982</v>
      </c>
      <c r="CM125" s="1354">
        <v>540</v>
      </c>
      <c r="CN125" s="1354">
        <v>43</v>
      </c>
      <c r="CO125" s="1354"/>
      <c r="CP125" s="1354"/>
      <c r="CQ125" s="1354"/>
      <c r="CR125" s="1354">
        <v>63</v>
      </c>
      <c r="CS125" s="1354">
        <v>63</v>
      </c>
      <c r="CT125" s="1353">
        <v>2502</v>
      </c>
      <c r="CU125" s="1353">
        <v>426</v>
      </c>
      <c r="CV125" s="1353">
        <v>730</v>
      </c>
      <c r="CW125" s="1353"/>
      <c r="CX125" s="1353">
        <v>10.600000000000001</v>
      </c>
      <c r="CY125" s="1353">
        <v>42.6</v>
      </c>
      <c r="CZ125" s="1353">
        <v>34</v>
      </c>
      <c r="DA125" s="1353">
        <v>45</v>
      </c>
      <c r="DB125" s="1353">
        <v>1111</v>
      </c>
      <c r="DC125" s="1353">
        <v>18</v>
      </c>
      <c r="DD125" s="1353"/>
      <c r="DE125" s="1353"/>
      <c r="DF125" s="1353"/>
      <c r="DG125" s="1353"/>
      <c r="DH125" s="1353"/>
      <c r="DI125" s="1353"/>
      <c r="DJ125" s="1353"/>
      <c r="DK125" s="1353"/>
      <c r="DT125" s="659"/>
      <c r="DU125" s="660" t="s">
        <v>564</v>
      </c>
      <c r="DV125" s="777">
        <f t="shared" si="216"/>
        <v>-48</v>
      </c>
      <c r="DW125" s="777">
        <f t="shared" si="216"/>
        <v>0</v>
      </c>
      <c r="DX125" s="777">
        <f t="shared" si="216"/>
        <v>-48</v>
      </c>
      <c r="DY125" s="777">
        <f t="shared" si="216"/>
        <v>0</v>
      </c>
      <c r="DZ125" s="777">
        <f t="shared" si="216"/>
        <v>0</v>
      </c>
      <c r="EA125" s="777">
        <f t="shared" si="216"/>
        <v>0</v>
      </c>
      <c r="EB125" s="777">
        <f t="shared" si="216"/>
        <v>0</v>
      </c>
      <c r="EC125" s="777">
        <f t="shared" si="216"/>
        <v>0</v>
      </c>
      <c r="ED125" s="777">
        <f t="shared" si="216"/>
        <v>0</v>
      </c>
      <c r="EE125" s="777">
        <f t="shared" si="216"/>
        <v>-48</v>
      </c>
      <c r="EF125" s="777">
        <f t="shared" si="216"/>
        <v>0</v>
      </c>
      <c r="EG125" s="777">
        <f t="shared" si="216"/>
        <v>0</v>
      </c>
      <c r="EH125" s="777">
        <f t="shared" si="216"/>
        <v>0</v>
      </c>
      <c r="EI125" s="777">
        <f t="shared" si="216"/>
        <v>0</v>
      </c>
      <c r="EJ125" s="777">
        <f t="shared" si="216"/>
        <v>0</v>
      </c>
      <c r="EK125" s="777">
        <f t="shared" si="216"/>
        <v>0</v>
      </c>
      <c r="EL125" s="777">
        <f t="shared" si="217"/>
        <v>0</v>
      </c>
      <c r="EM125" s="777">
        <f t="shared" si="217"/>
        <v>0</v>
      </c>
      <c r="EN125" s="777">
        <f t="shared" si="217"/>
        <v>0</v>
      </c>
      <c r="EO125" s="777">
        <f t="shared" si="217"/>
        <v>0</v>
      </c>
      <c r="EP125" s="777">
        <f t="shared" si="217"/>
        <v>0</v>
      </c>
      <c r="EQ125" s="777">
        <f t="shared" si="217"/>
        <v>0</v>
      </c>
      <c r="ER125" s="777">
        <f t="shared" si="217"/>
        <v>0</v>
      </c>
      <c r="ES125" s="777">
        <f t="shared" si="217"/>
        <v>0</v>
      </c>
      <c r="ET125" s="777">
        <f t="shared" si="217"/>
        <v>0</v>
      </c>
      <c r="EU125" s="777">
        <f t="shared" si="217"/>
        <v>0</v>
      </c>
      <c r="EV125" s="777">
        <f t="shared" si="217"/>
        <v>0</v>
      </c>
    </row>
    <row r="126" spans="1:152" ht="31.5" hidden="1" customHeight="1">
      <c r="A126" s="659"/>
      <c r="B126" s="660" t="s">
        <v>565</v>
      </c>
      <c r="C126" s="661">
        <f t="shared" si="200"/>
        <v>19</v>
      </c>
      <c r="D126" s="661">
        <f t="shared" si="201"/>
        <v>15</v>
      </c>
      <c r="E126" s="661"/>
      <c r="F126" s="661">
        <v>15</v>
      </c>
      <c r="G126" s="661"/>
      <c r="H126" s="661">
        <v>15</v>
      </c>
      <c r="I126" s="661">
        <v>4</v>
      </c>
      <c r="J126" s="661">
        <v>2</v>
      </c>
      <c r="K126" s="646">
        <f t="shared" si="117"/>
        <v>2865</v>
      </c>
      <c r="L126" s="662">
        <f t="shared" si="202"/>
        <v>2865</v>
      </c>
      <c r="M126" s="666">
        <v>1376</v>
      </c>
      <c r="N126" s="666">
        <v>377</v>
      </c>
      <c r="O126" s="666">
        <v>15</v>
      </c>
      <c r="P126" s="666"/>
      <c r="Q126" s="666"/>
      <c r="R126" s="666">
        <f>((N126+O126)-(BA126+BB126))*10%</f>
        <v>0</v>
      </c>
      <c r="S126" s="666">
        <v>63</v>
      </c>
      <c r="T126" s="666">
        <f t="shared" si="203"/>
        <v>63</v>
      </c>
      <c r="U126" s="666">
        <f t="shared" si="204"/>
        <v>1705</v>
      </c>
      <c r="V126" s="666">
        <v>1132</v>
      </c>
      <c r="W126" s="666">
        <v>256</v>
      </c>
      <c r="X126" s="666"/>
      <c r="Y126" s="666">
        <f>Z126-BM126</f>
        <v>93.2</v>
      </c>
      <c r="Z126" s="666">
        <f>V126*10%</f>
        <v>113.2</v>
      </c>
      <c r="AA126" s="666">
        <v>135</v>
      </c>
      <c r="AB126" s="666">
        <f t="shared" si="205"/>
        <v>228</v>
      </c>
      <c r="AC126" s="666">
        <f t="shared" si="206"/>
        <v>1160</v>
      </c>
      <c r="AD126" s="666"/>
      <c r="AE126" s="666"/>
      <c r="AF126" s="666"/>
      <c r="AG126" s="666"/>
      <c r="AH126" s="666"/>
      <c r="AI126" s="666"/>
      <c r="AJ126" s="666"/>
      <c r="AK126" s="666"/>
      <c r="AL126" s="664"/>
      <c r="AN126" s="610"/>
      <c r="AO126" s="659"/>
      <c r="AP126" s="660" t="s">
        <v>565</v>
      </c>
      <c r="AQ126" s="661">
        <f t="shared" si="207"/>
        <v>29</v>
      </c>
      <c r="AR126" s="661">
        <f t="shared" si="208"/>
        <v>15</v>
      </c>
      <c r="AS126" s="661"/>
      <c r="AT126" s="661">
        <v>15</v>
      </c>
      <c r="AU126" s="661"/>
      <c r="AV126" s="661">
        <v>15</v>
      </c>
      <c r="AW126" s="661">
        <v>14</v>
      </c>
      <c r="AX126" s="661">
        <v>14</v>
      </c>
      <c r="AY126" s="666">
        <f t="shared" si="209"/>
        <v>2274</v>
      </c>
      <c r="AZ126" s="670">
        <v>1584</v>
      </c>
      <c r="BA126" s="666">
        <v>300</v>
      </c>
      <c r="BB126" s="666">
        <v>92</v>
      </c>
      <c r="BC126" s="666"/>
      <c r="BD126" s="666"/>
      <c r="BE126" s="666">
        <f t="shared" si="210"/>
        <v>39.200000000000003</v>
      </c>
      <c r="BF126" s="667">
        <f t="shared" si="211"/>
        <v>39</v>
      </c>
      <c r="BG126" s="666">
        <f t="shared" si="212"/>
        <v>1937</v>
      </c>
      <c r="BH126" s="666">
        <v>202</v>
      </c>
      <c r="BI126" s="666"/>
      <c r="BJ126" s="666">
        <v>155</v>
      </c>
      <c r="BK126" s="666"/>
      <c r="BL126" s="666">
        <f t="shared" si="213"/>
        <v>20.200000000000003</v>
      </c>
      <c r="BM126" s="667">
        <f t="shared" si="214"/>
        <v>20</v>
      </c>
      <c r="BN126" s="666">
        <f t="shared" si="215"/>
        <v>337</v>
      </c>
      <c r="BO126" s="666"/>
      <c r="BP126" s="666"/>
      <c r="BQ126" s="666">
        <v>12</v>
      </c>
      <c r="BR126" s="666"/>
      <c r="BS126" s="666"/>
      <c r="BT126" s="666"/>
      <c r="BU126" s="666"/>
      <c r="BV126" s="666"/>
      <c r="BW126" s="662"/>
      <c r="CA126" s="1352"/>
      <c r="CB126" s="1352" t="s">
        <v>565</v>
      </c>
      <c r="CC126" s="1352">
        <v>19</v>
      </c>
      <c r="CD126" s="1352">
        <v>15</v>
      </c>
      <c r="CE126" s="1352"/>
      <c r="CF126" s="1352">
        <v>15</v>
      </c>
      <c r="CG126" s="1352"/>
      <c r="CH126" s="1352">
        <v>15</v>
      </c>
      <c r="CI126" s="1352">
        <v>4</v>
      </c>
      <c r="CJ126" s="1352">
        <v>2</v>
      </c>
      <c r="CK126" s="1353">
        <v>2865</v>
      </c>
      <c r="CL126" s="1353">
        <v>1376</v>
      </c>
      <c r="CM126" s="1354">
        <v>377</v>
      </c>
      <c r="CN126" s="1354">
        <v>15</v>
      </c>
      <c r="CO126" s="1354"/>
      <c r="CP126" s="1354"/>
      <c r="CQ126" s="1354">
        <v>0</v>
      </c>
      <c r="CR126" s="1354">
        <v>63</v>
      </c>
      <c r="CS126" s="1354">
        <v>63</v>
      </c>
      <c r="CT126" s="1353">
        <v>1705</v>
      </c>
      <c r="CU126" s="1353">
        <v>1132</v>
      </c>
      <c r="CV126" s="1353">
        <v>256</v>
      </c>
      <c r="CW126" s="1353"/>
      <c r="CX126" s="1353">
        <v>93.2</v>
      </c>
      <c r="CY126" s="1353">
        <v>113.2</v>
      </c>
      <c r="CZ126" s="1353">
        <v>135</v>
      </c>
      <c r="DA126" s="1353">
        <v>228</v>
      </c>
      <c r="DB126" s="1353">
        <v>1160</v>
      </c>
      <c r="DC126" s="1353"/>
      <c r="DD126" s="1353"/>
      <c r="DE126" s="1353"/>
      <c r="DF126" s="1353"/>
      <c r="DG126" s="1353"/>
      <c r="DH126" s="1353"/>
      <c r="DI126" s="1353"/>
      <c r="DJ126" s="1353"/>
      <c r="DK126" s="1353"/>
      <c r="DT126" s="659"/>
      <c r="DU126" s="660" t="s">
        <v>565</v>
      </c>
      <c r="DV126" s="777">
        <f t="shared" si="216"/>
        <v>0</v>
      </c>
      <c r="DW126" s="777">
        <f t="shared" si="216"/>
        <v>0</v>
      </c>
      <c r="DX126" s="777">
        <f t="shared" si="216"/>
        <v>0</v>
      </c>
      <c r="DY126" s="777">
        <f t="shared" si="216"/>
        <v>0</v>
      </c>
      <c r="DZ126" s="777">
        <f t="shared" si="216"/>
        <v>0</v>
      </c>
      <c r="EA126" s="777">
        <f t="shared" si="216"/>
        <v>0</v>
      </c>
      <c r="EB126" s="777">
        <f t="shared" si="216"/>
        <v>0</v>
      </c>
      <c r="EC126" s="777">
        <f t="shared" si="216"/>
        <v>0</v>
      </c>
      <c r="ED126" s="777">
        <f t="shared" si="216"/>
        <v>0</v>
      </c>
      <c r="EE126" s="777">
        <f t="shared" si="216"/>
        <v>0</v>
      </c>
      <c r="EF126" s="777">
        <f t="shared" si="216"/>
        <v>0</v>
      </c>
      <c r="EG126" s="777">
        <f t="shared" si="216"/>
        <v>0</v>
      </c>
      <c r="EH126" s="777">
        <f t="shared" si="216"/>
        <v>0</v>
      </c>
      <c r="EI126" s="777">
        <f t="shared" si="216"/>
        <v>0</v>
      </c>
      <c r="EJ126" s="777">
        <f t="shared" si="216"/>
        <v>0</v>
      </c>
      <c r="EK126" s="777">
        <f t="shared" si="216"/>
        <v>0</v>
      </c>
      <c r="EL126" s="777">
        <f t="shared" si="217"/>
        <v>0</v>
      </c>
      <c r="EM126" s="777">
        <f t="shared" si="217"/>
        <v>0</v>
      </c>
      <c r="EN126" s="777">
        <f t="shared" si="217"/>
        <v>0</v>
      </c>
      <c r="EO126" s="777">
        <f t="shared" si="217"/>
        <v>0</v>
      </c>
      <c r="EP126" s="777">
        <f t="shared" si="217"/>
        <v>0</v>
      </c>
      <c r="EQ126" s="777">
        <f t="shared" si="217"/>
        <v>0</v>
      </c>
      <c r="ER126" s="777">
        <f t="shared" si="217"/>
        <v>0</v>
      </c>
      <c r="ES126" s="777">
        <f t="shared" si="217"/>
        <v>0</v>
      </c>
      <c r="ET126" s="777">
        <f t="shared" si="217"/>
        <v>0</v>
      </c>
      <c r="EU126" s="777">
        <f t="shared" si="217"/>
        <v>0</v>
      </c>
      <c r="EV126" s="777">
        <f t="shared" si="217"/>
        <v>0</v>
      </c>
    </row>
    <row r="127" spans="1:152" s="698" customFormat="1" ht="31.5" hidden="1" customHeight="1">
      <c r="A127" s="659"/>
      <c r="B127" s="660" t="s">
        <v>566</v>
      </c>
      <c r="C127" s="661">
        <f t="shared" si="200"/>
        <v>45</v>
      </c>
      <c r="D127" s="661">
        <f t="shared" si="201"/>
        <v>39</v>
      </c>
      <c r="E127" s="661"/>
      <c r="F127" s="661">
        <v>39</v>
      </c>
      <c r="G127" s="661"/>
      <c r="H127" s="661">
        <v>33</v>
      </c>
      <c r="I127" s="661">
        <v>6</v>
      </c>
      <c r="J127" s="661">
        <v>5</v>
      </c>
      <c r="K127" s="646">
        <f t="shared" si="117"/>
        <v>8640</v>
      </c>
      <c r="L127" s="662">
        <f t="shared" si="202"/>
        <v>8640</v>
      </c>
      <c r="M127" s="666">
        <v>2895</v>
      </c>
      <c r="N127" s="666">
        <v>742</v>
      </c>
      <c r="O127" s="666">
        <v>60</v>
      </c>
      <c r="P127" s="666"/>
      <c r="Q127" s="666"/>
      <c r="R127" s="666">
        <f>((N127+O127)-(BA127+BB127))*10%</f>
        <v>34.6</v>
      </c>
      <c r="S127" s="666">
        <f>42+29</f>
        <v>71</v>
      </c>
      <c r="T127" s="666">
        <f t="shared" si="203"/>
        <v>106</v>
      </c>
      <c r="U127" s="666">
        <f t="shared" si="204"/>
        <v>3591</v>
      </c>
      <c r="V127" s="666">
        <v>5158</v>
      </c>
      <c r="W127" s="666">
        <v>333</v>
      </c>
      <c r="X127" s="666"/>
      <c r="Y127" s="666"/>
      <c r="Z127" s="666">
        <f>(V127-2979)*10%</f>
        <v>217.9</v>
      </c>
      <c r="AA127" s="666">
        <f>420+22</f>
        <v>442</v>
      </c>
      <c r="AB127" s="666">
        <f t="shared" si="205"/>
        <v>442</v>
      </c>
      <c r="AC127" s="666">
        <f t="shared" si="206"/>
        <v>5049</v>
      </c>
      <c r="AD127" s="666"/>
      <c r="AE127" s="666"/>
      <c r="AF127" s="666"/>
      <c r="AG127" s="666"/>
      <c r="AH127" s="666"/>
      <c r="AI127" s="666"/>
      <c r="AJ127" s="666"/>
      <c r="AK127" s="666"/>
      <c r="AL127" s="697"/>
      <c r="AM127" s="624"/>
      <c r="AN127" s="610"/>
      <c r="AO127" s="694"/>
      <c r="AP127" s="695" t="s">
        <v>566</v>
      </c>
      <c r="AQ127" s="696">
        <f t="shared" si="207"/>
        <v>30</v>
      </c>
      <c r="AR127" s="696">
        <f t="shared" si="208"/>
        <v>24</v>
      </c>
      <c r="AS127" s="696"/>
      <c r="AT127" s="696">
        <v>24</v>
      </c>
      <c r="AU127" s="696"/>
      <c r="AV127" s="696">
        <v>22</v>
      </c>
      <c r="AW127" s="696">
        <v>6</v>
      </c>
      <c r="AX127" s="696">
        <v>6</v>
      </c>
      <c r="AY127" s="668">
        <f t="shared" si="209"/>
        <v>9321</v>
      </c>
      <c r="AZ127" s="668">
        <v>1749</v>
      </c>
      <c r="BA127" s="668">
        <v>356</v>
      </c>
      <c r="BB127" s="668">
        <v>100</v>
      </c>
      <c r="BC127" s="668"/>
      <c r="BD127" s="668"/>
      <c r="BE127" s="666">
        <f t="shared" si="210"/>
        <v>45.6</v>
      </c>
      <c r="BF127" s="668">
        <f t="shared" si="211"/>
        <v>46</v>
      </c>
      <c r="BG127" s="668">
        <f t="shared" si="212"/>
        <v>2159</v>
      </c>
      <c r="BH127" s="668">
        <v>7080</v>
      </c>
      <c r="BI127" s="668"/>
      <c r="BJ127" s="668">
        <v>444</v>
      </c>
      <c r="BK127" s="668"/>
      <c r="BL127" s="666">
        <f>(BH127-3465)*10%</f>
        <v>361.5</v>
      </c>
      <c r="BM127" s="668">
        <f t="shared" si="214"/>
        <v>362</v>
      </c>
      <c r="BN127" s="668">
        <f t="shared" si="215"/>
        <v>7162</v>
      </c>
      <c r="BO127" s="668"/>
      <c r="BP127" s="668"/>
      <c r="BQ127" s="668">
        <v>150</v>
      </c>
      <c r="BR127" s="668">
        <v>38</v>
      </c>
      <c r="BS127" s="668"/>
      <c r="BT127" s="668"/>
      <c r="BU127" s="668"/>
      <c r="BV127" s="668"/>
      <c r="BW127" s="697"/>
      <c r="BY127" s="891"/>
      <c r="BZ127" s="891"/>
      <c r="CA127" s="1352"/>
      <c r="CB127" s="1352" t="s">
        <v>566</v>
      </c>
      <c r="CC127" s="1352">
        <v>30</v>
      </c>
      <c r="CD127" s="1352">
        <v>24</v>
      </c>
      <c r="CE127" s="1352"/>
      <c r="CF127" s="1352">
        <v>24</v>
      </c>
      <c r="CG127" s="1352"/>
      <c r="CH127" s="1352">
        <v>21</v>
      </c>
      <c r="CI127" s="1352">
        <v>6</v>
      </c>
      <c r="CJ127" s="1352">
        <v>5</v>
      </c>
      <c r="CK127" s="1353">
        <v>7488</v>
      </c>
      <c r="CL127" s="1353">
        <v>1940</v>
      </c>
      <c r="CM127" s="1354">
        <v>523</v>
      </c>
      <c r="CN127" s="1354">
        <v>60</v>
      </c>
      <c r="CO127" s="1354"/>
      <c r="CP127" s="1354"/>
      <c r="CQ127" s="1354">
        <v>12.700000000000001</v>
      </c>
      <c r="CR127" s="1354">
        <v>71</v>
      </c>
      <c r="CS127" s="1354">
        <v>84</v>
      </c>
      <c r="CT127" s="1353">
        <v>2439</v>
      </c>
      <c r="CU127" s="1353">
        <v>5158</v>
      </c>
      <c r="CV127" s="1353">
        <v>333</v>
      </c>
      <c r="CW127" s="1353"/>
      <c r="CX127" s="1353"/>
      <c r="CY127" s="1353">
        <v>217.9</v>
      </c>
      <c r="CZ127" s="1353">
        <v>442</v>
      </c>
      <c r="DA127" s="1353">
        <v>442</v>
      </c>
      <c r="DB127" s="1353">
        <v>5049</v>
      </c>
      <c r="DC127" s="1353"/>
      <c r="DD127" s="1353"/>
      <c r="DE127" s="1353"/>
      <c r="DF127" s="1353"/>
      <c r="DG127" s="1353"/>
      <c r="DH127" s="1353"/>
      <c r="DI127" s="1353"/>
      <c r="DJ127" s="1353"/>
      <c r="DK127" s="1353"/>
      <c r="DT127" s="694"/>
      <c r="DU127" s="695" t="s">
        <v>566</v>
      </c>
      <c r="DV127" s="777">
        <f t="shared" si="216"/>
        <v>1152</v>
      </c>
      <c r="DW127" s="777">
        <f t="shared" si="216"/>
        <v>955</v>
      </c>
      <c r="DX127" s="777">
        <f t="shared" si="216"/>
        <v>219</v>
      </c>
      <c r="DY127" s="777">
        <f t="shared" si="216"/>
        <v>0</v>
      </c>
      <c r="DZ127" s="777">
        <f t="shared" si="216"/>
        <v>0</v>
      </c>
      <c r="EA127" s="777">
        <f t="shared" si="216"/>
        <v>0</v>
      </c>
      <c r="EB127" s="777">
        <f t="shared" si="216"/>
        <v>21.9</v>
      </c>
      <c r="EC127" s="777">
        <f t="shared" si="216"/>
        <v>0</v>
      </c>
      <c r="ED127" s="777">
        <f t="shared" si="216"/>
        <v>22</v>
      </c>
      <c r="EE127" s="777">
        <f t="shared" si="216"/>
        <v>1152</v>
      </c>
      <c r="EF127" s="777">
        <f t="shared" si="216"/>
        <v>0</v>
      </c>
      <c r="EG127" s="777">
        <f t="shared" si="216"/>
        <v>0</v>
      </c>
      <c r="EH127" s="777">
        <f t="shared" si="216"/>
        <v>0</v>
      </c>
      <c r="EI127" s="777">
        <f t="shared" si="216"/>
        <v>0</v>
      </c>
      <c r="EJ127" s="777">
        <f t="shared" si="216"/>
        <v>0</v>
      </c>
      <c r="EK127" s="777">
        <f t="shared" si="216"/>
        <v>0</v>
      </c>
      <c r="EL127" s="777">
        <f t="shared" si="217"/>
        <v>0</v>
      </c>
      <c r="EM127" s="777">
        <f t="shared" si="217"/>
        <v>0</v>
      </c>
      <c r="EN127" s="777">
        <f t="shared" si="217"/>
        <v>0</v>
      </c>
      <c r="EO127" s="777">
        <f t="shared" si="217"/>
        <v>0</v>
      </c>
      <c r="EP127" s="777">
        <f t="shared" si="217"/>
        <v>0</v>
      </c>
      <c r="EQ127" s="777">
        <f t="shared" si="217"/>
        <v>0</v>
      </c>
      <c r="ER127" s="777">
        <f t="shared" si="217"/>
        <v>0</v>
      </c>
      <c r="ES127" s="777">
        <f t="shared" si="217"/>
        <v>0</v>
      </c>
      <c r="ET127" s="777">
        <f t="shared" si="217"/>
        <v>0</v>
      </c>
      <c r="EU127" s="777">
        <f t="shared" si="217"/>
        <v>0</v>
      </c>
      <c r="EV127" s="777">
        <f t="shared" si="217"/>
        <v>0</v>
      </c>
    </row>
    <row r="128" spans="1:152" ht="31.5" hidden="1" customHeight="1">
      <c r="A128" s="659"/>
      <c r="B128" s="660" t="s">
        <v>567</v>
      </c>
      <c r="C128" s="661">
        <f t="shared" si="200"/>
        <v>35</v>
      </c>
      <c r="D128" s="661">
        <f t="shared" si="201"/>
        <v>21</v>
      </c>
      <c r="E128" s="661"/>
      <c r="F128" s="661">
        <v>21</v>
      </c>
      <c r="G128" s="661"/>
      <c r="H128" s="661">
        <v>14</v>
      </c>
      <c r="I128" s="661">
        <v>14</v>
      </c>
      <c r="J128" s="661">
        <v>12</v>
      </c>
      <c r="K128" s="646">
        <f t="shared" si="117"/>
        <v>3458</v>
      </c>
      <c r="L128" s="662">
        <f t="shared" si="202"/>
        <v>3458</v>
      </c>
      <c r="M128" s="666">
        <v>1944</v>
      </c>
      <c r="N128" s="666">
        <f>486-170</f>
        <v>316</v>
      </c>
      <c r="O128" s="666">
        <v>24</v>
      </c>
      <c r="P128" s="666"/>
      <c r="Q128" s="666">
        <v>51</v>
      </c>
      <c r="R128" s="666"/>
      <c r="S128" s="666"/>
      <c r="T128" s="666">
        <f t="shared" si="203"/>
        <v>51</v>
      </c>
      <c r="U128" s="666">
        <f t="shared" si="204"/>
        <v>2233</v>
      </c>
      <c r="V128" s="666">
        <v>1000</v>
      </c>
      <c r="W128" s="666">
        <v>361</v>
      </c>
      <c r="X128" s="666">
        <v>136</v>
      </c>
      <c r="Y128" s="666"/>
      <c r="Z128" s="666">
        <f>V128*10%</f>
        <v>100</v>
      </c>
      <c r="AA128" s="666"/>
      <c r="AB128" s="666">
        <f t="shared" si="205"/>
        <v>136</v>
      </c>
      <c r="AC128" s="666">
        <f t="shared" si="206"/>
        <v>1225</v>
      </c>
      <c r="AD128" s="666"/>
      <c r="AE128" s="666"/>
      <c r="AF128" s="666"/>
      <c r="AG128" s="666"/>
      <c r="AH128" s="666"/>
      <c r="AI128" s="666"/>
      <c r="AJ128" s="666"/>
      <c r="AK128" s="666"/>
      <c r="AL128" s="664"/>
      <c r="AN128" s="610"/>
      <c r="AO128" s="659"/>
      <c r="AP128" s="660" t="s">
        <v>567</v>
      </c>
      <c r="AQ128" s="661">
        <f>AR128+AW128</f>
        <v>21</v>
      </c>
      <c r="AR128" s="661">
        <f t="shared" si="208"/>
        <v>21</v>
      </c>
      <c r="AS128" s="661"/>
      <c r="AT128" s="661">
        <v>21</v>
      </c>
      <c r="AU128" s="661"/>
      <c r="AV128" s="661">
        <v>11</v>
      </c>
      <c r="AW128" s="661"/>
      <c r="AX128" s="661"/>
      <c r="AY128" s="666">
        <f t="shared" si="209"/>
        <v>3170</v>
      </c>
      <c r="AZ128" s="670">
        <v>1071</v>
      </c>
      <c r="BA128" s="666">
        <v>450</v>
      </c>
      <c r="BB128" s="666">
        <v>60</v>
      </c>
      <c r="BC128" s="666"/>
      <c r="BD128" s="666"/>
      <c r="BE128" s="666">
        <f t="shared" si="210"/>
        <v>51</v>
      </c>
      <c r="BF128" s="667">
        <f>ROUND(BE128,0)</f>
        <v>51</v>
      </c>
      <c r="BG128" s="666">
        <f>(AZ128+BA128+BB128+BC128)-BF128</f>
        <v>1530</v>
      </c>
      <c r="BH128" s="666">
        <f>1325+35</f>
        <v>1360</v>
      </c>
      <c r="BI128" s="666"/>
      <c r="BJ128" s="666">
        <f>351+65</f>
        <v>416</v>
      </c>
      <c r="BK128" s="666"/>
      <c r="BL128" s="666">
        <f t="shared" si="213"/>
        <v>136</v>
      </c>
      <c r="BM128" s="667">
        <f>ROUND(BL128,0)</f>
        <v>136</v>
      </c>
      <c r="BN128" s="666">
        <f t="shared" si="215"/>
        <v>1640</v>
      </c>
      <c r="BO128" s="666"/>
      <c r="BP128" s="666"/>
      <c r="BQ128" s="666">
        <v>12</v>
      </c>
      <c r="BR128" s="666"/>
      <c r="BS128" s="666"/>
      <c r="BT128" s="666"/>
      <c r="BU128" s="666"/>
      <c r="BV128" s="666"/>
      <c r="BW128" s="662"/>
      <c r="CA128" s="1352"/>
      <c r="CB128" s="1352" t="s">
        <v>567</v>
      </c>
      <c r="CC128" s="1352">
        <v>35</v>
      </c>
      <c r="CD128" s="1352">
        <v>21</v>
      </c>
      <c r="CE128" s="1352"/>
      <c r="CF128" s="1352">
        <v>21</v>
      </c>
      <c r="CG128" s="1352"/>
      <c r="CH128" s="1352">
        <v>14</v>
      </c>
      <c r="CI128" s="1352">
        <v>14</v>
      </c>
      <c r="CJ128" s="1352">
        <v>12</v>
      </c>
      <c r="CK128" s="1353">
        <v>3815</v>
      </c>
      <c r="CL128" s="1353">
        <v>1944</v>
      </c>
      <c r="CM128" s="1354">
        <v>486</v>
      </c>
      <c r="CN128" s="1354">
        <v>24</v>
      </c>
      <c r="CO128" s="1354"/>
      <c r="CP128" s="1354"/>
      <c r="CQ128" s="1354">
        <v>0</v>
      </c>
      <c r="CR128" s="1354"/>
      <c r="CS128" s="1354">
        <v>0</v>
      </c>
      <c r="CT128" s="1353">
        <v>2454</v>
      </c>
      <c r="CU128" s="1353">
        <v>1000</v>
      </c>
      <c r="CV128" s="1353">
        <v>361</v>
      </c>
      <c r="CW128" s="1353"/>
      <c r="CX128" s="1353"/>
      <c r="CY128" s="1353">
        <v>100</v>
      </c>
      <c r="CZ128" s="1353"/>
      <c r="DA128" s="1353">
        <v>0</v>
      </c>
      <c r="DB128" s="1353">
        <v>1361</v>
      </c>
      <c r="DC128" s="1353"/>
      <c r="DD128" s="1353"/>
      <c r="DE128" s="1353"/>
      <c r="DF128" s="1353"/>
      <c r="DG128" s="1353"/>
      <c r="DH128" s="1353"/>
      <c r="DI128" s="1353"/>
      <c r="DJ128" s="1353"/>
      <c r="DK128" s="1353"/>
      <c r="DT128" s="659"/>
      <c r="DU128" s="660" t="s">
        <v>567</v>
      </c>
      <c r="DV128" s="777">
        <f t="shared" si="216"/>
        <v>-357</v>
      </c>
      <c r="DW128" s="777">
        <f t="shared" si="216"/>
        <v>0</v>
      </c>
      <c r="DX128" s="777">
        <f t="shared" si="216"/>
        <v>-170</v>
      </c>
      <c r="DY128" s="777">
        <f t="shared" si="216"/>
        <v>0</v>
      </c>
      <c r="DZ128" s="777">
        <f t="shared" si="216"/>
        <v>0</v>
      </c>
      <c r="EA128" s="777">
        <f t="shared" si="216"/>
        <v>51</v>
      </c>
      <c r="EB128" s="777">
        <f t="shared" si="216"/>
        <v>0</v>
      </c>
      <c r="EC128" s="777">
        <f t="shared" si="216"/>
        <v>0</v>
      </c>
      <c r="ED128" s="777">
        <f t="shared" si="216"/>
        <v>51</v>
      </c>
      <c r="EE128" s="777">
        <f t="shared" si="216"/>
        <v>-221</v>
      </c>
      <c r="EF128" s="777">
        <f t="shared" si="216"/>
        <v>0</v>
      </c>
      <c r="EG128" s="777">
        <f t="shared" si="216"/>
        <v>0</v>
      </c>
      <c r="EH128" s="777">
        <f t="shared" si="216"/>
        <v>136</v>
      </c>
      <c r="EI128" s="777">
        <f t="shared" si="216"/>
        <v>0</v>
      </c>
      <c r="EJ128" s="777">
        <f t="shared" si="216"/>
        <v>0</v>
      </c>
      <c r="EK128" s="777">
        <f t="shared" si="216"/>
        <v>0</v>
      </c>
      <c r="EL128" s="777">
        <f t="shared" si="217"/>
        <v>136</v>
      </c>
      <c r="EM128" s="777">
        <f t="shared" si="217"/>
        <v>-136</v>
      </c>
      <c r="EN128" s="777">
        <f t="shared" si="217"/>
        <v>0</v>
      </c>
      <c r="EO128" s="777">
        <f t="shared" si="217"/>
        <v>0</v>
      </c>
      <c r="EP128" s="777">
        <f t="shared" si="217"/>
        <v>0</v>
      </c>
      <c r="EQ128" s="777">
        <f t="shared" si="217"/>
        <v>0</v>
      </c>
      <c r="ER128" s="777">
        <f t="shared" si="217"/>
        <v>0</v>
      </c>
      <c r="ES128" s="777">
        <f t="shared" si="217"/>
        <v>0</v>
      </c>
      <c r="ET128" s="777">
        <f t="shared" si="217"/>
        <v>0</v>
      </c>
      <c r="EU128" s="777">
        <f t="shared" si="217"/>
        <v>0</v>
      </c>
      <c r="EV128" s="777">
        <f t="shared" si="217"/>
        <v>0</v>
      </c>
    </row>
    <row r="129" spans="1:152" s="698" customFormat="1" ht="31.5" hidden="1" customHeight="1">
      <c r="A129" s="659"/>
      <c r="B129" s="660" t="s">
        <v>568</v>
      </c>
      <c r="C129" s="661">
        <f t="shared" si="200"/>
        <v>43</v>
      </c>
      <c r="D129" s="661">
        <f t="shared" si="201"/>
        <v>38</v>
      </c>
      <c r="E129" s="661"/>
      <c r="F129" s="661">
        <v>38</v>
      </c>
      <c r="G129" s="661"/>
      <c r="H129" s="661">
        <v>34</v>
      </c>
      <c r="I129" s="661">
        <v>5</v>
      </c>
      <c r="J129" s="661">
        <v>5</v>
      </c>
      <c r="K129" s="646">
        <f t="shared" si="117"/>
        <v>6756</v>
      </c>
      <c r="L129" s="662">
        <f t="shared" si="202"/>
        <v>6756</v>
      </c>
      <c r="M129" s="666">
        <v>3025</v>
      </c>
      <c r="N129" s="666">
        <f>741-97</f>
        <v>644</v>
      </c>
      <c r="O129" s="666">
        <v>182</v>
      </c>
      <c r="P129" s="666"/>
      <c r="Q129" s="666"/>
      <c r="R129" s="666"/>
      <c r="S129" s="666">
        <f>56+73</f>
        <v>129</v>
      </c>
      <c r="T129" s="666">
        <f t="shared" si="203"/>
        <v>129</v>
      </c>
      <c r="U129" s="666">
        <f t="shared" si="204"/>
        <v>3722</v>
      </c>
      <c r="V129" s="666">
        <v>3186</v>
      </c>
      <c r="W129" s="666">
        <f>128+100</f>
        <v>228</v>
      </c>
      <c r="X129" s="666"/>
      <c r="Y129" s="666">
        <f>Z129-BM129</f>
        <v>19.600000000000023</v>
      </c>
      <c r="Z129" s="666">
        <f>V129*10%</f>
        <v>318.60000000000002</v>
      </c>
      <c r="AA129" s="666">
        <f>360</f>
        <v>360</v>
      </c>
      <c r="AB129" s="666">
        <f t="shared" si="205"/>
        <v>380</v>
      </c>
      <c r="AC129" s="666">
        <f t="shared" si="206"/>
        <v>3034</v>
      </c>
      <c r="AD129" s="666"/>
      <c r="AE129" s="666"/>
      <c r="AF129" s="666"/>
      <c r="AG129" s="666"/>
      <c r="AH129" s="666"/>
      <c r="AI129" s="666"/>
      <c r="AJ129" s="666"/>
      <c r="AK129" s="666"/>
      <c r="AL129" s="697"/>
      <c r="AM129" s="624"/>
      <c r="AN129" s="610"/>
      <c r="AO129" s="694"/>
      <c r="AP129" s="695" t="s">
        <v>568</v>
      </c>
      <c r="AQ129" s="696">
        <f t="shared" si="207"/>
        <v>54</v>
      </c>
      <c r="AR129" s="696">
        <f t="shared" si="208"/>
        <v>45</v>
      </c>
      <c r="AS129" s="696"/>
      <c r="AT129" s="696">
        <v>45</v>
      </c>
      <c r="AU129" s="696"/>
      <c r="AV129" s="696">
        <v>33</v>
      </c>
      <c r="AW129" s="696">
        <v>9</v>
      </c>
      <c r="AX129" s="696">
        <v>9</v>
      </c>
      <c r="AY129" s="668">
        <f t="shared" si="209"/>
        <v>7022</v>
      </c>
      <c r="AZ129" s="668">
        <v>2972</v>
      </c>
      <c r="BA129" s="668">
        <f>1013-125</f>
        <v>888</v>
      </c>
      <c r="BB129" s="668">
        <v>125</v>
      </c>
      <c r="BC129" s="668"/>
      <c r="BD129" s="668"/>
      <c r="BE129" s="666">
        <f t="shared" si="210"/>
        <v>101.30000000000001</v>
      </c>
      <c r="BF129" s="668">
        <f t="shared" si="211"/>
        <v>101</v>
      </c>
      <c r="BG129" s="668">
        <f t="shared" si="212"/>
        <v>3884</v>
      </c>
      <c r="BH129" s="668">
        <f>2290+700</f>
        <v>2990</v>
      </c>
      <c r="BI129" s="668"/>
      <c r="BJ129" s="668">
        <v>397</v>
      </c>
      <c r="BK129" s="668"/>
      <c r="BL129" s="666">
        <f t="shared" si="213"/>
        <v>299</v>
      </c>
      <c r="BM129" s="668">
        <f t="shared" si="214"/>
        <v>299</v>
      </c>
      <c r="BN129" s="668">
        <f t="shared" si="215"/>
        <v>3088</v>
      </c>
      <c r="BO129" s="668">
        <v>50</v>
      </c>
      <c r="BP129" s="668"/>
      <c r="BQ129" s="668">
        <v>200</v>
      </c>
      <c r="BR129" s="668"/>
      <c r="BS129" s="668"/>
      <c r="BT129" s="668"/>
      <c r="BU129" s="668"/>
      <c r="BV129" s="668"/>
      <c r="BW129" s="697"/>
      <c r="BY129" s="891"/>
      <c r="BZ129" s="891"/>
      <c r="CA129" s="1352"/>
      <c r="CB129" s="1352" t="s">
        <v>568</v>
      </c>
      <c r="CC129" s="1352">
        <v>43</v>
      </c>
      <c r="CD129" s="1352">
        <v>38</v>
      </c>
      <c r="CE129" s="1352"/>
      <c r="CF129" s="1352">
        <v>38</v>
      </c>
      <c r="CG129" s="1352"/>
      <c r="CH129" s="1352">
        <v>34</v>
      </c>
      <c r="CI129" s="1352">
        <v>5</v>
      </c>
      <c r="CJ129" s="1352">
        <v>5</v>
      </c>
      <c r="CK129" s="1353">
        <v>6753</v>
      </c>
      <c r="CL129" s="1353">
        <v>3025</v>
      </c>
      <c r="CM129" s="1354">
        <v>741</v>
      </c>
      <c r="CN129" s="1354">
        <v>182</v>
      </c>
      <c r="CO129" s="1354"/>
      <c r="CP129" s="1354"/>
      <c r="CQ129" s="1354"/>
      <c r="CR129" s="1354">
        <v>129</v>
      </c>
      <c r="CS129" s="1354">
        <v>129</v>
      </c>
      <c r="CT129" s="1353">
        <v>3819</v>
      </c>
      <c r="CU129" s="1353">
        <v>3186</v>
      </c>
      <c r="CV129" s="1353">
        <v>128</v>
      </c>
      <c r="CW129" s="1353"/>
      <c r="CX129" s="1353">
        <v>19.600000000000023</v>
      </c>
      <c r="CY129" s="1353">
        <v>318.60000000000002</v>
      </c>
      <c r="CZ129" s="1353">
        <v>360</v>
      </c>
      <c r="DA129" s="1353">
        <v>380</v>
      </c>
      <c r="DB129" s="1353">
        <v>2934</v>
      </c>
      <c r="DC129" s="1353"/>
      <c r="DD129" s="1353"/>
      <c r="DE129" s="1353"/>
      <c r="DF129" s="1353"/>
      <c r="DG129" s="1353"/>
      <c r="DH129" s="1353"/>
      <c r="DI129" s="1353"/>
      <c r="DJ129" s="1353"/>
      <c r="DK129" s="1353"/>
      <c r="DT129" s="694"/>
      <c r="DU129" s="695" t="s">
        <v>568</v>
      </c>
      <c r="DV129" s="777">
        <f t="shared" si="216"/>
        <v>3</v>
      </c>
      <c r="DW129" s="777">
        <f t="shared" si="216"/>
        <v>0</v>
      </c>
      <c r="DX129" s="777">
        <f t="shared" si="216"/>
        <v>-97</v>
      </c>
      <c r="DY129" s="777">
        <f t="shared" si="216"/>
        <v>0</v>
      </c>
      <c r="DZ129" s="777">
        <f t="shared" si="216"/>
        <v>0</v>
      </c>
      <c r="EA129" s="777">
        <f t="shared" si="216"/>
        <v>0</v>
      </c>
      <c r="EB129" s="777">
        <f t="shared" si="216"/>
        <v>0</v>
      </c>
      <c r="EC129" s="777">
        <f t="shared" si="216"/>
        <v>0</v>
      </c>
      <c r="ED129" s="777">
        <f t="shared" si="216"/>
        <v>0</v>
      </c>
      <c r="EE129" s="777">
        <f t="shared" si="216"/>
        <v>-97</v>
      </c>
      <c r="EF129" s="777">
        <f t="shared" si="216"/>
        <v>0</v>
      </c>
      <c r="EG129" s="777">
        <f t="shared" si="216"/>
        <v>100</v>
      </c>
      <c r="EH129" s="777">
        <f t="shared" si="216"/>
        <v>0</v>
      </c>
      <c r="EI129" s="777">
        <f t="shared" si="216"/>
        <v>0</v>
      </c>
      <c r="EJ129" s="777">
        <f t="shared" si="216"/>
        <v>0</v>
      </c>
      <c r="EK129" s="777">
        <f t="shared" si="216"/>
        <v>0</v>
      </c>
      <c r="EL129" s="777">
        <f t="shared" si="217"/>
        <v>0</v>
      </c>
      <c r="EM129" s="777">
        <f t="shared" si="217"/>
        <v>100</v>
      </c>
      <c r="EN129" s="777">
        <f t="shared" si="217"/>
        <v>0</v>
      </c>
      <c r="EO129" s="777">
        <f t="shared" si="217"/>
        <v>0</v>
      </c>
      <c r="EP129" s="777">
        <f t="shared" si="217"/>
        <v>0</v>
      </c>
      <c r="EQ129" s="777">
        <f t="shared" si="217"/>
        <v>0</v>
      </c>
      <c r="ER129" s="777">
        <f t="shared" si="217"/>
        <v>0</v>
      </c>
      <c r="ES129" s="777">
        <f t="shared" si="217"/>
        <v>0</v>
      </c>
      <c r="ET129" s="777">
        <f t="shared" si="217"/>
        <v>0</v>
      </c>
      <c r="EU129" s="777">
        <f t="shared" si="217"/>
        <v>0</v>
      </c>
      <c r="EV129" s="777">
        <f t="shared" si="217"/>
        <v>0</v>
      </c>
    </row>
    <row r="130" spans="1:152" s="614" customFormat="1" ht="33" customHeight="1">
      <c r="A130" s="1429" t="s">
        <v>319</v>
      </c>
      <c r="B130" s="651" t="s">
        <v>569</v>
      </c>
      <c r="C130" s="653">
        <f>C131</f>
        <v>126</v>
      </c>
      <c r="D130" s="653">
        <f t="shared" ref="D130:AL130" si="218">D131</f>
        <v>121</v>
      </c>
      <c r="E130" s="653">
        <f t="shared" si="218"/>
        <v>0</v>
      </c>
      <c r="F130" s="653">
        <f t="shared" si="218"/>
        <v>121</v>
      </c>
      <c r="G130" s="653">
        <f t="shared" si="218"/>
        <v>0</v>
      </c>
      <c r="H130" s="653">
        <f t="shared" si="218"/>
        <v>118</v>
      </c>
      <c r="I130" s="653">
        <f t="shared" si="218"/>
        <v>5</v>
      </c>
      <c r="J130" s="653">
        <f t="shared" si="218"/>
        <v>5</v>
      </c>
      <c r="K130" s="1548">
        <f t="shared" si="117"/>
        <v>9412</v>
      </c>
      <c r="L130" s="820">
        <f t="shared" si="218"/>
        <v>9412</v>
      </c>
      <c r="M130" s="653">
        <f t="shared" si="218"/>
        <v>8425</v>
      </c>
      <c r="N130" s="653">
        <f t="shared" si="218"/>
        <v>0</v>
      </c>
      <c r="O130" s="653">
        <f t="shared" si="218"/>
        <v>0</v>
      </c>
      <c r="P130" s="653">
        <f t="shared" si="218"/>
        <v>0</v>
      </c>
      <c r="Q130" s="653">
        <f t="shared" si="218"/>
        <v>0</v>
      </c>
      <c r="R130" s="653">
        <f t="shared" si="218"/>
        <v>0</v>
      </c>
      <c r="S130" s="653">
        <f t="shared" si="218"/>
        <v>0</v>
      </c>
      <c r="T130" s="653">
        <f t="shared" si="218"/>
        <v>0</v>
      </c>
      <c r="U130" s="653">
        <f t="shared" si="218"/>
        <v>8425</v>
      </c>
      <c r="V130" s="653">
        <f t="shared" si="218"/>
        <v>1000</v>
      </c>
      <c r="W130" s="653">
        <f t="shared" si="218"/>
        <v>0</v>
      </c>
      <c r="X130" s="653">
        <f t="shared" si="218"/>
        <v>0</v>
      </c>
      <c r="Y130" s="653">
        <f t="shared" si="218"/>
        <v>0</v>
      </c>
      <c r="Z130" s="653">
        <f t="shared" si="218"/>
        <v>100</v>
      </c>
      <c r="AA130" s="653">
        <f t="shared" si="218"/>
        <v>13</v>
      </c>
      <c r="AB130" s="653">
        <f t="shared" si="218"/>
        <v>13</v>
      </c>
      <c r="AC130" s="653">
        <f t="shared" si="218"/>
        <v>987</v>
      </c>
      <c r="AD130" s="653">
        <f t="shared" si="218"/>
        <v>0</v>
      </c>
      <c r="AE130" s="653">
        <f t="shared" si="218"/>
        <v>0</v>
      </c>
      <c r="AF130" s="653">
        <f t="shared" si="218"/>
        <v>0</v>
      </c>
      <c r="AG130" s="653">
        <f t="shared" si="218"/>
        <v>0</v>
      </c>
      <c r="AH130" s="653">
        <f t="shared" si="218"/>
        <v>0</v>
      </c>
      <c r="AI130" s="653">
        <f t="shared" si="218"/>
        <v>0</v>
      </c>
      <c r="AJ130" s="653">
        <f t="shared" si="218"/>
        <v>0</v>
      </c>
      <c r="AK130" s="653">
        <f t="shared" si="218"/>
        <v>0</v>
      </c>
      <c r="AL130" s="656">
        <f t="shared" si="218"/>
        <v>0</v>
      </c>
      <c r="AM130" s="612"/>
      <c r="AN130" s="610">
        <v>11778</v>
      </c>
      <c r="AO130" s="1323" t="s">
        <v>319</v>
      </c>
      <c r="AP130" s="651" t="s">
        <v>569</v>
      </c>
      <c r="AQ130" s="653">
        <f>AQ131</f>
        <v>136</v>
      </c>
      <c r="AR130" s="653">
        <f t="shared" ref="AR130:BW130" si="219">AR131</f>
        <v>131</v>
      </c>
      <c r="AS130" s="653">
        <f t="shared" si="219"/>
        <v>0</v>
      </c>
      <c r="AT130" s="653">
        <f t="shared" si="219"/>
        <v>131</v>
      </c>
      <c r="AU130" s="653">
        <f t="shared" si="219"/>
        <v>0</v>
      </c>
      <c r="AV130" s="653">
        <f t="shared" si="219"/>
        <v>123</v>
      </c>
      <c r="AW130" s="653">
        <f t="shared" si="219"/>
        <v>5</v>
      </c>
      <c r="AX130" s="653">
        <f t="shared" si="219"/>
        <v>5</v>
      </c>
      <c r="AY130" s="653">
        <f t="shared" si="219"/>
        <v>9838</v>
      </c>
      <c r="AZ130" s="658">
        <f t="shared" si="219"/>
        <v>8875</v>
      </c>
      <c r="BA130" s="653">
        <f t="shared" si="219"/>
        <v>0</v>
      </c>
      <c r="BB130" s="653">
        <f t="shared" si="219"/>
        <v>0</v>
      </c>
      <c r="BC130" s="653">
        <f t="shared" si="219"/>
        <v>0</v>
      </c>
      <c r="BD130" s="653">
        <f t="shared" si="219"/>
        <v>0</v>
      </c>
      <c r="BE130" s="653">
        <f t="shared" si="219"/>
        <v>0</v>
      </c>
      <c r="BF130" s="655">
        <f t="shared" si="219"/>
        <v>0</v>
      </c>
      <c r="BG130" s="653">
        <f t="shared" si="219"/>
        <v>8875</v>
      </c>
      <c r="BH130" s="653">
        <f t="shared" si="219"/>
        <v>1070</v>
      </c>
      <c r="BI130" s="653">
        <f t="shared" si="219"/>
        <v>0</v>
      </c>
      <c r="BJ130" s="653">
        <f t="shared" si="219"/>
        <v>0</v>
      </c>
      <c r="BK130" s="653">
        <f t="shared" si="219"/>
        <v>0</v>
      </c>
      <c r="BL130" s="653">
        <f t="shared" si="219"/>
        <v>107</v>
      </c>
      <c r="BM130" s="655">
        <f t="shared" si="219"/>
        <v>107</v>
      </c>
      <c r="BN130" s="653">
        <f t="shared" si="219"/>
        <v>963</v>
      </c>
      <c r="BO130" s="653">
        <f t="shared" si="219"/>
        <v>0</v>
      </c>
      <c r="BP130" s="653">
        <f t="shared" si="219"/>
        <v>0</v>
      </c>
      <c r="BQ130" s="653">
        <f t="shared" si="219"/>
        <v>17280</v>
      </c>
      <c r="BR130" s="653">
        <f t="shared" si="219"/>
        <v>0</v>
      </c>
      <c r="BS130" s="653">
        <f t="shared" si="219"/>
        <v>0</v>
      </c>
      <c r="BT130" s="653">
        <f t="shared" si="219"/>
        <v>0</v>
      </c>
      <c r="BU130" s="653">
        <f t="shared" si="219"/>
        <v>0</v>
      </c>
      <c r="BV130" s="653">
        <f t="shared" si="219"/>
        <v>0</v>
      </c>
      <c r="BW130" s="653">
        <f t="shared" si="219"/>
        <v>0</v>
      </c>
      <c r="BY130" s="732"/>
      <c r="BZ130" s="732"/>
      <c r="CA130" s="1348" t="s">
        <v>319</v>
      </c>
      <c r="CB130" s="1348" t="s">
        <v>569</v>
      </c>
      <c r="CC130" s="1348">
        <v>131</v>
      </c>
      <c r="CD130" s="1348">
        <v>126</v>
      </c>
      <c r="CE130" s="1348">
        <v>0</v>
      </c>
      <c r="CF130" s="1348">
        <v>126</v>
      </c>
      <c r="CG130" s="1348">
        <v>0</v>
      </c>
      <c r="CH130" s="1348">
        <v>118</v>
      </c>
      <c r="CI130" s="1348">
        <v>5</v>
      </c>
      <c r="CJ130" s="1348">
        <v>5</v>
      </c>
      <c r="CK130" s="1349">
        <v>9622</v>
      </c>
      <c r="CL130" s="1349">
        <v>8635</v>
      </c>
      <c r="CM130" s="1350">
        <v>0</v>
      </c>
      <c r="CN130" s="1350">
        <v>0</v>
      </c>
      <c r="CO130" s="1350">
        <v>0</v>
      </c>
      <c r="CP130" s="1350">
        <v>0</v>
      </c>
      <c r="CQ130" s="1350">
        <v>0</v>
      </c>
      <c r="CR130" s="1350">
        <v>0</v>
      </c>
      <c r="CS130" s="1350">
        <v>0</v>
      </c>
      <c r="CT130" s="1349">
        <v>8635</v>
      </c>
      <c r="CU130" s="1349">
        <v>1000</v>
      </c>
      <c r="CV130" s="1349">
        <v>0</v>
      </c>
      <c r="CW130" s="1349">
        <v>0</v>
      </c>
      <c r="CX130" s="1349">
        <v>0</v>
      </c>
      <c r="CY130" s="1349">
        <v>100</v>
      </c>
      <c r="CZ130" s="1349">
        <v>13</v>
      </c>
      <c r="DA130" s="1349">
        <v>13</v>
      </c>
      <c r="DB130" s="1349">
        <v>987</v>
      </c>
      <c r="DC130" s="1349">
        <v>0</v>
      </c>
      <c r="DD130" s="1349">
        <v>0</v>
      </c>
      <c r="DE130" s="1349">
        <v>0</v>
      </c>
      <c r="DF130" s="1349">
        <v>0</v>
      </c>
      <c r="DG130" s="1349">
        <v>0</v>
      </c>
      <c r="DH130" s="1349">
        <v>0</v>
      </c>
      <c r="DI130" s="1349">
        <v>0</v>
      </c>
      <c r="DJ130" s="1349">
        <v>0</v>
      </c>
      <c r="DK130" s="1349">
        <v>0</v>
      </c>
      <c r="DT130" s="1323" t="s">
        <v>319</v>
      </c>
      <c r="DU130" s="651" t="s">
        <v>569</v>
      </c>
      <c r="DV130" s="1351">
        <f>DV131</f>
        <v>-210</v>
      </c>
      <c r="DW130" s="1351">
        <f t="shared" ref="DW130:EV130" si="220">DW131</f>
        <v>-210</v>
      </c>
      <c r="DX130" s="1351">
        <f t="shared" si="220"/>
        <v>0</v>
      </c>
      <c r="DY130" s="1351">
        <f t="shared" si="220"/>
        <v>0</v>
      </c>
      <c r="DZ130" s="1351">
        <f t="shared" si="220"/>
        <v>0</v>
      </c>
      <c r="EA130" s="1351">
        <f t="shared" si="220"/>
        <v>0</v>
      </c>
      <c r="EB130" s="1351">
        <f t="shared" si="220"/>
        <v>0</v>
      </c>
      <c r="EC130" s="1351">
        <f t="shared" si="220"/>
        <v>0</v>
      </c>
      <c r="ED130" s="1351">
        <f t="shared" si="220"/>
        <v>0</v>
      </c>
      <c r="EE130" s="1351">
        <f t="shared" si="220"/>
        <v>-210</v>
      </c>
      <c r="EF130" s="1351">
        <f t="shared" si="220"/>
        <v>0</v>
      </c>
      <c r="EG130" s="1351">
        <f t="shared" si="220"/>
        <v>0</v>
      </c>
      <c r="EH130" s="1351">
        <f t="shared" si="220"/>
        <v>0</v>
      </c>
      <c r="EI130" s="1351">
        <f t="shared" si="220"/>
        <v>0</v>
      </c>
      <c r="EJ130" s="1351">
        <f t="shared" si="220"/>
        <v>0</v>
      </c>
      <c r="EK130" s="1351">
        <f t="shared" si="220"/>
        <v>0</v>
      </c>
      <c r="EL130" s="1351">
        <f t="shared" si="220"/>
        <v>0</v>
      </c>
      <c r="EM130" s="1351">
        <f t="shared" si="220"/>
        <v>0</v>
      </c>
      <c r="EN130" s="1351">
        <f t="shared" si="220"/>
        <v>0</v>
      </c>
      <c r="EO130" s="1351">
        <f t="shared" si="220"/>
        <v>0</v>
      </c>
      <c r="EP130" s="1351">
        <f t="shared" si="220"/>
        <v>0</v>
      </c>
      <c r="EQ130" s="1351">
        <f t="shared" si="220"/>
        <v>0</v>
      </c>
      <c r="ER130" s="1351">
        <f t="shared" si="220"/>
        <v>0</v>
      </c>
      <c r="ES130" s="1351">
        <f t="shared" si="220"/>
        <v>0</v>
      </c>
      <c r="ET130" s="1351">
        <f t="shared" si="220"/>
        <v>0</v>
      </c>
      <c r="EU130" s="1351">
        <f t="shared" si="220"/>
        <v>0</v>
      </c>
      <c r="EV130" s="1351">
        <f t="shared" si="220"/>
        <v>0</v>
      </c>
    </row>
    <row r="131" spans="1:152" ht="31.5" customHeight="1">
      <c r="A131" s="659">
        <v>39</v>
      </c>
      <c r="B131" s="660" t="s">
        <v>570</v>
      </c>
      <c r="C131" s="662">
        <f>D131+I131</f>
        <v>126</v>
      </c>
      <c r="D131" s="662">
        <f>E131+F131</f>
        <v>121</v>
      </c>
      <c r="E131" s="662"/>
      <c r="F131" s="662">
        <v>121</v>
      </c>
      <c r="G131" s="662"/>
      <c r="H131" s="662">
        <v>118</v>
      </c>
      <c r="I131" s="662">
        <v>5</v>
      </c>
      <c r="J131" s="662">
        <v>5</v>
      </c>
      <c r="K131" s="646">
        <f t="shared" si="117"/>
        <v>9412</v>
      </c>
      <c r="L131" s="662">
        <f>U131+AC131+AD131+AE131</f>
        <v>9412</v>
      </c>
      <c r="M131" s="662">
        <v>8425</v>
      </c>
      <c r="N131" s="662"/>
      <c r="O131" s="662"/>
      <c r="P131" s="662"/>
      <c r="Q131" s="662"/>
      <c r="R131" s="666"/>
      <c r="S131" s="666"/>
      <c r="T131" s="666">
        <f>ROUND((Q131+R131+S131),0)</f>
        <v>0</v>
      </c>
      <c r="U131" s="666">
        <f>(M131+N131+O131+P131)-T131</f>
        <v>8425</v>
      </c>
      <c r="V131" s="662">
        <v>1000</v>
      </c>
      <c r="W131" s="662"/>
      <c r="X131" s="662"/>
      <c r="Y131" s="666"/>
      <c r="Z131" s="666">
        <f>V131*10%</f>
        <v>100</v>
      </c>
      <c r="AA131" s="666">
        <v>13</v>
      </c>
      <c r="AB131" s="666">
        <f>ROUND((Y131+AA131+X131),0)</f>
        <v>13</v>
      </c>
      <c r="AC131" s="666">
        <f>(V131+W131)-AB131</f>
        <v>987</v>
      </c>
      <c r="AD131" s="662"/>
      <c r="AE131" s="662"/>
      <c r="AF131" s="662"/>
      <c r="AG131" s="662"/>
      <c r="AH131" s="662"/>
      <c r="AI131" s="662"/>
      <c r="AJ131" s="662"/>
      <c r="AK131" s="662"/>
      <c r="AL131" s="664"/>
      <c r="AN131" s="610"/>
      <c r="AO131" s="659">
        <v>44</v>
      </c>
      <c r="AP131" s="660" t="s">
        <v>570</v>
      </c>
      <c r="AQ131" s="662">
        <f>AR131+AW131</f>
        <v>136</v>
      </c>
      <c r="AR131" s="662">
        <f>AS131+AT131</f>
        <v>131</v>
      </c>
      <c r="AS131" s="662"/>
      <c r="AT131" s="662">
        <v>131</v>
      </c>
      <c r="AU131" s="662"/>
      <c r="AV131" s="662">
        <v>123</v>
      </c>
      <c r="AW131" s="662">
        <v>5</v>
      </c>
      <c r="AX131" s="662">
        <v>5</v>
      </c>
      <c r="AY131" s="662">
        <f>BG131+BN131+BO131+BP131</f>
        <v>9838</v>
      </c>
      <c r="AZ131" s="665">
        <v>8875</v>
      </c>
      <c r="BA131" s="662"/>
      <c r="BB131" s="662"/>
      <c r="BC131" s="662"/>
      <c r="BD131" s="662"/>
      <c r="BE131" s="666">
        <f>(BA131+BB131)*10%</f>
        <v>0</v>
      </c>
      <c r="BF131" s="667">
        <f t="shared" si="211"/>
        <v>0</v>
      </c>
      <c r="BG131" s="666">
        <f>(AZ131+BA131+BB131+BC131)-BF131</f>
        <v>8875</v>
      </c>
      <c r="BH131" s="662">
        <f>1000+30+40</f>
        <v>1070</v>
      </c>
      <c r="BI131" s="662"/>
      <c r="BJ131" s="662"/>
      <c r="BK131" s="662"/>
      <c r="BL131" s="666">
        <f>BH131*10%</f>
        <v>107</v>
      </c>
      <c r="BM131" s="667">
        <f t="shared" si="214"/>
        <v>107</v>
      </c>
      <c r="BN131" s="666">
        <f>(BH131+BI131+BJ131)-BM131</f>
        <v>963</v>
      </c>
      <c r="BO131" s="662"/>
      <c r="BP131" s="662"/>
      <c r="BQ131" s="662">
        <f>19200-1920</f>
        <v>17280</v>
      </c>
      <c r="BR131" s="662"/>
      <c r="BS131" s="662"/>
      <c r="BT131" s="662"/>
      <c r="BU131" s="662"/>
      <c r="BV131" s="662"/>
      <c r="BW131" s="662"/>
      <c r="CA131" s="1352">
        <v>41</v>
      </c>
      <c r="CB131" s="1352" t="s">
        <v>570</v>
      </c>
      <c r="CC131" s="1352">
        <v>131</v>
      </c>
      <c r="CD131" s="1352">
        <v>126</v>
      </c>
      <c r="CE131" s="1352"/>
      <c r="CF131" s="1352">
        <v>126</v>
      </c>
      <c r="CG131" s="1352"/>
      <c r="CH131" s="1352">
        <v>118</v>
      </c>
      <c r="CI131" s="1352">
        <v>5</v>
      </c>
      <c r="CJ131" s="1352">
        <v>5</v>
      </c>
      <c r="CK131" s="1353">
        <v>9622</v>
      </c>
      <c r="CL131" s="1353">
        <v>8635</v>
      </c>
      <c r="CM131" s="1354"/>
      <c r="CN131" s="1354"/>
      <c r="CO131" s="1354"/>
      <c r="CP131" s="1354"/>
      <c r="CQ131" s="1354"/>
      <c r="CR131" s="1354"/>
      <c r="CS131" s="1354">
        <v>0</v>
      </c>
      <c r="CT131" s="1353">
        <v>8635</v>
      </c>
      <c r="CU131" s="1353">
        <v>1000</v>
      </c>
      <c r="CV131" s="1353"/>
      <c r="CW131" s="1353"/>
      <c r="CX131" s="1353"/>
      <c r="CY131" s="1353">
        <v>100</v>
      </c>
      <c r="CZ131" s="1353">
        <v>13</v>
      </c>
      <c r="DA131" s="1353">
        <v>13</v>
      </c>
      <c r="DB131" s="1353">
        <v>987</v>
      </c>
      <c r="DC131" s="1353"/>
      <c r="DD131" s="1353"/>
      <c r="DE131" s="1353"/>
      <c r="DF131" s="1353"/>
      <c r="DG131" s="1353"/>
      <c r="DH131" s="1353"/>
      <c r="DI131" s="1353"/>
      <c r="DJ131" s="1353"/>
      <c r="DK131" s="1353"/>
      <c r="DT131" s="659">
        <v>41</v>
      </c>
      <c r="DU131" s="660" t="s">
        <v>570</v>
      </c>
      <c r="DV131" s="777">
        <f t="shared" ref="DV131:EV131" si="221">L131-CK131</f>
        <v>-210</v>
      </c>
      <c r="DW131" s="777">
        <f t="shared" si="221"/>
        <v>-210</v>
      </c>
      <c r="DX131" s="777">
        <f t="shared" si="221"/>
        <v>0</v>
      </c>
      <c r="DY131" s="777">
        <f t="shared" si="221"/>
        <v>0</v>
      </c>
      <c r="DZ131" s="777">
        <f t="shared" si="221"/>
        <v>0</v>
      </c>
      <c r="EA131" s="777">
        <f t="shared" si="221"/>
        <v>0</v>
      </c>
      <c r="EB131" s="777">
        <f t="shared" si="221"/>
        <v>0</v>
      </c>
      <c r="EC131" s="777">
        <f t="shared" si="221"/>
        <v>0</v>
      </c>
      <c r="ED131" s="777">
        <f t="shared" si="221"/>
        <v>0</v>
      </c>
      <c r="EE131" s="777">
        <f t="shared" si="221"/>
        <v>-210</v>
      </c>
      <c r="EF131" s="777">
        <f t="shared" si="221"/>
        <v>0</v>
      </c>
      <c r="EG131" s="777">
        <f t="shared" si="221"/>
        <v>0</v>
      </c>
      <c r="EH131" s="777">
        <f t="shared" si="221"/>
        <v>0</v>
      </c>
      <c r="EI131" s="777">
        <f t="shared" si="221"/>
        <v>0</v>
      </c>
      <c r="EJ131" s="777">
        <f t="shared" si="221"/>
        <v>0</v>
      </c>
      <c r="EK131" s="777">
        <f t="shared" si="221"/>
        <v>0</v>
      </c>
      <c r="EL131" s="777">
        <f t="shared" si="221"/>
        <v>0</v>
      </c>
      <c r="EM131" s="777">
        <f t="shared" si="221"/>
        <v>0</v>
      </c>
      <c r="EN131" s="777">
        <f t="shared" si="221"/>
        <v>0</v>
      </c>
      <c r="EO131" s="777">
        <f t="shared" si="221"/>
        <v>0</v>
      </c>
      <c r="EP131" s="777">
        <f t="shared" si="221"/>
        <v>0</v>
      </c>
      <c r="EQ131" s="777">
        <f t="shared" si="221"/>
        <v>0</v>
      </c>
      <c r="ER131" s="777">
        <f t="shared" si="221"/>
        <v>0</v>
      </c>
      <c r="ES131" s="777">
        <f t="shared" si="221"/>
        <v>0</v>
      </c>
      <c r="ET131" s="777">
        <f t="shared" si="221"/>
        <v>0</v>
      </c>
      <c r="EU131" s="777">
        <f t="shared" si="221"/>
        <v>0</v>
      </c>
      <c r="EV131" s="777">
        <f t="shared" si="221"/>
        <v>0</v>
      </c>
    </row>
    <row r="132" spans="1:152" s="614" customFormat="1" ht="27" customHeight="1">
      <c r="A132" s="1429" t="s">
        <v>321</v>
      </c>
      <c r="B132" s="651" t="s">
        <v>571</v>
      </c>
      <c r="C132" s="1430">
        <f>D132+I132</f>
        <v>125</v>
      </c>
      <c r="D132" s="1430">
        <f>E132+F132</f>
        <v>99</v>
      </c>
      <c r="E132" s="1430">
        <f t="shared" ref="E132:AL132" si="222">E133</f>
        <v>8</v>
      </c>
      <c r="F132" s="1430">
        <f t="shared" si="222"/>
        <v>91</v>
      </c>
      <c r="G132" s="1430">
        <f t="shared" si="222"/>
        <v>7</v>
      </c>
      <c r="H132" s="1430">
        <f t="shared" si="222"/>
        <v>84</v>
      </c>
      <c r="I132" s="1430">
        <f t="shared" si="222"/>
        <v>26</v>
      </c>
      <c r="J132" s="1430">
        <f t="shared" si="222"/>
        <v>26</v>
      </c>
      <c r="K132" s="1543">
        <f t="shared" si="222"/>
        <v>34917</v>
      </c>
      <c r="L132" s="653">
        <f t="shared" si="222"/>
        <v>34917</v>
      </c>
      <c r="M132" s="1543">
        <f t="shared" si="222"/>
        <v>10091</v>
      </c>
      <c r="N132" s="1543">
        <f t="shared" si="222"/>
        <v>1816</v>
      </c>
      <c r="O132" s="1543">
        <f t="shared" si="222"/>
        <v>158</v>
      </c>
      <c r="P132" s="1543">
        <f t="shared" si="222"/>
        <v>0</v>
      </c>
      <c r="Q132" s="1543">
        <f t="shared" si="222"/>
        <v>0</v>
      </c>
      <c r="R132" s="1543">
        <f t="shared" si="222"/>
        <v>0</v>
      </c>
      <c r="S132" s="1543">
        <f t="shared" si="222"/>
        <v>220</v>
      </c>
      <c r="T132" s="1543">
        <f t="shared" si="222"/>
        <v>220</v>
      </c>
      <c r="U132" s="1543">
        <f t="shared" si="222"/>
        <v>11845</v>
      </c>
      <c r="V132" s="1543">
        <f t="shared" si="222"/>
        <v>23149</v>
      </c>
      <c r="W132" s="1543">
        <f t="shared" si="222"/>
        <v>810</v>
      </c>
      <c r="X132" s="1543">
        <f t="shared" si="222"/>
        <v>0</v>
      </c>
      <c r="Y132" s="1543">
        <f t="shared" si="222"/>
        <v>5</v>
      </c>
      <c r="Z132" s="1543">
        <f t="shared" si="222"/>
        <v>1583.6000000000001</v>
      </c>
      <c r="AA132" s="1543">
        <f t="shared" si="222"/>
        <v>882</v>
      </c>
      <c r="AB132" s="1543">
        <f t="shared" si="222"/>
        <v>887</v>
      </c>
      <c r="AC132" s="1543">
        <f t="shared" si="222"/>
        <v>23072</v>
      </c>
      <c r="AD132" s="1543">
        <f t="shared" si="222"/>
        <v>0</v>
      </c>
      <c r="AE132" s="1543">
        <f t="shared" si="222"/>
        <v>0</v>
      </c>
      <c r="AF132" s="1543">
        <f t="shared" si="222"/>
        <v>0</v>
      </c>
      <c r="AG132" s="1543">
        <f t="shared" si="222"/>
        <v>0</v>
      </c>
      <c r="AH132" s="1543">
        <f t="shared" si="222"/>
        <v>0</v>
      </c>
      <c r="AI132" s="1543">
        <f t="shared" si="222"/>
        <v>0</v>
      </c>
      <c r="AJ132" s="1543">
        <f t="shared" si="222"/>
        <v>11551</v>
      </c>
      <c r="AK132" s="1543">
        <f t="shared" si="222"/>
        <v>0</v>
      </c>
      <c r="AL132" s="656">
        <f t="shared" si="222"/>
        <v>0</v>
      </c>
      <c r="AM132" s="612"/>
      <c r="AN132" s="610">
        <v>12406</v>
      </c>
      <c r="AO132" s="1323" t="s">
        <v>321</v>
      </c>
      <c r="AP132" s="651" t="s">
        <v>571</v>
      </c>
      <c r="AQ132" s="1320">
        <f>AR132+AW132</f>
        <v>135</v>
      </c>
      <c r="AR132" s="1320">
        <f>AS132+AT132</f>
        <v>106</v>
      </c>
      <c r="AS132" s="1320">
        <f t="shared" ref="AS132:BW132" si="223">AS133</f>
        <v>8</v>
      </c>
      <c r="AT132" s="1320">
        <f t="shared" si="223"/>
        <v>98</v>
      </c>
      <c r="AU132" s="1320">
        <f t="shared" si="223"/>
        <v>7</v>
      </c>
      <c r="AV132" s="1320">
        <f t="shared" si="223"/>
        <v>91</v>
      </c>
      <c r="AW132" s="1320">
        <f t="shared" si="223"/>
        <v>29</v>
      </c>
      <c r="AX132" s="1320">
        <f t="shared" si="223"/>
        <v>25</v>
      </c>
      <c r="AY132" s="653">
        <f>AY133</f>
        <v>31586</v>
      </c>
      <c r="AZ132" s="658">
        <f t="shared" si="223"/>
        <v>9948</v>
      </c>
      <c r="BA132" s="653">
        <f t="shared" si="223"/>
        <v>2489</v>
      </c>
      <c r="BB132" s="653">
        <f t="shared" si="223"/>
        <v>0</v>
      </c>
      <c r="BC132" s="653">
        <f t="shared" si="223"/>
        <v>0</v>
      </c>
      <c r="BD132" s="653">
        <f t="shared" si="223"/>
        <v>0</v>
      </c>
      <c r="BE132" s="653">
        <f t="shared" si="223"/>
        <v>248.90000000000003</v>
      </c>
      <c r="BF132" s="655">
        <f t="shared" si="223"/>
        <v>248</v>
      </c>
      <c r="BG132" s="653">
        <f t="shared" si="223"/>
        <v>12189</v>
      </c>
      <c r="BH132" s="653">
        <f t="shared" si="223"/>
        <v>20010</v>
      </c>
      <c r="BI132" s="653">
        <f t="shared" si="223"/>
        <v>600</v>
      </c>
      <c r="BJ132" s="653">
        <f t="shared" si="223"/>
        <v>485</v>
      </c>
      <c r="BK132" s="653">
        <f t="shared" si="223"/>
        <v>0</v>
      </c>
      <c r="BL132" s="653">
        <f t="shared" si="223"/>
        <v>1712.7</v>
      </c>
      <c r="BM132" s="655">
        <f t="shared" si="223"/>
        <v>1713</v>
      </c>
      <c r="BN132" s="653">
        <f t="shared" si="223"/>
        <v>19382</v>
      </c>
      <c r="BO132" s="653">
        <f t="shared" si="223"/>
        <v>15</v>
      </c>
      <c r="BP132" s="653">
        <f t="shared" si="223"/>
        <v>0</v>
      </c>
      <c r="BQ132" s="653">
        <f t="shared" si="223"/>
        <v>110</v>
      </c>
      <c r="BR132" s="653">
        <f t="shared" si="223"/>
        <v>10</v>
      </c>
      <c r="BS132" s="653">
        <f t="shared" si="223"/>
        <v>0</v>
      </c>
      <c r="BT132" s="653">
        <f t="shared" si="223"/>
        <v>0</v>
      </c>
      <c r="BU132" s="653">
        <f t="shared" si="223"/>
        <v>3839</v>
      </c>
      <c r="BV132" s="653">
        <f t="shared" si="223"/>
        <v>0</v>
      </c>
      <c r="BW132" s="653">
        <f t="shared" si="223"/>
        <v>0</v>
      </c>
      <c r="BY132" s="732"/>
      <c r="BZ132" s="732"/>
      <c r="CA132" s="1348" t="s">
        <v>321</v>
      </c>
      <c r="CB132" s="1348" t="s">
        <v>571</v>
      </c>
      <c r="CC132" s="1348">
        <v>131</v>
      </c>
      <c r="CD132" s="1348">
        <v>103</v>
      </c>
      <c r="CE132" s="1348">
        <v>8</v>
      </c>
      <c r="CF132" s="1348">
        <v>95</v>
      </c>
      <c r="CG132" s="1348">
        <v>7</v>
      </c>
      <c r="CH132" s="1348">
        <v>84</v>
      </c>
      <c r="CI132" s="1348">
        <v>28</v>
      </c>
      <c r="CJ132" s="1348">
        <v>27</v>
      </c>
      <c r="CK132" s="1349">
        <v>34792</v>
      </c>
      <c r="CL132" s="1349">
        <v>9783</v>
      </c>
      <c r="CM132" s="1350">
        <v>2006</v>
      </c>
      <c r="CN132" s="1350">
        <v>158</v>
      </c>
      <c r="CO132" s="1350">
        <v>0</v>
      </c>
      <c r="CP132" s="1350">
        <v>0</v>
      </c>
      <c r="CQ132" s="1350">
        <v>6.7</v>
      </c>
      <c r="CR132" s="1350">
        <v>220</v>
      </c>
      <c r="CS132" s="1350">
        <v>227</v>
      </c>
      <c r="CT132" s="1349">
        <v>11720</v>
      </c>
      <c r="CU132" s="1349">
        <v>23149</v>
      </c>
      <c r="CV132" s="1349">
        <v>810</v>
      </c>
      <c r="CW132" s="1349">
        <v>0</v>
      </c>
      <c r="CX132" s="1349">
        <v>5</v>
      </c>
      <c r="CY132" s="1349">
        <v>1583.6000000000001</v>
      </c>
      <c r="CZ132" s="1349">
        <v>882</v>
      </c>
      <c r="DA132" s="1349">
        <v>887</v>
      </c>
      <c r="DB132" s="1349">
        <v>23072</v>
      </c>
      <c r="DC132" s="1349">
        <v>0</v>
      </c>
      <c r="DD132" s="1349">
        <v>0</v>
      </c>
      <c r="DE132" s="1349">
        <v>0</v>
      </c>
      <c r="DF132" s="1349">
        <v>0</v>
      </c>
      <c r="DG132" s="1349">
        <v>0</v>
      </c>
      <c r="DH132" s="1349">
        <v>0</v>
      </c>
      <c r="DI132" s="1349">
        <v>0</v>
      </c>
      <c r="DJ132" s="1349">
        <v>0</v>
      </c>
      <c r="DK132" s="1349">
        <v>0</v>
      </c>
      <c r="DT132" s="1323" t="s">
        <v>321</v>
      </c>
      <c r="DU132" s="651" t="s">
        <v>571</v>
      </c>
      <c r="DV132" s="1376">
        <f>DV133</f>
        <v>125</v>
      </c>
      <c r="DW132" s="1376">
        <f t="shared" ref="DW132:EV132" si="224">DW133</f>
        <v>308</v>
      </c>
      <c r="DX132" s="1376">
        <f t="shared" si="224"/>
        <v>-190</v>
      </c>
      <c r="DY132" s="1376">
        <f t="shared" si="224"/>
        <v>0</v>
      </c>
      <c r="DZ132" s="1376">
        <f t="shared" si="224"/>
        <v>0</v>
      </c>
      <c r="EA132" s="1376">
        <f t="shared" si="224"/>
        <v>0</v>
      </c>
      <c r="EB132" s="1376">
        <f t="shared" si="224"/>
        <v>-6.7</v>
      </c>
      <c r="EC132" s="1376">
        <f t="shared" si="224"/>
        <v>0</v>
      </c>
      <c r="ED132" s="1376">
        <f t="shared" si="224"/>
        <v>-7</v>
      </c>
      <c r="EE132" s="1376">
        <f t="shared" si="224"/>
        <v>125</v>
      </c>
      <c r="EF132" s="1376">
        <f t="shared" si="224"/>
        <v>0</v>
      </c>
      <c r="EG132" s="1376">
        <f t="shared" si="224"/>
        <v>0</v>
      </c>
      <c r="EH132" s="1376">
        <f t="shared" si="224"/>
        <v>0</v>
      </c>
      <c r="EI132" s="1376">
        <f t="shared" si="224"/>
        <v>0</v>
      </c>
      <c r="EJ132" s="1376">
        <f t="shared" si="224"/>
        <v>0</v>
      </c>
      <c r="EK132" s="1376">
        <f t="shared" si="224"/>
        <v>0</v>
      </c>
      <c r="EL132" s="1376">
        <f t="shared" si="224"/>
        <v>0</v>
      </c>
      <c r="EM132" s="1376">
        <f t="shared" si="224"/>
        <v>0</v>
      </c>
      <c r="EN132" s="1376">
        <f t="shared" si="224"/>
        <v>0</v>
      </c>
      <c r="EO132" s="1376">
        <f t="shared" si="224"/>
        <v>0</v>
      </c>
      <c r="EP132" s="1376">
        <f t="shared" si="224"/>
        <v>0</v>
      </c>
      <c r="EQ132" s="1376">
        <f t="shared" si="224"/>
        <v>0</v>
      </c>
      <c r="ER132" s="1376">
        <f t="shared" si="224"/>
        <v>0</v>
      </c>
      <c r="ES132" s="1376">
        <f t="shared" si="224"/>
        <v>0</v>
      </c>
      <c r="ET132" s="1376">
        <f t="shared" si="224"/>
        <v>11551</v>
      </c>
      <c r="EU132" s="1376">
        <f t="shared" si="224"/>
        <v>0</v>
      </c>
      <c r="EV132" s="1376">
        <f t="shared" si="224"/>
        <v>0</v>
      </c>
    </row>
    <row r="133" spans="1:152" ht="33" customHeight="1">
      <c r="A133" s="659">
        <v>40</v>
      </c>
      <c r="B133" s="660" t="s">
        <v>572</v>
      </c>
      <c r="C133" s="661">
        <f t="shared" ref="C133:AL133" si="225">SUM(C134:C139)</f>
        <v>125</v>
      </c>
      <c r="D133" s="661">
        <f t="shared" si="225"/>
        <v>99</v>
      </c>
      <c r="E133" s="661">
        <f t="shared" si="225"/>
        <v>8</v>
      </c>
      <c r="F133" s="661">
        <f t="shared" si="225"/>
        <v>91</v>
      </c>
      <c r="G133" s="661">
        <f t="shared" si="225"/>
        <v>7</v>
      </c>
      <c r="H133" s="661">
        <f t="shared" si="225"/>
        <v>84</v>
      </c>
      <c r="I133" s="661">
        <f t="shared" si="225"/>
        <v>26</v>
      </c>
      <c r="J133" s="661">
        <f t="shared" si="225"/>
        <v>26</v>
      </c>
      <c r="K133" s="661">
        <f t="shared" si="225"/>
        <v>34917</v>
      </c>
      <c r="L133" s="662">
        <f t="shared" si="225"/>
        <v>34917</v>
      </c>
      <c r="M133" s="661">
        <f t="shared" si="225"/>
        <v>10091</v>
      </c>
      <c r="N133" s="661">
        <f t="shared" si="225"/>
        <v>1816</v>
      </c>
      <c r="O133" s="661">
        <f t="shared" si="225"/>
        <v>158</v>
      </c>
      <c r="P133" s="661">
        <f t="shared" si="225"/>
        <v>0</v>
      </c>
      <c r="Q133" s="661">
        <f t="shared" si="225"/>
        <v>0</v>
      </c>
      <c r="R133" s="661">
        <f t="shared" si="225"/>
        <v>0</v>
      </c>
      <c r="S133" s="661">
        <f t="shared" si="225"/>
        <v>220</v>
      </c>
      <c r="T133" s="661">
        <f t="shared" si="225"/>
        <v>220</v>
      </c>
      <c r="U133" s="661">
        <f t="shared" si="225"/>
        <v>11845</v>
      </c>
      <c r="V133" s="661">
        <f t="shared" si="225"/>
        <v>23149</v>
      </c>
      <c r="W133" s="661">
        <f t="shared" si="225"/>
        <v>810</v>
      </c>
      <c r="X133" s="661">
        <f t="shared" si="225"/>
        <v>0</v>
      </c>
      <c r="Y133" s="661">
        <f t="shared" si="225"/>
        <v>5</v>
      </c>
      <c r="Z133" s="661">
        <f t="shared" si="225"/>
        <v>1583.6000000000001</v>
      </c>
      <c r="AA133" s="661">
        <f t="shared" si="225"/>
        <v>882</v>
      </c>
      <c r="AB133" s="661">
        <f t="shared" si="225"/>
        <v>887</v>
      </c>
      <c r="AC133" s="661">
        <f t="shared" si="225"/>
        <v>23072</v>
      </c>
      <c r="AD133" s="661">
        <f t="shared" si="225"/>
        <v>0</v>
      </c>
      <c r="AE133" s="661">
        <f t="shared" si="225"/>
        <v>0</v>
      </c>
      <c r="AF133" s="661">
        <f t="shared" si="225"/>
        <v>0</v>
      </c>
      <c r="AG133" s="661">
        <f t="shared" si="225"/>
        <v>0</v>
      </c>
      <c r="AH133" s="661">
        <f t="shared" si="225"/>
        <v>0</v>
      </c>
      <c r="AI133" s="661">
        <f t="shared" si="225"/>
        <v>0</v>
      </c>
      <c r="AJ133" s="661">
        <f t="shared" si="225"/>
        <v>11551</v>
      </c>
      <c r="AK133" s="661">
        <f t="shared" si="225"/>
        <v>0</v>
      </c>
      <c r="AL133" s="661">
        <f t="shared" si="225"/>
        <v>0</v>
      </c>
      <c r="AM133" s="772">
        <f>SUM(AM135:AM139)</f>
        <v>0</v>
      </c>
      <c r="AN133" s="610"/>
      <c r="AO133" s="659">
        <v>45</v>
      </c>
      <c r="AP133" s="660" t="s">
        <v>572</v>
      </c>
      <c r="AQ133" s="661">
        <f t="shared" ref="AQ133:BW133" si="226">SUM(AQ134:AQ139)</f>
        <v>135</v>
      </c>
      <c r="AR133" s="661">
        <f t="shared" si="226"/>
        <v>106</v>
      </c>
      <c r="AS133" s="661">
        <f t="shared" si="226"/>
        <v>8</v>
      </c>
      <c r="AT133" s="661">
        <f t="shared" si="226"/>
        <v>98</v>
      </c>
      <c r="AU133" s="661">
        <f t="shared" si="226"/>
        <v>7</v>
      </c>
      <c r="AV133" s="661">
        <f t="shared" si="226"/>
        <v>91</v>
      </c>
      <c r="AW133" s="661">
        <f t="shared" si="226"/>
        <v>29</v>
      </c>
      <c r="AX133" s="661">
        <f t="shared" si="226"/>
        <v>25</v>
      </c>
      <c r="AY133" s="662">
        <f t="shared" si="226"/>
        <v>31586</v>
      </c>
      <c r="AZ133" s="665">
        <f t="shared" si="226"/>
        <v>9948</v>
      </c>
      <c r="BA133" s="662">
        <f t="shared" si="226"/>
        <v>2489</v>
      </c>
      <c r="BB133" s="662">
        <f t="shared" si="226"/>
        <v>0</v>
      </c>
      <c r="BC133" s="662">
        <f t="shared" si="226"/>
        <v>0</v>
      </c>
      <c r="BD133" s="662">
        <f t="shared" si="226"/>
        <v>0</v>
      </c>
      <c r="BE133" s="662">
        <f t="shared" si="226"/>
        <v>248.90000000000003</v>
      </c>
      <c r="BF133" s="663">
        <f t="shared" si="226"/>
        <v>248</v>
      </c>
      <c r="BG133" s="662">
        <f t="shared" si="226"/>
        <v>12189</v>
      </c>
      <c r="BH133" s="662">
        <f t="shared" si="226"/>
        <v>20010</v>
      </c>
      <c r="BI133" s="662">
        <f t="shared" si="226"/>
        <v>600</v>
      </c>
      <c r="BJ133" s="662">
        <f t="shared" si="226"/>
        <v>485</v>
      </c>
      <c r="BK133" s="662">
        <f t="shared" si="226"/>
        <v>0</v>
      </c>
      <c r="BL133" s="662">
        <f t="shared" si="226"/>
        <v>1712.7</v>
      </c>
      <c r="BM133" s="663">
        <f t="shared" si="226"/>
        <v>1713</v>
      </c>
      <c r="BN133" s="662">
        <f t="shared" si="226"/>
        <v>19382</v>
      </c>
      <c r="BO133" s="662">
        <f t="shared" si="226"/>
        <v>15</v>
      </c>
      <c r="BP133" s="662">
        <f t="shared" si="226"/>
        <v>0</v>
      </c>
      <c r="BQ133" s="662">
        <f t="shared" si="226"/>
        <v>110</v>
      </c>
      <c r="BR133" s="662">
        <f t="shared" si="226"/>
        <v>10</v>
      </c>
      <c r="BS133" s="662">
        <f t="shared" si="226"/>
        <v>0</v>
      </c>
      <c r="BT133" s="662">
        <f t="shared" si="226"/>
        <v>0</v>
      </c>
      <c r="BU133" s="662">
        <f t="shared" si="226"/>
        <v>3839</v>
      </c>
      <c r="BV133" s="662">
        <f t="shared" si="226"/>
        <v>0</v>
      </c>
      <c r="BW133" s="662">
        <f t="shared" si="226"/>
        <v>0</v>
      </c>
      <c r="CA133" s="1352">
        <v>42</v>
      </c>
      <c r="CB133" s="1352" t="s">
        <v>572</v>
      </c>
      <c r="CC133" s="1352">
        <v>131</v>
      </c>
      <c r="CD133" s="1352">
        <v>103</v>
      </c>
      <c r="CE133" s="1352">
        <v>8</v>
      </c>
      <c r="CF133" s="1352">
        <v>95</v>
      </c>
      <c r="CG133" s="1352">
        <v>7</v>
      </c>
      <c r="CH133" s="1352">
        <v>84</v>
      </c>
      <c r="CI133" s="1352">
        <v>28</v>
      </c>
      <c r="CJ133" s="1352">
        <v>27</v>
      </c>
      <c r="CK133" s="1353">
        <v>34792</v>
      </c>
      <c r="CL133" s="1353">
        <v>9783</v>
      </c>
      <c r="CM133" s="1354">
        <v>2006</v>
      </c>
      <c r="CN133" s="1354">
        <v>158</v>
      </c>
      <c r="CO133" s="1354">
        <v>0</v>
      </c>
      <c r="CP133" s="1354">
        <v>0</v>
      </c>
      <c r="CQ133" s="1354">
        <v>6.7</v>
      </c>
      <c r="CR133" s="1354">
        <v>220</v>
      </c>
      <c r="CS133" s="1354">
        <v>227</v>
      </c>
      <c r="CT133" s="1353">
        <v>11720</v>
      </c>
      <c r="CU133" s="1353">
        <v>23149</v>
      </c>
      <c r="CV133" s="1353">
        <v>810</v>
      </c>
      <c r="CW133" s="1353">
        <v>0</v>
      </c>
      <c r="CX133" s="1353">
        <v>5</v>
      </c>
      <c r="CY133" s="1353">
        <v>1583.6000000000001</v>
      </c>
      <c r="CZ133" s="1353">
        <v>882</v>
      </c>
      <c r="DA133" s="1353">
        <v>887</v>
      </c>
      <c r="DB133" s="1353">
        <v>23072</v>
      </c>
      <c r="DC133" s="1353">
        <v>0</v>
      </c>
      <c r="DD133" s="1353">
        <v>0</v>
      </c>
      <c r="DE133" s="1353">
        <v>0</v>
      </c>
      <c r="DF133" s="1353">
        <v>0</v>
      </c>
      <c r="DG133" s="1353">
        <v>0</v>
      </c>
      <c r="DH133" s="1353">
        <v>0</v>
      </c>
      <c r="DI133" s="1353">
        <v>0</v>
      </c>
      <c r="DJ133" s="1353">
        <v>0</v>
      </c>
      <c r="DK133" s="1353">
        <v>0</v>
      </c>
      <c r="DT133" s="659">
        <v>42</v>
      </c>
      <c r="DU133" s="660" t="s">
        <v>572</v>
      </c>
      <c r="DV133" s="777">
        <f>SUM(DV134:DV139)</f>
        <v>125</v>
      </c>
      <c r="DW133" s="777">
        <f t="shared" ref="DW133:EV133" si="227">SUM(DW134:DW139)</f>
        <v>308</v>
      </c>
      <c r="DX133" s="777">
        <f t="shared" si="227"/>
        <v>-190</v>
      </c>
      <c r="DY133" s="777">
        <f t="shared" si="227"/>
        <v>0</v>
      </c>
      <c r="DZ133" s="777">
        <f t="shared" si="227"/>
        <v>0</v>
      </c>
      <c r="EA133" s="777">
        <f t="shared" si="227"/>
        <v>0</v>
      </c>
      <c r="EB133" s="777">
        <f t="shared" si="227"/>
        <v>-6.7</v>
      </c>
      <c r="EC133" s="777">
        <f t="shared" si="227"/>
        <v>0</v>
      </c>
      <c r="ED133" s="777">
        <f t="shared" si="227"/>
        <v>-7</v>
      </c>
      <c r="EE133" s="777">
        <f t="shared" si="227"/>
        <v>125</v>
      </c>
      <c r="EF133" s="777">
        <f t="shared" si="227"/>
        <v>0</v>
      </c>
      <c r="EG133" s="777">
        <f t="shared" si="227"/>
        <v>0</v>
      </c>
      <c r="EH133" s="777">
        <f t="shared" si="227"/>
        <v>0</v>
      </c>
      <c r="EI133" s="777">
        <f t="shared" si="227"/>
        <v>0</v>
      </c>
      <c r="EJ133" s="777">
        <f t="shared" si="227"/>
        <v>0</v>
      </c>
      <c r="EK133" s="777">
        <f t="shared" si="227"/>
        <v>0</v>
      </c>
      <c r="EL133" s="777">
        <f t="shared" si="227"/>
        <v>0</v>
      </c>
      <c r="EM133" s="777">
        <f t="shared" si="227"/>
        <v>0</v>
      </c>
      <c r="EN133" s="777">
        <f t="shared" si="227"/>
        <v>0</v>
      </c>
      <c r="EO133" s="777">
        <f t="shared" si="227"/>
        <v>0</v>
      </c>
      <c r="EP133" s="777">
        <f t="shared" si="227"/>
        <v>0</v>
      </c>
      <c r="EQ133" s="777">
        <f t="shared" si="227"/>
        <v>0</v>
      </c>
      <c r="ER133" s="777">
        <f t="shared" si="227"/>
        <v>0</v>
      </c>
      <c r="ES133" s="777">
        <f t="shared" si="227"/>
        <v>0</v>
      </c>
      <c r="ET133" s="777">
        <f t="shared" si="227"/>
        <v>11551</v>
      </c>
      <c r="EU133" s="777">
        <f t="shared" si="227"/>
        <v>0</v>
      </c>
      <c r="EV133" s="777">
        <f t="shared" si="227"/>
        <v>0</v>
      </c>
    </row>
    <row r="134" spans="1:152" ht="33" hidden="1" customHeight="1">
      <c r="A134" s="659"/>
      <c r="B134" s="660" t="s">
        <v>573</v>
      </c>
      <c r="C134" s="661">
        <f t="shared" ref="C134:C139" si="228">D134+I134</f>
        <v>0</v>
      </c>
      <c r="D134" s="661">
        <f t="shared" ref="D134:D139" si="229">E134+F134</f>
        <v>0</v>
      </c>
      <c r="E134" s="661"/>
      <c r="F134" s="661"/>
      <c r="G134" s="661"/>
      <c r="H134" s="661"/>
      <c r="I134" s="661"/>
      <c r="J134" s="661"/>
      <c r="K134" s="646">
        <f t="shared" si="117"/>
        <v>12746</v>
      </c>
      <c r="L134" s="662">
        <f t="shared" ref="L134:L139" si="230">U134+AC134+AD134+AE134</f>
        <v>12746</v>
      </c>
      <c r="M134" s="662"/>
      <c r="N134" s="662"/>
      <c r="O134" s="662"/>
      <c r="P134" s="662"/>
      <c r="Q134" s="662"/>
      <c r="R134" s="666">
        <f>((N134+O134)-(BA134+BB134))*10%</f>
        <v>0</v>
      </c>
      <c r="S134" s="666"/>
      <c r="T134" s="666">
        <f t="shared" ref="T134:T139" si="231">ROUND((Q134+R134+S134),0)</f>
        <v>0</v>
      </c>
      <c r="U134" s="666">
        <f t="shared" ref="U134:U139" si="232">(M134+N134+O134+P134)-T134</f>
        <v>0</v>
      </c>
      <c r="V134" s="666">
        <v>13378</v>
      </c>
      <c r="W134" s="662"/>
      <c r="X134" s="662"/>
      <c r="Y134" s="666"/>
      <c r="Z134" s="666">
        <f t="shared" ref="Z134:Z139" si="233">V134*10%</f>
        <v>1337.8000000000002</v>
      </c>
      <c r="AA134" s="666">
        <v>632</v>
      </c>
      <c r="AB134" s="666">
        <f t="shared" ref="AB134:AB139" si="234">ROUND((Y134+AA134+X134),0)</f>
        <v>632</v>
      </c>
      <c r="AC134" s="666">
        <f t="shared" ref="AC134:AC139" si="235">(V134+W134)-AB134</f>
        <v>12746</v>
      </c>
      <c r="AD134" s="662"/>
      <c r="AE134" s="662"/>
      <c r="AF134" s="662"/>
      <c r="AG134" s="662"/>
      <c r="AH134" s="662"/>
      <c r="AI134" s="662"/>
      <c r="AJ134" s="662">
        <v>11551</v>
      </c>
      <c r="AK134" s="662"/>
      <c r="AL134" s="664"/>
      <c r="AM134" s="781"/>
      <c r="AN134" s="610"/>
      <c r="AO134" s="659"/>
      <c r="AP134" s="660" t="s">
        <v>573</v>
      </c>
      <c r="AQ134" s="661">
        <f t="shared" ref="AQ134:AQ140" si="236">AR134+AW134</f>
        <v>0</v>
      </c>
      <c r="AR134" s="661">
        <f t="shared" ref="AR134:AR140" si="237">AS134+AT134</f>
        <v>0</v>
      </c>
      <c r="AS134" s="661"/>
      <c r="AT134" s="661"/>
      <c r="AU134" s="661"/>
      <c r="AV134" s="661"/>
      <c r="AW134" s="661"/>
      <c r="AX134" s="661"/>
      <c r="AY134" s="666">
        <f t="shared" ref="AY134:AY139" si="238">BG134+BN134+BO134+BP134</f>
        <v>12611</v>
      </c>
      <c r="AZ134" s="665"/>
      <c r="BA134" s="662"/>
      <c r="BB134" s="662"/>
      <c r="BC134" s="662"/>
      <c r="BD134" s="662"/>
      <c r="BE134" s="666">
        <f t="shared" ref="BE134:BE139" si="239">(BA134+BB134)*10%</f>
        <v>0</v>
      </c>
      <c r="BF134" s="667">
        <f t="shared" ref="BF134:BF139" si="240">ROUND(BE134,0)</f>
        <v>0</v>
      </c>
      <c r="BG134" s="666">
        <f t="shared" ref="BG134:BG139" si="241">(AZ134+BA134+BB134+BC134)-BF134</f>
        <v>0</v>
      </c>
      <c r="BH134" s="666">
        <f>15242-934-15-297</f>
        <v>13996</v>
      </c>
      <c r="BI134" s="662"/>
      <c r="BJ134" s="662"/>
      <c r="BK134" s="662"/>
      <c r="BL134" s="666">
        <f t="shared" ref="BL134:BL139" si="242">BH134*10%</f>
        <v>1399.6000000000001</v>
      </c>
      <c r="BM134" s="667">
        <f t="shared" ref="BM134:BM139" si="243">ROUND(BL134,0)</f>
        <v>1400</v>
      </c>
      <c r="BN134" s="666">
        <f t="shared" ref="BN134:BN139" si="244">(BH134+BI134+BJ134)-BM134</f>
        <v>12596</v>
      </c>
      <c r="BO134" s="662">
        <v>15</v>
      </c>
      <c r="BP134" s="662"/>
      <c r="BQ134" s="662"/>
      <c r="BR134" s="662"/>
      <c r="BS134" s="662"/>
      <c r="BT134" s="662"/>
      <c r="BU134" s="662">
        <v>1298</v>
      </c>
      <c r="BV134" s="662"/>
      <c r="BW134" s="662"/>
      <c r="CA134" s="1352"/>
      <c r="CB134" s="1352" t="s">
        <v>573</v>
      </c>
      <c r="CC134" s="1352">
        <v>0</v>
      </c>
      <c r="CD134" s="1352">
        <v>0</v>
      </c>
      <c r="CE134" s="1352"/>
      <c r="CF134" s="1352"/>
      <c r="CG134" s="1352"/>
      <c r="CH134" s="1352"/>
      <c r="CI134" s="1352"/>
      <c r="CJ134" s="1352"/>
      <c r="CK134" s="1353">
        <v>12746</v>
      </c>
      <c r="CL134" s="1353"/>
      <c r="CM134" s="1354"/>
      <c r="CN134" s="1354"/>
      <c r="CO134" s="1354"/>
      <c r="CP134" s="1354"/>
      <c r="CQ134" s="1354">
        <v>0</v>
      </c>
      <c r="CR134" s="1354"/>
      <c r="CS134" s="1354">
        <v>0</v>
      </c>
      <c r="CT134" s="1353">
        <v>0</v>
      </c>
      <c r="CU134" s="1353">
        <v>13378</v>
      </c>
      <c r="CV134" s="1353"/>
      <c r="CW134" s="1353"/>
      <c r="CX134" s="1353"/>
      <c r="CY134" s="1353">
        <v>1337.8000000000002</v>
      </c>
      <c r="CZ134" s="1353">
        <v>632</v>
      </c>
      <c r="DA134" s="1353">
        <v>632</v>
      </c>
      <c r="DB134" s="1353">
        <v>12746</v>
      </c>
      <c r="DC134" s="1353"/>
      <c r="DD134" s="1353"/>
      <c r="DE134" s="1353"/>
      <c r="DF134" s="1353"/>
      <c r="DG134" s="1353"/>
      <c r="DH134" s="1353"/>
      <c r="DI134" s="1353"/>
      <c r="DJ134" s="1353"/>
      <c r="DK134" s="1353"/>
      <c r="DT134" s="659"/>
      <c r="DU134" s="660" t="s">
        <v>573</v>
      </c>
      <c r="DV134" s="777">
        <f t="shared" ref="DV134:EK139" si="245">L134-CK134</f>
        <v>0</v>
      </c>
      <c r="DW134" s="777">
        <f t="shared" si="245"/>
        <v>0</v>
      </c>
      <c r="DX134" s="777">
        <f t="shared" si="245"/>
        <v>0</v>
      </c>
      <c r="DY134" s="777">
        <f t="shared" si="245"/>
        <v>0</v>
      </c>
      <c r="DZ134" s="777">
        <f t="shared" si="245"/>
        <v>0</v>
      </c>
      <c r="EA134" s="777">
        <f t="shared" si="245"/>
        <v>0</v>
      </c>
      <c r="EB134" s="777">
        <f t="shared" si="245"/>
        <v>0</v>
      </c>
      <c r="EC134" s="777">
        <f t="shared" si="245"/>
        <v>0</v>
      </c>
      <c r="ED134" s="777">
        <f t="shared" si="245"/>
        <v>0</v>
      </c>
      <c r="EE134" s="777">
        <f t="shared" si="245"/>
        <v>0</v>
      </c>
      <c r="EF134" s="777">
        <f t="shared" si="245"/>
        <v>0</v>
      </c>
      <c r="EG134" s="777">
        <f t="shared" si="245"/>
        <v>0</v>
      </c>
      <c r="EH134" s="777">
        <f t="shared" si="245"/>
        <v>0</v>
      </c>
      <c r="EI134" s="777">
        <f t="shared" si="245"/>
        <v>0</v>
      </c>
      <c r="EJ134" s="777">
        <f t="shared" si="245"/>
        <v>0</v>
      </c>
      <c r="EK134" s="777">
        <f t="shared" si="245"/>
        <v>0</v>
      </c>
      <c r="EL134" s="777">
        <f t="shared" ref="EL134:EV139" si="246">AB134-DA134</f>
        <v>0</v>
      </c>
      <c r="EM134" s="777">
        <f t="shared" si="246"/>
        <v>0</v>
      </c>
      <c r="EN134" s="777">
        <f t="shared" si="246"/>
        <v>0</v>
      </c>
      <c r="EO134" s="777">
        <f t="shared" si="246"/>
        <v>0</v>
      </c>
      <c r="EP134" s="777">
        <f t="shared" si="246"/>
        <v>0</v>
      </c>
      <c r="EQ134" s="777">
        <f t="shared" si="246"/>
        <v>0</v>
      </c>
      <c r="ER134" s="777">
        <f t="shared" si="246"/>
        <v>0</v>
      </c>
      <c r="ES134" s="777">
        <f t="shared" si="246"/>
        <v>0</v>
      </c>
      <c r="ET134" s="777">
        <f t="shared" si="246"/>
        <v>11551</v>
      </c>
      <c r="EU134" s="777">
        <f t="shared" si="246"/>
        <v>0</v>
      </c>
      <c r="EV134" s="777">
        <f t="shared" si="246"/>
        <v>0</v>
      </c>
    </row>
    <row r="135" spans="1:152" ht="24.75" hidden="1" customHeight="1">
      <c r="A135" s="659"/>
      <c r="B135" s="660" t="s">
        <v>574</v>
      </c>
      <c r="C135" s="661">
        <f t="shared" si="228"/>
        <v>12</v>
      </c>
      <c r="D135" s="661">
        <f t="shared" si="229"/>
        <v>12</v>
      </c>
      <c r="E135" s="661"/>
      <c r="F135" s="661">
        <v>12</v>
      </c>
      <c r="G135" s="661"/>
      <c r="H135" s="661">
        <v>10</v>
      </c>
      <c r="I135" s="661">
        <f>2-2</f>
        <v>0</v>
      </c>
      <c r="J135" s="661">
        <f>1-1</f>
        <v>0</v>
      </c>
      <c r="K135" s="646">
        <f t="shared" si="117"/>
        <v>452</v>
      </c>
      <c r="L135" s="662">
        <f t="shared" si="230"/>
        <v>452</v>
      </c>
      <c r="M135" s="666">
        <v>452</v>
      </c>
      <c r="N135" s="666"/>
      <c r="O135" s="666"/>
      <c r="P135" s="666"/>
      <c r="Q135" s="666"/>
      <c r="R135" s="666"/>
      <c r="S135" s="666"/>
      <c r="T135" s="666">
        <f t="shared" si="231"/>
        <v>0</v>
      </c>
      <c r="U135" s="666">
        <f t="shared" si="232"/>
        <v>452</v>
      </c>
      <c r="V135" s="666"/>
      <c r="W135" s="666"/>
      <c r="X135" s="666"/>
      <c r="Y135" s="666">
        <f>Z135-BM135</f>
        <v>0</v>
      </c>
      <c r="Z135" s="666">
        <f t="shared" si="233"/>
        <v>0</v>
      </c>
      <c r="AA135" s="666"/>
      <c r="AB135" s="666">
        <f t="shared" si="234"/>
        <v>0</v>
      </c>
      <c r="AC135" s="666">
        <f t="shared" si="235"/>
        <v>0</v>
      </c>
      <c r="AD135" s="666"/>
      <c r="AE135" s="666"/>
      <c r="AF135" s="666"/>
      <c r="AG135" s="666"/>
      <c r="AH135" s="666"/>
      <c r="AI135" s="666"/>
      <c r="AJ135" s="666"/>
      <c r="AK135" s="666"/>
      <c r="AL135" s="664"/>
      <c r="AN135" s="610"/>
      <c r="AO135" s="659"/>
      <c r="AP135" s="660" t="s">
        <v>574</v>
      </c>
      <c r="AQ135" s="661">
        <f t="shared" si="236"/>
        <v>18</v>
      </c>
      <c r="AR135" s="661">
        <f t="shared" si="237"/>
        <v>15</v>
      </c>
      <c r="AS135" s="661"/>
      <c r="AT135" s="661">
        <v>15</v>
      </c>
      <c r="AU135" s="661"/>
      <c r="AV135" s="661">
        <v>15</v>
      </c>
      <c r="AW135" s="661">
        <v>3</v>
      </c>
      <c r="AX135" s="661">
        <v>2</v>
      </c>
      <c r="AY135" s="666">
        <f t="shared" si="238"/>
        <v>1301</v>
      </c>
      <c r="AZ135" s="670">
        <v>948</v>
      </c>
      <c r="BA135" s="666">
        <v>392</v>
      </c>
      <c r="BB135" s="666"/>
      <c r="BC135" s="666"/>
      <c r="BD135" s="666"/>
      <c r="BE135" s="666">
        <f t="shared" si="239"/>
        <v>39.200000000000003</v>
      </c>
      <c r="BF135" s="667">
        <f t="shared" si="240"/>
        <v>39</v>
      </c>
      <c r="BG135" s="666">
        <f t="shared" si="241"/>
        <v>1301</v>
      </c>
      <c r="BH135" s="666"/>
      <c r="BI135" s="666"/>
      <c r="BJ135" s="666"/>
      <c r="BK135" s="666"/>
      <c r="BL135" s="666">
        <f t="shared" si="242"/>
        <v>0</v>
      </c>
      <c r="BM135" s="667">
        <f t="shared" si="243"/>
        <v>0</v>
      </c>
      <c r="BN135" s="666">
        <f t="shared" si="244"/>
        <v>0</v>
      </c>
      <c r="BO135" s="666"/>
      <c r="BP135" s="666"/>
      <c r="BQ135" s="666">
        <v>110</v>
      </c>
      <c r="BR135" s="666">
        <v>10</v>
      </c>
      <c r="BS135" s="666"/>
      <c r="BT135" s="666"/>
      <c r="BU135" s="666">
        <v>2541</v>
      </c>
      <c r="BV135" s="666"/>
      <c r="BW135" s="662"/>
      <c r="CA135" s="1352"/>
      <c r="CB135" s="1352" t="s">
        <v>574</v>
      </c>
      <c r="CC135" s="1352">
        <v>15</v>
      </c>
      <c r="CD135" s="1352">
        <v>13</v>
      </c>
      <c r="CE135" s="1352"/>
      <c r="CF135" s="1352">
        <v>13</v>
      </c>
      <c r="CG135" s="1352"/>
      <c r="CH135" s="1352">
        <v>10</v>
      </c>
      <c r="CI135" s="1352">
        <v>2</v>
      </c>
      <c r="CJ135" s="1352">
        <v>1</v>
      </c>
      <c r="CK135" s="1353">
        <v>0</v>
      </c>
      <c r="CL135" s="1353"/>
      <c r="CM135" s="1354"/>
      <c r="CN135" s="1354"/>
      <c r="CO135" s="1354"/>
      <c r="CP135" s="1354"/>
      <c r="CQ135" s="1354"/>
      <c r="CR135" s="1354"/>
      <c r="CS135" s="1354">
        <v>0</v>
      </c>
      <c r="CT135" s="1353">
        <v>0</v>
      </c>
      <c r="CU135" s="1353"/>
      <c r="CV135" s="1353"/>
      <c r="CW135" s="1353"/>
      <c r="CX135" s="1353">
        <v>0</v>
      </c>
      <c r="CY135" s="1353">
        <v>0</v>
      </c>
      <c r="CZ135" s="1353"/>
      <c r="DA135" s="1353">
        <v>0</v>
      </c>
      <c r="DB135" s="1353">
        <v>0</v>
      </c>
      <c r="DC135" s="1353"/>
      <c r="DD135" s="1353"/>
      <c r="DE135" s="1353"/>
      <c r="DF135" s="1353"/>
      <c r="DG135" s="1353"/>
      <c r="DH135" s="1353"/>
      <c r="DI135" s="1353"/>
      <c r="DJ135" s="1353"/>
      <c r="DK135" s="1353"/>
      <c r="DT135" s="659"/>
      <c r="DU135" s="660" t="s">
        <v>574</v>
      </c>
      <c r="DV135" s="777">
        <f t="shared" si="245"/>
        <v>452</v>
      </c>
      <c r="DW135" s="777">
        <f t="shared" si="245"/>
        <v>452</v>
      </c>
      <c r="DX135" s="777">
        <f t="shared" si="245"/>
        <v>0</v>
      </c>
      <c r="DY135" s="777">
        <f t="shared" si="245"/>
        <v>0</v>
      </c>
      <c r="DZ135" s="777">
        <f t="shared" si="245"/>
        <v>0</v>
      </c>
      <c r="EA135" s="777">
        <f t="shared" si="245"/>
        <v>0</v>
      </c>
      <c r="EB135" s="777">
        <f t="shared" si="245"/>
        <v>0</v>
      </c>
      <c r="EC135" s="777">
        <f t="shared" si="245"/>
        <v>0</v>
      </c>
      <c r="ED135" s="777">
        <f t="shared" si="245"/>
        <v>0</v>
      </c>
      <c r="EE135" s="777">
        <f t="shared" si="245"/>
        <v>452</v>
      </c>
      <c r="EF135" s="777">
        <f t="shared" si="245"/>
        <v>0</v>
      </c>
      <c r="EG135" s="777">
        <f t="shared" si="245"/>
        <v>0</v>
      </c>
      <c r="EH135" s="777">
        <f t="shared" si="245"/>
        <v>0</v>
      </c>
      <c r="EI135" s="777">
        <f t="shared" si="245"/>
        <v>0</v>
      </c>
      <c r="EJ135" s="777">
        <f t="shared" si="245"/>
        <v>0</v>
      </c>
      <c r="EK135" s="777">
        <f t="shared" si="245"/>
        <v>0</v>
      </c>
      <c r="EL135" s="777">
        <f t="shared" si="246"/>
        <v>0</v>
      </c>
      <c r="EM135" s="777">
        <f t="shared" si="246"/>
        <v>0</v>
      </c>
      <c r="EN135" s="777">
        <f t="shared" si="246"/>
        <v>0</v>
      </c>
      <c r="EO135" s="777">
        <f t="shared" si="246"/>
        <v>0</v>
      </c>
      <c r="EP135" s="777">
        <f t="shared" si="246"/>
        <v>0</v>
      </c>
      <c r="EQ135" s="777">
        <f t="shared" si="246"/>
        <v>0</v>
      </c>
      <c r="ER135" s="777">
        <f t="shared" si="246"/>
        <v>0</v>
      </c>
      <c r="ES135" s="777">
        <f t="shared" si="246"/>
        <v>0</v>
      </c>
      <c r="ET135" s="777">
        <f t="shared" si="246"/>
        <v>0</v>
      </c>
      <c r="EU135" s="777">
        <f t="shared" si="246"/>
        <v>0</v>
      </c>
      <c r="EV135" s="777">
        <f t="shared" si="246"/>
        <v>0</v>
      </c>
    </row>
    <row r="136" spans="1:152" ht="42.75" hidden="1" customHeight="1">
      <c r="A136" s="659"/>
      <c r="B136" s="660" t="s">
        <v>575</v>
      </c>
      <c r="C136" s="661">
        <f t="shared" si="228"/>
        <v>27</v>
      </c>
      <c r="D136" s="661">
        <f t="shared" si="229"/>
        <v>16</v>
      </c>
      <c r="E136" s="661"/>
      <c r="F136" s="661">
        <v>16</v>
      </c>
      <c r="G136" s="661"/>
      <c r="H136" s="661">
        <v>15</v>
      </c>
      <c r="I136" s="661">
        <v>11</v>
      </c>
      <c r="J136" s="661">
        <v>11</v>
      </c>
      <c r="K136" s="646">
        <f t="shared" si="117"/>
        <v>6479</v>
      </c>
      <c r="L136" s="662">
        <f t="shared" si="230"/>
        <v>6479</v>
      </c>
      <c r="M136" s="666">
        <v>2141</v>
      </c>
      <c r="N136" s="666">
        <f>431-52</f>
        <v>379</v>
      </c>
      <c r="O136" s="666">
        <v>13</v>
      </c>
      <c r="P136" s="666"/>
      <c r="Q136" s="666"/>
      <c r="R136" s="666"/>
      <c r="S136" s="666">
        <v>44</v>
      </c>
      <c r="T136" s="666">
        <f t="shared" si="231"/>
        <v>44</v>
      </c>
      <c r="U136" s="666">
        <f t="shared" si="232"/>
        <v>2489</v>
      </c>
      <c r="V136" s="666">
        <v>3587</v>
      </c>
      <c r="W136" s="666">
        <v>451</v>
      </c>
      <c r="X136" s="666"/>
      <c r="Y136" s="666"/>
      <c r="Z136" s="666">
        <f>(V136-2693)*10%</f>
        <v>89.4</v>
      </c>
      <c r="AA136" s="666">
        <v>48</v>
      </c>
      <c r="AB136" s="666">
        <f t="shared" si="234"/>
        <v>48</v>
      </c>
      <c r="AC136" s="666">
        <f t="shared" si="235"/>
        <v>3990</v>
      </c>
      <c r="AD136" s="666"/>
      <c r="AE136" s="666"/>
      <c r="AF136" s="666"/>
      <c r="AG136" s="666"/>
      <c r="AH136" s="666"/>
      <c r="AI136" s="666"/>
      <c r="AJ136" s="666"/>
      <c r="AK136" s="666"/>
      <c r="AL136" s="664"/>
      <c r="AN136" s="610"/>
      <c r="AO136" s="659"/>
      <c r="AP136" s="660" t="s">
        <v>575</v>
      </c>
      <c r="AQ136" s="661">
        <f t="shared" si="236"/>
        <v>28</v>
      </c>
      <c r="AR136" s="661">
        <f t="shared" si="237"/>
        <v>17</v>
      </c>
      <c r="AS136" s="661"/>
      <c r="AT136" s="661">
        <v>17</v>
      </c>
      <c r="AU136" s="661"/>
      <c r="AV136" s="661">
        <v>14</v>
      </c>
      <c r="AW136" s="661">
        <v>11</v>
      </c>
      <c r="AX136" s="661">
        <v>10</v>
      </c>
      <c r="AY136" s="666">
        <f t="shared" si="238"/>
        <v>4710</v>
      </c>
      <c r="AZ136" s="670">
        <f>2223-444</f>
        <v>1779</v>
      </c>
      <c r="BA136" s="666">
        <v>444</v>
      </c>
      <c r="BB136" s="666"/>
      <c r="BC136" s="666"/>
      <c r="BD136" s="666"/>
      <c r="BE136" s="666">
        <f t="shared" si="239"/>
        <v>44.400000000000006</v>
      </c>
      <c r="BF136" s="667">
        <f t="shared" si="240"/>
        <v>44</v>
      </c>
      <c r="BG136" s="666">
        <f t="shared" si="241"/>
        <v>2179</v>
      </c>
      <c r="BH136" s="666">
        <f>328+1500</f>
        <v>1828</v>
      </c>
      <c r="BI136" s="666">
        <v>600</v>
      </c>
      <c r="BJ136" s="666">
        <v>253</v>
      </c>
      <c r="BK136" s="666"/>
      <c r="BL136" s="666">
        <f>(BH136-328)*10%</f>
        <v>150</v>
      </c>
      <c r="BM136" s="667">
        <f t="shared" si="243"/>
        <v>150</v>
      </c>
      <c r="BN136" s="666">
        <f t="shared" si="244"/>
        <v>2531</v>
      </c>
      <c r="BO136" s="666"/>
      <c r="BP136" s="666"/>
      <c r="BQ136" s="666"/>
      <c r="BR136" s="666"/>
      <c r="BS136" s="666"/>
      <c r="BT136" s="666"/>
      <c r="BU136" s="666"/>
      <c r="BV136" s="666"/>
      <c r="BW136" s="662"/>
      <c r="CA136" s="1352"/>
      <c r="CB136" s="1352" t="s">
        <v>575</v>
      </c>
      <c r="CC136" s="1352">
        <v>28</v>
      </c>
      <c r="CD136" s="1352">
        <v>17</v>
      </c>
      <c r="CE136" s="1352"/>
      <c r="CF136" s="1352">
        <v>17</v>
      </c>
      <c r="CG136" s="1352"/>
      <c r="CH136" s="1352">
        <v>15</v>
      </c>
      <c r="CI136" s="1352">
        <v>11</v>
      </c>
      <c r="CJ136" s="1352">
        <v>11</v>
      </c>
      <c r="CK136" s="1353">
        <v>6579</v>
      </c>
      <c r="CL136" s="1353">
        <v>2189</v>
      </c>
      <c r="CM136" s="1354">
        <v>431</v>
      </c>
      <c r="CN136" s="1354">
        <v>13</v>
      </c>
      <c r="CO136" s="1354"/>
      <c r="CP136" s="1354"/>
      <c r="CQ136" s="1354">
        <v>0</v>
      </c>
      <c r="CR136" s="1354">
        <v>44</v>
      </c>
      <c r="CS136" s="1354">
        <v>44</v>
      </c>
      <c r="CT136" s="1353">
        <v>2589</v>
      </c>
      <c r="CU136" s="1353">
        <v>3587</v>
      </c>
      <c r="CV136" s="1353">
        <v>451</v>
      </c>
      <c r="CW136" s="1353"/>
      <c r="CX136" s="1353"/>
      <c r="CY136" s="1353">
        <v>89.4</v>
      </c>
      <c r="CZ136" s="1353">
        <v>48</v>
      </c>
      <c r="DA136" s="1353">
        <v>48</v>
      </c>
      <c r="DB136" s="1353">
        <v>3990</v>
      </c>
      <c r="DC136" s="1353"/>
      <c r="DD136" s="1353"/>
      <c r="DE136" s="1353"/>
      <c r="DF136" s="1353"/>
      <c r="DG136" s="1353"/>
      <c r="DH136" s="1353"/>
      <c r="DI136" s="1353"/>
      <c r="DJ136" s="1353"/>
      <c r="DK136" s="1353"/>
      <c r="DT136" s="659"/>
      <c r="DU136" s="660" t="s">
        <v>575</v>
      </c>
      <c r="DV136" s="777">
        <f t="shared" si="245"/>
        <v>-100</v>
      </c>
      <c r="DW136" s="777">
        <f t="shared" si="245"/>
        <v>-48</v>
      </c>
      <c r="DX136" s="777">
        <f t="shared" si="245"/>
        <v>-52</v>
      </c>
      <c r="DY136" s="777">
        <f t="shared" si="245"/>
        <v>0</v>
      </c>
      <c r="DZ136" s="777">
        <f t="shared" si="245"/>
        <v>0</v>
      </c>
      <c r="EA136" s="777">
        <f t="shared" si="245"/>
        <v>0</v>
      </c>
      <c r="EB136" s="777">
        <f t="shared" si="245"/>
        <v>0</v>
      </c>
      <c r="EC136" s="777">
        <f t="shared" si="245"/>
        <v>0</v>
      </c>
      <c r="ED136" s="777">
        <f t="shared" si="245"/>
        <v>0</v>
      </c>
      <c r="EE136" s="777">
        <f t="shared" si="245"/>
        <v>-100</v>
      </c>
      <c r="EF136" s="777">
        <f t="shared" si="245"/>
        <v>0</v>
      </c>
      <c r="EG136" s="777">
        <f t="shared" si="245"/>
        <v>0</v>
      </c>
      <c r="EH136" s="777">
        <f t="shared" si="245"/>
        <v>0</v>
      </c>
      <c r="EI136" s="777">
        <f t="shared" si="245"/>
        <v>0</v>
      </c>
      <c r="EJ136" s="777">
        <f t="shared" si="245"/>
        <v>0</v>
      </c>
      <c r="EK136" s="777">
        <f t="shared" si="245"/>
        <v>0</v>
      </c>
      <c r="EL136" s="777">
        <f t="shared" si="246"/>
        <v>0</v>
      </c>
      <c r="EM136" s="777">
        <f t="shared" si="246"/>
        <v>0</v>
      </c>
      <c r="EN136" s="777">
        <f t="shared" si="246"/>
        <v>0</v>
      </c>
      <c r="EO136" s="777">
        <f t="shared" si="246"/>
        <v>0</v>
      </c>
      <c r="EP136" s="777">
        <f t="shared" si="246"/>
        <v>0</v>
      </c>
      <c r="EQ136" s="777">
        <f t="shared" si="246"/>
        <v>0</v>
      </c>
      <c r="ER136" s="777">
        <f t="shared" si="246"/>
        <v>0</v>
      </c>
      <c r="ES136" s="777">
        <f t="shared" si="246"/>
        <v>0</v>
      </c>
      <c r="ET136" s="777">
        <f t="shared" si="246"/>
        <v>0</v>
      </c>
      <c r="EU136" s="777">
        <f t="shared" si="246"/>
        <v>0</v>
      </c>
      <c r="EV136" s="777">
        <f t="shared" si="246"/>
        <v>0</v>
      </c>
    </row>
    <row r="137" spans="1:152" ht="30.75" hidden="1" customHeight="1">
      <c r="A137" s="659"/>
      <c r="B137" s="660" t="s">
        <v>576</v>
      </c>
      <c r="C137" s="661">
        <f t="shared" si="228"/>
        <v>70</v>
      </c>
      <c r="D137" s="661">
        <f t="shared" si="229"/>
        <v>57</v>
      </c>
      <c r="E137" s="661"/>
      <c r="F137" s="661">
        <v>57</v>
      </c>
      <c r="G137" s="661"/>
      <c r="H137" s="661">
        <v>53</v>
      </c>
      <c r="I137" s="661">
        <v>13</v>
      </c>
      <c r="J137" s="661">
        <v>13</v>
      </c>
      <c r="K137" s="646">
        <f t="shared" si="117"/>
        <v>12452</v>
      </c>
      <c r="L137" s="662">
        <f t="shared" si="230"/>
        <v>12452</v>
      </c>
      <c r="M137" s="666">
        <v>6213</v>
      </c>
      <c r="N137" s="666">
        <f>1195-112</f>
        <v>1083</v>
      </c>
      <c r="O137" s="666">
        <v>110</v>
      </c>
      <c r="P137" s="666"/>
      <c r="Q137" s="666"/>
      <c r="R137" s="666"/>
      <c r="S137" s="666">
        <v>135</v>
      </c>
      <c r="T137" s="666">
        <f t="shared" si="231"/>
        <v>135</v>
      </c>
      <c r="U137" s="666">
        <f t="shared" si="232"/>
        <v>7271</v>
      </c>
      <c r="V137" s="666">
        <v>4913</v>
      </c>
      <c r="W137" s="666">
        <v>359</v>
      </c>
      <c r="X137" s="666"/>
      <c r="Y137" s="666"/>
      <c r="Z137" s="666">
        <f>(V137-4620)*10%</f>
        <v>29.3</v>
      </c>
      <c r="AA137" s="666">
        <v>91</v>
      </c>
      <c r="AB137" s="666">
        <f t="shared" si="234"/>
        <v>91</v>
      </c>
      <c r="AC137" s="666">
        <f t="shared" si="235"/>
        <v>5181</v>
      </c>
      <c r="AD137" s="666"/>
      <c r="AE137" s="666"/>
      <c r="AF137" s="666"/>
      <c r="AG137" s="666"/>
      <c r="AH137" s="666"/>
      <c r="AI137" s="666"/>
      <c r="AJ137" s="666"/>
      <c r="AK137" s="666"/>
      <c r="AL137" s="664"/>
      <c r="AN137" s="610"/>
      <c r="AO137" s="659"/>
      <c r="AP137" s="660" t="s">
        <v>576</v>
      </c>
      <c r="AQ137" s="661">
        <f t="shared" si="236"/>
        <v>72</v>
      </c>
      <c r="AR137" s="661">
        <f t="shared" si="237"/>
        <v>59</v>
      </c>
      <c r="AS137" s="661"/>
      <c r="AT137" s="661">
        <v>59</v>
      </c>
      <c r="AU137" s="661"/>
      <c r="AV137" s="661">
        <v>55</v>
      </c>
      <c r="AW137" s="661">
        <v>13</v>
      </c>
      <c r="AX137" s="661">
        <v>11</v>
      </c>
      <c r="AY137" s="666">
        <f t="shared" si="238"/>
        <v>10312</v>
      </c>
      <c r="AZ137" s="670">
        <f>7289-1238</f>
        <v>6051</v>
      </c>
      <c r="BA137" s="666">
        <v>1238</v>
      </c>
      <c r="BB137" s="666"/>
      <c r="BC137" s="666"/>
      <c r="BD137" s="666"/>
      <c r="BE137" s="666">
        <f t="shared" si="239"/>
        <v>123.80000000000001</v>
      </c>
      <c r="BF137" s="667">
        <f t="shared" si="240"/>
        <v>124</v>
      </c>
      <c r="BG137" s="666">
        <f t="shared" si="241"/>
        <v>7165</v>
      </c>
      <c r="BH137" s="666">
        <f>1800+1155</f>
        <v>2955</v>
      </c>
      <c r="BI137" s="666"/>
      <c r="BJ137" s="666">
        <f>232</f>
        <v>232</v>
      </c>
      <c r="BK137" s="666"/>
      <c r="BL137" s="666">
        <f>(BH137-2555)*10%</f>
        <v>40</v>
      </c>
      <c r="BM137" s="667">
        <f t="shared" si="243"/>
        <v>40</v>
      </c>
      <c r="BN137" s="666">
        <f t="shared" si="244"/>
        <v>3147</v>
      </c>
      <c r="BO137" s="666"/>
      <c r="BP137" s="666"/>
      <c r="BQ137" s="666"/>
      <c r="BR137" s="666"/>
      <c r="BS137" s="666"/>
      <c r="BT137" s="666"/>
      <c r="BU137" s="666"/>
      <c r="BV137" s="666"/>
      <c r="BW137" s="662"/>
      <c r="CA137" s="1352"/>
      <c r="CB137" s="1352" t="s">
        <v>576</v>
      </c>
      <c r="CC137" s="1352">
        <v>71</v>
      </c>
      <c r="CD137" s="1352">
        <v>58</v>
      </c>
      <c r="CE137" s="1352"/>
      <c r="CF137" s="1352">
        <v>58</v>
      </c>
      <c r="CG137" s="1352"/>
      <c r="CH137" s="1352">
        <v>53</v>
      </c>
      <c r="CI137" s="1352">
        <v>13</v>
      </c>
      <c r="CJ137" s="1352">
        <v>13</v>
      </c>
      <c r="CK137" s="1353">
        <v>12605</v>
      </c>
      <c r="CL137" s="1353">
        <v>6261</v>
      </c>
      <c r="CM137" s="1354">
        <v>1195</v>
      </c>
      <c r="CN137" s="1354">
        <v>110</v>
      </c>
      <c r="CO137" s="1354"/>
      <c r="CP137" s="1354"/>
      <c r="CQ137" s="1354">
        <v>6.7</v>
      </c>
      <c r="CR137" s="1354">
        <v>135</v>
      </c>
      <c r="CS137" s="1354">
        <v>142</v>
      </c>
      <c r="CT137" s="1353">
        <v>7424</v>
      </c>
      <c r="CU137" s="1353">
        <v>4913</v>
      </c>
      <c r="CV137" s="1353">
        <v>359</v>
      </c>
      <c r="CW137" s="1353"/>
      <c r="CX137" s="1353"/>
      <c r="CY137" s="1353">
        <v>29.3</v>
      </c>
      <c r="CZ137" s="1353">
        <v>91</v>
      </c>
      <c r="DA137" s="1353">
        <v>91</v>
      </c>
      <c r="DB137" s="1353">
        <v>5181</v>
      </c>
      <c r="DC137" s="1353"/>
      <c r="DD137" s="1353"/>
      <c r="DE137" s="1353"/>
      <c r="DF137" s="1353"/>
      <c r="DG137" s="1353"/>
      <c r="DH137" s="1353"/>
      <c r="DI137" s="1353"/>
      <c r="DJ137" s="1353"/>
      <c r="DK137" s="1353"/>
      <c r="DT137" s="659"/>
      <c r="DU137" s="660" t="s">
        <v>576</v>
      </c>
      <c r="DV137" s="777">
        <f t="shared" si="245"/>
        <v>-153</v>
      </c>
      <c r="DW137" s="777">
        <f t="shared" si="245"/>
        <v>-48</v>
      </c>
      <c r="DX137" s="777">
        <f t="shared" si="245"/>
        <v>-112</v>
      </c>
      <c r="DY137" s="777">
        <f t="shared" si="245"/>
        <v>0</v>
      </c>
      <c r="DZ137" s="777">
        <f t="shared" si="245"/>
        <v>0</v>
      </c>
      <c r="EA137" s="777">
        <f t="shared" si="245"/>
        <v>0</v>
      </c>
      <c r="EB137" s="777">
        <f t="shared" si="245"/>
        <v>-6.7</v>
      </c>
      <c r="EC137" s="777">
        <f t="shared" si="245"/>
        <v>0</v>
      </c>
      <c r="ED137" s="777">
        <f t="shared" si="245"/>
        <v>-7</v>
      </c>
      <c r="EE137" s="777">
        <f t="shared" si="245"/>
        <v>-153</v>
      </c>
      <c r="EF137" s="777">
        <f t="shared" si="245"/>
        <v>0</v>
      </c>
      <c r="EG137" s="777">
        <f t="shared" si="245"/>
        <v>0</v>
      </c>
      <c r="EH137" s="777">
        <f t="shared" si="245"/>
        <v>0</v>
      </c>
      <c r="EI137" s="777">
        <f t="shared" si="245"/>
        <v>0</v>
      </c>
      <c r="EJ137" s="777">
        <f t="shared" si="245"/>
        <v>0</v>
      </c>
      <c r="EK137" s="777">
        <f t="shared" si="245"/>
        <v>0</v>
      </c>
      <c r="EL137" s="777">
        <f t="shared" si="246"/>
        <v>0</v>
      </c>
      <c r="EM137" s="777">
        <f t="shared" si="246"/>
        <v>0</v>
      </c>
      <c r="EN137" s="777">
        <f t="shared" si="246"/>
        <v>0</v>
      </c>
      <c r="EO137" s="777">
        <f t="shared" si="246"/>
        <v>0</v>
      </c>
      <c r="EP137" s="777">
        <f t="shared" si="246"/>
        <v>0</v>
      </c>
      <c r="EQ137" s="777">
        <f t="shared" si="246"/>
        <v>0</v>
      </c>
      <c r="ER137" s="777">
        <f t="shared" si="246"/>
        <v>0</v>
      </c>
      <c r="ES137" s="777">
        <f t="shared" si="246"/>
        <v>0</v>
      </c>
      <c r="ET137" s="777">
        <f t="shared" si="246"/>
        <v>0</v>
      </c>
      <c r="EU137" s="777">
        <f t="shared" si="246"/>
        <v>0</v>
      </c>
      <c r="EV137" s="777">
        <f t="shared" si="246"/>
        <v>0</v>
      </c>
    </row>
    <row r="138" spans="1:152" ht="30" hidden="1" customHeight="1">
      <c r="A138" s="659"/>
      <c r="B138" s="660" t="s">
        <v>577</v>
      </c>
      <c r="C138" s="661">
        <f t="shared" si="228"/>
        <v>10</v>
      </c>
      <c r="D138" s="661">
        <f t="shared" si="229"/>
        <v>8</v>
      </c>
      <c r="E138" s="661">
        <v>8</v>
      </c>
      <c r="F138" s="661"/>
      <c r="G138" s="661">
        <v>7</v>
      </c>
      <c r="H138" s="661"/>
      <c r="I138" s="661">
        <v>2</v>
      </c>
      <c r="J138" s="661">
        <v>2</v>
      </c>
      <c r="K138" s="646">
        <f t="shared" si="117"/>
        <v>1649</v>
      </c>
      <c r="L138" s="662">
        <f t="shared" si="230"/>
        <v>1649</v>
      </c>
      <c r="M138" s="666">
        <v>846</v>
      </c>
      <c r="N138" s="666">
        <v>205</v>
      </c>
      <c r="O138" s="666">
        <v>27</v>
      </c>
      <c r="P138" s="666"/>
      <c r="Q138" s="666"/>
      <c r="R138" s="666">
        <f>((N138+O138)-(BA138+BB138))*10%</f>
        <v>0</v>
      </c>
      <c r="S138" s="666">
        <v>23</v>
      </c>
      <c r="T138" s="666">
        <f t="shared" si="231"/>
        <v>23</v>
      </c>
      <c r="U138" s="666">
        <f t="shared" si="232"/>
        <v>1055</v>
      </c>
      <c r="V138" s="666">
        <v>650</v>
      </c>
      <c r="W138" s="666"/>
      <c r="X138" s="666"/>
      <c r="Y138" s="666">
        <f>Z138-BM138</f>
        <v>5</v>
      </c>
      <c r="Z138" s="666">
        <f t="shared" si="233"/>
        <v>65</v>
      </c>
      <c r="AA138" s="666">
        <v>51</v>
      </c>
      <c r="AB138" s="666">
        <f t="shared" si="234"/>
        <v>56</v>
      </c>
      <c r="AC138" s="666">
        <f t="shared" si="235"/>
        <v>594</v>
      </c>
      <c r="AD138" s="666"/>
      <c r="AE138" s="666"/>
      <c r="AF138" s="666"/>
      <c r="AG138" s="666"/>
      <c r="AH138" s="666"/>
      <c r="AI138" s="666"/>
      <c r="AJ138" s="666"/>
      <c r="AK138" s="666"/>
      <c r="AL138" s="664"/>
      <c r="AN138" s="610"/>
      <c r="AO138" s="659"/>
      <c r="AP138" s="660" t="s">
        <v>577</v>
      </c>
      <c r="AQ138" s="661">
        <f t="shared" si="236"/>
        <v>10</v>
      </c>
      <c r="AR138" s="661">
        <f t="shared" si="237"/>
        <v>8</v>
      </c>
      <c r="AS138" s="661">
        <v>8</v>
      </c>
      <c r="AT138" s="661"/>
      <c r="AU138" s="661">
        <v>7</v>
      </c>
      <c r="AV138" s="661"/>
      <c r="AW138" s="661">
        <v>2</v>
      </c>
      <c r="AX138" s="661">
        <v>2</v>
      </c>
      <c r="AY138" s="666">
        <f t="shared" si="238"/>
        <v>1481</v>
      </c>
      <c r="AZ138" s="670">
        <f>877-232+87</f>
        <v>732</v>
      </c>
      <c r="BA138" s="666">
        <v>232</v>
      </c>
      <c r="BB138" s="666"/>
      <c r="BC138" s="666"/>
      <c r="BD138" s="666"/>
      <c r="BE138" s="666">
        <f t="shared" si="239"/>
        <v>23.200000000000003</v>
      </c>
      <c r="BF138" s="667">
        <f t="shared" si="240"/>
        <v>23</v>
      </c>
      <c r="BG138" s="666">
        <f t="shared" si="241"/>
        <v>941</v>
      </c>
      <c r="BH138" s="666">
        <v>600</v>
      </c>
      <c r="BI138" s="666"/>
      <c r="BJ138" s="666"/>
      <c r="BK138" s="666"/>
      <c r="BL138" s="666">
        <f t="shared" si="242"/>
        <v>60</v>
      </c>
      <c r="BM138" s="667">
        <f t="shared" si="243"/>
        <v>60</v>
      </c>
      <c r="BN138" s="666">
        <f t="shared" si="244"/>
        <v>540</v>
      </c>
      <c r="BO138" s="666"/>
      <c r="BP138" s="666"/>
      <c r="BQ138" s="666"/>
      <c r="BR138" s="666"/>
      <c r="BS138" s="666"/>
      <c r="BT138" s="666"/>
      <c r="BU138" s="666"/>
      <c r="BV138" s="666"/>
      <c r="BW138" s="662"/>
      <c r="CA138" s="1352"/>
      <c r="CB138" s="1352" t="s">
        <v>577</v>
      </c>
      <c r="CC138" s="1352">
        <v>10</v>
      </c>
      <c r="CD138" s="1352">
        <v>8</v>
      </c>
      <c r="CE138" s="1352">
        <v>8</v>
      </c>
      <c r="CF138" s="1352"/>
      <c r="CG138" s="1352">
        <v>7</v>
      </c>
      <c r="CH138" s="1352"/>
      <c r="CI138" s="1352">
        <v>2</v>
      </c>
      <c r="CJ138" s="1352">
        <v>2</v>
      </c>
      <c r="CK138" s="1353">
        <v>1649</v>
      </c>
      <c r="CL138" s="1353">
        <v>846</v>
      </c>
      <c r="CM138" s="1354">
        <v>205</v>
      </c>
      <c r="CN138" s="1354">
        <v>27</v>
      </c>
      <c r="CO138" s="1354"/>
      <c r="CP138" s="1354"/>
      <c r="CQ138" s="1354">
        <v>0</v>
      </c>
      <c r="CR138" s="1354">
        <v>23</v>
      </c>
      <c r="CS138" s="1354">
        <v>23</v>
      </c>
      <c r="CT138" s="1353">
        <v>1055</v>
      </c>
      <c r="CU138" s="1353">
        <v>650</v>
      </c>
      <c r="CV138" s="1353"/>
      <c r="CW138" s="1353"/>
      <c r="CX138" s="1353">
        <v>5</v>
      </c>
      <c r="CY138" s="1353">
        <v>65</v>
      </c>
      <c r="CZ138" s="1353">
        <v>51</v>
      </c>
      <c r="DA138" s="1353">
        <v>56</v>
      </c>
      <c r="DB138" s="1353">
        <v>594</v>
      </c>
      <c r="DC138" s="1353"/>
      <c r="DD138" s="1353"/>
      <c r="DE138" s="1353"/>
      <c r="DF138" s="1353"/>
      <c r="DG138" s="1353"/>
      <c r="DH138" s="1353"/>
      <c r="DI138" s="1353"/>
      <c r="DJ138" s="1353"/>
      <c r="DK138" s="1353"/>
      <c r="DT138" s="659"/>
      <c r="DU138" s="660" t="s">
        <v>577</v>
      </c>
      <c r="DV138" s="777">
        <f t="shared" si="245"/>
        <v>0</v>
      </c>
      <c r="DW138" s="777">
        <f t="shared" si="245"/>
        <v>0</v>
      </c>
      <c r="DX138" s="777">
        <f t="shared" si="245"/>
        <v>0</v>
      </c>
      <c r="DY138" s="777">
        <f t="shared" si="245"/>
        <v>0</v>
      </c>
      <c r="DZ138" s="777">
        <f t="shared" si="245"/>
        <v>0</v>
      </c>
      <c r="EA138" s="777">
        <f t="shared" si="245"/>
        <v>0</v>
      </c>
      <c r="EB138" s="777">
        <f t="shared" si="245"/>
        <v>0</v>
      </c>
      <c r="EC138" s="777">
        <f t="shared" si="245"/>
        <v>0</v>
      </c>
      <c r="ED138" s="777">
        <f t="shared" si="245"/>
        <v>0</v>
      </c>
      <c r="EE138" s="777">
        <f t="shared" si="245"/>
        <v>0</v>
      </c>
      <c r="EF138" s="777">
        <f t="shared" si="245"/>
        <v>0</v>
      </c>
      <c r="EG138" s="777">
        <f t="shared" si="245"/>
        <v>0</v>
      </c>
      <c r="EH138" s="777">
        <f t="shared" si="245"/>
        <v>0</v>
      </c>
      <c r="EI138" s="777">
        <f t="shared" si="245"/>
        <v>0</v>
      </c>
      <c r="EJ138" s="777">
        <f t="shared" si="245"/>
        <v>0</v>
      </c>
      <c r="EK138" s="777">
        <f t="shared" si="245"/>
        <v>0</v>
      </c>
      <c r="EL138" s="777">
        <f t="shared" si="246"/>
        <v>0</v>
      </c>
      <c r="EM138" s="777">
        <f t="shared" si="246"/>
        <v>0</v>
      </c>
      <c r="EN138" s="777">
        <f t="shared" si="246"/>
        <v>0</v>
      </c>
      <c r="EO138" s="777">
        <f t="shared" si="246"/>
        <v>0</v>
      </c>
      <c r="EP138" s="777">
        <f t="shared" si="246"/>
        <v>0</v>
      </c>
      <c r="EQ138" s="777">
        <f t="shared" si="246"/>
        <v>0</v>
      </c>
      <c r="ER138" s="777">
        <f t="shared" si="246"/>
        <v>0</v>
      </c>
      <c r="ES138" s="777">
        <f t="shared" si="246"/>
        <v>0</v>
      </c>
      <c r="ET138" s="777">
        <f t="shared" si="246"/>
        <v>0</v>
      </c>
      <c r="EU138" s="777">
        <f t="shared" si="246"/>
        <v>0</v>
      </c>
      <c r="EV138" s="777">
        <f t="shared" si="246"/>
        <v>0</v>
      </c>
    </row>
    <row r="139" spans="1:152" ht="27.75" hidden="1" customHeight="1">
      <c r="A139" s="659"/>
      <c r="B139" s="660" t="s">
        <v>578</v>
      </c>
      <c r="C139" s="661">
        <f t="shared" si="228"/>
        <v>6</v>
      </c>
      <c r="D139" s="661">
        <f t="shared" si="229"/>
        <v>6</v>
      </c>
      <c r="E139" s="661"/>
      <c r="F139" s="661">
        <v>6</v>
      </c>
      <c r="G139" s="661"/>
      <c r="H139" s="661">
        <v>6</v>
      </c>
      <c r="I139" s="661"/>
      <c r="J139" s="661"/>
      <c r="K139" s="646">
        <f t="shared" si="117"/>
        <v>1139</v>
      </c>
      <c r="L139" s="662">
        <f t="shared" si="230"/>
        <v>1139</v>
      </c>
      <c r="M139" s="666">
        <v>439</v>
      </c>
      <c r="N139" s="666">
        <f>175-26</f>
        <v>149</v>
      </c>
      <c r="O139" s="666">
        <v>8</v>
      </c>
      <c r="P139" s="666"/>
      <c r="Q139" s="666"/>
      <c r="R139" s="666"/>
      <c r="S139" s="666">
        <v>18</v>
      </c>
      <c r="T139" s="666">
        <f t="shared" si="231"/>
        <v>18</v>
      </c>
      <c r="U139" s="666">
        <f t="shared" si="232"/>
        <v>578</v>
      </c>
      <c r="V139" s="666">
        <v>621</v>
      </c>
      <c r="W139" s="666"/>
      <c r="X139" s="666"/>
      <c r="Y139" s="666"/>
      <c r="Z139" s="666">
        <f t="shared" si="233"/>
        <v>62.1</v>
      </c>
      <c r="AA139" s="666">
        <v>60</v>
      </c>
      <c r="AB139" s="666">
        <f t="shared" si="234"/>
        <v>60</v>
      </c>
      <c r="AC139" s="666">
        <f t="shared" si="235"/>
        <v>561</v>
      </c>
      <c r="AD139" s="666"/>
      <c r="AE139" s="666"/>
      <c r="AF139" s="666"/>
      <c r="AG139" s="666"/>
      <c r="AH139" s="666"/>
      <c r="AI139" s="666"/>
      <c r="AJ139" s="666"/>
      <c r="AK139" s="666"/>
      <c r="AL139" s="664"/>
      <c r="AN139" s="610"/>
      <c r="AO139" s="659"/>
      <c r="AP139" s="660" t="s">
        <v>578</v>
      </c>
      <c r="AQ139" s="661">
        <f t="shared" si="236"/>
        <v>7</v>
      </c>
      <c r="AR139" s="661">
        <f t="shared" si="237"/>
        <v>7</v>
      </c>
      <c r="AS139" s="661"/>
      <c r="AT139" s="661">
        <v>7</v>
      </c>
      <c r="AU139" s="661"/>
      <c r="AV139" s="661">
        <v>7</v>
      </c>
      <c r="AW139" s="661"/>
      <c r="AX139" s="661"/>
      <c r="AY139" s="666">
        <f t="shared" si="238"/>
        <v>1171</v>
      </c>
      <c r="AZ139" s="670">
        <f>621-183</f>
        <v>438</v>
      </c>
      <c r="BA139" s="666">
        <v>183</v>
      </c>
      <c r="BB139" s="666"/>
      <c r="BC139" s="666"/>
      <c r="BD139" s="666"/>
      <c r="BE139" s="666">
        <f t="shared" si="239"/>
        <v>18.3</v>
      </c>
      <c r="BF139" s="667">
        <f t="shared" si="240"/>
        <v>18</v>
      </c>
      <c r="BG139" s="666">
        <f t="shared" si="241"/>
        <v>603</v>
      </c>
      <c r="BH139" s="666">
        <v>631</v>
      </c>
      <c r="BI139" s="666"/>
      <c r="BJ139" s="666"/>
      <c r="BK139" s="666"/>
      <c r="BL139" s="666">
        <f t="shared" si="242"/>
        <v>63.1</v>
      </c>
      <c r="BM139" s="667">
        <f t="shared" si="243"/>
        <v>63</v>
      </c>
      <c r="BN139" s="666">
        <f t="shared" si="244"/>
        <v>568</v>
      </c>
      <c r="BO139" s="666"/>
      <c r="BP139" s="666"/>
      <c r="BQ139" s="666"/>
      <c r="BR139" s="666"/>
      <c r="BS139" s="666"/>
      <c r="BT139" s="666"/>
      <c r="BU139" s="666"/>
      <c r="BV139" s="666"/>
      <c r="BW139" s="662"/>
      <c r="CA139" s="1352"/>
      <c r="CB139" s="1352" t="s">
        <v>578</v>
      </c>
      <c r="CC139" s="1352">
        <v>7</v>
      </c>
      <c r="CD139" s="1352">
        <v>7</v>
      </c>
      <c r="CE139" s="1352"/>
      <c r="CF139" s="1352">
        <v>7</v>
      </c>
      <c r="CG139" s="1352"/>
      <c r="CH139" s="1352">
        <v>6</v>
      </c>
      <c r="CI139" s="1352"/>
      <c r="CJ139" s="1352"/>
      <c r="CK139" s="1353">
        <v>1213</v>
      </c>
      <c r="CL139" s="1353">
        <v>487</v>
      </c>
      <c r="CM139" s="1354">
        <v>175</v>
      </c>
      <c r="CN139" s="1354">
        <v>8</v>
      </c>
      <c r="CO139" s="1354"/>
      <c r="CP139" s="1354"/>
      <c r="CQ139" s="1354">
        <v>0</v>
      </c>
      <c r="CR139" s="1354">
        <v>18</v>
      </c>
      <c r="CS139" s="1354">
        <v>18</v>
      </c>
      <c r="CT139" s="1353">
        <v>652</v>
      </c>
      <c r="CU139" s="1353">
        <v>621</v>
      </c>
      <c r="CV139" s="1353"/>
      <c r="CW139" s="1353"/>
      <c r="CX139" s="1353"/>
      <c r="CY139" s="1353">
        <v>62.1</v>
      </c>
      <c r="CZ139" s="1353">
        <v>60</v>
      </c>
      <c r="DA139" s="1353">
        <v>60</v>
      </c>
      <c r="DB139" s="1353">
        <v>561</v>
      </c>
      <c r="DC139" s="1353"/>
      <c r="DD139" s="1353"/>
      <c r="DE139" s="1353"/>
      <c r="DF139" s="1353"/>
      <c r="DG139" s="1353"/>
      <c r="DH139" s="1353"/>
      <c r="DI139" s="1353"/>
      <c r="DJ139" s="1353"/>
      <c r="DK139" s="1353"/>
      <c r="DT139" s="659"/>
      <c r="DU139" s="660" t="s">
        <v>578</v>
      </c>
      <c r="DV139" s="777">
        <f t="shared" si="245"/>
        <v>-74</v>
      </c>
      <c r="DW139" s="777">
        <f t="shared" si="245"/>
        <v>-48</v>
      </c>
      <c r="DX139" s="777">
        <f t="shared" si="245"/>
        <v>-26</v>
      </c>
      <c r="DY139" s="777">
        <f t="shared" si="245"/>
        <v>0</v>
      </c>
      <c r="DZ139" s="777">
        <f t="shared" si="245"/>
        <v>0</v>
      </c>
      <c r="EA139" s="777">
        <f t="shared" si="245"/>
        <v>0</v>
      </c>
      <c r="EB139" s="777">
        <f t="shared" si="245"/>
        <v>0</v>
      </c>
      <c r="EC139" s="777">
        <f t="shared" si="245"/>
        <v>0</v>
      </c>
      <c r="ED139" s="777">
        <f t="shared" si="245"/>
        <v>0</v>
      </c>
      <c r="EE139" s="777">
        <f t="shared" si="245"/>
        <v>-74</v>
      </c>
      <c r="EF139" s="777">
        <f t="shared" si="245"/>
        <v>0</v>
      </c>
      <c r="EG139" s="777">
        <f t="shared" si="245"/>
        <v>0</v>
      </c>
      <c r="EH139" s="777">
        <f t="shared" si="245"/>
        <v>0</v>
      </c>
      <c r="EI139" s="777">
        <f t="shared" si="245"/>
        <v>0</v>
      </c>
      <c r="EJ139" s="777">
        <f t="shared" si="245"/>
        <v>0</v>
      </c>
      <c r="EK139" s="777">
        <f t="shared" si="245"/>
        <v>0</v>
      </c>
      <c r="EL139" s="777">
        <f t="shared" si="246"/>
        <v>0</v>
      </c>
      <c r="EM139" s="777">
        <f t="shared" si="246"/>
        <v>0</v>
      </c>
      <c r="EN139" s="777">
        <f t="shared" si="246"/>
        <v>0</v>
      </c>
      <c r="EO139" s="777">
        <f t="shared" si="246"/>
        <v>0</v>
      </c>
      <c r="EP139" s="777">
        <f t="shared" si="246"/>
        <v>0</v>
      </c>
      <c r="EQ139" s="777">
        <f t="shared" si="246"/>
        <v>0</v>
      </c>
      <c r="ER139" s="777">
        <f t="shared" si="246"/>
        <v>0</v>
      </c>
      <c r="ES139" s="777">
        <f t="shared" si="246"/>
        <v>0</v>
      </c>
      <c r="ET139" s="777">
        <f t="shared" si="246"/>
        <v>0</v>
      </c>
      <c r="EU139" s="777">
        <f t="shared" si="246"/>
        <v>0</v>
      </c>
      <c r="EV139" s="777">
        <f t="shared" si="246"/>
        <v>0</v>
      </c>
    </row>
    <row r="140" spans="1:152" s="614" customFormat="1" ht="26.25" customHeight="1">
      <c r="A140" s="1429" t="s">
        <v>579</v>
      </c>
      <c r="B140" s="651" t="s">
        <v>580</v>
      </c>
      <c r="C140" s="1430">
        <f t="shared" ref="C140:AK140" si="247">C141</f>
        <v>46</v>
      </c>
      <c r="D140" s="1430">
        <f t="shared" si="247"/>
        <v>43</v>
      </c>
      <c r="E140" s="1430">
        <f t="shared" si="247"/>
        <v>7</v>
      </c>
      <c r="F140" s="1430">
        <f t="shared" si="247"/>
        <v>36</v>
      </c>
      <c r="G140" s="1430">
        <f t="shared" si="247"/>
        <v>7</v>
      </c>
      <c r="H140" s="1430">
        <f t="shared" si="247"/>
        <v>36</v>
      </c>
      <c r="I140" s="1430">
        <f t="shared" si="247"/>
        <v>3</v>
      </c>
      <c r="J140" s="1430">
        <f t="shared" si="247"/>
        <v>3</v>
      </c>
      <c r="K140" s="1543">
        <f t="shared" si="247"/>
        <v>29491</v>
      </c>
      <c r="L140" s="653">
        <f t="shared" si="247"/>
        <v>29512</v>
      </c>
      <c r="M140" s="1543">
        <f t="shared" si="247"/>
        <v>3277</v>
      </c>
      <c r="N140" s="1543">
        <f t="shared" si="247"/>
        <v>522</v>
      </c>
      <c r="O140" s="1543">
        <f t="shared" si="247"/>
        <v>250</v>
      </c>
      <c r="P140" s="1543">
        <f t="shared" si="247"/>
        <v>0</v>
      </c>
      <c r="Q140" s="1543">
        <f t="shared" si="247"/>
        <v>0</v>
      </c>
      <c r="R140" s="1543">
        <f t="shared" si="247"/>
        <v>0</v>
      </c>
      <c r="S140" s="1543">
        <f t="shared" si="247"/>
        <v>88</v>
      </c>
      <c r="T140" s="1543">
        <f t="shared" si="247"/>
        <v>88</v>
      </c>
      <c r="U140" s="1543">
        <f t="shared" si="247"/>
        <v>3961</v>
      </c>
      <c r="V140" s="1543">
        <f t="shared" si="247"/>
        <v>25404</v>
      </c>
      <c r="W140" s="1543">
        <f t="shared" si="247"/>
        <v>389</v>
      </c>
      <c r="X140" s="1543">
        <f t="shared" si="247"/>
        <v>0</v>
      </c>
      <c r="Y140" s="1543">
        <f t="shared" si="247"/>
        <v>23.200000000000003</v>
      </c>
      <c r="Z140" s="1543">
        <f t="shared" si="247"/>
        <v>135.19999999999999</v>
      </c>
      <c r="AA140" s="1543">
        <f t="shared" si="247"/>
        <v>240</v>
      </c>
      <c r="AB140" s="1543">
        <f t="shared" si="247"/>
        <v>263</v>
      </c>
      <c r="AC140" s="1543">
        <f t="shared" si="247"/>
        <v>25530</v>
      </c>
      <c r="AD140" s="1543">
        <f t="shared" si="247"/>
        <v>21</v>
      </c>
      <c r="AE140" s="1543">
        <f t="shared" si="247"/>
        <v>0</v>
      </c>
      <c r="AF140" s="1543">
        <f t="shared" si="247"/>
        <v>0</v>
      </c>
      <c r="AG140" s="1543">
        <f t="shared" si="247"/>
        <v>0</v>
      </c>
      <c r="AH140" s="1543">
        <f t="shared" si="247"/>
        <v>0</v>
      </c>
      <c r="AI140" s="1543">
        <f t="shared" si="247"/>
        <v>0</v>
      </c>
      <c r="AJ140" s="653">
        <f t="shared" si="247"/>
        <v>560</v>
      </c>
      <c r="AK140" s="1543">
        <f t="shared" si="247"/>
        <v>0</v>
      </c>
      <c r="AL140" s="656">
        <f t="shared" ref="AL140:AM140" si="248">AL141</f>
        <v>0</v>
      </c>
      <c r="AM140" s="657">
        <f t="shared" si="248"/>
        <v>0</v>
      </c>
      <c r="AN140" s="610">
        <v>4110</v>
      </c>
      <c r="AO140" s="1323" t="s">
        <v>579</v>
      </c>
      <c r="AP140" s="651" t="s">
        <v>580</v>
      </c>
      <c r="AQ140" s="1320">
        <f t="shared" si="236"/>
        <v>48</v>
      </c>
      <c r="AR140" s="1320">
        <f t="shared" si="237"/>
        <v>45</v>
      </c>
      <c r="AS140" s="1320">
        <f t="shared" ref="AS140:AX140" si="249">SUM(AS143:AS147)</f>
        <v>7</v>
      </c>
      <c r="AT140" s="1320">
        <f t="shared" si="249"/>
        <v>38</v>
      </c>
      <c r="AU140" s="1320">
        <f t="shared" si="249"/>
        <v>7</v>
      </c>
      <c r="AV140" s="1320">
        <f t="shared" si="249"/>
        <v>35</v>
      </c>
      <c r="AW140" s="1320">
        <f t="shared" si="249"/>
        <v>3</v>
      </c>
      <c r="AX140" s="1320">
        <f t="shared" si="249"/>
        <v>3</v>
      </c>
      <c r="AY140" s="653">
        <f>AY141</f>
        <v>32933</v>
      </c>
      <c r="AZ140" s="658">
        <f t="shared" ref="AZ140:BW140" si="250">AZ141</f>
        <v>3040</v>
      </c>
      <c r="BA140" s="653">
        <f t="shared" si="250"/>
        <v>667</v>
      </c>
      <c r="BB140" s="653">
        <f t="shared" si="250"/>
        <v>318</v>
      </c>
      <c r="BC140" s="653">
        <f t="shared" si="250"/>
        <v>0</v>
      </c>
      <c r="BD140" s="653">
        <f t="shared" si="250"/>
        <v>0</v>
      </c>
      <c r="BE140" s="653">
        <f t="shared" si="250"/>
        <v>98.5</v>
      </c>
      <c r="BF140" s="655">
        <f t="shared" si="250"/>
        <v>98</v>
      </c>
      <c r="BG140" s="653">
        <f t="shared" si="250"/>
        <v>3927</v>
      </c>
      <c r="BH140" s="653">
        <f t="shared" si="250"/>
        <v>28365</v>
      </c>
      <c r="BI140" s="653">
        <f t="shared" si="250"/>
        <v>0</v>
      </c>
      <c r="BJ140" s="653">
        <f t="shared" si="250"/>
        <v>747</v>
      </c>
      <c r="BK140" s="653">
        <f t="shared" si="250"/>
        <v>0</v>
      </c>
      <c r="BL140" s="653">
        <f t="shared" si="250"/>
        <v>175.3</v>
      </c>
      <c r="BM140" s="655">
        <f t="shared" si="250"/>
        <v>176</v>
      </c>
      <c r="BN140" s="653">
        <f t="shared" si="250"/>
        <v>28936</v>
      </c>
      <c r="BO140" s="653">
        <f t="shared" si="250"/>
        <v>70</v>
      </c>
      <c r="BP140" s="653">
        <f t="shared" si="250"/>
        <v>0</v>
      </c>
      <c r="BQ140" s="653">
        <f t="shared" si="250"/>
        <v>1916</v>
      </c>
      <c r="BR140" s="653">
        <f t="shared" si="250"/>
        <v>0</v>
      </c>
      <c r="BS140" s="653">
        <f t="shared" si="250"/>
        <v>150</v>
      </c>
      <c r="BT140" s="653">
        <f t="shared" si="250"/>
        <v>0</v>
      </c>
      <c r="BU140" s="653">
        <f t="shared" si="250"/>
        <v>400</v>
      </c>
      <c r="BV140" s="653">
        <f t="shared" si="250"/>
        <v>0</v>
      </c>
      <c r="BW140" s="653">
        <f t="shared" si="250"/>
        <v>0</v>
      </c>
      <c r="BY140" s="732"/>
      <c r="BZ140" s="732"/>
      <c r="CA140" s="1348" t="s">
        <v>579</v>
      </c>
      <c r="CB140" s="1348" t="s">
        <v>580</v>
      </c>
      <c r="CC140" s="1348">
        <v>47</v>
      </c>
      <c r="CD140" s="1348">
        <v>44</v>
      </c>
      <c r="CE140" s="1348">
        <v>7</v>
      </c>
      <c r="CF140" s="1348">
        <v>37</v>
      </c>
      <c r="CG140" s="1348">
        <v>7</v>
      </c>
      <c r="CH140" s="1348">
        <v>36</v>
      </c>
      <c r="CI140" s="1348">
        <v>3</v>
      </c>
      <c r="CJ140" s="1348">
        <v>3</v>
      </c>
      <c r="CK140" s="1349">
        <v>29380</v>
      </c>
      <c r="CL140" s="1349">
        <v>3325</v>
      </c>
      <c r="CM140" s="1350">
        <v>522</v>
      </c>
      <c r="CN140" s="1350">
        <v>250</v>
      </c>
      <c r="CO140" s="1350">
        <v>0</v>
      </c>
      <c r="CP140" s="1350">
        <v>0</v>
      </c>
      <c r="CQ140" s="1350">
        <v>0</v>
      </c>
      <c r="CR140" s="1350">
        <v>88</v>
      </c>
      <c r="CS140" s="1350">
        <v>88</v>
      </c>
      <c r="CT140" s="1349">
        <v>4009</v>
      </c>
      <c r="CU140" s="1349">
        <v>25374</v>
      </c>
      <c r="CV140" s="1349">
        <v>419</v>
      </c>
      <c r="CW140" s="1349">
        <v>0</v>
      </c>
      <c r="CX140" s="1349">
        <v>203.39999999999998</v>
      </c>
      <c r="CY140" s="1349">
        <v>379.4</v>
      </c>
      <c r="CZ140" s="1349">
        <v>240</v>
      </c>
      <c r="DA140" s="1349">
        <v>443</v>
      </c>
      <c r="DB140" s="1349">
        <v>25350</v>
      </c>
      <c r="DC140" s="1349">
        <v>21</v>
      </c>
      <c r="DD140" s="1349">
        <v>0</v>
      </c>
      <c r="DE140" s="1349">
        <v>0</v>
      </c>
      <c r="DF140" s="1349">
        <v>0</v>
      </c>
      <c r="DG140" s="1349">
        <v>0</v>
      </c>
      <c r="DH140" s="1349">
        <v>0</v>
      </c>
      <c r="DI140" s="1349">
        <v>0</v>
      </c>
      <c r="DJ140" s="1349">
        <v>0</v>
      </c>
      <c r="DK140" s="1349">
        <v>0</v>
      </c>
      <c r="DT140" s="1323" t="s">
        <v>579</v>
      </c>
      <c r="DU140" s="651" t="s">
        <v>580</v>
      </c>
      <c r="DV140" s="1376">
        <f>DV141</f>
        <v>132</v>
      </c>
      <c r="DW140" s="1376">
        <f t="shared" ref="DW140:EV140" si="251">DW141</f>
        <v>-48</v>
      </c>
      <c r="DX140" s="1376">
        <f t="shared" si="251"/>
        <v>0</v>
      </c>
      <c r="DY140" s="1376">
        <f t="shared" si="251"/>
        <v>0</v>
      </c>
      <c r="DZ140" s="1376">
        <f t="shared" si="251"/>
        <v>0</v>
      </c>
      <c r="EA140" s="1376">
        <f t="shared" si="251"/>
        <v>0</v>
      </c>
      <c r="EB140" s="1376">
        <f t="shared" si="251"/>
        <v>0</v>
      </c>
      <c r="EC140" s="1376">
        <f t="shared" si="251"/>
        <v>0</v>
      </c>
      <c r="ED140" s="1376">
        <f t="shared" si="251"/>
        <v>0</v>
      </c>
      <c r="EE140" s="1376">
        <f t="shared" si="251"/>
        <v>-48</v>
      </c>
      <c r="EF140" s="1376">
        <f t="shared" si="251"/>
        <v>30</v>
      </c>
      <c r="EG140" s="1376">
        <f t="shared" si="251"/>
        <v>-30</v>
      </c>
      <c r="EH140" s="1376">
        <f t="shared" si="251"/>
        <v>0</v>
      </c>
      <c r="EI140" s="1376">
        <f t="shared" si="251"/>
        <v>-180.2</v>
      </c>
      <c r="EJ140" s="1376">
        <f t="shared" si="251"/>
        <v>-244.2</v>
      </c>
      <c r="EK140" s="1376">
        <f t="shared" si="251"/>
        <v>0</v>
      </c>
      <c r="EL140" s="1376">
        <f t="shared" si="251"/>
        <v>-180</v>
      </c>
      <c r="EM140" s="1376">
        <f t="shared" si="251"/>
        <v>180</v>
      </c>
      <c r="EN140" s="1376">
        <f t="shared" si="251"/>
        <v>0</v>
      </c>
      <c r="EO140" s="1376">
        <f t="shared" si="251"/>
        <v>0</v>
      </c>
      <c r="EP140" s="1376">
        <f t="shared" si="251"/>
        <v>0</v>
      </c>
      <c r="EQ140" s="1376">
        <f t="shared" si="251"/>
        <v>0</v>
      </c>
      <c r="ER140" s="1376">
        <f t="shared" si="251"/>
        <v>0</v>
      </c>
      <c r="ES140" s="1376">
        <f t="shared" si="251"/>
        <v>0</v>
      </c>
      <c r="ET140" s="1376">
        <f t="shared" si="251"/>
        <v>560</v>
      </c>
      <c r="EU140" s="1376">
        <f t="shared" si="251"/>
        <v>0</v>
      </c>
      <c r="EV140" s="1376">
        <f t="shared" si="251"/>
        <v>0</v>
      </c>
    </row>
    <row r="141" spans="1:152" ht="36" customHeight="1">
      <c r="A141" s="659">
        <v>41</v>
      </c>
      <c r="B141" s="660" t="s">
        <v>581</v>
      </c>
      <c r="C141" s="661">
        <f t="shared" ref="C141:J141" si="252">SUM(C142:C147)</f>
        <v>46</v>
      </c>
      <c r="D141" s="661">
        <f t="shared" si="252"/>
        <v>43</v>
      </c>
      <c r="E141" s="661">
        <f t="shared" si="252"/>
        <v>7</v>
      </c>
      <c r="F141" s="661">
        <f t="shared" si="252"/>
        <v>36</v>
      </c>
      <c r="G141" s="661">
        <f t="shared" si="252"/>
        <v>7</v>
      </c>
      <c r="H141" s="661">
        <f t="shared" si="252"/>
        <v>36</v>
      </c>
      <c r="I141" s="661">
        <f t="shared" si="252"/>
        <v>3</v>
      </c>
      <c r="J141" s="661">
        <f t="shared" si="252"/>
        <v>3</v>
      </c>
      <c r="K141" s="661">
        <f t="shared" ref="K141:AK141" si="253">SUM(K142:K147)</f>
        <v>29491</v>
      </c>
      <c r="L141" s="662">
        <f t="shared" si="253"/>
        <v>29512</v>
      </c>
      <c r="M141" s="661">
        <f t="shared" si="253"/>
        <v>3277</v>
      </c>
      <c r="N141" s="661">
        <f t="shared" si="253"/>
        <v>522</v>
      </c>
      <c r="O141" s="661">
        <f t="shared" si="253"/>
        <v>250</v>
      </c>
      <c r="P141" s="661">
        <f t="shared" si="253"/>
        <v>0</v>
      </c>
      <c r="Q141" s="661">
        <f t="shared" si="253"/>
        <v>0</v>
      </c>
      <c r="R141" s="661">
        <f t="shared" si="253"/>
        <v>0</v>
      </c>
      <c r="S141" s="661">
        <f t="shared" si="253"/>
        <v>88</v>
      </c>
      <c r="T141" s="661">
        <f t="shared" si="253"/>
        <v>88</v>
      </c>
      <c r="U141" s="661">
        <f t="shared" si="253"/>
        <v>3961</v>
      </c>
      <c r="V141" s="661">
        <f t="shared" si="253"/>
        <v>25404</v>
      </c>
      <c r="W141" s="661">
        <f t="shared" si="253"/>
        <v>389</v>
      </c>
      <c r="X141" s="661">
        <f t="shared" si="253"/>
        <v>0</v>
      </c>
      <c r="Y141" s="661">
        <f t="shared" si="253"/>
        <v>23.200000000000003</v>
      </c>
      <c r="Z141" s="661">
        <f t="shared" si="253"/>
        <v>135.19999999999999</v>
      </c>
      <c r="AA141" s="661">
        <f t="shared" si="253"/>
        <v>240</v>
      </c>
      <c r="AB141" s="661">
        <f t="shared" si="253"/>
        <v>263</v>
      </c>
      <c r="AC141" s="661">
        <f t="shared" si="253"/>
        <v>25530</v>
      </c>
      <c r="AD141" s="661">
        <f t="shared" si="253"/>
        <v>21</v>
      </c>
      <c r="AE141" s="661">
        <f t="shared" si="253"/>
        <v>0</v>
      </c>
      <c r="AF141" s="661">
        <f t="shared" si="253"/>
        <v>0</v>
      </c>
      <c r="AG141" s="661">
        <f t="shared" si="253"/>
        <v>0</v>
      </c>
      <c r="AH141" s="661">
        <f t="shared" si="253"/>
        <v>0</v>
      </c>
      <c r="AI141" s="661">
        <f t="shared" si="253"/>
        <v>0</v>
      </c>
      <c r="AJ141" s="662">
        <f t="shared" si="253"/>
        <v>560</v>
      </c>
      <c r="AK141" s="661">
        <f t="shared" si="253"/>
        <v>0</v>
      </c>
      <c r="AL141" s="664">
        <f t="shared" ref="AL141" si="254">SUM(AL142:AL147)</f>
        <v>0</v>
      </c>
      <c r="AN141" s="621"/>
      <c r="AO141" s="659">
        <v>46</v>
      </c>
      <c r="AP141" s="660" t="s">
        <v>581</v>
      </c>
      <c r="AQ141" s="661">
        <f>SUM(AQ142:AQ147)</f>
        <v>48</v>
      </c>
      <c r="AR141" s="661">
        <f t="shared" ref="AR141:AX141" si="255">SUM(AR142:AR147)</f>
        <v>45</v>
      </c>
      <c r="AS141" s="661">
        <f t="shared" si="255"/>
        <v>7</v>
      </c>
      <c r="AT141" s="661">
        <f t="shared" si="255"/>
        <v>38</v>
      </c>
      <c r="AU141" s="661">
        <f t="shared" si="255"/>
        <v>7</v>
      </c>
      <c r="AV141" s="661">
        <f t="shared" si="255"/>
        <v>35</v>
      </c>
      <c r="AW141" s="661">
        <f t="shared" si="255"/>
        <v>3</v>
      </c>
      <c r="AX141" s="661">
        <f t="shared" si="255"/>
        <v>3</v>
      </c>
      <c r="AY141" s="662">
        <f>SUM(AY142:AY147)</f>
        <v>32933</v>
      </c>
      <c r="AZ141" s="665">
        <f t="shared" ref="AZ141:BW141" si="256">SUM(AZ142:AZ147)</f>
        <v>3040</v>
      </c>
      <c r="BA141" s="662">
        <f t="shared" si="256"/>
        <v>667</v>
      </c>
      <c r="BB141" s="662">
        <f t="shared" si="256"/>
        <v>318</v>
      </c>
      <c r="BC141" s="662">
        <f t="shared" si="256"/>
        <v>0</v>
      </c>
      <c r="BD141" s="662">
        <f t="shared" si="256"/>
        <v>0</v>
      </c>
      <c r="BE141" s="662">
        <f t="shared" si="256"/>
        <v>98.5</v>
      </c>
      <c r="BF141" s="663">
        <f t="shared" si="256"/>
        <v>98</v>
      </c>
      <c r="BG141" s="662">
        <f t="shared" si="256"/>
        <v>3927</v>
      </c>
      <c r="BH141" s="662">
        <f t="shared" si="256"/>
        <v>28365</v>
      </c>
      <c r="BI141" s="662">
        <f t="shared" si="256"/>
        <v>0</v>
      </c>
      <c r="BJ141" s="662">
        <f t="shared" si="256"/>
        <v>747</v>
      </c>
      <c r="BK141" s="662">
        <f t="shared" si="256"/>
        <v>0</v>
      </c>
      <c r="BL141" s="662">
        <f t="shared" si="256"/>
        <v>175.3</v>
      </c>
      <c r="BM141" s="663">
        <f t="shared" si="256"/>
        <v>176</v>
      </c>
      <c r="BN141" s="662">
        <f t="shared" si="256"/>
        <v>28936</v>
      </c>
      <c r="BO141" s="662">
        <f t="shared" si="256"/>
        <v>70</v>
      </c>
      <c r="BP141" s="662">
        <f t="shared" si="256"/>
        <v>0</v>
      </c>
      <c r="BQ141" s="662">
        <f t="shared" si="256"/>
        <v>1916</v>
      </c>
      <c r="BR141" s="662">
        <f>SUM(BR142:BR147)</f>
        <v>0</v>
      </c>
      <c r="BS141" s="662">
        <f>SUM(BS142:BS147)</f>
        <v>150</v>
      </c>
      <c r="BT141" s="662">
        <f t="shared" si="256"/>
        <v>0</v>
      </c>
      <c r="BU141" s="662">
        <f t="shared" si="256"/>
        <v>400</v>
      </c>
      <c r="BV141" s="662">
        <f t="shared" si="256"/>
        <v>0</v>
      </c>
      <c r="BW141" s="662">
        <f t="shared" si="256"/>
        <v>0</v>
      </c>
      <c r="CA141" s="1352">
        <v>43</v>
      </c>
      <c r="CB141" s="1352" t="s">
        <v>581</v>
      </c>
      <c r="CC141" s="1352">
        <v>47</v>
      </c>
      <c r="CD141" s="1352">
        <v>44</v>
      </c>
      <c r="CE141" s="1352">
        <v>7</v>
      </c>
      <c r="CF141" s="1352">
        <v>37</v>
      </c>
      <c r="CG141" s="1352">
        <v>7</v>
      </c>
      <c r="CH141" s="1352">
        <v>36</v>
      </c>
      <c r="CI141" s="1352">
        <v>3</v>
      </c>
      <c r="CJ141" s="1352">
        <v>3</v>
      </c>
      <c r="CK141" s="1353">
        <v>29380</v>
      </c>
      <c r="CL141" s="1353">
        <v>3325</v>
      </c>
      <c r="CM141" s="1354">
        <v>522</v>
      </c>
      <c r="CN141" s="1354">
        <v>250</v>
      </c>
      <c r="CO141" s="1354">
        <v>0</v>
      </c>
      <c r="CP141" s="1354">
        <v>0</v>
      </c>
      <c r="CQ141" s="1354">
        <v>0</v>
      </c>
      <c r="CR141" s="1354">
        <v>88</v>
      </c>
      <c r="CS141" s="1354">
        <v>88</v>
      </c>
      <c r="CT141" s="1353">
        <v>4009</v>
      </c>
      <c r="CU141" s="1353">
        <v>25374</v>
      </c>
      <c r="CV141" s="1353">
        <v>419</v>
      </c>
      <c r="CW141" s="1353">
        <v>0</v>
      </c>
      <c r="CX141" s="1353">
        <v>203.39999999999998</v>
      </c>
      <c r="CY141" s="1353">
        <v>379.4</v>
      </c>
      <c r="CZ141" s="1353">
        <v>240</v>
      </c>
      <c r="DA141" s="1353">
        <v>443</v>
      </c>
      <c r="DB141" s="1353">
        <v>25350</v>
      </c>
      <c r="DC141" s="1353">
        <v>21</v>
      </c>
      <c r="DD141" s="1353">
        <v>0</v>
      </c>
      <c r="DE141" s="1353">
        <v>0</v>
      </c>
      <c r="DF141" s="1353">
        <v>0</v>
      </c>
      <c r="DG141" s="1353">
        <v>0</v>
      </c>
      <c r="DH141" s="1353">
        <v>0</v>
      </c>
      <c r="DI141" s="1353">
        <v>0</v>
      </c>
      <c r="DJ141" s="1353">
        <v>0</v>
      </c>
      <c r="DK141" s="1353">
        <v>0</v>
      </c>
      <c r="DT141" s="659">
        <v>43</v>
      </c>
      <c r="DU141" s="660" t="s">
        <v>581</v>
      </c>
      <c r="DV141" s="777">
        <f>SUM(DV142:DV147)</f>
        <v>132</v>
      </c>
      <c r="DW141" s="777">
        <f t="shared" ref="DW141:EV141" si="257">SUM(DW142:DW147)</f>
        <v>-48</v>
      </c>
      <c r="DX141" s="777">
        <f t="shared" si="257"/>
        <v>0</v>
      </c>
      <c r="DY141" s="777">
        <f t="shared" si="257"/>
        <v>0</v>
      </c>
      <c r="DZ141" s="777">
        <f t="shared" si="257"/>
        <v>0</v>
      </c>
      <c r="EA141" s="777">
        <f t="shared" si="257"/>
        <v>0</v>
      </c>
      <c r="EB141" s="777">
        <f t="shared" si="257"/>
        <v>0</v>
      </c>
      <c r="EC141" s="777">
        <f t="shared" si="257"/>
        <v>0</v>
      </c>
      <c r="ED141" s="777">
        <f t="shared" si="257"/>
        <v>0</v>
      </c>
      <c r="EE141" s="777">
        <f t="shared" si="257"/>
        <v>-48</v>
      </c>
      <c r="EF141" s="777">
        <f t="shared" si="257"/>
        <v>30</v>
      </c>
      <c r="EG141" s="777">
        <f t="shared" si="257"/>
        <v>-30</v>
      </c>
      <c r="EH141" s="777">
        <f t="shared" si="257"/>
        <v>0</v>
      </c>
      <c r="EI141" s="777">
        <f t="shared" si="257"/>
        <v>-180.2</v>
      </c>
      <c r="EJ141" s="777">
        <f t="shared" si="257"/>
        <v>-244.2</v>
      </c>
      <c r="EK141" s="777">
        <f t="shared" si="257"/>
        <v>0</v>
      </c>
      <c r="EL141" s="777">
        <f t="shared" si="257"/>
        <v>-180</v>
      </c>
      <c r="EM141" s="777">
        <f t="shared" si="257"/>
        <v>180</v>
      </c>
      <c r="EN141" s="777">
        <f t="shared" si="257"/>
        <v>0</v>
      </c>
      <c r="EO141" s="777">
        <f t="shared" si="257"/>
        <v>0</v>
      </c>
      <c r="EP141" s="777">
        <f t="shared" si="257"/>
        <v>0</v>
      </c>
      <c r="EQ141" s="777">
        <f t="shared" si="257"/>
        <v>0</v>
      </c>
      <c r="ER141" s="777">
        <f t="shared" si="257"/>
        <v>0</v>
      </c>
      <c r="ES141" s="777">
        <f t="shared" si="257"/>
        <v>0</v>
      </c>
      <c r="ET141" s="777">
        <f t="shared" si="257"/>
        <v>560</v>
      </c>
      <c r="EU141" s="777">
        <f t="shared" si="257"/>
        <v>0</v>
      </c>
      <c r="EV141" s="777">
        <f t="shared" si="257"/>
        <v>0</v>
      </c>
    </row>
    <row r="142" spans="1:152" ht="30.75" hidden="1" customHeight="1">
      <c r="A142" s="659"/>
      <c r="B142" s="660" t="s">
        <v>582</v>
      </c>
      <c r="C142" s="661"/>
      <c r="D142" s="661"/>
      <c r="E142" s="661"/>
      <c r="F142" s="661"/>
      <c r="G142" s="661"/>
      <c r="H142" s="661"/>
      <c r="I142" s="661"/>
      <c r="J142" s="661"/>
      <c r="K142" s="646">
        <f t="shared" si="117"/>
        <v>21415</v>
      </c>
      <c r="L142" s="662">
        <f t="shared" ref="L142:L148" si="258">U142+AC142+AD142+AE142</f>
        <v>21415</v>
      </c>
      <c r="M142" s="662"/>
      <c r="N142" s="662"/>
      <c r="O142" s="662"/>
      <c r="P142" s="662"/>
      <c r="Q142" s="662"/>
      <c r="R142" s="666">
        <f>((N142+O142)-(BA142+BB142))*10%</f>
        <v>0</v>
      </c>
      <c r="S142" s="666"/>
      <c r="T142" s="666">
        <f t="shared" ref="T142:T148" si="259">ROUND((Q142+R142+S142),0)</f>
        <v>0</v>
      </c>
      <c r="U142" s="666">
        <f t="shared" ref="U142:U148" si="260">(M142+N142+O142+P142)-T142</f>
        <v>0</v>
      </c>
      <c r="V142" s="662">
        <f>31195-9615</f>
        <v>21580</v>
      </c>
      <c r="W142" s="662"/>
      <c r="X142" s="662"/>
      <c r="Y142" s="666">
        <f t="shared" ref="Y142:Y148" si="261">Z142-BM142</f>
        <v>0</v>
      </c>
      <c r="Z142" s="666">
        <f>(V142-21580)*10%</f>
        <v>0</v>
      </c>
      <c r="AA142" s="666">
        <v>165</v>
      </c>
      <c r="AB142" s="666">
        <f t="shared" ref="AB142:AB148" si="262">ROUND((Y142+AA142+X142),0)</f>
        <v>165</v>
      </c>
      <c r="AC142" s="666">
        <f t="shared" ref="AC142:AC148" si="263">(V142+W142)-AB142</f>
        <v>21415</v>
      </c>
      <c r="AD142" s="662"/>
      <c r="AE142" s="662"/>
      <c r="AF142" s="662"/>
      <c r="AG142" s="662"/>
      <c r="AH142" s="662"/>
      <c r="AI142" s="662"/>
      <c r="AJ142" s="662">
        <v>560</v>
      </c>
      <c r="AK142" s="662"/>
      <c r="AL142" s="664"/>
      <c r="AN142" s="621"/>
      <c r="AO142" s="659"/>
      <c r="AP142" s="660" t="s">
        <v>582</v>
      </c>
      <c r="AQ142" s="661"/>
      <c r="AR142" s="661"/>
      <c r="AS142" s="661"/>
      <c r="AT142" s="661"/>
      <c r="AU142" s="661"/>
      <c r="AV142" s="661"/>
      <c r="AW142" s="661"/>
      <c r="AX142" s="661"/>
      <c r="AY142" s="662">
        <f t="shared" ref="AY142:AY148" si="264">BG142+BN142+BO142+BP142</f>
        <v>22612</v>
      </c>
      <c r="AZ142" s="665"/>
      <c r="BA142" s="662"/>
      <c r="BB142" s="662"/>
      <c r="BC142" s="662"/>
      <c r="BD142" s="662"/>
      <c r="BE142" s="666">
        <f t="shared" ref="BE142:BE147" si="265">(BA142+BB142)*10%</f>
        <v>0</v>
      </c>
      <c r="BF142" s="667">
        <f t="shared" ref="BF142:BF147" si="266">ROUND(BE142,0)</f>
        <v>0</v>
      </c>
      <c r="BG142" s="666">
        <f t="shared" ref="BG142:BG147" si="267">(AZ142+BA142+BB142+BC142)-BF142</f>
        <v>0</v>
      </c>
      <c r="BH142" s="662">
        <v>22612</v>
      </c>
      <c r="BI142" s="662"/>
      <c r="BJ142" s="662"/>
      <c r="BK142" s="662"/>
      <c r="BL142" s="666">
        <f>(BH142-22612)*10%</f>
        <v>0</v>
      </c>
      <c r="BM142" s="667">
        <f t="shared" ref="BM142:BM148" si="268">ROUND(BL142,0)</f>
        <v>0</v>
      </c>
      <c r="BN142" s="666">
        <f t="shared" ref="BN142:BN147" si="269">(BH142+BI142+BJ142)-BM142</f>
        <v>22612</v>
      </c>
      <c r="BO142" s="662"/>
      <c r="BP142" s="662"/>
      <c r="BQ142" s="662"/>
      <c r="BR142" s="662"/>
      <c r="BS142" s="662"/>
      <c r="BT142" s="662"/>
      <c r="BU142" s="662">
        <v>400</v>
      </c>
      <c r="BV142" s="662"/>
      <c r="BW142" s="662"/>
      <c r="CA142" s="1352"/>
      <c r="CB142" s="1352" t="s">
        <v>582</v>
      </c>
      <c r="CC142" s="1352"/>
      <c r="CD142" s="1352"/>
      <c r="CE142" s="1352"/>
      <c r="CF142" s="1352"/>
      <c r="CG142" s="1352"/>
      <c r="CH142" s="1352"/>
      <c r="CI142" s="1352"/>
      <c r="CJ142" s="1352"/>
      <c r="CK142" s="1353">
        <v>21415</v>
      </c>
      <c r="CL142" s="1353"/>
      <c r="CM142" s="1354"/>
      <c r="CN142" s="1354"/>
      <c r="CO142" s="1354"/>
      <c r="CP142" s="1354"/>
      <c r="CQ142" s="1354">
        <v>0</v>
      </c>
      <c r="CR142" s="1354"/>
      <c r="CS142" s="1354">
        <v>0</v>
      </c>
      <c r="CT142" s="1353">
        <v>0</v>
      </c>
      <c r="CU142" s="1353">
        <v>21580</v>
      </c>
      <c r="CV142" s="1353"/>
      <c r="CW142" s="1353"/>
      <c r="CX142" s="1353">
        <v>0</v>
      </c>
      <c r="CY142" s="1353">
        <v>0</v>
      </c>
      <c r="CZ142" s="1353">
        <v>165</v>
      </c>
      <c r="DA142" s="1353">
        <v>165</v>
      </c>
      <c r="DB142" s="1353">
        <v>21415</v>
      </c>
      <c r="DC142" s="1353"/>
      <c r="DD142" s="1353"/>
      <c r="DE142" s="1353"/>
      <c r="DF142" s="1353"/>
      <c r="DG142" s="1353"/>
      <c r="DH142" s="1353"/>
      <c r="DI142" s="1353"/>
      <c r="DJ142" s="1353"/>
      <c r="DK142" s="1353"/>
      <c r="DT142" s="659"/>
      <c r="DU142" s="660" t="s">
        <v>582</v>
      </c>
      <c r="DV142" s="777">
        <f t="shared" ref="DV142:EK148" si="270">L142-CK142</f>
        <v>0</v>
      </c>
      <c r="DW142" s="777">
        <f t="shared" si="270"/>
        <v>0</v>
      </c>
      <c r="DX142" s="777">
        <f t="shared" si="270"/>
        <v>0</v>
      </c>
      <c r="DY142" s="777">
        <f t="shared" si="270"/>
        <v>0</v>
      </c>
      <c r="DZ142" s="777">
        <f t="shared" si="270"/>
        <v>0</v>
      </c>
      <c r="EA142" s="777">
        <f t="shared" si="270"/>
        <v>0</v>
      </c>
      <c r="EB142" s="777">
        <f t="shared" si="270"/>
        <v>0</v>
      </c>
      <c r="EC142" s="777">
        <f t="shared" si="270"/>
        <v>0</v>
      </c>
      <c r="ED142" s="777">
        <f t="shared" si="270"/>
        <v>0</v>
      </c>
      <c r="EE142" s="777">
        <f t="shared" si="270"/>
        <v>0</v>
      </c>
      <c r="EF142" s="777">
        <f t="shared" si="270"/>
        <v>0</v>
      </c>
      <c r="EG142" s="777">
        <f t="shared" si="270"/>
        <v>0</v>
      </c>
      <c r="EH142" s="777">
        <f t="shared" si="270"/>
        <v>0</v>
      </c>
      <c r="EI142" s="777">
        <f t="shared" si="270"/>
        <v>0</v>
      </c>
      <c r="EJ142" s="777">
        <f t="shared" si="270"/>
        <v>0</v>
      </c>
      <c r="EK142" s="777">
        <f t="shared" si="270"/>
        <v>0</v>
      </c>
      <c r="EL142" s="777">
        <f t="shared" ref="EL142:EV148" si="271">AB142-DA142</f>
        <v>0</v>
      </c>
      <c r="EM142" s="777">
        <f t="shared" si="271"/>
        <v>0</v>
      </c>
      <c r="EN142" s="777">
        <f t="shared" si="271"/>
        <v>0</v>
      </c>
      <c r="EO142" s="777">
        <f t="shared" si="271"/>
        <v>0</v>
      </c>
      <c r="EP142" s="777">
        <f t="shared" si="271"/>
        <v>0</v>
      </c>
      <c r="EQ142" s="777">
        <f t="shared" si="271"/>
        <v>0</v>
      </c>
      <c r="ER142" s="777">
        <f t="shared" si="271"/>
        <v>0</v>
      </c>
      <c r="ES142" s="777">
        <f t="shared" si="271"/>
        <v>0</v>
      </c>
      <c r="ET142" s="777">
        <f t="shared" si="271"/>
        <v>560</v>
      </c>
      <c r="EU142" s="777">
        <f t="shared" si="271"/>
        <v>0</v>
      </c>
      <c r="EV142" s="777">
        <f t="shared" si="271"/>
        <v>0</v>
      </c>
    </row>
    <row r="143" spans="1:152" s="693" customFormat="1" ht="31.5" hidden="1" customHeight="1">
      <c r="A143" s="659"/>
      <c r="B143" s="751" t="s">
        <v>583</v>
      </c>
      <c r="C143" s="661">
        <f>D143+I143</f>
        <v>0</v>
      </c>
      <c r="D143" s="661">
        <f>E143+F143</f>
        <v>0</v>
      </c>
      <c r="E143" s="661"/>
      <c r="F143" s="661"/>
      <c r="G143" s="661"/>
      <c r="H143" s="661"/>
      <c r="I143" s="661"/>
      <c r="J143" s="661"/>
      <c r="K143" s="646">
        <f t="shared" ref="K143:K206" si="272">L143-AD143</f>
        <v>0</v>
      </c>
      <c r="L143" s="662">
        <f t="shared" si="258"/>
        <v>0</v>
      </c>
      <c r="M143" s="662"/>
      <c r="N143" s="662"/>
      <c r="O143" s="662"/>
      <c r="P143" s="662"/>
      <c r="Q143" s="662"/>
      <c r="R143" s="666">
        <f>((N143+O143)-(BA143+BB143))*10%</f>
        <v>0</v>
      </c>
      <c r="S143" s="666"/>
      <c r="T143" s="666">
        <f t="shared" si="259"/>
        <v>0</v>
      </c>
      <c r="U143" s="666">
        <f t="shared" si="260"/>
        <v>0</v>
      </c>
      <c r="V143" s="662"/>
      <c r="W143" s="662"/>
      <c r="X143" s="662"/>
      <c r="Y143" s="666">
        <f t="shared" si="261"/>
        <v>0</v>
      </c>
      <c r="Z143" s="666">
        <f t="shared" ref="Z143:Z148" si="273">V143*10%</f>
        <v>0</v>
      </c>
      <c r="AA143" s="666"/>
      <c r="AB143" s="666">
        <f t="shared" si="262"/>
        <v>0</v>
      </c>
      <c r="AC143" s="666">
        <f t="shared" si="263"/>
        <v>0</v>
      </c>
      <c r="AD143" s="692"/>
      <c r="AE143" s="692"/>
      <c r="AF143" s="692"/>
      <c r="AG143" s="692"/>
      <c r="AH143" s="692"/>
      <c r="AI143" s="692"/>
      <c r="AJ143" s="692"/>
      <c r="AK143" s="692"/>
      <c r="AL143" s="786"/>
      <c r="AM143" s="689"/>
      <c r="AN143" s="610"/>
      <c r="AO143" s="659"/>
      <c r="AP143" s="751" t="s">
        <v>583</v>
      </c>
      <c r="AQ143" s="661">
        <f>AR143+AW143</f>
        <v>0</v>
      </c>
      <c r="AR143" s="661">
        <f>AS143+AT143</f>
        <v>0</v>
      </c>
      <c r="AS143" s="661"/>
      <c r="AT143" s="661"/>
      <c r="AU143" s="661"/>
      <c r="AV143" s="661"/>
      <c r="AW143" s="661"/>
      <c r="AX143" s="661"/>
      <c r="AY143" s="662">
        <f t="shared" si="264"/>
        <v>0</v>
      </c>
      <c r="AZ143" s="665"/>
      <c r="BA143" s="662"/>
      <c r="BB143" s="662"/>
      <c r="BC143" s="662"/>
      <c r="BD143" s="662"/>
      <c r="BE143" s="666">
        <f t="shared" si="265"/>
        <v>0</v>
      </c>
      <c r="BF143" s="667">
        <f t="shared" si="266"/>
        <v>0</v>
      </c>
      <c r="BG143" s="666">
        <f t="shared" si="267"/>
        <v>0</v>
      </c>
      <c r="BH143" s="662">
        <f>1000-1000</f>
        <v>0</v>
      </c>
      <c r="BI143" s="721"/>
      <c r="BJ143" s="662"/>
      <c r="BK143" s="662"/>
      <c r="BL143" s="666">
        <f>BH143*10%</f>
        <v>0</v>
      </c>
      <c r="BM143" s="667">
        <f t="shared" si="268"/>
        <v>0</v>
      </c>
      <c r="BN143" s="666">
        <f t="shared" si="269"/>
        <v>0</v>
      </c>
      <c r="BO143" s="692"/>
      <c r="BP143" s="692"/>
      <c r="BQ143" s="692"/>
      <c r="BR143" s="692"/>
      <c r="BS143" s="692"/>
      <c r="BT143" s="692"/>
      <c r="BU143" s="692"/>
      <c r="BV143" s="692"/>
      <c r="BW143" s="787"/>
      <c r="BY143" s="1355"/>
      <c r="BZ143" s="1355"/>
      <c r="CA143" s="1356"/>
      <c r="CB143" s="1356" t="s">
        <v>583</v>
      </c>
      <c r="CC143" s="1356">
        <v>0</v>
      </c>
      <c r="CD143" s="1356">
        <v>0</v>
      </c>
      <c r="CE143" s="1356"/>
      <c r="CF143" s="1356"/>
      <c r="CG143" s="1356"/>
      <c r="CH143" s="1356"/>
      <c r="CI143" s="1356"/>
      <c r="CJ143" s="1356"/>
      <c r="CK143" s="1357">
        <v>0</v>
      </c>
      <c r="CL143" s="1357"/>
      <c r="CM143" s="1358"/>
      <c r="CN143" s="1358"/>
      <c r="CO143" s="1358"/>
      <c r="CP143" s="1358"/>
      <c r="CQ143" s="1358">
        <v>0</v>
      </c>
      <c r="CR143" s="1358"/>
      <c r="CS143" s="1358">
        <v>0</v>
      </c>
      <c r="CT143" s="1357">
        <v>0</v>
      </c>
      <c r="CU143" s="1357"/>
      <c r="CV143" s="1357"/>
      <c r="CW143" s="1357"/>
      <c r="CX143" s="1357">
        <v>0</v>
      </c>
      <c r="CY143" s="1357">
        <v>0</v>
      </c>
      <c r="CZ143" s="1357"/>
      <c r="DA143" s="1357">
        <v>0</v>
      </c>
      <c r="DB143" s="1357">
        <v>0</v>
      </c>
      <c r="DC143" s="1357"/>
      <c r="DD143" s="1357"/>
      <c r="DE143" s="1357"/>
      <c r="DF143" s="1357"/>
      <c r="DG143" s="1357"/>
      <c r="DH143" s="1357"/>
      <c r="DI143" s="1357"/>
      <c r="DJ143" s="1357"/>
      <c r="DK143" s="1357"/>
      <c r="DT143" s="659"/>
      <c r="DU143" s="751" t="s">
        <v>583</v>
      </c>
      <c r="DV143" s="777">
        <f t="shared" si="270"/>
        <v>0</v>
      </c>
      <c r="DW143" s="777">
        <f t="shared" si="270"/>
        <v>0</v>
      </c>
      <c r="DX143" s="777">
        <f t="shared" si="270"/>
        <v>0</v>
      </c>
      <c r="DY143" s="777">
        <f t="shared" si="270"/>
        <v>0</v>
      </c>
      <c r="DZ143" s="777">
        <f t="shared" si="270"/>
        <v>0</v>
      </c>
      <c r="EA143" s="777">
        <f t="shared" si="270"/>
        <v>0</v>
      </c>
      <c r="EB143" s="777">
        <f t="shared" si="270"/>
        <v>0</v>
      </c>
      <c r="EC143" s="777">
        <f t="shared" si="270"/>
        <v>0</v>
      </c>
      <c r="ED143" s="777">
        <f t="shared" si="270"/>
        <v>0</v>
      </c>
      <c r="EE143" s="777">
        <f t="shared" si="270"/>
        <v>0</v>
      </c>
      <c r="EF143" s="777">
        <f t="shared" si="270"/>
        <v>0</v>
      </c>
      <c r="EG143" s="777">
        <f t="shared" si="270"/>
        <v>0</v>
      </c>
      <c r="EH143" s="777">
        <f t="shared" si="270"/>
        <v>0</v>
      </c>
      <c r="EI143" s="777">
        <f t="shared" si="270"/>
        <v>0</v>
      </c>
      <c r="EJ143" s="777">
        <f t="shared" si="270"/>
        <v>0</v>
      </c>
      <c r="EK143" s="777">
        <f t="shared" si="270"/>
        <v>0</v>
      </c>
      <c r="EL143" s="777">
        <f t="shared" si="271"/>
        <v>0</v>
      </c>
      <c r="EM143" s="777">
        <f t="shared" si="271"/>
        <v>0</v>
      </c>
      <c r="EN143" s="777">
        <f t="shared" si="271"/>
        <v>0</v>
      </c>
      <c r="EO143" s="777">
        <f t="shared" si="271"/>
        <v>0</v>
      </c>
      <c r="EP143" s="777">
        <f t="shared" si="271"/>
        <v>0</v>
      </c>
      <c r="EQ143" s="777">
        <f t="shared" si="271"/>
        <v>0</v>
      </c>
      <c r="ER143" s="777">
        <f t="shared" si="271"/>
        <v>0</v>
      </c>
      <c r="ES143" s="777">
        <f t="shared" si="271"/>
        <v>0</v>
      </c>
      <c r="ET143" s="777">
        <f t="shared" si="271"/>
        <v>0</v>
      </c>
      <c r="EU143" s="777">
        <f t="shared" si="271"/>
        <v>0</v>
      </c>
      <c r="EV143" s="777">
        <f t="shared" si="271"/>
        <v>0</v>
      </c>
    </row>
    <row r="144" spans="1:152" ht="49.5" hidden="1" customHeight="1">
      <c r="A144" s="659"/>
      <c r="B144" s="660" t="s">
        <v>584</v>
      </c>
      <c r="C144" s="661">
        <f>D144+I144</f>
        <v>14</v>
      </c>
      <c r="D144" s="661">
        <f>E144+F144</f>
        <v>13</v>
      </c>
      <c r="E144" s="661">
        <v>7</v>
      </c>
      <c r="F144" s="661">
        <v>6</v>
      </c>
      <c r="G144" s="661">
        <v>7</v>
      </c>
      <c r="H144" s="661">
        <v>6</v>
      </c>
      <c r="I144" s="661">
        <v>1</v>
      </c>
      <c r="J144" s="661">
        <v>1</v>
      </c>
      <c r="K144" s="646">
        <f t="shared" si="272"/>
        <v>4670</v>
      </c>
      <c r="L144" s="662">
        <f t="shared" si="258"/>
        <v>4691</v>
      </c>
      <c r="M144" s="662">
        <v>1215</v>
      </c>
      <c r="N144" s="662">
        <v>291</v>
      </c>
      <c r="O144" s="662">
        <v>86</v>
      </c>
      <c r="P144" s="662"/>
      <c r="Q144" s="662"/>
      <c r="R144" s="666"/>
      <c r="S144" s="666">
        <v>41</v>
      </c>
      <c r="T144" s="666">
        <f t="shared" si="259"/>
        <v>41</v>
      </c>
      <c r="U144" s="666">
        <f t="shared" si="260"/>
        <v>1551</v>
      </c>
      <c r="V144" s="662">
        <v>2762</v>
      </c>
      <c r="W144" s="662">
        <v>389</v>
      </c>
      <c r="X144" s="662"/>
      <c r="Y144" s="666"/>
      <c r="Z144" s="666">
        <f>(V144-2472)*10%</f>
        <v>29</v>
      </c>
      <c r="AA144" s="666">
        <v>32</v>
      </c>
      <c r="AB144" s="666">
        <f t="shared" si="262"/>
        <v>32</v>
      </c>
      <c r="AC144" s="666">
        <f t="shared" si="263"/>
        <v>3119</v>
      </c>
      <c r="AD144" s="662">
        <v>21</v>
      </c>
      <c r="AE144" s="662"/>
      <c r="AF144" s="662"/>
      <c r="AG144" s="662"/>
      <c r="AH144" s="662"/>
      <c r="AI144" s="662"/>
      <c r="AJ144" s="662"/>
      <c r="AK144" s="662"/>
      <c r="AL144" s="720"/>
      <c r="AN144" s="610"/>
      <c r="AO144" s="659"/>
      <c r="AP144" s="660" t="s">
        <v>584</v>
      </c>
      <c r="AQ144" s="661">
        <f>AR144+AW144</f>
        <v>14</v>
      </c>
      <c r="AR144" s="661">
        <f>AS144+AT144</f>
        <v>13</v>
      </c>
      <c r="AS144" s="661">
        <v>7</v>
      </c>
      <c r="AT144" s="661">
        <v>6</v>
      </c>
      <c r="AU144" s="661">
        <v>7</v>
      </c>
      <c r="AV144" s="661">
        <v>6</v>
      </c>
      <c r="AW144" s="661">
        <v>1</v>
      </c>
      <c r="AX144" s="661">
        <v>1</v>
      </c>
      <c r="AY144" s="662">
        <f t="shared" si="264"/>
        <v>6436</v>
      </c>
      <c r="AZ144" s="665">
        <v>1148</v>
      </c>
      <c r="BA144" s="662">
        <v>406</v>
      </c>
      <c r="BB144" s="662"/>
      <c r="BC144" s="662"/>
      <c r="BD144" s="662"/>
      <c r="BE144" s="666">
        <f t="shared" si="265"/>
        <v>40.6</v>
      </c>
      <c r="BF144" s="667">
        <f t="shared" si="266"/>
        <v>41</v>
      </c>
      <c r="BG144" s="666">
        <f t="shared" si="267"/>
        <v>1513</v>
      </c>
      <c r="BH144" s="662">
        <v>4927</v>
      </c>
      <c r="BI144" s="662"/>
      <c r="BJ144" s="662">
        <v>64</v>
      </c>
      <c r="BK144" s="662"/>
      <c r="BL144" s="666">
        <f>(BH144-4000)*10%</f>
        <v>92.7</v>
      </c>
      <c r="BM144" s="667">
        <f t="shared" si="268"/>
        <v>93</v>
      </c>
      <c r="BN144" s="666">
        <f t="shared" si="269"/>
        <v>4898</v>
      </c>
      <c r="BO144" s="662">
        <v>25</v>
      </c>
      <c r="BP144" s="662"/>
      <c r="BQ144" s="662"/>
      <c r="BR144" s="662"/>
      <c r="BS144" s="662">
        <v>150</v>
      </c>
      <c r="BT144" s="662"/>
      <c r="BU144" s="662"/>
      <c r="BV144" s="662"/>
      <c r="BW144" s="721"/>
      <c r="CA144" s="1352"/>
      <c r="CB144" s="1352" t="s">
        <v>584</v>
      </c>
      <c r="CC144" s="1352">
        <v>14</v>
      </c>
      <c r="CD144" s="1352">
        <v>13</v>
      </c>
      <c r="CE144" s="1352">
        <v>7</v>
      </c>
      <c r="CF144" s="1352">
        <v>6</v>
      </c>
      <c r="CG144" s="1352">
        <v>7</v>
      </c>
      <c r="CH144" s="1352">
        <v>6</v>
      </c>
      <c r="CI144" s="1352">
        <v>1</v>
      </c>
      <c r="CJ144" s="1352">
        <v>1</v>
      </c>
      <c r="CK144" s="1353">
        <v>4508</v>
      </c>
      <c r="CL144" s="1353">
        <v>1215</v>
      </c>
      <c r="CM144" s="1354">
        <v>291</v>
      </c>
      <c r="CN144" s="1354">
        <v>86</v>
      </c>
      <c r="CO144" s="1354"/>
      <c r="CP144" s="1354"/>
      <c r="CQ144" s="1354"/>
      <c r="CR144" s="1354">
        <v>41</v>
      </c>
      <c r="CS144" s="1354">
        <v>41</v>
      </c>
      <c r="CT144" s="1353">
        <v>1551</v>
      </c>
      <c r="CU144" s="1353">
        <v>2762</v>
      </c>
      <c r="CV144" s="1353">
        <v>389</v>
      </c>
      <c r="CW144" s="1353"/>
      <c r="CX144" s="1353">
        <v>183.2</v>
      </c>
      <c r="CY144" s="1353">
        <v>276.2</v>
      </c>
      <c r="CZ144" s="1353">
        <v>32</v>
      </c>
      <c r="DA144" s="1353">
        <v>215</v>
      </c>
      <c r="DB144" s="1353">
        <v>2936</v>
      </c>
      <c r="DC144" s="1353">
        <v>21</v>
      </c>
      <c r="DD144" s="1353"/>
      <c r="DE144" s="1353"/>
      <c r="DF144" s="1353"/>
      <c r="DG144" s="1353"/>
      <c r="DH144" s="1353"/>
      <c r="DI144" s="1353"/>
      <c r="DJ144" s="1353"/>
      <c r="DK144" s="1353"/>
      <c r="DT144" s="659"/>
      <c r="DU144" s="660" t="s">
        <v>584</v>
      </c>
      <c r="DV144" s="777">
        <f t="shared" si="270"/>
        <v>183</v>
      </c>
      <c r="DW144" s="777">
        <f t="shared" si="270"/>
        <v>0</v>
      </c>
      <c r="DX144" s="777">
        <f t="shared" si="270"/>
        <v>0</v>
      </c>
      <c r="DY144" s="777">
        <f t="shared" si="270"/>
        <v>0</v>
      </c>
      <c r="DZ144" s="777">
        <f t="shared" si="270"/>
        <v>0</v>
      </c>
      <c r="EA144" s="777">
        <f t="shared" si="270"/>
        <v>0</v>
      </c>
      <c r="EB144" s="777">
        <f t="shared" si="270"/>
        <v>0</v>
      </c>
      <c r="EC144" s="777">
        <f t="shared" si="270"/>
        <v>0</v>
      </c>
      <c r="ED144" s="777">
        <f t="shared" si="270"/>
        <v>0</v>
      </c>
      <c r="EE144" s="777">
        <f t="shared" si="270"/>
        <v>0</v>
      </c>
      <c r="EF144" s="777">
        <f t="shared" si="270"/>
        <v>0</v>
      </c>
      <c r="EG144" s="777">
        <f t="shared" si="270"/>
        <v>0</v>
      </c>
      <c r="EH144" s="777">
        <f t="shared" si="270"/>
        <v>0</v>
      </c>
      <c r="EI144" s="777">
        <f t="shared" si="270"/>
        <v>-183.2</v>
      </c>
      <c r="EJ144" s="777">
        <f t="shared" si="270"/>
        <v>-247.2</v>
      </c>
      <c r="EK144" s="777">
        <f t="shared" si="270"/>
        <v>0</v>
      </c>
      <c r="EL144" s="777">
        <f t="shared" si="271"/>
        <v>-183</v>
      </c>
      <c r="EM144" s="777">
        <f t="shared" si="271"/>
        <v>183</v>
      </c>
      <c r="EN144" s="777">
        <f t="shared" si="271"/>
        <v>0</v>
      </c>
      <c r="EO144" s="777">
        <f t="shared" si="271"/>
        <v>0</v>
      </c>
      <c r="EP144" s="777">
        <f t="shared" si="271"/>
        <v>0</v>
      </c>
      <c r="EQ144" s="777">
        <f t="shared" si="271"/>
        <v>0</v>
      </c>
      <c r="ER144" s="777">
        <f t="shared" si="271"/>
        <v>0</v>
      </c>
      <c r="ES144" s="777">
        <f t="shared" si="271"/>
        <v>0</v>
      </c>
      <c r="ET144" s="777">
        <f t="shared" si="271"/>
        <v>0</v>
      </c>
      <c r="EU144" s="777">
        <f t="shared" si="271"/>
        <v>0</v>
      </c>
      <c r="EV144" s="777">
        <f t="shared" si="271"/>
        <v>0</v>
      </c>
    </row>
    <row r="145" spans="1:152" ht="43.5" hidden="1" customHeight="1">
      <c r="A145" s="659"/>
      <c r="B145" s="660" t="s">
        <v>585</v>
      </c>
      <c r="C145" s="661">
        <f>D145+I145</f>
        <v>7</v>
      </c>
      <c r="D145" s="661">
        <f>E145+F145</f>
        <v>7</v>
      </c>
      <c r="E145" s="661"/>
      <c r="F145" s="661">
        <v>7</v>
      </c>
      <c r="G145" s="661"/>
      <c r="H145" s="661">
        <v>7</v>
      </c>
      <c r="I145" s="661"/>
      <c r="J145" s="661"/>
      <c r="K145" s="646">
        <f t="shared" si="272"/>
        <v>500</v>
      </c>
      <c r="L145" s="662">
        <f t="shared" si="258"/>
        <v>500</v>
      </c>
      <c r="M145" s="662">
        <v>387</v>
      </c>
      <c r="N145" s="662"/>
      <c r="O145" s="662">
        <v>134</v>
      </c>
      <c r="P145" s="662"/>
      <c r="Q145" s="662"/>
      <c r="R145" s="666"/>
      <c r="S145" s="666">
        <v>21</v>
      </c>
      <c r="T145" s="666">
        <f t="shared" si="259"/>
        <v>21</v>
      </c>
      <c r="U145" s="666">
        <f t="shared" si="260"/>
        <v>500</v>
      </c>
      <c r="V145" s="662"/>
      <c r="W145" s="662"/>
      <c r="X145" s="662"/>
      <c r="Y145" s="666">
        <f t="shared" si="261"/>
        <v>0</v>
      </c>
      <c r="Z145" s="666">
        <f t="shared" si="273"/>
        <v>0</v>
      </c>
      <c r="AA145" s="666"/>
      <c r="AB145" s="666">
        <f t="shared" si="262"/>
        <v>0</v>
      </c>
      <c r="AC145" s="666">
        <f>(V145+W145)-AB145</f>
        <v>0</v>
      </c>
      <c r="AD145" s="662"/>
      <c r="AE145" s="662"/>
      <c r="AF145" s="662"/>
      <c r="AG145" s="662"/>
      <c r="AH145" s="662"/>
      <c r="AI145" s="662"/>
      <c r="AJ145" s="662"/>
      <c r="AK145" s="662"/>
      <c r="AL145" s="720"/>
      <c r="AN145" s="610"/>
      <c r="AO145" s="659"/>
      <c r="AP145" s="660" t="s">
        <v>585</v>
      </c>
      <c r="AQ145" s="661">
        <f>AR145+AW145</f>
        <v>8</v>
      </c>
      <c r="AR145" s="661">
        <f>AS145+AT145</f>
        <v>8</v>
      </c>
      <c r="AS145" s="661"/>
      <c r="AT145" s="661">
        <v>8</v>
      </c>
      <c r="AU145" s="661"/>
      <c r="AV145" s="661">
        <v>7</v>
      </c>
      <c r="AW145" s="661"/>
      <c r="AX145" s="661"/>
      <c r="AY145" s="662">
        <f t="shared" si="264"/>
        <v>1043</v>
      </c>
      <c r="AZ145" s="665">
        <v>395</v>
      </c>
      <c r="BA145" s="662"/>
      <c r="BB145" s="662">
        <v>164</v>
      </c>
      <c r="BC145" s="662"/>
      <c r="BD145" s="662"/>
      <c r="BE145" s="666">
        <f t="shared" si="265"/>
        <v>16.400000000000002</v>
      </c>
      <c r="BF145" s="667">
        <f t="shared" si="266"/>
        <v>16</v>
      </c>
      <c r="BG145" s="666">
        <f t="shared" si="267"/>
        <v>543</v>
      </c>
      <c r="BH145" s="662"/>
      <c r="BI145" s="662"/>
      <c r="BJ145" s="662">
        <v>500</v>
      </c>
      <c r="BK145" s="662"/>
      <c r="BL145" s="666">
        <f>BH145*10%</f>
        <v>0</v>
      </c>
      <c r="BM145" s="667">
        <f t="shared" si="268"/>
        <v>0</v>
      </c>
      <c r="BN145" s="666">
        <f t="shared" si="269"/>
        <v>500</v>
      </c>
      <c r="BO145" s="662"/>
      <c r="BP145" s="662"/>
      <c r="BQ145" s="662">
        <f>932-95</f>
        <v>837</v>
      </c>
      <c r="BR145" s="662"/>
      <c r="BS145" s="662"/>
      <c r="BT145" s="662"/>
      <c r="BU145" s="662"/>
      <c r="BV145" s="662"/>
      <c r="BW145" s="721"/>
      <c r="CA145" s="1352"/>
      <c r="CB145" s="1352" t="s">
        <v>585</v>
      </c>
      <c r="CC145" s="1352">
        <v>7</v>
      </c>
      <c r="CD145" s="1352">
        <v>7</v>
      </c>
      <c r="CE145" s="1352"/>
      <c r="CF145" s="1352">
        <v>7</v>
      </c>
      <c r="CG145" s="1352"/>
      <c r="CH145" s="1352">
        <v>7</v>
      </c>
      <c r="CI145" s="1352"/>
      <c r="CJ145" s="1352"/>
      <c r="CK145" s="1353">
        <v>500</v>
      </c>
      <c r="CL145" s="1353">
        <v>387</v>
      </c>
      <c r="CM145" s="1354"/>
      <c r="CN145" s="1354">
        <v>134</v>
      </c>
      <c r="CO145" s="1354"/>
      <c r="CP145" s="1354"/>
      <c r="CQ145" s="1354"/>
      <c r="CR145" s="1354">
        <v>21</v>
      </c>
      <c r="CS145" s="1354">
        <v>21</v>
      </c>
      <c r="CT145" s="1353">
        <v>500</v>
      </c>
      <c r="CU145" s="1353"/>
      <c r="CV145" s="1353"/>
      <c r="CW145" s="1353"/>
      <c r="CX145" s="1353">
        <v>0</v>
      </c>
      <c r="CY145" s="1353">
        <v>0</v>
      </c>
      <c r="CZ145" s="1353"/>
      <c r="DA145" s="1353">
        <v>0</v>
      </c>
      <c r="DB145" s="1353">
        <v>0</v>
      </c>
      <c r="DC145" s="1353"/>
      <c r="DD145" s="1353"/>
      <c r="DE145" s="1353"/>
      <c r="DF145" s="1353"/>
      <c r="DG145" s="1353"/>
      <c r="DH145" s="1353"/>
      <c r="DI145" s="1353"/>
      <c r="DJ145" s="1353"/>
      <c r="DK145" s="1353"/>
      <c r="DT145" s="659"/>
      <c r="DU145" s="660" t="s">
        <v>585</v>
      </c>
      <c r="DV145" s="777">
        <f t="shared" si="270"/>
        <v>0</v>
      </c>
      <c r="DW145" s="777">
        <f t="shared" si="270"/>
        <v>0</v>
      </c>
      <c r="DX145" s="777">
        <f t="shared" si="270"/>
        <v>0</v>
      </c>
      <c r="DY145" s="777">
        <f t="shared" si="270"/>
        <v>0</v>
      </c>
      <c r="DZ145" s="777">
        <f t="shared" si="270"/>
        <v>0</v>
      </c>
      <c r="EA145" s="777">
        <f t="shared" si="270"/>
        <v>0</v>
      </c>
      <c r="EB145" s="777">
        <f t="shared" si="270"/>
        <v>0</v>
      </c>
      <c r="EC145" s="777">
        <f t="shared" si="270"/>
        <v>0</v>
      </c>
      <c r="ED145" s="777">
        <f t="shared" si="270"/>
        <v>0</v>
      </c>
      <c r="EE145" s="777">
        <f t="shared" si="270"/>
        <v>0</v>
      </c>
      <c r="EF145" s="777">
        <f t="shared" si="270"/>
        <v>0</v>
      </c>
      <c r="EG145" s="777">
        <f t="shared" si="270"/>
        <v>0</v>
      </c>
      <c r="EH145" s="777">
        <f t="shared" si="270"/>
        <v>0</v>
      </c>
      <c r="EI145" s="777">
        <f t="shared" si="270"/>
        <v>0</v>
      </c>
      <c r="EJ145" s="777">
        <f t="shared" si="270"/>
        <v>0</v>
      </c>
      <c r="EK145" s="777">
        <f t="shared" si="270"/>
        <v>0</v>
      </c>
      <c r="EL145" s="777">
        <f t="shared" si="271"/>
        <v>0</v>
      </c>
      <c r="EM145" s="777">
        <f t="shared" si="271"/>
        <v>0</v>
      </c>
      <c r="EN145" s="777">
        <f t="shared" si="271"/>
        <v>0</v>
      </c>
      <c r="EO145" s="777">
        <f t="shared" si="271"/>
        <v>0</v>
      </c>
      <c r="EP145" s="777">
        <f t="shared" si="271"/>
        <v>0</v>
      </c>
      <c r="EQ145" s="777">
        <f t="shared" si="271"/>
        <v>0</v>
      </c>
      <c r="ER145" s="777">
        <f t="shared" si="271"/>
        <v>0</v>
      </c>
      <c r="ES145" s="777">
        <f t="shared" si="271"/>
        <v>0</v>
      </c>
      <c r="ET145" s="777">
        <f t="shared" si="271"/>
        <v>0</v>
      </c>
      <c r="EU145" s="777">
        <f t="shared" si="271"/>
        <v>0</v>
      </c>
      <c r="EV145" s="777">
        <f t="shared" si="271"/>
        <v>0</v>
      </c>
    </row>
    <row r="146" spans="1:152" ht="43.5" hidden="1" customHeight="1">
      <c r="A146" s="659"/>
      <c r="B146" s="660" t="s">
        <v>586</v>
      </c>
      <c r="C146" s="661">
        <f>D146+I146</f>
        <v>15</v>
      </c>
      <c r="D146" s="661">
        <f>E146+F146</f>
        <v>13</v>
      </c>
      <c r="E146" s="661"/>
      <c r="F146" s="661">
        <v>13</v>
      </c>
      <c r="G146" s="661"/>
      <c r="H146" s="661">
        <v>13</v>
      </c>
      <c r="I146" s="661">
        <v>2</v>
      </c>
      <c r="J146" s="661">
        <v>2</v>
      </c>
      <c r="K146" s="646">
        <f t="shared" si="272"/>
        <v>912</v>
      </c>
      <c r="L146" s="662">
        <f t="shared" si="258"/>
        <v>912</v>
      </c>
      <c r="M146" s="662">
        <v>912</v>
      </c>
      <c r="N146" s="662"/>
      <c r="O146" s="662"/>
      <c r="P146" s="662"/>
      <c r="Q146" s="662"/>
      <c r="R146" s="666"/>
      <c r="S146" s="666"/>
      <c r="T146" s="666">
        <f t="shared" si="259"/>
        <v>0</v>
      </c>
      <c r="U146" s="666">
        <f t="shared" si="260"/>
        <v>912</v>
      </c>
      <c r="V146" s="662"/>
      <c r="W146" s="662"/>
      <c r="X146" s="662"/>
      <c r="Y146" s="666">
        <f t="shared" si="261"/>
        <v>0</v>
      </c>
      <c r="Z146" s="666">
        <f t="shared" si="273"/>
        <v>0</v>
      </c>
      <c r="AA146" s="666"/>
      <c r="AB146" s="666">
        <f t="shared" si="262"/>
        <v>0</v>
      </c>
      <c r="AC146" s="666">
        <f>(V146+W146)-AB146</f>
        <v>0</v>
      </c>
      <c r="AD146" s="662"/>
      <c r="AE146" s="662"/>
      <c r="AF146" s="662"/>
      <c r="AG146" s="662"/>
      <c r="AH146" s="662"/>
      <c r="AI146" s="662"/>
      <c r="AJ146" s="662"/>
      <c r="AK146" s="662"/>
      <c r="AL146" s="720"/>
      <c r="AN146" s="610"/>
      <c r="AO146" s="659"/>
      <c r="AP146" s="751" t="s">
        <v>586</v>
      </c>
      <c r="AQ146" s="661">
        <f>AR146+AW146</f>
        <v>16</v>
      </c>
      <c r="AR146" s="661">
        <f>AS146+AT146</f>
        <v>14</v>
      </c>
      <c r="AS146" s="661"/>
      <c r="AT146" s="661">
        <v>14</v>
      </c>
      <c r="AU146" s="661"/>
      <c r="AV146" s="661">
        <v>12</v>
      </c>
      <c r="AW146" s="661">
        <v>2</v>
      </c>
      <c r="AX146" s="661">
        <v>2</v>
      </c>
      <c r="AY146" s="662">
        <f t="shared" si="264"/>
        <v>1082</v>
      </c>
      <c r="AZ146" s="665">
        <v>833</v>
      </c>
      <c r="BA146" s="662"/>
      <c r="BB146" s="662">
        <v>154</v>
      </c>
      <c r="BC146" s="662"/>
      <c r="BD146" s="662"/>
      <c r="BE146" s="666">
        <f t="shared" si="265"/>
        <v>15.4</v>
      </c>
      <c r="BF146" s="667">
        <f t="shared" si="266"/>
        <v>15</v>
      </c>
      <c r="BG146" s="666">
        <f t="shared" si="267"/>
        <v>972</v>
      </c>
      <c r="BH146" s="662"/>
      <c r="BI146" s="662"/>
      <c r="BJ146" s="662">
        <v>110</v>
      </c>
      <c r="BK146" s="662"/>
      <c r="BL146" s="666">
        <f>BH146*10%</f>
        <v>0</v>
      </c>
      <c r="BM146" s="667">
        <f t="shared" si="268"/>
        <v>0</v>
      </c>
      <c r="BN146" s="666">
        <f t="shared" si="269"/>
        <v>110</v>
      </c>
      <c r="BO146" s="662"/>
      <c r="BP146" s="662"/>
      <c r="BQ146" s="662">
        <f>1200-121</f>
        <v>1079</v>
      </c>
      <c r="BR146" s="662"/>
      <c r="BS146" s="662"/>
      <c r="BT146" s="662"/>
      <c r="BU146" s="662"/>
      <c r="BV146" s="662"/>
      <c r="BW146" s="721"/>
      <c r="CA146" s="1352"/>
      <c r="CB146" s="1352" t="s">
        <v>586</v>
      </c>
      <c r="CC146" s="1352">
        <v>16</v>
      </c>
      <c r="CD146" s="1352">
        <v>14</v>
      </c>
      <c r="CE146" s="1352"/>
      <c r="CF146" s="1352">
        <v>14</v>
      </c>
      <c r="CG146" s="1352"/>
      <c r="CH146" s="1352">
        <v>13</v>
      </c>
      <c r="CI146" s="1352">
        <v>2</v>
      </c>
      <c r="CJ146" s="1352">
        <v>2</v>
      </c>
      <c r="CK146" s="1353">
        <v>960</v>
      </c>
      <c r="CL146" s="1353">
        <v>960</v>
      </c>
      <c r="CM146" s="1354"/>
      <c r="CN146" s="1354"/>
      <c r="CO146" s="1354"/>
      <c r="CP146" s="1354"/>
      <c r="CQ146" s="1354"/>
      <c r="CR146" s="1354"/>
      <c r="CS146" s="1354">
        <v>0</v>
      </c>
      <c r="CT146" s="1353">
        <v>960</v>
      </c>
      <c r="CU146" s="1353"/>
      <c r="CV146" s="1353"/>
      <c r="CW146" s="1353"/>
      <c r="CX146" s="1353">
        <v>0</v>
      </c>
      <c r="CY146" s="1353">
        <v>0</v>
      </c>
      <c r="CZ146" s="1353"/>
      <c r="DA146" s="1353">
        <v>0</v>
      </c>
      <c r="DB146" s="1353">
        <v>0</v>
      </c>
      <c r="DC146" s="1353"/>
      <c r="DD146" s="1353"/>
      <c r="DE146" s="1353"/>
      <c r="DF146" s="1353"/>
      <c r="DG146" s="1353"/>
      <c r="DH146" s="1353"/>
      <c r="DI146" s="1353"/>
      <c r="DJ146" s="1353"/>
      <c r="DK146" s="1353"/>
      <c r="DT146" s="659"/>
      <c r="DU146" s="660" t="s">
        <v>586</v>
      </c>
      <c r="DV146" s="777">
        <f t="shared" si="270"/>
        <v>-48</v>
      </c>
      <c r="DW146" s="777">
        <f t="shared" si="270"/>
        <v>-48</v>
      </c>
      <c r="DX146" s="777">
        <f t="shared" si="270"/>
        <v>0</v>
      </c>
      <c r="DY146" s="777">
        <f t="shared" si="270"/>
        <v>0</v>
      </c>
      <c r="DZ146" s="777">
        <f t="shared" si="270"/>
        <v>0</v>
      </c>
      <c r="EA146" s="777">
        <f t="shared" si="270"/>
        <v>0</v>
      </c>
      <c r="EB146" s="777">
        <f t="shared" si="270"/>
        <v>0</v>
      </c>
      <c r="EC146" s="777">
        <f t="shared" si="270"/>
        <v>0</v>
      </c>
      <c r="ED146" s="777">
        <f t="shared" si="270"/>
        <v>0</v>
      </c>
      <c r="EE146" s="777">
        <f t="shared" si="270"/>
        <v>-48</v>
      </c>
      <c r="EF146" s="777">
        <f t="shared" si="270"/>
        <v>0</v>
      </c>
      <c r="EG146" s="777">
        <f t="shared" si="270"/>
        <v>0</v>
      </c>
      <c r="EH146" s="777">
        <f t="shared" si="270"/>
        <v>0</v>
      </c>
      <c r="EI146" s="777">
        <f t="shared" si="270"/>
        <v>0</v>
      </c>
      <c r="EJ146" s="777">
        <f t="shared" si="270"/>
        <v>0</v>
      </c>
      <c r="EK146" s="777">
        <f t="shared" si="270"/>
        <v>0</v>
      </c>
      <c r="EL146" s="777">
        <f t="shared" si="271"/>
        <v>0</v>
      </c>
      <c r="EM146" s="777">
        <f t="shared" si="271"/>
        <v>0</v>
      </c>
      <c r="EN146" s="777">
        <f t="shared" si="271"/>
        <v>0</v>
      </c>
      <c r="EO146" s="777">
        <f t="shared" si="271"/>
        <v>0</v>
      </c>
      <c r="EP146" s="777">
        <f t="shared" si="271"/>
        <v>0</v>
      </c>
      <c r="EQ146" s="777">
        <f t="shared" si="271"/>
        <v>0</v>
      </c>
      <c r="ER146" s="777">
        <f t="shared" si="271"/>
        <v>0</v>
      </c>
      <c r="ES146" s="777">
        <f t="shared" si="271"/>
        <v>0</v>
      </c>
      <c r="ET146" s="777">
        <f t="shared" si="271"/>
        <v>0</v>
      </c>
      <c r="EU146" s="777">
        <f t="shared" si="271"/>
        <v>0</v>
      </c>
      <c r="EV146" s="777">
        <f t="shared" si="271"/>
        <v>0</v>
      </c>
    </row>
    <row r="147" spans="1:152" ht="38.25" hidden="1" customHeight="1">
      <c r="A147" s="659"/>
      <c r="B147" s="660" t="s">
        <v>587</v>
      </c>
      <c r="C147" s="661">
        <f>D147+I147</f>
        <v>10</v>
      </c>
      <c r="D147" s="661">
        <f>E147+F147</f>
        <v>10</v>
      </c>
      <c r="E147" s="661"/>
      <c r="F147" s="661">
        <v>10</v>
      </c>
      <c r="G147" s="661"/>
      <c r="H147" s="661">
        <v>10</v>
      </c>
      <c r="I147" s="661"/>
      <c r="J147" s="661"/>
      <c r="K147" s="646">
        <f t="shared" si="272"/>
        <v>1994</v>
      </c>
      <c r="L147" s="662">
        <f t="shared" si="258"/>
        <v>1994</v>
      </c>
      <c r="M147" s="662">
        <v>763</v>
      </c>
      <c r="N147" s="662">
        <v>231</v>
      </c>
      <c r="O147" s="662">
        <v>30</v>
      </c>
      <c r="P147" s="662"/>
      <c r="Q147" s="662"/>
      <c r="R147" s="666">
        <f>((N147+O147)-(BA147+BB147))*10%</f>
        <v>0</v>
      </c>
      <c r="S147" s="666">
        <v>26</v>
      </c>
      <c r="T147" s="666">
        <f t="shared" si="259"/>
        <v>26</v>
      </c>
      <c r="U147" s="666">
        <f t="shared" si="260"/>
        <v>998</v>
      </c>
      <c r="V147" s="662">
        <f>1032+30</f>
        <v>1062</v>
      </c>
      <c r="W147" s="662"/>
      <c r="X147" s="662"/>
      <c r="Y147" s="666">
        <f t="shared" si="261"/>
        <v>23.200000000000003</v>
      </c>
      <c r="Z147" s="666">
        <f t="shared" si="273"/>
        <v>106.2</v>
      </c>
      <c r="AA147" s="666">
        <v>43</v>
      </c>
      <c r="AB147" s="666">
        <f t="shared" si="262"/>
        <v>66</v>
      </c>
      <c r="AC147" s="666">
        <f>(V147+W147)-AB147</f>
        <v>996</v>
      </c>
      <c r="AD147" s="662"/>
      <c r="AE147" s="662"/>
      <c r="AF147" s="662"/>
      <c r="AG147" s="662"/>
      <c r="AH147" s="662"/>
      <c r="AI147" s="662"/>
      <c r="AJ147" s="662"/>
      <c r="AK147" s="662"/>
      <c r="AL147" s="720"/>
      <c r="AN147" s="610"/>
      <c r="AO147" s="659"/>
      <c r="AP147" s="660" t="s">
        <v>587</v>
      </c>
      <c r="AQ147" s="661">
        <f>AR147+AW147</f>
        <v>10</v>
      </c>
      <c r="AR147" s="661">
        <f>AS147+AT147</f>
        <v>10</v>
      </c>
      <c r="AS147" s="661"/>
      <c r="AT147" s="661">
        <v>10</v>
      </c>
      <c r="AU147" s="661"/>
      <c r="AV147" s="661">
        <v>10</v>
      </c>
      <c r="AW147" s="661"/>
      <c r="AX147" s="661"/>
      <c r="AY147" s="662">
        <f t="shared" si="264"/>
        <v>1760</v>
      </c>
      <c r="AZ147" s="665">
        <v>664</v>
      </c>
      <c r="BA147" s="662">
        <v>261</v>
      </c>
      <c r="BB147" s="662"/>
      <c r="BC147" s="662"/>
      <c r="BD147" s="662"/>
      <c r="BE147" s="666">
        <f t="shared" si="265"/>
        <v>26.1</v>
      </c>
      <c r="BF147" s="667">
        <f t="shared" si="266"/>
        <v>26</v>
      </c>
      <c r="BG147" s="666">
        <f t="shared" si="267"/>
        <v>899</v>
      </c>
      <c r="BH147" s="662">
        <v>826</v>
      </c>
      <c r="BI147" s="662"/>
      <c r="BJ147" s="662">
        <v>73</v>
      </c>
      <c r="BK147" s="662"/>
      <c r="BL147" s="666">
        <f>BH147*10%</f>
        <v>82.600000000000009</v>
      </c>
      <c r="BM147" s="667">
        <f t="shared" si="268"/>
        <v>83</v>
      </c>
      <c r="BN147" s="666">
        <f t="shared" si="269"/>
        <v>816</v>
      </c>
      <c r="BO147" s="662">
        <v>45</v>
      </c>
      <c r="BP147" s="662"/>
      <c r="BQ147" s="662"/>
      <c r="BR147" s="662"/>
      <c r="BS147" s="662"/>
      <c r="BT147" s="662"/>
      <c r="BU147" s="662"/>
      <c r="BV147" s="662"/>
      <c r="BW147" s="721"/>
      <c r="CA147" s="1352"/>
      <c r="CB147" s="1352" t="s">
        <v>587</v>
      </c>
      <c r="CC147" s="1352">
        <v>10</v>
      </c>
      <c r="CD147" s="1352">
        <v>10</v>
      </c>
      <c r="CE147" s="1352"/>
      <c r="CF147" s="1352">
        <v>10</v>
      </c>
      <c r="CG147" s="1352"/>
      <c r="CH147" s="1352">
        <v>10</v>
      </c>
      <c r="CI147" s="1352"/>
      <c r="CJ147" s="1352"/>
      <c r="CK147" s="1353">
        <v>1997</v>
      </c>
      <c r="CL147" s="1353">
        <v>763</v>
      </c>
      <c r="CM147" s="1354">
        <v>231</v>
      </c>
      <c r="CN147" s="1354">
        <v>30</v>
      </c>
      <c r="CO147" s="1354"/>
      <c r="CP147" s="1354"/>
      <c r="CQ147" s="1354">
        <v>0</v>
      </c>
      <c r="CR147" s="1354">
        <v>26</v>
      </c>
      <c r="CS147" s="1354">
        <v>26</v>
      </c>
      <c r="CT147" s="1353">
        <v>998</v>
      </c>
      <c r="CU147" s="1353">
        <v>1032</v>
      </c>
      <c r="CV147" s="1353">
        <v>30</v>
      </c>
      <c r="CW147" s="1353"/>
      <c r="CX147" s="1353">
        <v>20.200000000000003</v>
      </c>
      <c r="CY147" s="1353">
        <v>103.2</v>
      </c>
      <c r="CZ147" s="1353">
        <v>43</v>
      </c>
      <c r="DA147" s="1353">
        <v>63</v>
      </c>
      <c r="DB147" s="1353">
        <v>999</v>
      </c>
      <c r="DC147" s="1353"/>
      <c r="DD147" s="1353"/>
      <c r="DE147" s="1353"/>
      <c r="DF147" s="1353"/>
      <c r="DG147" s="1353"/>
      <c r="DH147" s="1353"/>
      <c r="DI147" s="1353"/>
      <c r="DJ147" s="1353"/>
      <c r="DK147" s="1353"/>
      <c r="DT147" s="659"/>
      <c r="DU147" s="660" t="s">
        <v>587</v>
      </c>
      <c r="DV147" s="777">
        <f t="shared" si="270"/>
        <v>-3</v>
      </c>
      <c r="DW147" s="777">
        <f t="shared" si="270"/>
        <v>0</v>
      </c>
      <c r="DX147" s="777">
        <f t="shared" si="270"/>
        <v>0</v>
      </c>
      <c r="DY147" s="777">
        <f t="shared" si="270"/>
        <v>0</v>
      </c>
      <c r="DZ147" s="777">
        <f t="shared" si="270"/>
        <v>0</v>
      </c>
      <c r="EA147" s="777">
        <f t="shared" si="270"/>
        <v>0</v>
      </c>
      <c r="EB147" s="777">
        <f t="shared" si="270"/>
        <v>0</v>
      </c>
      <c r="EC147" s="777">
        <f t="shared" si="270"/>
        <v>0</v>
      </c>
      <c r="ED147" s="777">
        <f t="shared" si="270"/>
        <v>0</v>
      </c>
      <c r="EE147" s="777">
        <f t="shared" si="270"/>
        <v>0</v>
      </c>
      <c r="EF147" s="777">
        <f t="shared" si="270"/>
        <v>30</v>
      </c>
      <c r="EG147" s="777">
        <f t="shared" si="270"/>
        <v>-30</v>
      </c>
      <c r="EH147" s="777">
        <f t="shared" si="270"/>
        <v>0</v>
      </c>
      <c r="EI147" s="777">
        <f t="shared" si="270"/>
        <v>3</v>
      </c>
      <c r="EJ147" s="777">
        <f t="shared" si="270"/>
        <v>3</v>
      </c>
      <c r="EK147" s="777">
        <f t="shared" si="270"/>
        <v>0</v>
      </c>
      <c r="EL147" s="777">
        <f t="shared" si="271"/>
        <v>3</v>
      </c>
      <c r="EM147" s="777">
        <f t="shared" si="271"/>
        <v>-3</v>
      </c>
      <c r="EN147" s="777">
        <f t="shared" si="271"/>
        <v>0</v>
      </c>
      <c r="EO147" s="777">
        <f t="shared" si="271"/>
        <v>0</v>
      </c>
      <c r="EP147" s="777">
        <f t="shared" si="271"/>
        <v>0</v>
      </c>
      <c r="EQ147" s="777">
        <f t="shared" si="271"/>
        <v>0</v>
      </c>
      <c r="ER147" s="777">
        <f t="shared" si="271"/>
        <v>0</v>
      </c>
      <c r="ES147" s="777">
        <f t="shared" si="271"/>
        <v>0</v>
      </c>
      <c r="ET147" s="777">
        <f t="shared" si="271"/>
        <v>0</v>
      </c>
      <c r="EU147" s="777">
        <f t="shared" si="271"/>
        <v>0</v>
      </c>
      <c r="EV147" s="777">
        <f t="shared" si="271"/>
        <v>0</v>
      </c>
    </row>
    <row r="148" spans="1:152" s="693" customFormat="1" ht="33.75" hidden="1" customHeight="1">
      <c r="A148" s="682"/>
      <c r="B148" s="683" t="s">
        <v>588</v>
      </c>
      <c r="C148" s="684"/>
      <c r="D148" s="684"/>
      <c r="E148" s="684"/>
      <c r="F148" s="684"/>
      <c r="G148" s="684"/>
      <c r="H148" s="684"/>
      <c r="I148" s="684"/>
      <c r="J148" s="684"/>
      <c r="K148" s="646">
        <f t="shared" si="272"/>
        <v>0</v>
      </c>
      <c r="L148" s="692">
        <f t="shared" si="258"/>
        <v>0</v>
      </c>
      <c r="M148" s="692"/>
      <c r="N148" s="692"/>
      <c r="O148" s="692"/>
      <c r="P148" s="692"/>
      <c r="Q148" s="692"/>
      <c r="R148" s="666">
        <f>((N148+O148)-(BA148+BB148))*10%</f>
        <v>0</v>
      </c>
      <c r="S148" s="692"/>
      <c r="T148" s="666">
        <f t="shared" si="259"/>
        <v>0</v>
      </c>
      <c r="U148" s="666">
        <f t="shared" si="260"/>
        <v>0</v>
      </c>
      <c r="V148" s="692"/>
      <c r="W148" s="692"/>
      <c r="X148" s="692"/>
      <c r="Y148" s="666">
        <f t="shared" si="261"/>
        <v>0</v>
      </c>
      <c r="Z148" s="666">
        <f t="shared" si="273"/>
        <v>0</v>
      </c>
      <c r="AA148" s="666"/>
      <c r="AB148" s="666">
        <f t="shared" si="262"/>
        <v>0</v>
      </c>
      <c r="AC148" s="666">
        <f t="shared" si="263"/>
        <v>0</v>
      </c>
      <c r="AD148" s="692"/>
      <c r="AE148" s="692"/>
      <c r="AF148" s="692"/>
      <c r="AG148" s="692"/>
      <c r="AH148" s="692"/>
      <c r="AI148" s="692"/>
      <c r="AJ148" s="692"/>
      <c r="AK148" s="692"/>
      <c r="AL148" s="786"/>
      <c r="AM148" s="689"/>
      <c r="AN148" s="690"/>
      <c r="AO148" s="682"/>
      <c r="AP148" s="683" t="s">
        <v>588</v>
      </c>
      <c r="AQ148" s="684"/>
      <c r="AR148" s="684"/>
      <c r="AS148" s="684"/>
      <c r="AT148" s="684"/>
      <c r="AU148" s="684"/>
      <c r="AV148" s="684"/>
      <c r="AW148" s="684"/>
      <c r="AX148" s="684"/>
      <c r="AY148" s="692">
        <f t="shared" si="264"/>
        <v>0</v>
      </c>
      <c r="AZ148" s="713"/>
      <c r="BA148" s="692"/>
      <c r="BB148" s="692"/>
      <c r="BC148" s="692"/>
      <c r="BD148" s="692"/>
      <c r="BE148" s="692"/>
      <c r="BF148" s="712"/>
      <c r="BG148" s="692">
        <f>AZ148+BA148+BB148+BC148-BD148-BE148</f>
        <v>0</v>
      </c>
      <c r="BH148" s="692">
        <f>1000-1000</f>
        <v>0</v>
      </c>
      <c r="BI148" s="692"/>
      <c r="BJ148" s="692"/>
      <c r="BK148" s="692"/>
      <c r="BL148" s="692"/>
      <c r="BM148" s="667">
        <f t="shared" si="268"/>
        <v>0</v>
      </c>
      <c r="BN148" s="692">
        <f>BH148+BI148+BJ148-BK148-BL148</f>
        <v>0</v>
      </c>
      <c r="BO148" s="692"/>
      <c r="BP148" s="692"/>
      <c r="BQ148" s="692"/>
      <c r="BR148" s="692"/>
      <c r="BS148" s="692"/>
      <c r="BT148" s="692"/>
      <c r="BU148" s="692"/>
      <c r="BV148" s="692"/>
      <c r="BW148" s="787"/>
      <c r="BY148" s="1355"/>
      <c r="BZ148" s="1355"/>
      <c r="CA148" s="1356"/>
      <c r="CB148" s="1356" t="s">
        <v>588</v>
      </c>
      <c r="CC148" s="1356"/>
      <c r="CD148" s="1356"/>
      <c r="CE148" s="1356"/>
      <c r="CF148" s="1356"/>
      <c r="CG148" s="1356"/>
      <c r="CH148" s="1356"/>
      <c r="CI148" s="1356"/>
      <c r="CJ148" s="1356"/>
      <c r="CK148" s="1357">
        <v>0</v>
      </c>
      <c r="CL148" s="1357"/>
      <c r="CM148" s="1358"/>
      <c r="CN148" s="1358"/>
      <c r="CO148" s="1358"/>
      <c r="CP148" s="1358"/>
      <c r="CQ148" s="1358">
        <v>0</v>
      </c>
      <c r="CR148" s="1358"/>
      <c r="CS148" s="1358">
        <v>0</v>
      </c>
      <c r="CT148" s="1357">
        <v>0</v>
      </c>
      <c r="CU148" s="1357"/>
      <c r="CV148" s="1357"/>
      <c r="CW148" s="1357"/>
      <c r="CX148" s="1357">
        <v>0</v>
      </c>
      <c r="CY148" s="1357">
        <v>0</v>
      </c>
      <c r="CZ148" s="1357"/>
      <c r="DA148" s="1357">
        <v>0</v>
      </c>
      <c r="DB148" s="1357">
        <v>0</v>
      </c>
      <c r="DC148" s="1357"/>
      <c r="DD148" s="1357"/>
      <c r="DE148" s="1357"/>
      <c r="DF148" s="1357"/>
      <c r="DG148" s="1357"/>
      <c r="DH148" s="1357"/>
      <c r="DI148" s="1357"/>
      <c r="DJ148" s="1357"/>
      <c r="DK148" s="1357"/>
      <c r="DT148" s="682"/>
      <c r="DU148" s="683" t="s">
        <v>588</v>
      </c>
      <c r="DV148" s="777">
        <f t="shared" si="270"/>
        <v>0</v>
      </c>
      <c r="DW148" s="777">
        <f t="shared" si="270"/>
        <v>0</v>
      </c>
      <c r="DX148" s="777">
        <f t="shared" si="270"/>
        <v>0</v>
      </c>
      <c r="DY148" s="777">
        <f t="shared" si="270"/>
        <v>0</v>
      </c>
      <c r="DZ148" s="777">
        <f t="shared" si="270"/>
        <v>0</v>
      </c>
      <c r="EA148" s="777">
        <f t="shared" si="270"/>
        <v>0</v>
      </c>
      <c r="EB148" s="777">
        <f t="shared" si="270"/>
        <v>0</v>
      </c>
      <c r="EC148" s="777">
        <f t="shared" si="270"/>
        <v>0</v>
      </c>
      <c r="ED148" s="777">
        <f t="shared" si="270"/>
        <v>0</v>
      </c>
      <c r="EE148" s="777">
        <f t="shared" si="270"/>
        <v>0</v>
      </c>
      <c r="EF148" s="777">
        <f t="shared" si="270"/>
        <v>0</v>
      </c>
      <c r="EG148" s="777">
        <f t="shared" si="270"/>
        <v>0</v>
      </c>
      <c r="EH148" s="777">
        <f t="shared" si="270"/>
        <v>0</v>
      </c>
      <c r="EI148" s="777">
        <f t="shared" si="270"/>
        <v>0</v>
      </c>
      <c r="EJ148" s="777">
        <f t="shared" si="270"/>
        <v>0</v>
      </c>
      <c r="EK148" s="777">
        <f t="shared" si="270"/>
        <v>0</v>
      </c>
      <c r="EL148" s="777">
        <f t="shared" si="271"/>
        <v>0</v>
      </c>
      <c r="EM148" s="777">
        <f t="shared" si="271"/>
        <v>0</v>
      </c>
      <c r="EN148" s="777">
        <f t="shared" si="271"/>
        <v>0</v>
      </c>
      <c r="EO148" s="777">
        <f t="shared" si="271"/>
        <v>0</v>
      </c>
      <c r="EP148" s="777">
        <f t="shared" si="271"/>
        <v>0</v>
      </c>
      <c r="EQ148" s="777">
        <f t="shared" si="271"/>
        <v>0</v>
      </c>
      <c r="ER148" s="777">
        <f t="shared" si="271"/>
        <v>0</v>
      </c>
      <c r="ES148" s="777">
        <f t="shared" si="271"/>
        <v>0</v>
      </c>
      <c r="ET148" s="777">
        <f t="shared" si="271"/>
        <v>0</v>
      </c>
      <c r="EU148" s="777">
        <f t="shared" si="271"/>
        <v>0</v>
      </c>
      <c r="EV148" s="777">
        <f t="shared" si="271"/>
        <v>0</v>
      </c>
    </row>
    <row r="149" spans="1:152" s="693" customFormat="1" ht="24" customHeight="1">
      <c r="A149" s="788" t="s">
        <v>589</v>
      </c>
      <c r="B149" s="651" t="s">
        <v>590</v>
      </c>
      <c r="C149" s="767">
        <f t="shared" ref="C149:J149" si="274">SUM(C150,C186,C199,C202)</f>
        <v>1338</v>
      </c>
      <c r="D149" s="767">
        <f t="shared" si="274"/>
        <v>1209</v>
      </c>
      <c r="E149" s="767">
        <f t="shared" si="274"/>
        <v>1062</v>
      </c>
      <c r="F149" s="767">
        <f t="shared" si="274"/>
        <v>147</v>
      </c>
      <c r="G149" s="767">
        <f t="shared" si="274"/>
        <v>989</v>
      </c>
      <c r="H149" s="767">
        <f t="shared" si="274"/>
        <v>181</v>
      </c>
      <c r="I149" s="767">
        <f t="shared" si="274"/>
        <v>129</v>
      </c>
      <c r="J149" s="767">
        <f t="shared" si="274"/>
        <v>123</v>
      </c>
      <c r="K149" s="646">
        <f t="shared" si="272"/>
        <v>304084</v>
      </c>
      <c r="L149" s="653">
        <f t="shared" ref="L149:AL149" si="275">SUM(L150,L186,L199,L202)</f>
        <v>321036</v>
      </c>
      <c r="M149" s="767">
        <f t="shared" si="275"/>
        <v>137020</v>
      </c>
      <c r="N149" s="767">
        <f t="shared" si="275"/>
        <v>26841</v>
      </c>
      <c r="O149" s="767">
        <f t="shared" si="275"/>
        <v>5009</v>
      </c>
      <c r="P149" s="767">
        <f t="shared" si="275"/>
        <v>1818</v>
      </c>
      <c r="Q149" s="767">
        <f t="shared" si="275"/>
        <v>24</v>
      </c>
      <c r="R149" s="767">
        <f t="shared" si="275"/>
        <v>45.300000000000004</v>
      </c>
      <c r="S149" s="767">
        <f t="shared" si="275"/>
        <v>4011</v>
      </c>
      <c r="T149" s="767">
        <f t="shared" si="275"/>
        <v>4081</v>
      </c>
      <c r="U149" s="767">
        <f t="shared" si="275"/>
        <v>166607</v>
      </c>
      <c r="V149" s="767">
        <f t="shared" si="275"/>
        <v>129020</v>
      </c>
      <c r="W149" s="767">
        <f t="shared" si="275"/>
        <v>16442</v>
      </c>
      <c r="X149" s="767">
        <f t="shared" si="275"/>
        <v>20</v>
      </c>
      <c r="Y149" s="767">
        <f t="shared" si="275"/>
        <v>1738.0000000000005</v>
      </c>
      <c r="Z149" s="767">
        <f t="shared" si="275"/>
        <v>9595</v>
      </c>
      <c r="AA149" s="767">
        <f t="shared" si="275"/>
        <v>7526</v>
      </c>
      <c r="AB149" s="767">
        <f t="shared" si="275"/>
        <v>9285</v>
      </c>
      <c r="AC149" s="767">
        <f t="shared" si="275"/>
        <v>136177</v>
      </c>
      <c r="AD149" s="767">
        <f t="shared" si="275"/>
        <v>16952</v>
      </c>
      <c r="AE149" s="767">
        <f t="shared" si="275"/>
        <v>1300</v>
      </c>
      <c r="AF149" s="767">
        <f t="shared" si="275"/>
        <v>0</v>
      </c>
      <c r="AG149" s="767">
        <f t="shared" si="275"/>
        <v>3630</v>
      </c>
      <c r="AH149" s="767">
        <f t="shared" si="275"/>
        <v>2658</v>
      </c>
      <c r="AI149" s="767">
        <f t="shared" si="275"/>
        <v>5377</v>
      </c>
      <c r="AJ149" s="767">
        <f t="shared" si="275"/>
        <v>3584</v>
      </c>
      <c r="AK149" s="767">
        <f t="shared" si="275"/>
        <v>35517</v>
      </c>
      <c r="AL149" s="769">
        <f t="shared" si="275"/>
        <v>0</v>
      </c>
      <c r="AM149" s="689"/>
      <c r="AN149" s="610">
        <v>162143.4</v>
      </c>
      <c r="AO149" s="788" t="s">
        <v>589</v>
      </c>
      <c r="AP149" s="651" t="s">
        <v>590</v>
      </c>
      <c r="AQ149" s="767">
        <f t="shared" ref="AQ149:BW149" si="276">SUM(AQ150,AQ186,AQ199,AQ202)</f>
        <v>1505</v>
      </c>
      <c r="AR149" s="767">
        <f t="shared" si="276"/>
        <v>1358</v>
      </c>
      <c r="AS149" s="767">
        <f t="shared" si="276"/>
        <v>1200</v>
      </c>
      <c r="AT149" s="767">
        <f t="shared" si="276"/>
        <v>158</v>
      </c>
      <c r="AU149" s="767">
        <f t="shared" si="276"/>
        <v>1113</v>
      </c>
      <c r="AV149" s="767">
        <f t="shared" si="276"/>
        <v>135</v>
      </c>
      <c r="AW149" s="767">
        <f t="shared" si="276"/>
        <v>147</v>
      </c>
      <c r="AX149" s="767">
        <f t="shared" si="276"/>
        <v>108</v>
      </c>
      <c r="AY149" s="767">
        <f t="shared" si="276"/>
        <v>316263</v>
      </c>
      <c r="AZ149" s="771">
        <f t="shared" si="276"/>
        <v>139500</v>
      </c>
      <c r="BA149" s="767">
        <f t="shared" si="276"/>
        <v>29151</v>
      </c>
      <c r="BB149" s="767">
        <f t="shared" si="276"/>
        <v>6303</v>
      </c>
      <c r="BC149" s="767">
        <f t="shared" si="276"/>
        <v>2067</v>
      </c>
      <c r="BD149" s="767">
        <f t="shared" si="276"/>
        <v>0</v>
      </c>
      <c r="BE149" s="767">
        <f t="shared" si="276"/>
        <v>3545.1</v>
      </c>
      <c r="BF149" s="768">
        <f t="shared" si="276"/>
        <v>3549</v>
      </c>
      <c r="BG149" s="767">
        <f t="shared" si="276"/>
        <v>173472</v>
      </c>
      <c r="BH149" s="767">
        <f t="shared" si="276"/>
        <v>108182</v>
      </c>
      <c r="BI149" s="767">
        <f t="shared" si="276"/>
        <v>6808</v>
      </c>
      <c r="BJ149" s="767">
        <f t="shared" si="276"/>
        <v>15409</v>
      </c>
      <c r="BK149" s="767">
        <f t="shared" si="276"/>
        <v>0</v>
      </c>
      <c r="BL149" s="767">
        <f t="shared" si="276"/>
        <v>8666.1</v>
      </c>
      <c r="BM149" s="768">
        <f t="shared" si="276"/>
        <v>8667</v>
      </c>
      <c r="BN149" s="767">
        <f t="shared" si="276"/>
        <v>121732</v>
      </c>
      <c r="BO149" s="767">
        <f t="shared" si="276"/>
        <v>17944</v>
      </c>
      <c r="BP149" s="767">
        <f t="shared" si="276"/>
        <v>3115</v>
      </c>
      <c r="BQ149" s="767">
        <f t="shared" si="276"/>
        <v>808</v>
      </c>
      <c r="BR149" s="767">
        <f t="shared" si="276"/>
        <v>1343</v>
      </c>
      <c r="BS149" s="767">
        <f t="shared" si="276"/>
        <v>6943</v>
      </c>
      <c r="BT149" s="767">
        <f t="shared" si="276"/>
        <v>10085</v>
      </c>
      <c r="BU149" s="767">
        <f t="shared" si="276"/>
        <v>1106</v>
      </c>
      <c r="BV149" s="767">
        <f t="shared" si="276"/>
        <v>0</v>
      </c>
      <c r="BW149" s="767">
        <f t="shared" si="276"/>
        <v>0</v>
      </c>
      <c r="BY149" s="1355"/>
      <c r="BZ149" s="1355"/>
      <c r="CA149" s="1356" t="s">
        <v>589</v>
      </c>
      <c r="CB149" s="1356" t="s">
        <v>590</v>
      </c>
      <c r="CC149" s="1356">
        <v>1353</v>
      </c>
      <c r="CD149" s="1356">
        <v>1228</v>
      </c>
      <c r="CE149" s="1356">
        <v>1026</v>
      </c>
      <c r="CF149" s="1356">
        <v>202</v>
      </c>
      <c r="CG149" s="1356">
        <v>990</v>
      </c>
      <c r="CH149" s="1356">
        <v>181</v>
      </c>
      <c r="CI149" s="1356">
        <v>125</v>
      </c>
      <c r="CJ149" s="1356">
        <v>122</v>
      </c>
      <c r="CK149" s="1357">
        <v>321367</v>
      </c>
      <c r="CL149" s="1357">
        <v>137892</v>
      </c>
      <c r="CM149" s="1358">
        <v>27780</v>
      </c>
      <c r="CN149" s="1358">
        <v>4939</v>
      </c>
      <c r="CO149" s="1358">
        <v>1834</v>
      </c>
      <c r="CP149" s="1358">
        <v>0</v>
      </c>
      <c r="CQ149" s="1358">
        <v>75.300000000000011</v>
      </c>
      <c r="CR149" s="1358">
        <v>4011</v>
      </c>
      <c r="CS149" s="1358">
        <v>4088</v>
      </c>
      <c r="CT149" s="1357">
        <v>168357</v>
      </c>
      <c r="CU149" s="1357">
        <v>128281</v>
      </c>
      <c r="CV149" s="1357">
        <v>16986</v>
      </c>
      <c r="CW149" s="1357">
        <v>0</v>
      </c>
      <c r="CX149" s="1357">
        <v>1667.4000000000005</v>
      </c>
      <c r="CY149" s="1357">
        <v>9502.4</v>
      </c>
      <c r="CZ149" s="1357">
        <v>7526</v>
      </c>
      <c r="DA149" s="1357">
        <v>9195</v>
      </c>
      <c r="DB149" s="1357">
        <v>136072</v>
      </c>
      <c r="DC149" s="1357">
        <v>15638</v>
      </c>
      <c r="DD149" s="1357">
        <v>1300</v>
      </c>
      <c r="DE149" s="1357">
        <v>0</v>
      </c>
      <c r="DF149" s="1357">
        <v>1572</v>
      </c>
      <c r="DG149" s="1357">
        <v>2434</v>
      </c>
      <c r="DH149" s="1357">
        <v>2570</v>
      </c>
      <c r="DI149" s="1357">
        <v>0</v>
      </c>
      <c r="DJ149" s="1357">
        <v>0</v>
      </c>
      <c r="DK149" s="1357">
        <v>0</v>
      </c>
      <c r="DT149" s="788" t="s">
        <v>589</v>
      </c>
      <c r="DU149" s="651" t="s">
        <v>590</v>
      </c>
      <c r="DV149" s="805"/>
      <c r="DW149" s="805"/>
      <c r="DX149" s="805"/>
      <c r="DY149" s="805"/>
      <c r="DZ149" s="805"/>
      <c r="EA149" s="805"/>
      <c r="EB149" s="805"/>
      <c r="EC149" s="805"/>
      <c r="ED149" s="805"/>
      <c r="EE149" s="805"/>
      <c r="EF149" s="805"/>
      <c r="EG149" s="805"/>
      <c r="EH149" s="805"/>
      <c r="EI149" s="805"/>
      <c r="EJ149" s="805"/>
      <c r="EK149" s="805"/>
      <c r="EL149" s="805"/>
      <c r="EM149" s="805"/>
      <c r="EN149" s="805"/>
      <c r="EO149" s="805"/>
      <c r="EP149" s="805"/>
      <c r="EQ149" s="805"/>
      <c r="ER149" s="805"/>
      <c r="ES149" s="805"/>
      <c r="ET149" s="805"/>
      <c r="EU149" s="805"/>
      <c r="EV149" s="805"/>
    </row>
    <row r="150" spans="1:152" s="614" customFormat="1" ht="24" customHeight="1">
      <c r="A150" s="1429" t="s">
        <v>591</v>
      </c>
      <c r="B150" s="651" t="s">
        <v>592</v>
      </c>
      <c r="C150" s="653">
        <f t="shared" ref="C150:J150" si="277">SUM(C151,C154,C155,C156,C163,C164,C165,C166,C169,C170,C173,C176,C177,C178,C179,C180,C181,C183,C184,C185)</f>
        <v>922</v>
      </c>
      <c r="D150" s="653">
        <f t="shared" si="277"/>
        <v>828</v>
      </c>
      <c r="E150" s="653">
        <f t="shared" si="277"/>
        <v>773</v>
      </c>
      <c r="F150" s="653">
        <f t="shared" si="277"/>
        <v>55</v>
      </c>
      <c r="G150" s="653">
        <f t="shared" si="277"/>
        <v>695</v>
      </c>
      <c r="H150" s="653">
        <f t="shared" si="277"/>
        <v>99</v>
      </c>
      <c r="I150" s="653">
        <f t="shared" si="277"/>
        <v>94</v>
      </c>
      <c r="J150" s="653">
        <f t="shared" si="277"/>
        <v>90</v>
      </c>
      <c r="K150" s="1548">
        <f t="shared" si="272"/>
        <v>190025</v>
      </c>
      <c r="L150" s="820">
        <f t="shared" ref="L150:AM150" si="278">SUM(L151,L154,L155,L156,L163,L164,L165,L166,L169,L170,L173,L176,L177,L178,L179,L180,L181,L183,L184,L185)</f>
        <v>199574</v>
      </c>
      <c r="M150" s="653">
        <f t="shared" si="278"/>
        <v>89697</v>
      </c>
      <c r="N150" s="653">
        <f t="shared" si="278"/>
        <v>18498</v>
      </c>
      <c r="O150" s="653">
        <f t="shared" si="278"/>
        <v>2994</v>
      </c>
      <c r="P150" s="653">
        <f t="shared" si="278"/>
        <v>688</v>
      </c>
      <c r="Q150" s="653">
        <f t="shared" si="278"/>
        <v>24</v>
      </c>
      <c r="R150" s="653">
        <f t="shared" si="278"/>
        <v>41.6</v>
      </c>
      <c r="S150" s="653">
        <f t="shared" si="278"/>
        <v>2545</v>
      </c>
      <c r="T150" s="653">
        <f t="shared" si="278"/>
        <v>2611</v>
      </c>
      <c r="U150" s="653">
        <f t="shared" si="278"/>
        <v>109266</v>
      </c>
      <c r="V150" s="653">
        <f t="shared" si="278"/>
        <v>73155</v>
      </c>
      <c r="W150" s="653">
        <f t="shared" si="278"/>
        <v>11204</v>
      </c>
      <c r="X150" s="653">
        <f t="shared" si="278"/>
        <v>20</v>
      </c>
      <c r="Y150" s="653">
        <f t="shared" si="278"/>
        <v>1114.7000000000003</v>
      </c>
      <c r="Z150" s="653">
        <f t="shared" si="278"/>
        <v>4792.3</v>
      </c>
      <c r="AA150" s="653">
        <f t="shared" si="278"/>
        <v>3766</v>
      </c>
      <c r="AB150" s="653">
        <f t="shared" si="278"/>
        <v>4900</v>
      </c>
      <c r="AC150" s="653">
        <f t="shared" si="278"/>
        <v>79459</v>
      </c>
      <c r="AD150" s="653">
        <f t="shared" si="278"/>
        <v>9549</v>
      </c>
      <c r="AE150" s="653">
        <f t="shared" si="278"/>
        <v>1300</v>
      </c>
      <c r="AF150" s="653">
        <f t="shared" si="278"/>
        <v>0</v>
      </c>
      <c r="AG150" s="653">
        <f t="shared" si="278"/>
        <v>3630</v>
      </c>
      <c r="AH150" s="653">
        <f t="shared" si="278"/>
        <v>2658</v>
      </c>
      <c r="AI150" s="653">
        <f t="shared" si="278"/>
        <v>5377</v>
      </c>
      <c r="AJ150" s="653">
        <f t="shared" si="278"/>
        <v>2979</v>
      </c>
      <c r="AK150" s="653">
        <f t="shared" si="278"/>
        <v>33753</v>
      </c>
      <c r="AL150" s="656">
        <f t="shared" si="278"/>
        <v>0</v>
      </c>
      <c r="AM150" s="653" t="e">
        <f t="shared" si="278"/>
        <v>#REF!</v>
      </c>
      <c r="AN150" s="610">
        <v>199580</v>
      </c>
      <c r="AO150" s="1323" t="s">
        <v>591</v>
      </c>
      <c r="AP150" s="651" t="s">
        <v>592</v>
      </c>
      <c r="AQ150" s="653">
        <f t="shared" ref="AQ150:BW150" si="279">SUM(AQ151,AQ154,AQ155,AQ156,AQ163,AQ164,AQ165,AQ166,AQ169,AQ170,AQ173,AQ176,AQ177,AQ178,AQ179,AQ180,AQ181,AQ183,AQ184,AQ185)</f>
        <v>1010</v>
      </c>
      <c r="AR150" s="653">
        <f t="shared" si="279"/>
        <v>915</v>
      </c>
      <c r="AS150" s="653">
        <f t="shared" si="279"/>
        <v>862</v>
      </c>
      <c r="AT150" s="653">
        <f t="shared" si="279"/>
        <v>53</v>
      </c>
      <c r="AU150" s="653">
        <f t="shared" si="279"/>
        <v>804</v>
      </c>
      <c r="AV150" s="653">
        <f t="shared" si="279"/>
        <v>47</v>
      </c>
      <c r="AW150" s="653">
        <f t="shared" si="279"/>
        <v>95</v>
      </c>
      <c r="AX150" s="653">
        <f t="shared" si="279"/>
        <v>87</v>
      </c>
      <c r="AY150" s="653">
        <f t="shared" si="279"/>
        <v>192046</v>
      </c>
      <c r="AZ150" s="658">
        <f t="shared" si="279"/>
        <v>89699</v>
      </c>
      <c r="BA150" s="653">
        <f t="shared" si="279"/>
        <v>19496</v>
      </c>
      <c r="BB150" s="653">
        <f t="shared" si="279"/>
        <v>4177</v>
      </c>
      <c r="BC150" s="653">
        <f t="shared" si="279"/>
        <v>710</v>
      </c>
      <c r="BD150" s="653">
        <f t="shared" si="279"/>
        <v>0</v>
      </c>
      <c r="BE150" s="653">
        <f t="shared" si="279"/>
        <v>2367.2999999999997</v>
      </c>
      <c r="BF150" s="655">
        <f t="shared" si="279"/>
        <v>2370</v>
      </c>
      <c r="BG150" s="653">
        <f t="shared" si="279"/>
        <v>111712</v>
      </c>
      <c r="BH150" s="653">
        <f t="shared" si="279"/>
        <v>55784</v>
      </c>
      <c r="BI150" s="653">
        <f t="shared" si="279"/>
        <v>4908</v>
      </c>
      <c r="BJ150" s="653">
        <f t="shared" si="279"/>
        <v>10524</v>
      </c>
      <c r="BK150" s="653">
        <f t="shared" si="279"/>
        <v>0</v>
      </c>
      <c r="BL150" s="653">
        <f t="shared" si="279"/>
        <v>4310.6999999999989</v>
      </c>
      <c r="BM150" s="655">
        <f t="shared" si="279"/>
        <v>4310</v>
      </c>
      <c r="BN150" s="653">
        <f t="shared" si="279"/>
        <v>66906</v>
      </c>
      <c r="BO150" s="653">
        <f t="shared" si="279"/>
        <v>10313</v>
      </c>
      <c r="BP150" s="653">
        <f t="shared" si="279"/>
        <v>3115</v>
      </c>
      <c r="BQ150" s="653">
        <f t="shared" si="279"/>
        <v>808</v>
      </c>
      <c r="BR150" s="653">
        <f t="shared" si="279"/>
        <v>1343</v>
      </c>
      <c r="BS150" s="653">
        <f t="shared" si="279"/>
        <v>6943</v>
      </c>
      <c r="BT150" s="653">
        <f t="shared" si="279"/>
        <v>10085</v>
      </c>
      <c r="BU150" s="653">
        <f t="shared" si="279"/>
        <v>501</v>
      </c>
      <c r="BV150" s="653">
        <f t="shared" si="279"/>
        <v>0</v>
      </c>
      <c r="BW150" s="653">
        <f t="shared" si="279"/>
        <v>0</v>
      </c>
      <c r="BY150" s="732"/>
      <c r="BZ150" s="732"/>
      <c r="CA150" s="1348" t="s">
        <v>591</v>
      </c>
      <c r="CB150" s="1348" t="s">
        <v>592</v>
      </c>
      <c r="CC150" s="1348">
        <v>937</v>
      </c>
      <c r="CD150" s="1348">
        <v>847</v>
      </c>
      <c r="CE150" s="1348">
        <v>737</v>
      </c>
      <c r="CF150" s="1348">
        <v>110</v>
      </c>
      <c r="CG150" s="1348">
        <v>696</v>
      </c>
      <c r="CH150" s="1348">
        <v>99</v>
      </c>
      <c r="CI150" s="1348">
        <v>90</v>
      </c>
      <c r="CJ150" s="1348">
        <v>89</v>
      </c>
      <c r="CK150" s="1349">
        <v>201108</v>
      </c>
      <c r="CL150" s="1349">
        <v>90569</v>
      </c>
      <c r="CM150" s="1350">
        <v>19437</v>
      </c>
      <c r="CN150" s="1350">
        <v>2924</v>
      </c>
      <c r="CO150" s="1350">
        <v>704</v>
      </c>
      <c r="CP150" s="1350">
        <v>0</v>
      </c>
      <c r="CQ150" s="1350">
        <v>61.100000000000009</v>
      </c>
      <c r="CR150" s="1350">
        <v>2545</v>
      </c>
      <c r="CS150" s="1350">
        <v>2607</v>
      </c>
      <c r="CT150" s="1349">
        <v>111027</v>
      </c>
      <c r="CU150" s="1349">
        <v>72416</v>
      </c>
      <c r="CV150" s="1349">
        <v>11748</v>
      </c>
      <c r="CW150" s="1349">
        <v>0</v>
      </c>
      <c r="CX150" s="1349">
        <v>1166.7000000000003</v>
      </c>
      <c r="CY150" s="1349">
        <v>4822.2999999999993</v>
      </c>
      <c r="CZ150" s="1349">
        <v>3766</v>
      </c>
      <c r="DA150" s="1349">
        <v>4932</v>
      </c>
      <c r="DB150" s="1349">
        <v>79232</v>
      </c>
      <c r="DC150" s="1349">
        <v>9549</v>
      </c>
      <c r="DD150" s="1349">
        <v>1300</v>
      </c>
      <c r="DE150" s="1349">
        <v>0</v>
      </c>
      <c r="DF150" s="1349">
        <v>1572</v>
      </c>
      <c r="DG150" s="1349">
        <v>2434</v>
      </c>
      <c r="DH150" s="1349">
        <v>2570</v>
      </c>
      <c r="DI150" s="1349">
        <v>0</v>
      </c>
      <c r="DJ150" s="1349">
        <v>0</v>
      </c>
      <c r="DK150" s="1349">
        <v>0</v>
      </c>
      <c r="DT150" s="1323" t="s">
        <v>591</v>
      </c>
      <c r="DU150" s="651" t="s">
        <v>592</v>
      </c>
      <c r="DV150" s="1351">
        <f t="shared" ref="DV150:EV150" si="280">SUM(DV151,DV154:DV156,DV163:DV166,DV169:DV170,DV173,DV176:DV181,DV183:DV185)</f>
        <v>-1534</v>
      </c>
      <c r="DW150" s="1351">
        <f t="shared" si="280"/>
        <v>-872</v>
      </c>
      <c r="DX150" s="1351">
        <f t="shared" si="280"/>
        <v>-939</v>
      </c>
      <c r="DY150" s="1351">
        <f t="shared" si="280"/>
        <v>70</v>
      </c>
      <c r="DZ150" s="1351">
        <f t="shared" si="280"/>
        <v>-16</v>
      </c>
      <c r="EA150" s="1351">
        <f t="shared" si="280"/>
        <v>24</v>
      </c>
      <c r="EB150" s="1351">
        <f t="shared" si="280"/>
        <v>-19.5</v>
      </c>
      <c r="EC150" s="1351">
        <f t="shared" si="280"/>
        <v>0</v>
      </c>
      <c r="ED150" s="1351">
        <f t="shared" si="280"/>
        <v>4</v>
      </c>
      <c r="EE150" s="1351">
        <f t="shared" si="280"/>
        <v>-1761</v>
      </c>
      <c r="EF150" s="1351">
        <f t="shared" si="280"/>
        <v>739</v>
      </c>
      <c r="EG150" s="1351">
        <f t="shared" si="280"/>
        <v>-544</v>
      </c>
      <c r="EH150" s="1351">
        <f t="shared" si="280"/>
        <v>20</v>
      </c>
      <c r="EI150" s="1351">
        <f t="shared" si="280"/>
        <v>-51.999999999999986</v>
      </c>
      <c r="EJ150" s="1351">
        <f t="shared" si="280"/>
        <v>-29.999999999999986</v>
      </c>
      <c r="EK150" s="1351">
        <f t="shared" si="280"/>
        <v>0</v>
      </c>
      <c r="EL150" s="1351">
        <f t="shared" si="280"/>
        <v>-32</v>
      </c>
      <c r="EM150" s="1351">
        <f t="shared" si="280"/>
        <v>227</v>
      </c>
      <c r="EN150" s="1351">
        <f t="shared" si="280"/>
        <v>0</v>
      </c>
      <c r="EO150" s="1351">
        <f t="shared" si="280"/>
        <v>0</v>
      </c>
      <c r="EP150" s="1351">
        <f t="shared" si="280"/>
        <v>0</v>
      </c>
      <c r="EQ150" s="1351">
        <f t="shared" si="280"/>
        <v>2058</v>
      </c>
      <c r="ER150" s="1351">
        <f t="shared" si="280"/>
        <v>224</v>
      </c>
      <c r="ES150" s="1351">
        <f t="shared" si="280"/>
        <v>2807</v>
      </c>
      <c r="ET150" s="1351">
        <f t="shared" si="280"/>
        <v>2979</v>
      </c>
      <c r="EU150" s="1351">
        <f t="shared" si="280"/>
        <v>33753</v>
      </c>
      <c r="EV150" s="1351">
        <f t="shared" si="280"/>
        <v>0</v>
      </c>
    </row>
    <row r="151" spans="1:152" ht="22.5" customHeight="1">
      <c r="A151" s="659">
        <v>42</v>
      </c>
      <c r="B151" s="751" t="s">
        <v>593</v>
      </c>
      <c r="C151" s="661">
        <f t="shared" ref="C151:AM151" si="281">SUM(C152:C153)</f>
        <v>85</v>
      </c>
      <c r="D151" s="661">
        <f t="shared" si="281"/>
        <v>74</v>
      </c>
      <c r="E151" s="661">
        <f t="shared" si="281"/>
        <v>65</v>
      </c>
      <c r="F151" s="661">
        <f t="shared" si="281"/>
        <v>9</v>
      </c>
      <c r="G151" s="661">
        <f t="shared" si="281"/>
        <v>63</v>
      </c>
      <c r="H151" s="661">
        <f t="shared" si="281"/>
        <v>7</v>
      </c>
      <c r="I151" s="661">
        <f t="shared" si="281"/>
        <v>11</v>
      </c>
      <c r="J151" s="661">
        <f t="shared" si="281"/>
        <v>11</v>
      </c>
      <c r="K151" s="646">
        <f t="shared" si="272"/>
        <v>18450</v>
      </c>
      <c r="L151" s="662">
        <f t="shared" si="281"/>
        <v>18500</v>
      </c>
      <c r="M151" s="666">
        <f t="shared" si="281"/>
        <v>8231</v>
      </c>
      <c r="N151" s="666">
        <f t="shared" si="281"/>
        <v>1446</v>
      </c>
      <c r="O151" s="666">
        <f t="shared" si="281"/>
        <v>414</v>
      </c>
      <c r="P151" s="666">
        <f t="shared" si="281"/>
        <v>325</v>
      </c>
      <c r="Q151" s="666">
        <f t="shared" si="281"/>
        <v>0</v>
      </c>
      <c r="R151" s="666">
        <f t="shared" si="281"/>
        <v>0</v>
      </c>
      <c r="S151" s="666">
        <f t="shared" si="281"/>
        <v>212</v>
      </c>
      <c r="T151" s="666">
        <f t="shared" si="281"/>
        <v>212</v>
      </c>
      <c r="U151" s="666">
        <f t="shared" si="281"/>
        <v>10204</v>
      </c>
      <c r="V151" s="666">
        <f t="shared" si="281"/>
        <v>7733</v>
      </c>
      <c r="W151" s="666">
        <f t="shared" si="281"/>
        <v>1465</v>
      </c>
      <c r="X151" s="666">
        <f t="shared" si="281"/>
        <v>0</v>
      </c>
      <c r="Y151" s="666">
        <f t="shared" si="281"/>
        <v>81.300000000000068</v>
      </c>
      <c r="Z151" s="666">
        <f t="shared" si="281"/>
        <v>773.30000000000007</v>
      </c>
      <c r="AA151" s="666">
        <f t="shared" si="281"/>
        <v>871</v>
      </c>
      <c r="AB151" s="666">
        <f t="shared" si="281"/>
        <v>952</v>
      </c>
      <c r="AC151" s="666">
        <f t="shared" si="281"/>
        <v>8246</v>
      </c>
      <c r="AD151" s="666">
        <f t="shared" si="281"/>
        <v>50</v>
      </c>
      <c r="AE151" s="666">
        <f t="shared" si="281"/>
        <v>0</v>
      </c>
      <c r="AF151" s="666">
        <f t="shared" si="281"/>
        <v>0</v>
      </c>
      <c r="AG151" s="666">
        <f t="shared" si="281"/>
        <v>0</v>
      </c>
      <c r="AH151" s="666">
        <f t="shared" si="281"/>
        <v>0</v>
      </c>
      <c r="AI151" s="666">
        <f t="shared" si="281"/>
        <v>0</v>
      </c>
      <c r="AJ151" s="666">
        <f t="shared" si="281"/>
        <v>0</v>
      </c>
      <c r="AK151" s="666">
        <f t="shared" si="281"/>
        <v>0</v>
      </c>
      <c r="AL151" s="669">
        <f t="shared" si="281"/>
        <v>0</v>
      </c>
      <c r="AM151" s="789">
        <f t="shared" si="281"/>
        <v>0</v>
      </c>
      <c r="AN151" s="610"/>
      <c r="AO151" s="659">
        <v>47</v>
      </c>
      <c r="AP151" s="751" t="s">
        <v>593</v>
      </c>
      <c r="AQ151" s="661">
        <f t="shared" ref="AQ151:BW151" si="282">SUM(AQ152:AQ153)</f>
        <v>89</v>
      </c>
      <c r="AR151" s="661">
        <f t="shared" si="282"/>
        <v>77</v>
      </c>
      <c r="AS151" s="661">
        <f t="shared" si="282"/>
        <v>67</v>
      </c>
      <c r="AT151" s="661">
        <f t="shared" si="282"/>
        <v>10</v>
      </c>
      <c r="AU151" s="661">
        <f t="shared" si="282"/>
        <v>59</v>
      </c>
      <c r="AV151" s="661">
        <f t="shared" si="282"/>
        <v>9</v>
      </c>
      <c r="AW151" s="661">
        <f t="shared" si="282"/>
        <v>12</v>
      </c>
      <c r="AX151" s="661">
        <f t="shared" si="282"/>
        <v>12</v>
      </c>
      <c r="AY151" s="666">
        <f t="shared" si="282"/>
        <v>19418</v>
      </c>
      <c r="AZ151" s="670">
        <f t="shared" si="282"/>
        <v>7682</v>
      </c>
      <c r="BA151" s="666">
        <f t="shared" si="282"/>
        <v>1522</v>
      </c>
      <c r="BB151" s="666">
        <f t="shared" si="282"/>
        <v>414</v>
      </c>
      <c r="BC151" s="666">
        <f t="shared" si="282"/>
        <v>320</v>
      </c>
      <c r="BD151" s="666">
        <f t="shared" si="282"/>
        <v>0</v>
      </c>
      <c r="BE151" s="666">
        <f t="shared" si="282"/>
        <v>193.6</v>
      </c>
      <c r="BF151" s="667">
        <f t="shared" si="282"/>
        <v>194</v>
      </c>
      <c r="BG151" s="666">
        <f t="shared" si="282"/>
        <v>9744</v>
      </c>
      <c r="BH151" s="666">
        <f t="shared" si="282"/>
        <v>7003</v>
      </c>
      <c r="BI151" s="666">
        <f t="shared" si="282"/>
        <v>1969</v>
      </c>
      <c r="BJ151" s="666">
        <f t="shared" si="282"/>
        <v>1312</v>
      </c>
      <c r="BK151" s="666">
        <f t="shared" si="282"/>
        <v>0</v>
      </c>
      <c r="BL151" s="666">
        <f t="shared" si="282"/>
        <v>700.30000000000007</v>
      </c>
      <c r="BM151" s="667">
        <f t="shared" si="282"/>
        <v>700</v>
      </c>
      <c r="BN151" s="666">
        <f t="shared" si="282"/>
        <v>9584</v>
      </c>
      <c r="BO151" s="666">
        <f t="shared" si="282"/>
        <v>90</v>
      </c>
      <c r="BP151" s="666">
        <f t="shared" si="282"/>
        <v>0</v>
      </c>
      <c r="BQ151" s="666">
        <f t="shared" si="282"/>
        <v>0</v>
      </c>
      <c r="BR151" s="666">
        <f t="shared" si="282"/>
        <v>0</v>
      </c>
      <c r="BS151" s="666">
        <f t="shared" si="282"/>
        <v>0</v>
      </c>
      <c r="BT151" s="666">
        <f t="shared" si="282"/>
        <v>0</v>
      </c>
      <c r="BU151" s="666">
        <f t="shared" si="282"/>
        <v>0</v>
      </c>
      <c r="BV151" s="666">
        <f t="shared" si="282"/>
        <v>0</v>
      </c>
      <c r="BW151" s="666">
        <f t="shared" si="282"/>
        <v>0</v>
      </c>
      <c r="CA151" s="1352">
        <v>44</v>
      </c>
      <c r="CB151" s="1352" t="s">
        <v>593</v>
      </c>
      <c r="CC151" s="1352">
        <v>87</v>
      </c>
      <c r="CD151" s="1352">
        <v>76</v>
      </c>
      <c r="CE151" s="1352">
        <v>66</v>
      </c>
      <c r="CF151" s="1352">
        <v>10</v>
      </c>
      <c r="CG151" s="1352">
        <v>63</v>
      </c>
      <c r="CH151" s="1352">
        <v>7</v>
      </c>
      <c r="CI151" s="1352">
        <v>11</v>
      </c>
      <c r="CJ151" s="1352">
        <v>11</v>
      </c>
      <c r="CK151" s="1353">
        <v>18661</v>
      </c>
      <c r="CL151" s="1353">
        <v>8336</v>
      </c>
      <c r="CM151" s="1354">
        <v>1497</v>
      </c>
      <c r="CN151" s="1354">
        <v>414</v>
      </c>
      <c r="CO151" s="1354">
        <v>330</v>
      </c>
      <c r="CP151" s="1354">
        <v>0</v>
      </c>
      <c r="CQ151" s="1354">
        <v>0</v>
      </c>
      <c r="CR151" s="1354">
        <v>212</v>
      </c>
      <c r="CS151" s="1354">
        <v>212</v>
      </c>
      <c r="CT151" s="1353">
        <v>10365</v>
      </c>
      <c r="CU151" s="1353">
        <v>7733</v>
      </c>
      <c r="CV151" s="1353">
        <v>1465</v>
      </c>
      <c r="CW151" s="1353">
        <v>0</v>
      </c>
      <c r="CX151" s="1353">
        <v>81.300000000000068</v>
      </c>
      <c r="CY151" s="1353">
        <v>773.30000000000007</v>
      </c>
      <c r="CZ151" s="1353">
        <v>871</v>
      </c>
      <c r="DA151" s="1353">
        <v>952</v>
      </c>
      <c r="DB151" s="1353">
        <v>8246</v>
      </c>
      <c r="DC151" s="1353">
        <v>50</v>
      </c>
      <c r="DD151" s="1353">
        <v>0</v>
      </c>
      <c r="DE151" s="1353">
        <v>0</v>
      </c>
      <c r="DF151" s="1353">
        <v>0</v>
      </c>
      <c r="DG151" s="1353">
        <v>0</v>
      </c>
      <c r="DH151" s="1353">
        <v>0</v>
      </c>
      <c r="DI151" s="1353">
        <v>0</v>
      </c>
      <c r="DJ151" s="1353">
        <v>0</v>
      </c>
      <c r="DK151" s="1353">
        <v>0</v>
      </c>
      <c r="DT151" s="659">
        <v>44</v>
      </c>
      <c r="DU151" s="751" t="s">
        <v>593</v>
      </c>
      <c r="DV151" s="777">
        <f>DV152+DV153</f>
        <v>-161</v>
      </c>
      <c r="DW151" s="777">
        <f t="shared" ref="DW151:EV151" si="283">DW152+DW153</f>
        <v>-105</v>
      </c>
      <c r="DX151" s="777">
        <f t="shared" si="283"/>
        <v>-51</v>
      </c>
      <c r="DY151" s="777">
        <f t="shared" si="283"/>
        <v>0</v>
      </c>
      <c r="DZ151" s="777">
        <f t="shared" si="283"/>
        <v>-5</v>
      </c>
      <c r="EA151" s="777">
        <f t="shared" si="283"/>
        <v>0</v>
      </c>
      <c r="EB151" s="777">
        <f t="shared" si="283"/>
        <v>0</v>
      </c>
      <c r="EC151" s="777">
        <f t="shared" si="283"/>
        <v>0</v>
      </c>
      <c r="ED151" s="777">
        <f t="shared" si="283"/>
        <v>0</v>
      </c>
      <c r="EE151" s="777">
        <f t="shared" si="283"/>
        <v>-161</v>
      </c>
      <c r="EF151" s="777">
        <f t="shared" si="283"/>
        <v>0</v>
      </c>
      <c r="EG151" s="777">
        <f t="shared" si="283"/>
        <v>0</v>
      </c>
      <c r="EH151" s="777">
        <f t="shared" si="283"/>
        <v>0</v>
      </c>
      <c r="EI151" s="777">
        <f t="shared" si="283"/>
        <v>0</v>
      </c>
      <c r="EJ151" s="777">
        <f t="shared" si="283"/>
        <v>0</v>
      </c>
      <c r="EK151" s="777">
        <f t="shared" si="283"/>
        <v>0</v>
      </c>
      <c r="EL151" s="777">
        <f t="shared" si="283"/>
        <v>0</v>
      </c>
      <c r="EM151" s="777">
        <f t="shared" si="283"/>
        <v>0</v>
      </c>
      <c r="EN151" s="777">
        <f t="shared" si="283"/>
        <v>0</v>
      </c>
      <c r="EO151" s="777">
        <f t="shared" si="283"/>
        <v>0</v>
      </c>
      <c r="EP151" s="777">
        <f t="shared" si="283"/>
        <v>0</v>
      </c>
      <c r="EQ151" s="777">
        <f t="shared" si="283"/>
        <v>0</v>
      </c>
      <c r="ER151" s="777">
        <f t="shared" si="283"/>
        <v>0</v>
      </c>
      <c r="ES151" s="777">
        <f t="shared" si="283"/>
        <v>0</v>
      </c>
      <c r="ET151" s="777">
        <f t="shared" si="283"/>
        <v>0</v>
      </c>
      <c r="EU151" s="777">
        <f t="shared" si="283"/>
        <v>0</v>
      </c>
      <c r="EV151" s="777">
        <f t="shared" si="283"/>
        <v>0</v>
      </c>
    </row>
    <row r="152" spans="1:152" ht="22.5" hidden="1" customHeight="1">
      <c r="A152" s="659"/>
      <c r="B152" s="660" t="s">
        <v>594</v>
      </c>
      <c r="C152" s="661">
        <f>D152+I152</f>
        <v>76</v>
      </c>
      <c r="D152" s="661">
        <f>E152+F152</f>
        <v>65</v>
      </c>
      <c r="E152" s="661">
        <v>65</v>
      </c>
      <c r="F152" s="661"/>
      <c r="G152" s="661">
        <v>63</v>
      </c>
      <c r="H152" s="661"/>
      <c r="I152" s="661">
        <v>11</v>
      </c>
      <c r="J152" s="661">
        <v>11</v>
      </c>
      <c r="K152" s="646">
        <f t="shared" si="272"/>
        <v>17197</v>
      </c>
      <c r="L152" s="662">
        <f>U152+AC152+AD152+AE152</f>
        <v>17247</v>
      </c>
      <c r="M152" s="666">
        <v>7585</v>
      </c>
      <c r="N152" s="666">
        <v>1257</v>
      </c>
      <c r="O152" s="666">
        <f>188+180</f>
        <v>368</v>
      </c>
      <c r="P152" s="666">
        <v>325</v>
      </c>
      <c r="Q152" s="666"/>
      <c r="R152" s="666"/>
      <c r="S152" s="666">
        <v>186</v>
      </c>
      <c r="T152" s="666">
        <f>ROUND((Q152+R152+S152),0)</f>
        <v>186</v>
      </c>
      <c r="U152" s="666">
        <f>(M152+N152+O152+P152)-T152</f>
        <v>9349</v>
      </c>
      <c r="V152" s="666">
        <v>7613</v>
      </c>
      <c r="W152" s="666">
        <v>1165</v>
      </c>
      <c r="X152" s="666"/>
      <c r="Y152" s="666">
        <f>Z152-BM152</f>
        <v>81.300000000000068</v>
      </c>
      <c r="Z152" s="666">
        <f>V152*10%</f>
        <v>761.30000000000007</v>
      </c>
      <c r="AA152" s="666">
        <v>849</v>
      </c>
      <c r="AB152" s="666">
        <f>ROUND((Y152+AA152+X152),0)</f>
        <v>930</v>
      </c>
      <c r="AC152" s="666">
        <f>(V152+W152)-AB152</f>
        <v>7848</v>
      </c>
      <c r="AD152" s="666">
        <v>50</v>
      </c>
      <c r="AE152" s="666"/>
      <c r="AF152" s="666"/>
      <c r="AG152" s="666"/>
      <c r="AH152" s="666"/>
      <c r="AI152" s="666"/>
      <c r="AJ152" s="666"/>
      <c r="AK152" s="666"/>
      <c r="AL152" s="664"/>
      <c r="AN152" s="610"/>
      <c r="AO152" s="659"/>
      <c r="AP152" s="660" t="s">
        <v>594</v>
      </c>
      <c r="AQ152" s="661">
        <f>AR152+AW152</f>
        <v>79</v>
      </c>
      <c r="AR152" s="661">
        <f>AS152+AT152</f>
        <v>67</v>
      </c>
      <c r="AS152" s="661">
        <f>64+3</f>
        <v>67</v>
      </c>
      <c r="AT152" s="661"/>
      <c r="AU152" s="661">
        <v>59</v>
      </c>
      <c r="AV152" s="661"/>
      <c r="AW152" s="661">
        <v>12</v>
      </c>
      <c r="AX152" s="661">
        <v>12</v>
      </c>
      <c r="AY152" s="666">
        <f>BG152+BN152+BO152+BP152</f>
        <v>17996</v>
      </c>
      <c r="AZ152" s="670">
        <f>458+115+103+3495+183+934+828+446+105+112+246</f>
        <v>7025</v>
      </c>
      <c r="BA152" s="666">
        <f>1232+75</f>
        <v>1307</v>
      </c>
      <c r="BB152" s="666">
        <f>188+180</f>
        <v>368</v>
      </c>
      <c r="BC152" s="666">
        <v>320</v>
      </c>
      <c r="BD152" s="666"/>
      <c r="BE152" s="666">
        <f>(BA152+BB152)*10%</f>
        <v>167.5</v>
      </c>
      <c r="BF152" s="667">
        <f>ROUND(BE152,0)</f>
        <v>168</v>
      </c>
      <c r="BG152" s="666">
        <f>(AZ152+BA152+BB152+BC152)-BF152</f>
        <v>8852</v>
      </c>
      <c r="BH152" s="666">
        <v>6799</v>
      </c>
      <c r="BI152" s="666">
        <v>1969</v>
      </c>
      <c r="BJ152" s="666">
        <v>966</v>
      </c>
      <c r="BK152" s="666"/>
      <c r="BL152" s="666">
        <f>BH152*10%</f>
        <v>679.90000000000009</v>
      </c>
      <c r="BM152" s="667">
        <f>ROUND(BL152,0)</f>
        <v>680</v>
      </c>
      <c r="BN152" s="666">
        <f>(BH152+BI152+BJ152)-BM152</f>
        <v>9054</v>
      </c>
      <c r="BO152" s="666">
        <v>90</v>
      </c>
      <c r="BP152" s="666"/>
      <c r="BQ152" s="666"/>
      <c r="BR152" s="666"/>
      <c r="BS152" s="666"/>
      <c r="BT152" s="666"/>
      <c r="BU152" s="666"/>
      <c r="BV152" s="666"/>
      <c r="BW152" s="662"/>
      <c r="CA152" s="1352"/>
      <c r="CB152" s="1352" t="s">
        <v>594</v>
      </c>
      <c r="CC152" s="1352">
        <v>77</v>
      </c>
      <c r="CD152" s="1352">
        <v>66</v>
      </c>
      <c r="CE152" s="1352">
        <v>66</v>
      </c>
      <c r="CF152" s="1352"/>
      <c r="CG152" s="1352">
        <v>63</v>
      </c>
      <c r="CH152" s="1352"/>
      <c r="CI152" s="1352">
        <v>11</v>
      </c>
      <c r="CJ152" s="1352">
        <v>11</v>
      </c>
      <c r="CK152" s="1353">
        <v>17334</v>
      </c>
      <c r="CL152" s="1353">
        <v>7642</v>
      </c>
      <c r="CM152" s="1354">
        <v>1282</v>
      </c>
      <c r="CN152" s="1354">
        <v>368</v>
      </c>
      <c r="CO152" s="1354">
        <v>330</v>
      </c>
      <c r="CP152" s="1354"/>
      <c r="CQ152" s="1354"/>
      <c r="CR152" s="1354">
        <v>186</v>
      </c>
      <c r="CS152" s="1354">
        <v>186</v>
      </c>
      <c r="CT152" s="1353">
        <v>9436</v>
      </c>
      <c r="CU152" s="1353">
        <v>7613</v>
      </c>
      <c r="CV152" s="1353">
        <v>1165</v>
      </c>
      <c r="CW152" s="1353"/>
      <c r="CX152" s="1353">
        <v>81.300000000000068</v>
      </c>
      <c r="CY152" s="1353">
        <v>761.30000000000007</v>
      </c>
      <c r="CZ152" s="1353">
        <v>849</v>
      </c>
      <c r="DA152" s="1353">
        <v>930</v>
      </c>
      <c r="DB152" s="1353">
        <v>7848</v>
      </c>
      <c r="DC152" s="1353">
        <v>50</v>
      </c>
      <c r="DD152" s="1353"/>
      <c r="DE152" s="1353"/>
      <c r="DF152" s="1353"/>
      <c r="DG152" s="1353"/>
      <c r="DH152" s="1353"/>
      <c r="DI152" s="1353"/>
      <c r="DJ152" s="1353"/>
      <c r="DK152" s="1353"/>
      <c r="DT152" s="659"/>
      <c r="DU152" s="660" t="s">
        <v>594</v>
      </c>
      <c r="DV152" s="777">
        <f t="shared" ref="DV152:EK155" si="284">L152-CK152</f>
        <v>-87</v>
      </c>
      <c r="DW152" s="777">
        <f t="shared" si="284"/>
        <v>-57</v>
      </c>
      <c r="DX152" s="777">
        <f t="shared" si="284"/>
        <v>-25</v>
      </c>
      <c r="DY152" s="777">
        <f t="shared" si="284"/>
        <v>0</v>
      </c>
      <c r="DZ152" s="777">
        <f t="shared" si="284"/>
        <v>-5</v>
      </c>
      <c r="EA152" s="777">
        <f t="shared" si="284"/>
        <v>0</v>
      </c>
      <c r="EB152" s="777">
        <f t="shared" si="284"/>
        <v>0</v>
      </c>
      <c r="EC152" s="777">
        <f t="shared" si="284"/>
        <v>0</v>
      </c>
      <c r="ED152" s="777">
        <f t="shared" si="284"/>
        <v>0</v>
      </c>
      <c r="EE152" s="777">
        <f t="shared" si="284"/>
        <v>-87</v>
      </c>
      <c r="EF152" s="777">
        <f t="shared" si="284"/>
        <v>0</v>
      </c>
      <c r="EG152" s="777">
        <f t="shared" si="284"/>
        <v>0</v>
      </c>
      <c r="EH152" s="777">
        <f t="shared" si="284"/>
        <v>0</v>
      </c>
      <c r="EI152" s="777">
        <f t="shared" si="284"/>
        <v>0</v>
      </c>
      <c r="EJ152" s="777">
        <f t="shared" si="284"/>
        <v>0</v>
      </c>
      <c r="EK152" s="777">
        <f t="shared" si="284"/>
        <v>0</v>
      </c>
      <c r="EL152" s="777">
        <f t="shared" ref="EL152:EV155" si="285">AB152-DA152</f>
        <v>0</v>
      </c>
      <c r="EM152" s="777">
        <f t="shared" si="285"/>
        <v>0</v>
      </c>
      <c r="EN152" s="777">
        <f t="shared" si="285"/>
        <v>0</v>
      </c>
      <c r="EO152" s="777">
        <f t="shared" si="285"/>
        <v>0</v>
      </c>
      <c r="EP152" s="777">
        <f t="shared" si="285"/>
        <v>0</v>
      </c>
      <c r="EQ152" s="777">
        <f t="shared" si="285"/>
        <v>0</v>
      </c>
      <c r="ER152" s="777">
        <f t="shared" si="285"/>
        <v>0</v>
      </c>
      <c r="ES152" s="777">
        <f t="shared" si="285"/>
        <v>0</v>
      </c>
      <c r="ET152" s="777">
        <f t="shared" si="285"/>
        <v>0</v>
      </c>
      <c r="EU152" s="777">
        <f t="shared" si="285"/>
        <v>0</v>
      </c>
      <c r="EV152" s="777">
        <f t="shared" si="285"/>
        <v>0</v>
      </c>
    </row>
    <row r="153" spans="1:152" ht="22.5" hidden="1" customHeight="1">
      <c r="A153" s="659"/>
      <c r="B153" s="660" t="s">
        <v>595</v>
      </c>
      <c r="C153" s="661">
        <f>D153+I153</f>
        <v>9</v>
      </c>
      <c r="D153" s="661">
        <f>E153+F153</f>
        <v>9</v>
      </c>
      <c r="E153" s="661"/>
      <c r="F153" s="661">
        <v>9</v>
      </c>
      <c r="G153" s="661"/>
      <c r="H153" s="661">
        <v>7</v>
      </c>
      <c r="I153" s="661"/>
      <c r="J153" s="661"/>
      <c r="K153" s="646">
        <f t="shared" si="272"/>
        <v>1253</v>
      </c>
      <c r="L153" s="662">
        <f>U153+AC153+AD153+AE153</f>
        <v>1253</v>
      </c>
      <c r="M153" s="666">
        <v>646</v>
      </c>
      <c r="N153" s="666">
        <v>189</v>
      </c>
      <c r="O153" s="666">
        <v>46</v>
      </c>
      <c r="P153" s="666"/>
      <c r="Q153" s="666"/>
      <c r="R153" s="666"/>
      <c r="S153" s="666">
        <v>26</v>
      </c>
      <c r="T153" s="666">
        <f>ROUND((Q153+R153+S153),0)</f>
        <v>26</v>
      </c>
      <c r="U153" s="666">
        <f>(M153+N153+O153+P153)-T153</f>
        <v>855</v>
      </c>
      <c r="V153" s="666">
        <v>120</v>
      </c>
      <c r="W153" s="666">
        <v>300</v>
      </c>
      <c r="X153" s="666"/>
      <c r="Y153" s="666"/>
      <c r="Z153" s="666">
        <f>V153*10%</f>
        <v>12</v>
      </c>
      <c r="AA153" s="666">
        <v>22</v>
      </c>
      <c r="AB153" s="666">
        <f>ROUND((Y153+AA153+X153),0)</f>
        <v>22</v>
      </c>
      <c r="AC153" s="666">
        <f>(V153+W153)-AB153</f>
        <v>398</v>
      </c>
      <c r="AD153" s="666"/>
      <c r="AE153" s="666"/>
      <c r="AF153" s="666"/>
      <c r="AG153" s="666"/>
      <c r="AH153" s="666"/>
      <c r="AI153" s="666"/>
      <c r="AJ153" s="666"/>
      <c r="AK153" s="666"/>
      <c r="AL153" s="664"/>
      <c r="AN153" s="610"/>
      <c r="AO153" s="659"/>
      <c r="AP153" s="660" t="s">
        <v>595</v>
      </c>
      <c r="AQ153" s="661">
        <f>AR153+AW153</f>
        <v>10</v>
      </c>
      <c r="AR153" s="661">
        <f>AS153+AT153</f>
        <v>10</v>
      </c>
      <c r="AS153" s="661"/>
      <c r="AT153" s="661">
        <v>10</v>
      </c>
      <c r="AU153" s="661"/>
      <c r="AV153" s="661">
        <v>9</v>
      </c>
      <c r="AW153" s="661"/>
      <c r="AX153" s="661"/>
      <c r="AY153" s="666">
        <f>BG153+BN153+BO153+BP153</f>
        <v>1422</v>
      </c>
      <c r="AZ153" s="670">
        <f>493+37+2+125</f>
        <v>657</v>
      </c>
      <c r="BA153" s="666">
        <v>215</v>
      </c>
      <c r="BB153" s="666">
        <v>46</v>
      </c>
      <c r="BC153" s="666"/>
      <c r="BD153" s="666"/>
      <c r="BE153" s="666">
        <f>(BA153+BB153)*10%</f>
        <v>26.1</v>
      </c>
      <c r="BF153" s="667">
        <f>ROUND(BE153,0)</f>
        <v>26</v>
      </c>
      <c r="BG153" s="666">
        <f>(AZ153+BA153+BB153+BC153)-BF153</f>
        <v>892</v>
      </c>
      <c r="BH153" s="666">
        <v>204</v>
      </c>
      <c r="BI153" s="666"/>
      <c r="BJ153" s="666">
        <v>346</v>
      </c>
      <c r="BK153" s="666"/>
      <c r="BL153" s="666">
        <f>BH153*10%</f>
        <v>20.400000000000002</v>
      </c>
      <c r="BM153" s="667">
        <f>ROUND(BL153,0)</f>
        <v>20</v>
      </c>
      <c r="BN153" s="666">
        <f>(BH153+BI153+BJ153)-BM153</f>
        <v>530</v>
      </c>
      <c r="BO153" s="666"/>
      <c r="BP153" s="666"/>
      <c r="BQ153" s="666"/>
      <c r="BR153" s="666"/>
      <c r="BS153" s="666"/>
      <c r="BT153" s="666"/>
      <c r="BU153" s="666"/>
      <c r="BV153" s="666"/>
      <c r="BW153" s="662"/>
      <c r="CA153" s="1352"/>
      <c r="CB153" s="1352" t="s">
        <v>595</v>
      </c>
      <c r="CC153" s="1352">
        <v>10</v>
      </c>
      <c r="CD153" s="1352">
        <v>10</v>
      </c>
      <c r="CE153" s="1352"/>
      <c r="CF153" s="1352">
        <v>10</v>
      </c>
      <c r="CG153" s="1352"/>
      <c r="CH153" s="1352">
        <v>7</v>
      </c>
      <c r="CI153" s="1352"/>
      <c r="CJ153" s="1352"/>
      <c r="CK153" s="1353">
        <v>1327</v>
      </c>
      <c r="CL153" s="1353">
        <v>694</v>
      </c>
      <c r="CM153" s="1354">
        <v>215</v>
      </c>
      <c r="CN153" s="1354">
        <v>46</v>
      </c>
      <c r="CO153" s="1354"/>
      <c r="CP153" s="1354"/>
      <c r="CQ153" s="1354"/>
      <c r="CR153" s="1354">
        <v>26</v>
      </c>
      <c r="CS153" s="1354">
        <v>26</v>
      </c>
      <c r="CT153" s="1353">
        <v>929</v>
      </c>
      <c r="CU153" s="1353">
        <v>120</v>
      </c>
      <c r="CV153" s="1353">
        <v>300</v>
      </c>
      <c r="CW153" s="1353"/>
      <c r="CX153" s="1353"/>
      <c r="CY153" s="1353">
        <v>12</v>
      </c>
      <c r="CZ153" s="1353">
        <v>22</v>
      </c>
      <c r="DA153" s="1353">
        <v>22</v>
      </c>
      <c r="DB153" s="1353">
        <v>398</v>
      </c>
      <c r="DC153" s="1353"/>
      <c r="DD153" s="1353"/>
      <c r="DE153" s="1353"/>
      <c r="DF153" s="1353"/>
      <c r="DG153" s="1353"/>
      <c r="DH153" s="1353"/>
      <c r="DI153" s="1353"/>
      <c r="DJ153" s="1353"/>
      <c r="DK153" s="1353"/>
      <c r="DT153" s="659"/>
      <c r="DU153" s="660" t="s">
        <v>595</v>
      </c>
      <c r="DV153" s="777">
        <f t="shared" si="284"/>
        <v>-74</v>
      </c>
      <c r="DW153" s="777">
        <f t="shared" si="284"/>
        <v>-48</v>
      </c>
      <c r="DX153" s="777">
        <f t="shared" si="284"/>
        <v>-26</v>
      </c>
      <c r="DY153" s="777">
        <f t="shared" si="284"/>
        <v>0</v>
      </c>
      <c r="DZ153" s="777">
        <f t="shared" si="284"/>
        <v>0</v>
      </c>
      <c r="EA153" s="777">
        <f t="shared" si="284"/>
        <v>0</v>
      </c>
      <c r="EB153" s="777">
        <f t="shared" si="284"/>
        <v>0</v>
      </c>
      <c r="EC153" s="777">
        <f t="shared" si="284"/>
        <v>0</v>
      </c>
      <c r="ED153" s="777">
        <f t="shared" si="284"/>
        <v>0</v>
      </c>
      <c r="EE153" s="777">
        <f t="shared" si="284"/>
        <v>-74</v>
      </c>
      <c r="EF153" s="777">
        <f t="shared" si="284"/>
        <v>0</v>
      </c>
      <c r="EG153" s="777">
        <f t="shared" si="284"/>
        <v>0</v>
      </c>
      <c r="EH153" s="777">
        <f t="shared" si="284"/>
        <v>0</v>
      </c>
      <c r="EI153" s="777">
        <f t="shared" si="284"/>
        <v>0</v>
      </c>
      <c r="EJ153" s="777">
        <f t="shared" si="284"/>
        <v>0</v>
      </c>
      <c r="EK153" s="777">
        <f t="shared" si="284"/>
        <v>0</v>
      </c>
      <c r="EL153" s="777">
        <f t="shared" si="285"/>
        <v>0</v>
      </c>
      <c r="EM153" s="777">
        <f t="shared" si="285"/>
        <v>0</v>
      </c>
      <c r="EN153" s="777">
        <f t="shared" si="285"/>
        <v>0</v>
      </c>
      <c r="EO153" s="777">
        <f t="shared" si="285"/>
        <v>0</v>
      </c>
      <c r="EP153" s="777">
        <f t="shared" si="285"/>
        <v>0</v>
      </c>
      <c r="EQ153" s="777">
        <f t="shared" si="285"/>
        <v>0</v>
      </c>
      <c r="ER153" s="777">
        <f t="shared" si="285"/>
        <v>0</v>
      </c>
      <c r="ES153" s="777">
        <f t="shared" si="285"/>
        <v>0</v>
      </c>
      <c r="ET153" s="777">
        <f t="shared" si="285"/>
        <v>0</v>
      </c>
      <c r="EU153" s="777">
        <f t="shared" si="285"/>
        <v>0</v>
      </c>
      <c r="EV153" s="777">
        <f t="shared" si="285"/>
        <v>0</v>
      </c>
    </row>
    <row r="154" spans="1:152" ht="24.75" customHeight="1">
      <c r="A154" s="659">
        <v>43</v>
      </c>
      <c r="B154" s="660" t="s">
        <v>596</v>
      </c>
      <c r="C154" s="661">
        <f>D154+I154</f>
        <v>34</v>
      </c>
      <c r="D154" s="661">
        <f>E154+F154</f>
        <v>28</v>
      </c>
      <c r="E154" s="661">
        <v>28</v>
      </c>
      <c r="F154" s="661"/>
      <c r="G154" s="661">
        <v>27</v>
      </c>
      <c r="H154" s="661"/>
      <c r="I154" s="661">
        <v>6</v>
      </c>
      <c r="J154" s="661">
        <v>6</v>
      </c>
      <c r="K154" s="646">
        <f t="shared" si="272"/>
        <v>11199</v>
      </c>
      <c r="L154" s="662">
        <f>U154+AC154+AD154+AE154</f>
        <v>11289</v>
      </c>
      <c r="M154" s="666">
        <v>3694</v>
      </c>
      <c r="N154" s="666">
        <v>612</v>
      </c>
      <c r="O154" s="666">
        <f>144</f>
        <v>144</v>
      </c>
      <c r="P154" s="666">
        <v>151</v>
      </c>
      <c r="Q154" s="666"/>
      <c r="R154" s="666"/>
      <c r="S154" s="666">
        <v>90</v>
      </c>
      <c r="T154" s="666">
        <f>ROUND((Q154+R154+S154),0)</f>
        <v>90</v>
      </c>
      <c r="U154" s="666">
        <f>(M154+N154+O154+P154)-T154</f>
        <v>4511</v>
      </c>
      <c r="V154" s="666">
        <f>6522-200</f>
        <v>6322</v>
      </c>
      <c r="W154" s="666">
        <v>845</v>
      </c>
      <c r="X154" s="666"/>
      <c r="Y154" s="666">
        <f>Z154-BM154</f>
        <v>17.200000000000045</v>
      </c>
      <c r="Z154" s="666">
        <f>(V154-470)*10%</f>
        <v>585.20000000000005</v>
      </c>
      <c r="AA154" s="666">
        <v>462</v>
      </c>
      <c r="AB154" s="666">
        <f>ROUND((Y154+AA154+X154),0)</f>
        <v>479</v>
      </c>
      <c r="AC154" s="666">
        <f>(V154+W154)-AB154</f>
        <v>6688</v>
      </c>
      <c r="AD154" s="666">
        <v>90</v>
      </c>
      <c r="AE154" s="666"/>
      <c r="AF154" s="666"/>
      <c r="AG154" s="666"/>
      <c r="AH154" s="666"/>
      <c r="AI154" s="666"/>
      <c r="AJ154" s="666"/>
      <c r="AK154" s="666"/>
      <c r="AL154" s="664"/>
      <c r="AN154" s="610"/>
      <c r="AO154" s="659">
        <v>48</v>
      </c>
      <c r="AP154" s="660" t="s">
        <v>596</v>
      </c>
      <c r="AQ154" s="661">
        <f>AR154+AW154</f>
        <v>36</v>
      </c>
      <c r="AR154" s="661">
        <f>AS154+AT154</f>
        <v>30</v>
      </c>
      <c r="AS154" s="661">
        <v>30</v>
      </c>
      <c r="AT154" s="661"/>
      <c r="AU154" s="661">
        <v>27</v>
      </c>
      <c r="AV154" s="661"/>
      <c r="AW154" s="661">
        <v>6</v>
      </c>
      <c r="AX154" s="661">
        <v>6</v>
      </c>
      <c r="AY154" s="666">
        <f>BG154+BN154+BO154+BP154</f>
        <v>11830</v>
      </c>
      <c r="AZ154" s="670">
        <f>1895+110+451+509+282+71+66</f>
        <v>3384</v>
      </c>
      <c r="BA154" s="666">
        <v>666</v>
      </c>
      <c r="BB154" s="666">
        <f>144</f>
        <v>144</v>
      </c>
      <c r="BC154" s="666">
        <v>162</v>
      </c>
      <c r="BD154" s="666"/>
      <c r="BE154" s="666">
        <f>(BA154+BB154)*10%</f>
        <v>81</v>
      </c>
      <c r="BF154" s="667">
        <f>ROUND(BE154,0)</f>
        <v>81</v>
      </c>
      <c r="BG154" s="666">
        <f>(AZ154+BA154+BB154+BC154)-BF154</f>
        <v>4275</v>
      </c>
      <c r="BH154" s="666">
        <v>6107</v>
      </c>
      <c r="BI154" s="666"/>
      <c r="BJ154" s="666">
        <f>480+598+696+152</f>
        <v>1926</v>
      </c>
      <c r="BK154" s="666"/>
      <c r="BL154" s="666">
        <f>(BH154-423)*10%</f>
        <v>568.4</v>
      </c>
      <c r="BM154" s="667">
        <f>ROUND(BL154,0)</f>
        <v>568</v>
      </c>
      <c r="BN154" s="666">
        <f>(BH154+BI154+BJ154)-BM154</f>
        <v>7465</v>
      </c>
      <c r="BO154" s="666">
        <v>90</v>
      </c>
      <c r="BP154" s="666"/>
      <c r="BQ154" s="666"/>
      <c r="BR154" s="666"/>
      <c r="BS154" s="666"/>
      <c r="BT154" s="666"/>
      <c r="BU154" s="666"/>
      <c r="BV154" s="666"/>
      <c r="BW154" s="662"/>
      <c r="CA154" s="1352">
        <v>45</v>
      </c>
      <c r="CB154" s="1352" t="s">
        <v>596</v>
      </c>
      <c r="CC154" s="1352">
        <v>35</v>
      </c>
      <c r="CD154" s="1352">
        <v>29</v>
      </c>
      <c r="CE154" s="1352">
        <v>29</v>
      </c>
      <c r="CF154" s="1352"/>
      <c r="CG154" s="1352">
        <v>27</v>
      </c>
      <c r="CH154" s="1352"/>
      <c r="CI154" s="1352">
        <v>6</v>
      </c>
      <c r="CJ154" s="1352">
        <v>6</v>
      </c>
      <c r="CK154" s="1353">
        <v>11376</v>
      </c>
      <c r="CL154" s="1353">
        <v>3750</v>
      </c>
      <c r="CM154" s="1354">
        <v>639</v>
      </c>
      <c r="CN154" s="1354">
        <v>144</v>
      </c>
      <c r="CO154" s="1354">
        <v>157</v>
      </c>
      <c r="CP154" s="1354"/>
      <c r="CQ154" s="1354"/>
      <c r="CR154" s="1354">
        <v>90</v>
      </c>
      <c r="CS154" s="1354">
        <v>90</v>
      </c>
      <c r="CT154" s="1353">
        <v>4600</v>
      </c>
      <c r="CU154" s="1353">
        <v>6322</v>
      </c>
      <c r="CV154" s="1353">
        <v>845</v>
      </c>
      <c r="CW154" s="1353"/>
      <c r="CX154" s="1353">
        <v>19.200000000000045</v>
      </c>
      <c r="CY154" s="1353">
        <v>587.20000000000005</v>
      </c>
      <c r="CZ154" s="1353">
        <v>462</v>
      </c>
      <c r="DA154" s="1353">
        <v>481</v>
      </c>
      <c r="DB154" s="1353">
        <v>6686</v>
      </c>
      <c r="DC154" s="1353">
        <v>90</v>
      </c>
      <c r="DD154" s="1353"/>
      <c r="DE154" s="1353"/>
      <c r="DF154" s="1353"/>
      <c r="DG154" s="1353"/>
      <c r="DH154" s="1353"/>
      <c r="DI154" s="1353"/>
      <c r="DJ154" s="1353"/>
      <c r="DK154" s="1353"/>
      <c r="DT154" s="659">
        <v>45</v>
      </c>
      <c r="DU154" s="660" t="s">
        <v>596</v>
      </c>
      <c r="DV154" s="777">
        <f t="shared" si="284"/>
        <v>-87</v>
      </c>
      <c r="DW154" s="777">
        <f t="shared" si="284"/>
        <v>-56</v>
      </c>
      <c r="DX154" s="777">
        <f t="shared" si="284"/>
        <v>-27</v>
      </c>
      <c r="DY154" s="777">
        <f t="shared" si="284"/>
        <v>0</v>
      </c>
      <c r="DZ154" s="777">
        <f t="shared" si="284"/>
        <v>-6</v>
      </c>
      <c r="EA154" s="777">
        <f t="shared" si="284"/>
        <v>0</v>
      </c>
      <c r="EB154" s="777">
        <f t="shared" si="284"/>
        <v>0</v>
      </c>
      <c r="EC154" s="777">
        <f t="shared" si="284"/>
        <v>0</v>
      </c>
      <c r="ED154" s="777">
        <f t="shared" si="284"/>
        <v>0</v>
      </c>
      <c r="EE154" s="777">
        <f t="shared" si="284"/>
        <v>-89</v>
      </c>
      <c r="EF154" s="777">
        <f t="shared" si="284"/>
        <v>0</v>
      </c>
      <c r="EG154" s="777">
        <f t="shared" si="284"/>
        <v>0</v>
      </c>
      <c r="EH154" s="777">
        <f t="shared" si="284"/>
        <v>0</v>
      </c>
      <c r="EI154" s="777">
        <f t="shared" si="284"/>
        <v>-2</v>
      </c>
      <c r="EJ154" s="777">
        <f t="shared" si="284"/>
        <v>-2</v>
      </c>
      <c r="EK154" s="777">
        <f t="shared" si="284"/>
        <v>0</v>
      </c>
      <c r="EL154" s="777">
        <f t="shared" si="285"/>
        <v>-2</v>
      </c>
      <c r="EM154" s="777">
        <f t="shared" si="285"/>
        <v>2</v>
      </c>
      <c r="EN154" s="777">
        <f t="shared" si="285"/>
        <v>0</v>
      </c>
      <c r="EO154" s="777">
        <f t="shared" si="285"/>
        <v>0</v>
      </c>
      <c r="EP154" s="777">
        <f t="shared" si="285"/>
        <v>0</v>
      </c>
      <c r="EQ154" s="777">
        <f t="shared" si="285"/>
        <v>0</v>
      </c>
      <c r="ER154" s="777">
        <f t="shared" si="285"/>
        <v>0</v>
      </c>
      <c r="ES154" s="777">
        <f t="shared" si="285"/>
        <v>0</v>
      </c>
      <c r="ET154" s="777">
        <f t="shared" si="285"/>
        <v>0</v>
      </c>
      <c r="EU154" s="777">
        <f t="shared" si="285"/>
        <v>0</v>
      </c>
      <c r="EV154" s="777">
        <f t="shared" si="285"/>
        <v>0</v>
      </c>
    </row>
    <row r="155" spans="1:152" ht="26.25" customHeight="1">
      <c r="A155" s="659">
        <v>44</v>
      </c>
      <c r="B155" s="660" t="s">
        <v>597</v>
      </c>
      <c r="C155" s="661">
        <f>D155+I155</f>
        <v>41</v>
      </c>
      <c r="D155" s="661">
        <f>E155+F155</f>
        <v>38</v>
      </c>
      <c r="E155" s="661">
        <v>38</v>
      </c>
      <c r="F155" s="661"/>
      <c r="G155" s="661">
        <v>39</v>
      </c>
      <c r="H155" s="661"/>
      <c r="I155" s="661">
        <v>3</v>
      </c>
      <c r="J155" s="661">
        <v>3</v>
      </c>
      <c r="K155" s="646">
        <f t="shared" si="272"/>
        <v>8177</v>
      </c>
      <c r="L155" s="662">
        <f>U155+AC155+AD155+AE155</f>
        <v>8423</v>
      </c>
      <c r="M155" s="666">
        <v>4937</v>
      </c>
      <c r="N155" s="666">
        <f>973-27</f>
        <v>946</v>
      </c>
      <c r="O155" s="666">
        <v>80</v>
      </c>
      <c r="P155" s="666"/>
      <c r="Q155" s="666"/>
      <c r="R155" s="666">
        <f>((N155+O155)-(BA155+BB155))*10%</f>
        <v>2.6</v>
      </c>
      <c r="S155" s="666">
        <v>140</v>
      </c>
      <c r="T155" s="666">
        <f>ROUND((Q155+R155+S155),0)</f>
        <v>143</v>
      </c>
      <c r="U155" s="666">
        <f>(M155+N155+O155+P155)-T155</f>
        <v>5820</v>
      </c>
      <c r="V155" s="666">
        <v>2230</v>
      </c>
      <c r="W155" s="666">
        <v>260</v>
      </c>
      <c r="X155" s="666"/>
      <c r="Y155" s="666">
        <f>Z155-BM155</f>
        <v>23.900000000000006</v>
      </c>
      <c r="Z155" s="666">
        <f>(V155-228-123-500)*10%</f>
        <v>137.9</v>
      </c>
      <c r="AA155" s="666">
        <v>109</v>
      </c>
      <c r="AB155" s="666">
        <f>ROUND((Y155+AA155+X155),0)</f>
        <v>133</v>
      </c>
      <c r="AC155" s="666">
        <f>(V155+W155)-AB155</f>
        <v>2357</v>
      </c>
      <c r="AD155" s="666">
        <v>246</v>
      </c>
      <c r="AE155" s="666"/>
      <c r="AF155" s="666"/>
      <c r="AG155" s="666"/>
      <c r="AH155" s="666"/>
      <c r="AI155" s="666"/>
      <c r="AJ155" s="666"/>
      <c r="AK155" s="666"/>
      <c r="AL155" s="664"/>
      <c r="AN155" s="610"/>
      <c r="AO155" s="659">
        <v>49</v>
      </c>
      <c r="AP155" s="660" t="s">
        <v>597</v>
      </c>
      <c r="AQ155" s="661">
        <f>AR155+AW155</f>
        <v>43</v>
      </c>
      <c r="AR155" s="661">
        <f>AS155+AT155</f>
        <v>40</v>
      </c>
      <c r="AS155" s="661">
        <v>40</v>
      </c>
      <c r="AT155" s="661"/>
      <c r="AU155" s="661">
        <v>38</v>
      </c>
      <c r="AV155" s="661"/>
      <c r="AW155" s="661">
        <v>3</v>
      </c>
      <c r="AX155" s="661">
        <v>3</v>
      </c>
      <c r="AY155" s="666">
        <f>BG155+BN155+BO155+BP155</f>
        <v>7134</v>
      </c>
      <c r="AZ155" s="670">
        <f>4238+187</f>
        <v>4425</v>
      </c>
      <c r="BA155" s="666">
        <f>1000-443</f>
        <v>557</v>
      </c>
      <c r="BB155" s="666">
        <v>443</v>
      </c>
      <c r="BC155" s="666"/>
      <c r="BD155" s="666"/>
      <c r="BE155" s="666">
        <f>(BA155+BB155)*10%</f>
        <v>100</v>
      </c>
      <c r="BF155" s="667">
        <f>ROUND(BE155,0)</f>
        <v>100</v>
      </c>
      <c r="BG155" s="666">
        <f>(AZ155+BA155+BB155+BC155)-BF155</f>
        <v>5325</v>
      </c>
      <c r="BH155" s="666">
        <v>1596</v>
      </c>
      <c r="BI155" s="666"/>
      <c r="BJ155" s="666">
        <v>154</v>
      </c>
      <c r="BK155" s="666"/>
      <c r="BL155" s="666">
        <f>(BH155-228-228)*10%</f>
        <v>114</v>
      </c>
      <c r="BM155" s="667">
        <f>ROUND(BL155,0)</f>
        <v>114</v>
      </c>
      <c r="BN155" s="666">
        <f>(BH155+BI155+BJ155)-BM155</f>
        <v>1636</v>
      </c>
      <c r="BO155" s="666">
        <v>173</v>
      </c>
      <c r="BP155" s="666"/>
      <c r="BQ155" s="666"/>
      <c r="BR155" s="666"/>
      <c r="BS155" s="666"/>
      <c r="BT155" s="666"/>
      <c r="BU155" s="666"/>
      <c r="BV155" s="666"/>
      <c r="BW155" s="662"/>
      <c r="CA155" s="1352">
        <v>46</v>
      </c>
      <c r="CB155" s="1352" t="s">
        <v>597</v>
      </c>
      <c r="CC155" s="1352">
        <v>42</v>
      </c>
      <c r="CD155" s="1352">
        <v>39</v>
      </c>
      <c r="CE155" s="1352">
        <v>39</v>
      </c>
      <c r="CF155" s="1352"/>
      <c r="CG155" s="1352">
        <v>39</v>
      </c>
      <c r="CH155" s="1352"/>
      <c r="CI155" s="1352">
        <v>3</v>
      </c>
      <c r="CJ155" s="1352">
        <v>3</v>
      </c>
      <c r="CK155" s="1353">
        <v>8480</v>
      </c>
      <c r="CL155" s="1353">
        <v>4969</v>
      </c>
      <c r="CM155" s="1354">
        <v>973</v>
      </c>
      <c r="CN155" s="1354">
        <v>80</v>
      </c>
      <c r="CO155" s="1354"/>
      <c r="CP155" s="1354"/>
      <c r="CQ155" s="1354">
        <v>5.3000000000000007</v>
      </c>
      <c r="CR155" s="1354">
        <v>140</v>
      </c>
      <c r="CS155" s="1354">
        <v>145</v>
      </c>
      <c r="CT155" s="1353">
        <v>5877</v>
      </c>
      <c r="CU155" s="1353">
        <v>2230</v>
      </c>
      <c r="CV155" s="1353">
        <v>260</v>
      </c>
      <c r="CW155" s="1353"/>
      <c r="CX155" s="1353">
        <v>23.900000000000006</v>
      </c>
      <c r="CY155" s="1353">
        <v>137.9</v>
      </c>
      <c r="CZ155" s="1353">
        <v>109</v>
      </c>
      <c r="DA155" s="1353">
        <v>133</v>
      </c>
      <c r="DB155" s="1353">
        <v>2357</v>
      </c>
      <c r="DC155" s="1353">
        <v>246</v>
      </c>
      <c r="DD155" s="1353"/>
      <c r="DE155" s="1353"/>
      <c r="DF155" s="1353"/>
      <c r="DG155" s="1353"/>
      <c r="DH155" s="1353"/>
      <c r="DI155" s="1353"/>
      <c r="DJ155" s="1353"/>
      <c r="DK155" s="1353"/>
      <c r="DT155" s="659">
        <v>46</v>
      </c>
      <c r="DU155" s="660" t="s">
        <v>597</v>
      </c>
      <c r="DV155" s="777">
        <f t="shared" si="284"/>
        <v>-57</v>
      </c>
      <c r="DW155" s="777">
        <f t="shared" si="284"/>
        <v>-32</v>
      </c>
      <c r="DX155" s="777">
        <f t="shared" si="284"/>
        <v>-27</v>
      </c>
      <c r="DY155" s="777">
        <f t="shared" si="284"/>
        <v>0</v>
      </c>
      <c r="DZ155" s="777">
        <f t="shared" si="284"/>
        <v>0</v>
      </c>
      <c r="EA155" s="777">
        <f t="shared" si="284"/>
        <v>0</v>
      </c>
      <c r="EB155" s="777">
        <f t="shared" si="284"/>
        <v>-2.7000000000000006</v>
      </c>
      <c r="EC155" s="777">
        <f t="shared" si="284"/>
        <v>0</v>
      </c>
      <c r="ED155" s="777">
        <f t="shared" si="284"/>
        <v>-2</v>
      </c>
      <c r="EE155" s="777">
        <f t="shared" si="284"/>
        <v>-57</v>
      </c>
      <c r="EF155" s="777">
        <f t="shared" si="284"/>
        <v>0</v>
      </c>
      <c r="EG155" s="777">
        <f t="shared" si="284"/>
        <v>0</v>
      </c>
      <c r="EH155" s="777">
        <f t="shared" si="284"/>
        <v>0</v>
      </c>
      <c r="EI155" s="777">
        <f t="shared" si="284"/>
        <v>0</v>
      </c>
      <c r="EJ155" s="777">
        <f t="shared" si="284"/>
        <v>0</v>
      </c>
      <c r="EK155" s="777">
        <f t="shared" si="284"/>
        <v>0</v>
      </c>
      <c r="EL155" s="777">
        <f t="shared" si="285"/>
        <v>0</v>
      </c>
      <c r="EM155" s="777">
        <f t="shared" si="285"/>
        <v>0</v>
      </c>
      <c r="EN155" s="777">
        <f t="shared" si="285"/>
        <v>0</v>
      </c>
      <c r="EO155" s="777">
        <f t="shared" si="285"/>
        <v>0</v>
      </c>
      <c r="EP155" s="777">
        <f t="shared" si="285"/>
        <v>0</v>
      </c>
      <c r="EQ155" s="777">
        <f t="shared" si="285"/>
        <v>0</v>
      </c>
      <c r="ER155" s="777">
        <f t="shared" si="285"/>
        <v>0</v>
      </c>
      <c r="ES155" s="777">
        <f t="shared" si="285"/>
        <v>0</v>
      </c>
      <c r="ET155" s="777">
        <f t="shared" si="285"/>
        <v>0</v>
      </c>
      <c r="EU155" s="777">
        <f t="shared" si="285"/>
        <v>0</v>
      </c>
      <c r="EV155" s="777">
        <f t="shared" si="285"/>
        <v>0</v>
      </c>
    </row>
    <row r="156" spans="1:152" ht="22.5" customHeight="1">
      <c r="A156" s="659">
        <v>45</v>
      </c>
      <c r="B156" s="751" t="s">
        <v>598</v>
      </c>
      <c r="C156" s="661">
        <f t="shared" ref="C156:J156" si="286">SUM(C157:C162)</f>
        <v>87</v>
      </c>
      <c r="D156" s="661">
        <f t="shared" si="286"/>
        <v>76</v>
      </c>
      <c r="E156" s="661">
        <f t="shared" si="286"/>
        <v>63</v>
      </c>
      <c r="F156" s="661">
        <f t="shared" si="286"/>
        <v>13</v>
      </c>
      <c r="G156" s="661">
        <f t="shared" si="286"/>
        <v>10</v>
      </c>
      <c r="H156" s="661">
        <f t="shared" si="286"/>
        <v>61</v>
      </c>
      <c r="I156" s="661">
        <f t="shared" si="286"/>
        <v>11</v>
      </c>
      <c r="J156" s="661">
        <f t="shared" si="286"/>
        <v>7</v>
      </c>
      <c r="K156" s="646">
        <f t="shared" si="272"/>
        <v>24402</v>
      </c>
      <c r="L156" s="662">
        <f>SUM(L157:L162)</f>
        <v>29991</v>
      </c>
      <c r="M156" s="666">
        <f>SUM(M157:M162)</f>
        <v>7482</v>
      </c>
      <c r="N156" s="666">
        <f>SUM(N157:N162)</f>
        <v>1841</v>
      </c>
      <c r="O156" s="666">
        <f t="shared" ref="O156:AE156" si="287">SUM(O157:O162)</f>
        <v>249</v>
      </c>
      <c r="P156" s="666">
        <f t="shared" si="287"/>
        <v>0</v>
      </c>
      <c r="Q156" s="666">
        <f t="shared" si="287"/>
        <v>24</v>
      </c>
      <c r="R156" s="666">
        <f t="shared" si="287"/>
        <v>23.200000000000003</v>
      </c>
      <c r="S156" s="666">
        <f t="shared" si="287"/>
        <v>221</v>
      </c>
      <c r="T156" s="666">
        <f t="shared" si="287"/>
        <v>268</v>
      </c>
      <c r="U156" s="666">
        <f t="shared" si="287"/>
        <v>9304</v>
      </c>
      <c r="V156" s="666">
        <f t="shared" si="287"/>
        <v>14479</v>
      </c>
      <c r="W156" s="666">
        <f t="shared" si="287"/>
        <v>1122</v>
      </c>
      <c r="X156" s="666">
        <f t="shared" si="287"/>
        <v>20</v>
      </c>
      <c r="Y156" s="666">
        <f t="shared" si="287"/>
        <v>114.1</v>
      </c>
      <c r="Z156" s="666">
        <f t="shared" si="287"/>
        <v>395.79999999999995</v>
      </c>
      <c r="AA156" s="666">
        <f t="shared" si="287"/>
        <v>369</v>
      </c>
      <c r="AB156" s="666">
        <f t="shared" si="287"/>
        <v>503</v>
      </c>
      <c r="AC156" s="666">
        <f t="shared" si="287"/>
        <v>15098</v>
      </c>
      <c r="AD156" s="666">
        <f t="shared" si="287"/>
        <v>5589</v>
      </c>
      <c r="AE156" s="666">
        <f t="shared" si="287"/>
        <v>0</v>
      </c>
      <c r="AF156" s="666"/>
      <c r="AG156" s="666">
        <f>SUM(AG157:AG162)</f>
        <v>0</v>
      </c>
      <c r="AH156" s="666">
        <f>SUM(AH157:AH162)</f>
        <v>0</v>
      </c>
      <c r="AI156" s="666">
        <f t="shared" ref="AI156:AK156" si="288">SUM(AI157:AI162)</f>
        <v>0</v>
      </c>
      <c r="AJ156" s="666">
        <f t="shared" si="288"/>
        <v>1200</v>
      </c>
      <c r="AK156" s="666">
        <f t="shared" si="288"/>
        <v>550</v>
      </c>
      <c r="AL156" s="669"/>
      <c r="AN156" s="610"/>
      <c r="AO156" s="659">
        <v>50</v>
      </c>
      <c r="AP156" s="751" t="s">
        <v>598</v>
      </c>
      <c r="AQ156" s="661">
        <f>SUM(AQ157:AQ162)</f>
        <v>82</v>
      </c>
      <c r="AR156" s="661">
        <f t="shared" ref="AR156:AX156" si="289">SUM(AR157:AR162)</f>
        <v>74</v>
      </c>
      <c r="AS156" s="661">
        <f t="shared" si="289"/>
        <v>65</v>
      </c>
      <c r="AT156" s="661">
        <f t="shared" si="289"/>
        <v>9</v>
      </c>
      <c r="AU156" s="661">
        <f t="shared" si="289"/>
        <v>61</v>
      </c>
      <c r="AV156" s="661">
        <f t="shared" si="289"/>
        <v>7</v>
      </c>
      <c r="AW156" s="661">
        <f t="shared" si="289"/>
        <v>8</v>
      </c>
      <c r="AX156" s="661">
        <f t="shared" si="289"/>
        <v>4</v>
      </c>
      <c r="AY156" s="666">
        <f>SUM(AY157:AY162)</f>
        <v>27012</v>
      </c>
      <c r="AZ156" s="670">
        <f>SUM(AZ157:AZ162)</f>
        <v>6810</v>
      </c>
      <c r="BA156" s="666">
        <f>SUM(BA157:BA162)</f>
        <v>1726</v>
      </c>
      <c r="BB156" s="666">
        <f t="shared" ref="BB156:BV156" si="290">SUM(BB157:BB162)</f>
        <v>326</v>
      </c>
      <c r="BC156" s="666">
        <f t="shared" si="290"/>
        <v>0</v>
      </c>
      <c r="BD156" s="666">
        <f t="shared" si="290"/>
        <v>0</v>
      </c>
      <c r="BE156" s="666">
        <f t="shared" si="290"/>
        <v>205.20000000000002</v>
      </c>
      <c r="BF156" s="667">
        <f t="shared" si="290"/>
        <v>206</v>
      </c>
      <c r="BG156" s="666">
        <f t="shared" si="290"/>
        <v>8656</v>
      </c>
      <c r="BH156" s="666">
        <f t="shared" si="290"/>
        <v>13342</v>
      </c>
      <c r="BI156" s="666">
        <f t="shared" si="290"/>
        <v>0</v>
      </c>
      <c r="BJ156" s="666">
        <f t="shared" si="290"/>
        <v>150</v>
      </c>
      <c r="BK156" s="666">
        <f t="shared" si="290"/>
        <v>0</v>
      </c>
      <c r="BL156" s="666">
        <f t="shared" si="290"/>
        <v>341</v>
      </c>
      <c r="BM156" s="667">
        <f t="shared" si="290"/>
        <v>341</v>
      </c>
      <c r="BN156" s="666">
        <f t="shared" si="290"/>
        <v>13151</v>
      </c>
      <c r="BO156" s="666">
        <f t="shared" si="290"/>
        <v>5205</v>
      </c>
      <c r="BP156" s="666">
        <f t="shared" si="290"/>
        <v>0</v>
      </c>
      <c r="BQ156" s="666">
        <f t="shared" si="290"/>
        <v>808</v>
      </c>
      <c r="BR156" s="666">
        <f>SUM(BR157:BR162)</f>
        <v>0</v>
      </c>
      <c r="BS156" s="666">
        <f>SUM(BS157:BS162)</f>
        <v>0</v>
      </c>
      <c r="BT156" s="666">
        <f t="shared" si="290"/>
        <v>0</v>
      </c>
      <c r="BU156" s="666">
        <f t="shared" si="290"/>
        <v>0</v>
      </c>
      <c r="BV156" s="666">
        <f t="shared" si="290"/>
        <v>0</v>
      </c>
      <c r="BW156" s="666"/>
      <c r="CA156" s="1352">
        <v>47</v>
      </c>
      <c r="CB156" s="1352" t="s">
        <v>598</v>
      </c>
      <c r="CC156" s="1352">
        <v>85</v>
      </c>
      <c r="CD156" s="1352">
        <v>77</v>
      </c>
      <c r="CE156" s="1352">
        <v>10</v>
      </c>
      <c r="CF156" s="1352">
        <v>67</v>
      </c>
      <c r="CG156" s="1352">
        <v>10</v>
      </c>
      <c r="CH156" s="1352">
        <v>61</v>
      </c>
      <c r="CI156" s="1352">
        <v>8</v>
      </c>
      <c r="CJ156" s="1352">
        <v>7</v>
      </c>
      <c r="CK156" s="1353">
        <v>30144</v>
      </c>
      <c r="CL156" s="1353">
        <v>7541</v>
      </c>
      <c r="CM156" s="1354">
        <v>1894</v>
      </c>
      <c r="CN156" s="1354">
        <v>249</v>
      </c>
      <c r="CO156" s="1354">
        <v>0</v>
      </c>
      <c r="CP156" s="1354">
        <v>0</v>
      </c>
      <c r="CQ156" s="1354">
        <v>25.900000000000002</v>
      </c>
      <c r="CR156" s="1354">
        <v>221</v>
      </c>
      <c r="CS156" s="1354">
        <v>247</v>
      </c>
      <c r="CT156" s="1353">
        <v>9437</v>
      </c>
      <c r="CU156" s="1353">
        <v>14479</v>
      </c>
      <c r="CV156" s="1353">
        <v>1122</v>
      </c>
      <c r="CW156" s="1353">
        <v>0</v>
      </c>
      <c r="CX156" s="1353">
        <v>114.1</v>
      </c>
      <c r="CY156" s="1353">
        <v>395.79999999999995</v>
      </c>
      <c r="CZ156" s="1353">
        <v>369</v>
      </c>
      <c r="DA156" s="1353">
        <v>483</v>
      </c>
      <c r="DB156" s="1353">
        <v>15118</v>
      </c>
      <c r="DC156" s="1353">
        <v>5589</v>
      </c>
      <c r="DD156" s="1353">
        <v>0</v>
      </c>
      <c r="DE156" s="1353"/>
      <c r="DF156" s="1353">
        <v>0</v>
      </c>
      <c r="DG156" s="1353">
        <v>0</v>
      </c>
      <c r="DH156" s="1353">
        <v>0</v>
      </c>
      <c r="DI156" s="1353">
        <v>0</v>
      </c>
      <c r="DJ156" s="1353">
        <v>0</v>
      </c>
      <c r="DK156" s="1353"/>
      <c r="DT156" s="659">
        <v>47</v>
      </c>
      <c r="DU156" s="751" t="s">
        <v>598</v>
      </c>
      <c r="DV156" s="777">
        <f>SUM(DV157:DV162)</f>
        <v>-153</v>
      </c>
      <c r="DW156" s="777">
        <f t="shared" ref="DW156:EV156" si="291">SUM(DW157:DW162)</f>
        <v>-59</v>
      </c>
      <c r="DX156" s="777">
        <f t="shared" si="291"/>
        <v>-53</v>
      </c>
      <c r="DY156" s="777">
        <f t="shared" si="291"/>
        <v>0</v>
      </c>
      <c r="DZ156" s="777">
        <f t="shared" si="291"/>
        <v>0</v>
      </c>
      <c r="EA156" s="777">
        <f t="shared" si="291"/>
        <v>24</v>
      </c>
      <c r="EB156" s="777">
        <f t="shared" si="291"/>
        <v>-2.7</v>
      </c>
      <c r="EC156" s="777">
        <f t="shared" si="291"/>
        <v>0</v>
      </c>
      <c r="ED156" s="777">
        <f t="shared" si="291"/>
        <v>21</v>
      </c>
      <c r="EE156" s="777">
        <f t="shared" si="291"/>
        <v>-133</v>
      </c>
      <c r="EF156" s="777">
        <f t="shared" si="291"/>
        <v>0</v>
      </c>
      <c r="EG156" s="777">
        <f t="shared" si="291"/>
        <v>0</v>
      </c>
      <c r="EH156" s="777">
        <f t="shared" si="291"/>
        <v>20</v>
      </c>
      <c r="EI156" s="777">
        <f t="shared" si="291"/>
        <v>0</v>
      </c>
      <c r="EJ156" s="777">
        <f t="shared" si="291"/>
        <v>0</v>
      </c>
      <c r="EK156" s="777">
        <f t="shared" si="291"/>
        <v>0</v>
      </c>
      <c r="EL156" s="777">
        <f t="shared" si="291"/>
        <v>20</v>
      </c>
      <c r="EM156" s="777">
        <f t="shared" si="291"/>
        <v>-20</v>
      </c>
      <c r="EN156" s="777">
        <f t="shared" si="291"/>
        <v>0</v>
      </c>
      <c r="EO156" s="777">
        <f t="shared" si="291"/>
        <v>0</v>
      </c>
      <c r="EP156" s="777">
        <f t="shared" si="291"/>
        <v>0</v>
      </c>
      <c r="EQ156" s="777">
        <f t="shared" si="291"/>
        <v>0</v>
      </c>
      <c r="ER156" s="777">
        <f t="shared" si="291"/>
        <v>0</v>
      </c>
      <c r="ES156" s="777">
        <f t="shared" si="291"/>
        <v>0</v>
      </c>
      <c r="ET156" s="777">
        <f t="shared" si="291"/>
        <v>1200</v>
      </c>
      <c r="EU156" s="777">
        <f t="shared" si="291"/>
        <v>550</v>
      </c>
      <c r="EV156" s="777">
        <f t="shared" si="291"/>
        <v>0</v>
      </c>
    </row>
    <row r="157" spans="1:152" ht="19.5" hidden="1" customHeight="1">
      <c r="A157" s="659"/>
      <c r="B157" s="660" t="s">
        <v>599</v>
      </c>
      <c r="C157" s="661">
        <f t="shared" ref="C157:C165" si="292">D157+I157</f>
        <v>37</v>
      </c>
      <c r="D157" s="661">
        <f t="shared" ref="D157:D165" si="293">E157+F157</f>
        <v>34</v>
      </c>
      <c r="E157" s="661">
        <v>34</v>
      </c>
      <c r="F157" s="661"/>
      <c r="G157" s="661"/>
      <c r="H157" s="661">
        <v>33</v>
      </c>
      <c r="I157" s="661">
        <v>3</v>
      </c>
      <c r="J157" s="661">
        <v>3</v>
      </c>
      <c r="K157" s="646">
        <f t="shared" si="272"/>
        <v>5553</v>
      </c>
      <c r="L157" s="662">
        <f t="shared" ref="L157:L165" si="294">U157+AC157+AD157+AE157</f>
        <v>10553</v>
      </c>
      <c r="M157" s="666">
        <f>3942-59</f>
        <v>3883</v>
      </c>
      <c r="N157" s="666">
        <f>840-27</f>
        <v>813</v>
      </c>
      <c r="O157" s="666">
        <v>105</v>
      </c>
      <c r="P157" s="666"/>
      <c r="Q157" s="666"/>
      <c r="R157" s="666">
        <f>((N157+O157)-(BA157+BB157))*10%</f>
        <v>0</v>
      </c>
      <c r="S157" s="666">
        <v>101</v>
      </c>
      <c r="T157" s="666">
        <f t="shared" ref="T157:T165" si="295">ROUND((Q157+R157+S157),0)</f>
        <v>101</v>
      </c>
      <c r="U157" s="666">
        <f t="shared" ref="U157:U165" si="296">(M157+N157+O157+P157)-T157</f>
        <v>4700</v>
      </c>
      <c r="V157" s="666">
        <v>938</v>
      </c>
      <c r="W157" s="666">
        <v>79</v>
      </c>
      <c r="X157" s="666"/>
      <c r="Y157" s="666"/>
      <c r="Z157" s="666">
        <f>(V157-22-50-9-10)*10%</f>
        <v>84.7</v>
      </c>
      <c r="AA157" s="666">
        <v>164</v>
      </c>
      <c r="AB157" s="666">
        <f t="shared" ref="AB157:AB165" si="297">ROUND((Y157+AA157+X157),0)</f>
        <v>164</v>
      </c>
      <c r="AC157" s="666">
        <f t="shared" ref="AC157:AC165" si="298">(V157+W157)-AB157</f>
        <v>853</v>
      </c>
      <c r="AD157" s="666">
        <v>5000</v>
      </c>
      <c r="AE157" s="666"/>
      <c r="AF157" s="666"/>
      <c r="AG157" s="666"/>
      <c r="AH157" s="666"/>
      <c r="AI157" s="666"/>
      <c r="AJ157" s="666">
        <v>1200</v>
      </c>
      <c r="AK157" s="666">
        <v>550</v>
      </c>
      <c r="AL157" s="664"/>
      <c r="AN157" s="610"/>
      <c r="AO157" s="659"/>
      <c r="AP157" s="660" t="s">
        <v>599</v>
      </c>
      <c r="AQ157" s="661">
        <f t="shared" ref="AQ157:AQ165" si="299">AR157+AW157</f>
        <v>37</v>
      </c>
      <c r="AR157" s="661">
        <f t="shared" ref="AR157:AR165" si="300">AS157+AT157</f>
        <v>34</v>
      </c>
      <c r="AS157" s="661">
        <v>34</v>
      </c>
      <c r="AT157" s="661"/>
      <c r="AU157" s="661">
        <v>34</v>
      </c>
      <c r="AV157" s="661"/>
      <c r="AW157" s="661">
        <v>3</v>
      </c>
      <c r="AX157" s="661">
        <v>3</v>
      </c>
      <c r="AY157" s="666">
        <f t="shared" ref="AY157:AY165" si="301">BG157+BN157+BO157+BP157</f>
        <v>10679</v>
      </c>
      <c r="AZ157" s="670">
        <f>3318+170</f>
        <v>3488</v>
      </c>
      <c r="BA157" s="666">
        <f>918-172</f>
        <v>746</v>
      </c>
      <c r="BB157" s="666">
        <v>172</v>
      </c>
      <c r="BC157" s="666"/>
      <c r="BD157" s="666"/>
      <c r="BE157" s="666">
        <f>(BA157+BB157)*10%</f>
        <v>91.800000000000011</v>
      </c>
      <c r="BF157" s="667">
        <f t="shared" ref="BF157:BF165" si="302">ROUND(BE157,0)</f>
        <v>92</v>
      </c>
      <c r="BG157" s="666">
        <f t="shared" ref="BG157:BG165" si="303">(AZ157+BA157+BB157+BC157)-BF157</f>
        <v>4314</v>
      </c>
      <c r="BH157" s="666">
        <v>1472</v>
      </c>
      <c r="BI157" s="666"/>
      <c r="BJ157" s="666">
        <v>70</v>
      </c>
      <c r="BK157" s="666"/>
      <c r="BL157" s="666">
        <v>144</v>
      </c>
      <c r="BM157" s="667">
        <f>ROUND(BL157,0)</f>
        <v>144</v>
      </c>
      <c r="BN157" s="666">
        <f t="shared" ref="BN157:BN165" si="304">(BH157+BI157+BJ157)-BM157</f>
        <v>1398</v>
      </c>
      <c r="BO157" s="666">
        <f>5000-33</f>
        <v>4967</v>
      </c>
      <c r="BP157" s="666"/>
      <c r="BQ157" s="666"/>
      <c r="BR157" s="666"/>
      <c r="BS157" s="666"/>
      <c r="BT157" s="666"/>
      <c r="BU157" s="666"/>
      <c r="BV157" s="666"/>
      <c r="BW157" s="662"/>
      <c r="CA157" s="1352"/>
      <c r="CB157" s="1352" t="s">
        <v>599</v>
      </c>
      <c r="CC157" s="1352">
        <v>38</v>
      </c>
      <c r="CD157" s="1352">
        <v>35</v>
      </c>
      <c r="CE157" s="1352"/>
      <c r="CF157" s="1352">
        <v>35</v>
      </c>
      <c r="CG157" s="1352"/>
      <c r="CH157" s="1352">
        <v>33</v>
      </c>
      <c r="CI157" s="1352">
        <v>3</v>
      </c>
      <c r="CJ157" s="1352">
        <v>3</v>
      </c>
      <c r="CK157" s="1353">
        <v>10636</v>
      </c>
      <c r="CL157" s="1353">
        <v>3942</v>
      </c>
      <c r="CM157" s="1354">
        <v>840</v>
      </c>
      <c r="CN157" s="1354">
        <v>105</v>
      </c>
      <c r="CO157" s="1354"/>
      <c r="CP157" s="1354"/>
      <c r="CQ157" s="1354">
        <v>2.7</v>
      </c>
      <c r="CR157" s="1354">
        <v>101</v>
      </c>
      <c r="CS157" s="1354">
        <v>104</v>
      </c>
      <c r="CT157" s="1353">
        <v>4783</v>
      </c>
      <c r="CU157" s="1353">
        <v>938</v>
      </c>
      <c r="CV157" s="1353">
        <v>79</v>
      </c>
      <c r="CW157" s="1353"/>
      <c r="CX157" s="1353"/>
      <c r="CY157" s="1353">
        <v>84.7</v>
      </c>
      <c r="CZ157" s="1353">
        <v>164</v>
      </c>
      <c r="DA157" s="1353">
        <v>164</v>
      </c>
      <c r="DB157" s="1353">
        <v>853</v>
      </c>
      <c r="DC157" s="1353">
        <v>5000</v>
      </c>
      <c r="DD157" s="1353"/>
      <c r="DE157" s="1353"/>
      <c r="DF157" s="1353"/>
      <c r="DG157" s="1353"/>
      <c r="DH157" s="1353"/>
      <c r="DI157" s="1353"/>
      <c r="DJ157" s="1353"/>
      <c r="DK157" s="1353"/>
      <c r="DT157" s="659"/>
      <c r="DU157" s="660" t="s">
        <v>599</v>
      </c>
      <c r="DV157" s="777">
        <f t="shared" ref="DV157:EK165" si="305">L157-CK157</f>
        <v>-83</v>
      </c>
      <c r="DW157" s="777">
        <f t="shared" si="305"/>
        <v>-59</v>
      </c>
      <c r="DX157" s="777">
        <f t="shared" si="305"/>
        <v>-27</v>
      </c>
      <c r="DY157" s="777">
        <f t="shared" si="305"/>
        <v>0</v>
      </c>
      <c r="DZ157" s="777">
        <f t="shared" si="305"/>
        <v>0</v>
      </c>
      <c r="EA157" s="777">
        <f t="shared" si="305"/>
        <v>0</v>
      </c>
      <c r="EB157" s="777">
        <f t="shared" si="305"/>
        <v>-2.7</v>
      </c>
      <c r="EC157" s="777">
        <f t="shared" si="305"/>
        <v>0</v>
      </c>
      <c r="ED157" s="777">
        <f t="shared" si="305"/>
        <v>-3</v>
      </c>
      <c r="EE157" s="777">
        <f t="shared" si="305"/>
        <v>-83</v>
      </c>
      <c r="EF157" s="777">
        <f t="shared" si="305"/>
        <v>0</v>
      </c>
      <c r="EG157" s="777">
        <f t="shared" si="305"/>
        <v>0</v>
      </c>
      <c r="EH157" s="777">
        <f t="shared" si="305"/>
        <v>0</v>
      </c>
      <c r="EI157" s="777">
        <f t="shared" si="305"/>
        <v>0</v>
      </c>
      <c r="EJ157" s="777">
        <f t="shared" si="305"/>
        <v>0</v>
      </c>
      <c r="EK157" s="777">
        <f t="shared" si="305"/>
        <v>0</v>
      </c>
      <c r="EL157" s="777">
        <f t="shared" ref="EL157:EV165" si="306">AB157-DA157</f>
        <v>0</v>
      </c>
      <c r="EM157" s="777">
        <f t="shared" si="306"/>
        <v>0</v>
      </c>
      <c r="EN157" s="777">
        <f t="shared" si="306"/>
        <v>0</v>
      </c>
      <c r="EO157" s="777">
        <f t="shared" si="306"/>
        <v>0</v>
      </c>
      <c r="EP157" s="777">
        <f t="shared" si="306"/>
        <v>0</v>
      </c>
      <c r="EQ157" s="777">
        <f t="shared" si="306"/>
        <v>0</v>
      </c>
      <c r="ER157" s="777">
        <f t="shared" si="306"/>
        <v>0</v>
      </c>
      <c r="ES157" s="777">
        <f t="shared" si="306"/>
        <v>0</v>
      </c>
      <c r="ET157" s="777">
        <f t="shared" si="306"/>
        <v>1200</v>
      </c>
      <c r="EU157" s="777">
        <f t="shared" si="306"/>
        <v>550</v>
      </c>
      <c r="EV157" s="777">
        <f t="shared" si="306"/>
        <v>0</v>
      </c>
    </row>
    <row r="158" spans="1:152" ht="19.5" hidden="1" customHeight="1">
      <c r="A158" s="659"/>
      <c r="B158" s="660" t="s">
        <v>600</v>
      </c>
      <c r="C158" s="661">
        <f t="shared" si="292"/>
        <v>10</v>
      </c>
      <c r="D158" s="661">
        <f t="shared" si="293"/>
        <v>9</v>
      </c>
      <c r="E158" s="661">
        <v>9</v>
      </c>
      <c r="F158" s="661"/>
      <c r="G158" s="661"/>
      <c r="H158" s="661">
        <v>8</v>
      </c>
      <c r="I158" s="661">
        <v>1</v>
      </c>
      <c r="J158" s="661">
        <v>1</v>
      </c>
      <c r="K158" s="646">
        <f t="shared" si="272"/>
        <v>10975</v>
      </c>
      <c r="L158" s="662">
        <f t="shared" si="294"/>
        <v>10995</v>
      </c>
      <c r="M158" s="666">
        <v>786</v>
      </c>
      <c r="N158" s="666">
        <v>251</v>
      </c>
      <c r="O158" s="666">
        <v>10</v>
      </c>
      <c r="P158" s="666"/>
      <c r="Q158" s="666"/>
      <c r="R158" s="666"/>
      <c r="S158" s="666">
        <v>33</v>
      </c>
      <c r="T158" s="666">
        <f t="shared" si="295"/>
        <v>33</v>
      </c>
      <c r="U158" s="666">
        <f t="shared" si="296"/>
        <v>1014</v>
      </c>
      <c r="V158" s="666">
        <v>9930</v>
      </c>
      <c r="W158" s="666">
        <v>31</v>
      </c>
      <c r="X158" s="666"/>
      <c r="Y158" s="666">
        <f t="shared" ref="Y158:Y163" si="307">Z158-BM158</f>
        <v>0</v>
      </c>
      <c r="Z158" s="666">
        <f>(V158-9930)*10%</f>
        <v>0</v>
      </c>
      <c r="AA158" s="666"/>
      <c r="AB158" s="666">
        <f t="shared" si="297"/>
        <v>0</v>
      </c>
      <c r="AC158" s="666">
        <f t="shared" si="298"/>
        <v>9961</v>
      </c>
      <c r="AD158" s="666">
        <v>20</v>
      </c>
      <c r="AE158" s="666"/>
      <c r="AF158" s="666"/>
      <c r="AG158" s="666"/>
      <c r="AH158" s="666"/>
      <c r="AI158" s="666"/>
      <c r="AJ158" s="666"/>
      <c r="AK158" s="666"/>
      <c r="AL158" s="664"/>
      <c r="AN158" s="610"/>
      <c r="AO158" s="659"/>
      <c r="AP158" s="660" t="s">
        <v>600</v>
      </c>
      <c r="AQ158" s="661">
        <f t="shared" si="299"/>
        <v>11</v>
      </c>
      <c r="AR158" s="661">
        <f t="shared" si="300"/>
        <v>11</v>
      </c>
      <c r="AS158" s="661">
        <v>11</v>
      </c>
      <c r="AT158" s="661"/>
      <c r="AU158" s="661">
        <v>10</v>
      </c>
      <c r="AV158" s="661"/>
      <c r="AW158" s="661"/>
      <c r="AX158" s="661">
        <v>0</v>
      </c>
      <c r="AY158" s="666">
        <f t="shared" si="301"/>
        <v>10804</v>
      </c>
      <c r="AZ158" s="670">
        <f>937+0</f>
        <v>937</v>
      </c>
      <c r="BA158" s="666">
        <f>319-58</f>
        <v>261</v>
      </c>
      <c r="BB158" s="666">
        <v>58</v>
      </c>
      <c r="BC158" s="666"/>
      <c r="BD158" s="666"/>
      <c r="BE158" s="666">
        <f>(BA158+BB158)*10%</f>
        <v>31.900000000000002</v>
      </c>
      <c r="BF158" s="667">
        <f t="shared" si="302"/>
        <v>32</v>
      </c>
      <c r="BG158" s="666">
        <f t="shared" si="303"/>
        <v>1224</v>
      </c>
      <c r="BH158" s="666">
        <v>9500</v>
      </c>
      <c r="BI158" s="666"/>
      <c r="BJ158" s="666">
        <v>80</v>
      </c>
      <c r="BK158" s="666"/>
      <c r="BL158" s="666"/>
      <c r="BM158" s="667">
        <f>ROUND(BL158,0)</f>
        <v>0</v>
      </c>
      <c r="BN158" s="666">
        <f t="shared" si="304"/>
        <v>9580</v>
      </c>
      <c r="BO158" s="666"/>
      <c r="BP158" s="666"/>
      <c r="BQ158" s="666"/>
      <c r="BR158" s="666"/>
      <c r="BS158" s="666"/>
      <c r="BT158" s="666"/>
      <c r="BU158" s="666"/>
      <c r="BV158" s="666"/>
      <c r="BW158" s="662"/>
      <c r="CA158" s="1352"/>
      <c r="CB158" s="1352" t="s">
        <v>600</v>
      </c>
      <c r="CC158" s="1352">
        <v>10</v>
      </c>
      <c r="CD158" s="1352">
        <v>9</v>
      </c>
      <c r="CE158" s="1352"/>
      <c r="CF158" s="1352">
        <v>9</v>
      </c>
      <c r="CG158" s="1352"/>
      <c r="CH158" s="1352">
        <v>8</v>
      </c>
      <c r="CI158" s="1352">
        <v>1</v>
      </c>
      <c r="CJ158" s="1352">
        <v>1</v>
      </c>
      <c r="CK158" s="1353">
        <v>10995</v>
      </c>
      <c r="CL158" s="1353">
        <v>786</v>
      </c>
      <c r="CM158" s="1354">
        <v>251</v>
      </c>
      <c r="CN158" s="1354">
        <v>10</v>
      </c>
      <c r="CO158" s="1354"/>
      <c r="CP158" s="1354"/>
      <c r="CQ158" s="1354"/>
      <c r="CR158" s="1354">
        <v>33</v>
      </c>
      <c r="CS158" s="1354">
        <v>33</v>
      </c>
      <c r="CT158" s="1353">
        <v>1014</v>
      </c>
      <c r="CU158" s="1353">
        <v>9930</v>
      </c>
      <c r="CV158" s="1353">
        <v>31</v>
      </c>
      <c r="CW158" s="1353"/>
      <c r="CX158" s="1353">
        <v>0</v>
      </c>
      <c r="CY158" s="1353">
        <v>0</v>
      </c>
      <c r="CZ158" s="1353"/>
      <c r="DA158" s="1353">
        <v>0</v>
      </c>
      <c r="DB158" s="1353">
        <v>9961</v>
      </c>
      <c r="DC158" s="1353">
        <v>20</v>
      </c>
      <c r="DD158" s="1353"/>
      <c r="DE158" s="1353"/>
      <c r="DF158" s="1353"/>
      <c r="DG158" s="1353"/>
      <c r="DH158" s="1353"/>
      <c r="DI158" s="1353"/>
      <c r="DJ158" s="1353"/>
      <c r="DK158" s="1353"/>
      <c r="DT158" s="659"/>
      <c r="DU158" s="660" t="s">
        <v>600</v>
      </c>
      <c r="DV158" s="777">
        <f t="shared" si="305"/>
        <v>0</v>
      </c>
      <c r="DW158" s="777">
        <f t="shared" si="305"/>
        <v>0</v>
      </c>
      <c r="DX158" s="777">
        <f t="shared" si="305"/>
        <v>0</v>
      </c>
      <c r="DY158" s="777">
        <f t="shared" si="305"/>
        <v>0</v>
      </c>
      <c r="DZ158" s="777">
        <f t="shared" si="305"/>
        <v>0</v>
      </c>
      <c r="EA158" s="777">
        <f t="shared" si="305"/>
        <v>0</v>
      </c>
      <c r="EB158" s="777">
        <f t="shared" si="305"/>
        <v>0</v>
      </c>
      <c r="EC158" s="777">
        <f t="shared" si="305"/>
        <v>0</v>
      </c>
      <c r="ED158" s="777">
        <f t="shared" si="305"/>
        <v>0</v>
      </c>
      <c r="EE158" s="777">
        <f t="shared" si="305"/>
        <v>0</v>
      </c>
      <c r="EF158" s="777">
        <f t="shared" si="305"/>
        <v>0</v>
      </c>
      <c r="EG158" s="777">
        <f t="shared" si="305"/>
        <v>0</v>
      </c>
      <c r="EH158" s="777">
        <f t="shared" si="305"/>
        <v>0</v>
      </c>
      <c r="EI158" s="777">
        <f t="shared" si="305"/>
        <v>0</v>
      </c>
      <c r="EJ158" s="777">
        <f t="shared" si="305"/>
        <v>0</v>
      </c>
      <c r="EK158" s="777">
        <f t="shared" si="305"/>
        <v>0</v>
      </c>
      <c r="EL158" s="777">
        <f t="shared" si="306"/>
        <v>0</v>
      </c>
      <c r="EM158" s="777">
        <f t="shared" si="306"/>
        <v>0</v>
      </c>
      <c r="EN158" s="777">
        <f t="shared" si="306"/>
        <v>0</v>
      </c>
      <c r="EO158" s="777">
        <f t="shared" si="306"/>
        <v>0</v>
      </c>
      <c r="EP158" s="777">
        <f t="shared" si="306"/>
        <v>0</v>
      </c>
      <c r="EQ158" s="777">
        <f t="shared" si="306"/>
        <v>0</v>
      </c>
      <c r="ER158" s="777">
        <f t="shared" si="306"/>
        <v>0</v>
      </c>
      <c r="ES158" s="777">
        <f t="shared" si="306"/>
        <v>0</v>
      </c>
      <c r="ET158" s="777">
        <f t="shared" si="306"/>
        <v>0</v>
      </c>
      <c r="EU158" s="777">
        <f t="shared" si="306"/>
        <v>0</v>
      </c>
      <c r="EV158" s="777">
        <f t="shared" si="306"/>
        <v>0</v>
      </c>
    </row>
    <row r="159" spans="1:152" ht="19.5" hidden="1" customHeight="1">
      <c r="A159" s="659"/>
      <c r="B159" s="660" t="s">
        <v>601</v>
      </c>
      <c r="C159" s="661">
        <f t="shared" si="292"/>
        <v>11</v>
      </c>
      <c r="D159" s="661">
        <f t="shared" si="293"/>
        <v>10</v>
      </c>
      <c r="E159" s="661">
        <v>10</v>
      </c>
      <c r="F159" s="661"/>
      <c r="G159" s="661"/>
      <c r="H159" s="661">
        <v>9</v>
      </c>
      <c r="I159" s="661">
        <v>1</v>
      </c>
      <c r="J159" s="661">
        <v>1</v>
      </c>
      <c r="K159" s="646">
        <f t="shared" si="272"/>
        <v>3989</v>
      </c>
      <c r="L159" s="662">
        <f t="shared" si="294"/>
        <v>4558</v>
      </c>
      <c r="M159" s="666">
        <v>942</v>
      </c>
      <c r="N159" s="666">
        <v>255</v>
      </c>
      <c r="O159" s="666">
        <v>35</v>
      </c>
      <c r="P159" s="666"/>
      <c r="Q159" s="666"/>
      <c r="R159" s="666"/>
      <c r="S159" s="666">
        <v>35</v>
      </c>
      <c r="T159" s="666">
        <f t="shared" si="295"/>
        <v>35</v>
      </c>
      <c r="U159" s="666">
        <f t="shared" si="296"/>
        <v>1197</v>
      </c>
      <c r="V159" s="666">
        <v>2870</v>
      </c>
      <c r="W159" s="666">
        <v>187</v>
      </c>
      <c r="X159" s="666"/>
      <c r="Y159" s="666">
        <f t="shared" si="307"/>
        <v>60</v>
      </c>
      <c r="Z159" s="666">
        <f>(V159-500)*10%</f>
        <v>237</v>
      </c>
      <c r="AA159" s="666">
        <v>205</v>
      </c>
      <c r="AB159" s="666">
        <f t="shared" si="297"/>
        <v>265</v>
      </c>
      <c r="AC159" s="666">
        <f t="shared" si="298"/>
        <v>2792</v>
      </c>
      <c r="AD159" s="666">
        <v>569</v>
      </c>
      <c r="AE159" s="666"/>
      <c r="AF159" s="666"/>
      <c r="AG159" s="666"/>
      <c r="AH159" s="666"/>
      <c r="AI159" s="666"/>
      <c r="AJ159" s="666"/>
      <c r="AK159" s="666"/>
      <c r="AL159" s="664"/>
      <c r="AN159" s="610"/>
      <c r="AO159" s="659"/>
      <c r="AP159" s="660" t="s">
        <v>601</v>
      </c>
      <c r="AQ159" s="661">
        <f t="shared" si="299"/>
        <v>12</v>
      </c>
      <c r="AR159" s="661">
        <f t="shared" si="300"/>
        <v>11</v>
      </c>
      <c r="AS159" s="661">
        <v>11</v>
      </c>
      <c r="AT159" s="661"/>
      <c r="AU159" s="661">
        <v>9</v>
      </c>
      <c r="AV159" s="661"/>
      <c r="AW159" s="661">
        <v>1</v>
      </c>
      <c r="AX159" s="661">
        <v>1</v>
      </c>
      <c r="AY159" s="666">
        <f t="shared" si="301"/>
        <v>3521</v>
      </c>
      <c r="AZ159" s="670">
        <f>970+53</f>
        <v>1023</v>
      </c>
      <c r="BA159" s="666">
        <f>319-41</f>
        <v>278</v>
      </c>
      <c r="BB159" s="666">
        <v>41</v>
      </c>
      <c r="BC159" s="666"/>
      <c r="BD159" s="666"/>
      <c r="BE159" s="666">
        <f>(BA159+BB159)*10%</f>
        <v>31.900000000000002</v>
      </c>
      <c r="BF159" s="667">
        <f t="shared" si="302"/>
        <v>32</v>
      </c>
      <c r="BG159" s="666">
        <f t="shared" si="303"/>
        <v>1310</v>
      </c>
      <c r="BH159" s="666">
        <v>2170</v>
      </c>
      <c r="BI159" s="666"/>
      <c r="BJ159" s="666"/>
      <c r="BK159" s="666"/>
      <c r="BL159" s="666">
        <v>177</v>
      </c>
      <c r="BM159" s="667">
        <f>ROUND(BL159,0)</f>
        <v>177</v>
      </c>
      <c r="BN159" s="666">
        <f t="shared" si="304"/>
        <v>1993</v>
      </c>
      <c r="BO159" s="666">
        <v>218</v>
      </c>
      <c r="BP159" s="666"/>
      <c r="BQ159" s="666"/>
      <c r="BR159" s="666"/>
      <c r="BS159" s="666"/>
      <c r="BT159" s="666"/>
      <c r="BU159" s="666"/>
      <c r="BV159" s="666"/>
      <c r="BW159" s="662"/>
      <c r="CA159" s="1352"/>
      <c r="CB159" s="1352" t="s">
        <v>601</v>
      </c>
      <c r="CC159" s="1352">
        <v>11</v>
      </c>
      <c r="CD159" s="1352">
        <v>10</v>
      </c>
      <c r="CE159" s="1352"/>
      <c r="CF159" s="1352">
        <v>10</v>
      </c>
      <c r="CG159" s="1352"/>
      <c r="CH159" s="1352">
        <v>9</v>
      </c>
      <c r="CI159" s="1352">
        <v>1</v>
      </c>
      <c r="CJ159" s="1352">
        <v>1</v>
      </c>
      <c r="CK159" s="1353">
        <v>4558</v>
      </c>
      <c r="CL159" s="1353">
        <v>942</v>
      </c>
      <c r="CM159" s="1354">
        <v>255</v>
      </c>
      <c r="CN159" s="1354">
        <v>35</v>
      </c>
      <c r="CO159" s="1354"/>
      <c r="CP159" s="1354"/>
      <c r="CQ159" s="1354"/>
      <c r="CR159" s="1354">
        <v>35</v>
      </c>
      <c r="CS159" s="1354">
        <v>35</v>
      </c>
      <c r="CT159" s="1353">
        <v>1197</v>
      </c>
      <c r="CU159" s="1353">
        <v>2870</v>
      </c>
      <c r="CV159" s="1353">
        <v>187</v>
      </c>
      <c r="CW159" s="1353"/>
      <c r="CX159" s="1353">
        <v>60</v>
      </c>
      <c r="CY159" s="1353">
        <v>237</v>
      </c>
      <c r="CZ159" s="1353">
        <v>205</v>
      </c>
      <c r="DA159" s="1353">
        <v>265</v>
      </c>
      <c r="DB159" s="1353">
        <v>2792</v>
      </c>
      <c r="DC159" s="1353">
        <v>569</v>
      </c>
      <c r="DD159" s="1353"/>
      <c r="DE159" s="1353"/>
      <c r="DF159" s="1353"/>
      <c r="DG159" s="1353"/>
      <c r="DH159" s="1353"/>
      <c r="DI159" s="1353"/>
      <c r="DJ159" s="1353"/>
      <c r="DK159" s="1353"/>
      <c r="DT159" s="659"/>
      <c r="DU159" s="660" t="s">
        <v>601</v>
      </c>
      <c r="DV159" s="777">
        <f t="shared" si="305"/>
        <v>0</v>
      </c>
      <c r="DW159" s="777">
        <f t="shared" si="305"/>
        <v>0</v>
      </c>
      <c r="DX159" s="777">
        <f t="shared" si="305"/>
        <v>0</v>
      </c>
      <c r="DY159" s="777">
        <f t="shared" si="305"/>
        <v>0</v>
      </c>
      <c r="DZ159" s="777">
        <f t="shared" si="305"/>
        <v>0</v>
      </c>
      <c r="EA159" s="777">
        <f t="shared" si="305"/>
        <v>0</v>
      </c>
      <c r="EB159" s="777">
        <f t="shared" si="305"/>
        <v>0</v>
      </c>
      <c r="EC159" s="777">
        <f t="shared" si="305"/>
        <v>0</v>
      </c>
      <c r="ED159" s="777">
        <f t="shared" si="305"/>
        <v>0</v>
      </c>
      <c r="EE159" s="777">
        <f t="shared" si="305"/>
        <v>0</v>
      </c>
      <c r="EF159" s="777">
        <f t="shared" si="305"/>
        <v>0</v>
      </c>
      <c r="EG159" s="777">
        <f t="shared" si="305"/>
        <v>0</v>
      </c>
      <c r="EH159" s="777">
        <f t="shared" si="305"/>
        <v>0</v>
      </c>
      <c r="EI159" s="777">
        <f t="shared" si="305"/>
        <v>0</v>
      </c>
      <c r="EJ159" s="777">
        <f t="shared" si="305"/>
        <v>0</v>
      </c>
      <c r="EK159" s="777">
        <f t="shared" si="305"/>
        <v>0</v>
      </c>
      <c r="EL159" s="777">
        <f t="shared" si="306"/>
        <v>0</v>
      </c>
      <c r="EM159" s="777">
        <f t="shared" si="306"/>
        <v>0</v>
      </c>
      <c r="EN159" s="777">
        <f t="shared" si="306"/>
        <v>0</v>
      </c>
      <c r="EO159" s="777">
        <f t="shared" si="306"/>
        <v>0</v>
      </c>
      <c r="EP159" s="777">
        <f t="shared" si="306"/>
        <v>0</v>
      </c>
      <c r="EQ159" s="777">
        <f t="shared" si="306"/>
        <v>0</v>
      </c>
      <c r="ER159" s="777">
        <f t="shared" si="306"/>
        <v>0</v>
      </c>
      <c r="ES159" s="777">
        <f t="shared" si="306"/>
        <v>0</v>
      </c>
      <c r="ET159" s="777">
        <f t="shared" si="306"/>
        <v>0</v>
      </c>
      <c r="EU159" s="777">
        <f t="shared" si="306"/>
        <v>0</v>
      </c>
      <c r="EV159" s="777">
        <f t="shared" si="306"/>
        <v>0</v>
      </c>
    </row>
    <row r="160" spans="1:152" ht="19.5" hidden="1" customHeight="1">
      <c r="A160" s="659"/>
      <c r="B160" s="660" t="s">
        <v>602</v>
      </c>
      <c r="C160" s="661">
        <f t="shared" si="292"/>
        <v>11</v>
      </c>
      <c r="D160" s="661">
        <f t="shared" si="293"/>
        <v>8</v>
      </c>
      <c r="E160" s="661">
        <v>2</v>
      </c>
      <c r="F160" s="661">
        <v>6</v>
      </c>
      <c r="G160" s="661">
        <v>2</v>
      </c>
      <c r="H160" s="661">
        <v>5</v>
      </c>
      <c r="I160" s="661">
        <v>3</v>
      </c>
      <c r="J160" s="661">
        <v>2</v>
      </c>
      <c r="K160" s="646">
        <f t="shared" si="272"/>
        <v>1715</v>
      </c>
      <c r="L160" s="662">
        <f t="shared" si="294"/>
        <v>1715</v>
      </c>
      <c r="M160" s="666">
        <v>637</v>
      </c>
      <c r="N160" s="666">
        <v>212</v>
      </c>
      <c r="O160" s="666">
        <v>20</v>
      </c>
      <c r="P160" s="666"/>
      <c r="Q160" s="666"/>
      <c r="R160" s="666">
        <f>((N160+O160)-(BA160+BB160))*10%</f>
        <v>23.200000000000003</v>
      </c>
      <c r="S160" s="666"/>
      <c r="T160" s="666">
        <f t="shared" si="295"/>
        <v>23</v>
      </c>
      <c r="U160" s="666">
        <f t="shared" si="296"/>
        <v>846</v>
      </c>
      <c r="V160" s="666">
        <v>377</v>
      </c>
      <c r="W160" s="666">
        <v>530</v>
      </c>
      <c r="X160" s="666"/>
      <c r="Y160" s="666">
        <f t="shared" si="307"/>
        <v>37.700000000000003</v>
      </c>
      <c r="Z160" s="666">
        <f>V160*10%</f>
        <v>37.700000000000003</v>
      </c>
      <c r="AA160" s="666"/>
      <c r="AB160" s="666">
        <f t="shared" si="297"/>
        <v>38</v>
      </c>
      <c r="AC160" s="666">
        <f t="shared" si="298"/>
        <v>869</v>
      </c>
      <c r="AD160" s="666"/>
      <c r="AE160" s="666"/>
      <c r="AF160" s="666"/>
      <c r="AG160" s="666"/>
      <c r="AH160" s="666"/>
      <c r="AI160" s="666"/>
      <c r="AJ160" s="666"/>
      <c r="AK160" s="666"/>
      <c r="AL160" s="664"/>
      <c r="AN160" s="610"/>
      <c r="AO160" s="659"/>
      <c r="AP160" s="660"/>
      <c r="AQ160" s="661"/>
      <c r="AR160" s="661"/>
      <c r="AS160" s="661"/>
      <c r="AT160" s="661"/>
      <c r="AU160" s="661"/>
      <c r="AV160" s="661"/>
      <c r="AW160" s="661"/>
      <c r="AX160" s="661"/>
      <c r="AY160" s="666"/>
      <c r="AZ160" s="670"/>
      <c r="BA160" s="666"/>
      <c r="BB160" s="666"/>
      <c r="BC160" s="666"/>
      <c r="BD160" s="666"/>
      <c r="BE160" s="666"/>
      <c r="BF160" s="667"/>
      <c r="BG160" s="666"/>
      <c r="BH160" s="666"/>
      <c r="BI160" s="666"/>
      <c r="BJ160" s="666"/>
      <c r="BK160" s="666"/>
      <c r="BL160" s="666"/>
      <c r="BM160" s="667"/>
      <c r="BN160" s="666"/>
      <c r="BO160" s="666"/>
      <c r="BP160" s="666"/>
      <c r="BQ160" s="666"/>
      <c r="BR160" s="666"/>
      <c r="BS160" s="666"/>
      <c r="BT160" s="666"/>
      <c r="BU160" s="666"/>
      <c r="BV160" s="666"/>
      <c r="BW160" s="662"/>
      <c r="CA160" s="1352"/>
      <c r="CB160" s="1352" t="s">
        <v>602</v>
      </c>
      <c r="CC160" s="1352">
        <v>11</v>
      </c>
      <c r="CD160" s="1352">
        <v>8</v>
      </c>
      <c r="CE160" s="1352">
        <v>2</v>
      </c>
      <c r="CF160" s="1352">
        <v>6</v>
      </c>
      <c r="CG160" s="1352">
        <v>2</v>
      </c>
      <c r="CH160" s="1352">
        <v>5</v>
      </c>
      <c r="CI160" s="1352">
        <v>3</v>
      </c>
      <c r="CJ160" s="1352">
        <v>2</v>
      </c>
      <c r="CK160" s="1353">
        <v>1715</v>
      </c>
      <c r="CL160" s="1353">
        <v>637</v>
      </c>
      <c r="CM160" s="1354">
        <v>212</v>
      </c>
      <c r="CN160" s="1354">
        <v>20</v>
      </c>
      <c r="CO160" s="1354"/>
      <c r="CP160" s="1354"/>
      <c r="CQ160" s="1354">
        <v>23.200000000000003</v>
      </c>
      <c r="CR160" s="1354"/>
      <c r="CS160" s="1354">
        <v>23</v>
      </c>
      <c r="CT160" s="1353">
        <v>846</v>
      </c>
      <c r="CU160" s="1353">
        <v>377</v>
      </c>
      <c r="CV160" s="1353">
        <v>530</v>
      </c>
      <c r="CW160" s="1353"/>
      <c r="CX160" s="1353">
        <v>37.700000000000003</v>
      </c>
      <c r="CY160" s="1353">
        <v>37.700000000000003</v>
      </c>
      <c r="CZ160" s="1353"/>
      <c r="DA160" s="1353">
        <v>38</v>
      </c>
      <c r="DB160" s="1353">
        <v>869</v>
      </c>
      <c r="DC160" s="1353"/>
      <c r="DD160" s="1353"/>
      <c r="DE160" s="1353"/>
      <c r="DF160" s="1353"/>
      <c r="DG160" s="1353"/>
      <c r="DH160" s="1353"/>
      <c r="DI160" s="1353"/>
      <c r="DJ160" s="1353"/>
      <c r="DK160" s="1353"/>
      <c r="DT160" s="659"/>
      <c r="DU160" s="660" t="s">
        <v>602</v>
      </c>
      <c r="DV160" s="777">
        <f t="shared" si="305"/>
        <v>0</v>
      </c>
      <c r="DW160" s="777">
        <f t="shared" si="305"/>
        <v>0</v>
      </c>
      <c r="DX160" s="777">
        <f t="shared" si="305"/>
        <v>0</v>
      </c>
      <c r="DY160" s="777">
        <f t="shared" si="305"/>
        <v>0</v>
      </c>
      <c r="DZ160" s="777">
        <f t="shared" si="305"/>
        <v>0</v>
      </c>
      <c r="EA160" s="777">
        <f t="shared" si="305"/>
        <v>0</v>
      </c>
      <c r="EB160" s="777">
        <f t="shared" si="305"/>
        <v>0</v>
      </c>
      <c r="EC160" s="777">
        <f t="shared" si="305"/>
        <v>0</v>
      </c>
      <c r="ED160" s="777">
        <f t="shared" si="305"/>
        <v>0</v>
      </c>
      <c r="EE160" s="777">
        <f t="shared" si="305"/>
        <v>0</v>
      </c>
      <c r="EF160" s="777">
        <f t="shared" si="305"/>
        <v>0</v>
      </c>
      <c r="EG160" s="777">
        <f t="shared" si="305"/>
        <v>0</v>
      </c>
      <c r="EH160" s="777">
        <f t="shared" si="305"/>
        <v>0</v>
      </c>
      <c r="EI160" s="777">
        <f t="shared" si="305"/>
        <v>0</v>
      </c>
      <c r="EJ160" s="777">
        <f t="shared" si="305"/>
        <v>0</v>
      </c>
      <c r="EK160" s="777">
        <f t="shared" si="305"/>
        <v>0</v>
      </c>
      <c r="EL160" s="777">
        <f t="shared" si="306"/>
        <v>0</v>
      </c>
      <c r="EM160" s="777">
        <f t="shared" si="306"/>
        <v>0</v>
      </c>
      <c r="EN160" s="777">
        <f t="shared" si="306"/>
        <v>0</v>
      </c>
      <c r="EO160" s="777">
        <f t="shared" si="306"/>
        <v>0</v>
      </c>
      <c r="EP160" s="777">
        <f t="shared" si="306"/>
        <v>0</v>
      </c>
      <c r="EQ160" s="777">
        <f t="shared" si="306"/>
        <v>0</v>
      </c>
      <c r="ER160" s="777">
        <f t="shared" si="306"/>
        <v>0</v>
      </c>
      <c r="ES160" s="777">
        <f t="shared" si="306"/>
        <v>0</v>
      </c>
      <c r="ET160" s="777">
        <f t="shared" si="306"/>
        <v>0</v>
      </c>
      <c r="EU160" s="777">
        <f t="shared" si="306"/>
        <v>0</v>
      </c>
      <c r="EV160" s="777">
        <f t="shared" si="306"/>
        <v>0</v>
      </c>
    </row>
    <row r="161" spans="1:152" ht="19.5" hidden="1" customHeight="1">
      <c r="A161" s="659"/>
      <c r="B161" s="660" t="s">
        <v>603</v>
      </c>
      <c r="C161" s="661">
        <f t="shared" si="292"/>
        <v>10</v>
      </c>
      <c r="D161" s="661">
        <f t="shared" si="293"/>
        <v>7</v>
      </c>
      <c r="E161" s="661"/>
      <c r="F161" s="661">
        <v>7</v>
      </c>
      <c r="G161" s="661"/>
      <c r="H161" s="661">
        <v>6</v>
      </c>
      <c r="I161" s="661">
        <v>3</v>
      </c>
      <c r="J161" s="661"/>
      <c r="K161" s="646">
        <f t="shared" si="272"/>
        <v>1188</v>
      </c>
      <c r="L161" s="662">
        <f t="shared" si="294"/>
        <v>1188</v>
      </c>
      <c r="M161" s="666">
        <v>432</v>
      </c>
      <c r="N161" s="666">
        <f>133-26</f>
        <v>107</v>
      </c>
      <c r="O161" s="666">
        <v>50</v>
      </c>
      <c r="P161" s="666"/>
      <c r="Q161" s="666">
        <v>24</v>
      </c>
      <c r="R161" s="666"/>
      <c r="S161" s="666"/>
      <c r="T161" s="666">
        <f t="shared" si="295"/>
        <v>24</v>
      </c>
      <c r="U161" s="666">
        <f t="shared" si="296"/>
        <v>565</v>
      </c>
      <c r="V161" s="666">
        <v>364</v>
      </c>
      <c r="W161" s="666">
        <v>295</v>
      </c>
      <c r="X161" s="666">
        <v>20</v>
      </c>
      <c r="Y161" s="666">
        <f t="shared" si="307"/>
        <v>16.399999999999999</v>
      </c>
      <c r="Z161" s="666">
        <f>V161*10%</f>
        <v>36.4</v>
      </c>
      <c r="AA161" s="666"/>
      <c r="AB161" s="666">
        <f t="shared" si="297"/>
        <v>36</v>
      </c>
      <c r="AC161" s="666">
        <f t="shared" si="298"/>
        <v>623</v>
      </c>
      <c r="AD161" s="666"/>
      <c r="AE161" s="666"/>
      <c r="AF161" s="666"/>
      <c r="AG161" s="666"/>
      <c r="AH161" s="666"/>
      <c r="AI161" s="666"/>
      <c r="AJ161" s="666"/>
      <c r="AK161" s="666"/>
      <c r="AL161" s="664"/>
      <c r="AN161" s="610"/>
      <c r="AO161" s="659"/>
      <c r="AP161" s="660" t="s">
        <v>603</v>
      </c>
      <c r="AQ161" s="661">
        <f t="shared" si="299"/>
        <v>12</v>
      </c>
      <c r="AR161" s="661">
        <f t="shared" si="300"/>
        <v>9</v>
      </c>
      <c r="AS161" s="661"/>
      <c r="AT161" s="661">
        <v>9</v>
      </c>
      <c r="AU161" s="661"/>
      <c r="AV161" s="661">
        <v>7</v>
      </c>
      <c r="AW161" s="661">
        <v>3</v>
      </c>
      <c r="AX161" s="661"/>
      <c r="AY161" s="666">
        <f t="shared" si="301"/>
        <v>998</v>
      </c>
      <c r="AZ161" s="670">
        <f>524+83</f>
        <v>607</v>
      </c>
      <c r="BA161" s="666">
        <f>235-35</f>
        <v>200</v>
      </c>
      <c r="BB161" s="666">
        <v>35</v>
      </c>
      <c r="BC161" s="666"/>
      <c r="BD161" s="666"/>
      <c r="BE161" s="666">
        <f>(BA161+BB161)*10%</f>
        <v>23.5</v>
      </c>
      <c r="BF161" s="667">
        <f t="shared" si="302"/>
        <v>24</v>
      </c>
      <c r="BG161" s="666">
        <f t="shared" si="303"/>
        <v>818</v>
      </c>
      <c r="BH161" s="666">
        <v>200</v>
      </c>
      <c r="BI161" s="666"/>
      <c r="BJ161" s="666"/>
      <c r="BK161" s="666"/>
      <c r="BL161" s="666">
        <v>20</v>
      </c>
      <c r="BM161" s="667">
        <f>ROUND(BL161,0)</f>
        <v>20</v>
      </c>
      <c r="BN161" s="666">
        <f t="shared" si="304"/>
        <v>180</v>
      </c>
      <c r="BO161" s="666"/>
      <c r="BP161" s="666"/>
      <c r="BQ161" s="666"/>
      <c r="BR161" s="666"/>
      <c r="BS161" s="666"/>
      <c r="BT161" s="666"/>
      <c r="BU161" s="666"/>
      <c r="BV161" s="666"/>
      <c r="BW161" s="662"/>
      <c r="CA161" s="1352"/>
      <c r="CB161" s="1352" t="s">
        <v>603</v>
      </c>
      <c r="CC161" s="1352">
        <v>7</v>
      </c>
      <c r="CD161" s="1352">
        <v>7</v>
      </c>
      <c r="CE161" s="1352"/>
      <c r="CF161" s="1352">
        <v>7</v>
      </c>
      <c r="CG161" s="1352"/>
      <c r="CH161" s="1352">
        <v>6</v>
      </c>
      <c r="CI161" s="1352"/>
      <c r="CJ161" s="1352"/>
      <c r="CK161" s="1353">
        <v>1258</v>
      </c>
      <c r="CL161" s="1353">
        <v>432</v>
      </c>
      <c r="CM161" s="1354">
        <v>133</v>
      </c>
      <c r="CN161" s="1354">
        <v>50</v>
      </c>
      <c r="CO161" s="1354"/>
      <c r="CP161" s="1354"/>
      <c r="CQ161" s="1354"/>
      <c r="CR161" s="1354"/>
      <c r="CS161" s="1354">
        <v>0</v>
      </c>
      <c r="CT161" s="1353">
        <v>615</v>
      </c>
      <c r="CU161" s="1353">
        <v>364</v>
      </c>
      <c r="CV161" s="1353">
        <v>295</v>
      </c>
      <c r="CW161" s="1353"/>
      <c r="CX161" s="1353">
        <v>16.399999999999999</v>
      </c>
      <c r="CY161" s="1353">
        <v>36.4</v>
      </c>
      <c r="CZ161" s="1353"/>
      <c r="DA161" s="1353">
        <v>16</v>
      </c>
      <c r="DB161" s="1353">
        <v>643</v>
      </c>
      <c r="DC161" s="1353"/>
      <c r="DD161" s="1353"/>
      <c r="DE161" s="1353"/>
      <c r="DF161" s="1353"/>
      <c r="DG161" s="1353"/>
      <c r="DH161" s="1353"/>
      <c r="DI161" s="1353"/>
      <c r="DJ161" s="1353"/>
      <c r="DK161" s="1353"/>
      <c r="DT161" s="659"/>
      <c r="DU161" s="660" t="s">
        <v>603</v>
      </c>
      <c r="DV161" s="777">
        <f t="shared" si="305"/>
        <v>-70</v>
      </c>
      <c r="DW161" s="777">
        <f t="shared" si="305"/>
        <v>0</v>
      </c>
      <c r="DX161" s="777">
        <f t="shared" si="305"/>
        <v>-26</v>
      </c>
      <c r="DY161" s="777">
        <f t="shared" si="305"/>
        <v>0</v>
      </c>
      <c r="DZ161" s="777">
        <f t="shared" si="305"/>
        <v>0</v>
      </c>
      <c r="EA161" s="777">
        <f t="shared" si="305"/>
        <v>24</v>
      </c>
      <c r="EB161" s="777">
        <f t="shared" si="305"/>
        <v>0</v>
      </c>
      <c r="EC161" s="777">
        <f t="shared" si="305"/>
        <v>0</v>
      </c>
      <c r="ED161" s="777">
        <f t="shared" si="305"/>
        <v>24</v>
      </c>
      <c r="EE161" s="777">
        <f t="shared" si="305"/>
        <v>-50</v>
      </c>
      <c r="EF161" s="777">
        <f t="shared" si="305"/>
        <v>0</v>
      </c>
      <c r="EG161" s="777">
        <f t="shared" si="305"/>
        <v>0</v>
      </c>
      <c r="EH161" s="777">
        <f t="shared" si="305"/>
        <v>20</v>
      </c>
      <c r="EI161" s="777">
        <f t="shared" si="305"/>
        <v>0</v>
      </c>
      <c r="EJ161" s="777">
        <f t="shared" si="305"/>
        <v>0</v>
      </c>
      <c r="EK161" s="777">
        <f t="shared" si="305"/>
        <v>0</v>
      </c>
      <c r="EL161" s="777">
        <f t="shared" si="306"/>
        <v>20</v>
      </c>
      <c r="EM161" s="777">
        <f t="shared" si="306"/>
        <v>-20</v>
      </c>
      <c r="EN161" s="777">
        <f t="shared" si="306"/>
        <v>0</v>
      </c>
      <c r="EO161" s="777">
        <f t="shared" si="306"/>
        <v>0</v>
      </c>
      <c r="EP161" s="777">
        <f t="shared" si="306"/>
        <v>0</v>
      </c>
      <c r="EQ161" s="777">
        <f t="shared" si="306"/>
        <v>0</v>
      </c>
      <c r="ER161" s="777">
        <f t="shared" si="306"/>
        <v>0</v>
      </c>
      <c r="ES161" s="777">
        <f t="shared" si="306"/>
        <v>0</v>
      </c>
      <c r="ET161" s="777">
        <f t="shared" si="306"/>
        <v>0</v>
      </c>
      <c r="EU161" s="777">
        <f t="shared" si="306"/>
        <v>0</v>
      </c>
      <c r="EV161" s="777">
        <f t="shared" si="306"/>
        <v>0</v>
      </c>
    </row>
    <row r="162" spans="1:152" ht="19.5" hidden="1" customHeight="1">
      <c r="A162" s="659"/>
      <c r="B162" s="660" t="s">
        <v>604</v>
      </c>
      <c r="C162" s="661">
        <f t="shared" si="292"/>
        <v>8</v>
      </c>
      <c r="D162" s="661">
        <f t="shared" si="293"/>
        <v>8</v>
      </c>
      <c r="E162" s="661">
        <v>8</v>
      </c>
      <c r="F162" s="661"/>
      <c r="G162" s="661">
        <v>8</v>
      </c>
      <c r="H162" s="661"/>
      <c r="I162" s="661"/>
      <c r="J162" s="661"/>
      <c r="K162" s="646">
        <f t="shared" si="272"/>
        <v>982</v>
      </c>
      <c r="L162" s="662">
        <f t="shared" si="294"/>
        <v>982</v>
      </c>
      <c r="M162" s="666">
        <v>802</v>
      </c>
      <c r="N162" s="666">
        <v>203</v>
      </c>
      <c r="O162" s="666">
        <v>29</v>
      </c>
      <c r="P162" s="666"/>
      <c r="Q162" s="666"/>
      <c r="R162" s="666"/>
      <c r="S162" s="666">
        <v>52</v>
      </c>
      <c r="T162" s="666">
        <f t="shared" si="295"/>
        <v>52</v>
      </c>
      <c r="U162" s="666">
        <f t="shared" si="296"/>
        <v>982</v>
      </c>
      <c r="V162" s="666"/>
      <c r="W162" s="666"/>
      <c r="X162" s="666"/>
      <c r="Y162" s="666">
        <f t="shared" si="307"/>
        <v>0</v>
      </c>
      <c r="Z162" s="666">
        <f>V162*10%</f>
        <v>0</v>
      </c>
      <c r="AA162" s="666"/>
      <c r="AB162" s="666">
        <f t="shared" si="297"/>
        <v>0</v>
      </c>
      <c r="AC162" s="666">
        <f t="shared" si="298"/>
        <v>0</v>
      </c>
      <c r="AD162" s="666"/>
      <c r="AE162" s="666"/>
      <c r="AF162" s="666"/>
      <c r="AG162" s="666"/>
      <c r="AH162" s="666"/>
      <c r="AI162" s="666"/>
      <c r="AJ162" s="666"/>
      <c r="AK162" s="666"/>
      <c r="AL162" s="664"/>
      <c r="AN162" s="610"/>
      <c r="AO162" s="659"/>
      <c r="AP162" s="660" t="s">
        <v>604</v>
      </c>
      <c r="AQ162" s="661">
        <f t="shared" si="299"/>
        <v>10</v>
      </c>
      <c r="AR162" s="661">
        <f t="shared" si="300"/>
        <v>9</v>
      </c>
      <c r="AS162" s="661">
        <v>9</v>
      </c>
      <c r="AT162" s="661"/>
      <c r="AU162" s="661">
        <v>8</v>
      </c>
      <c r="AV162" s="661"/>
      <c r="AW162" s="661">
        <v>1</v>
      </c>
      <c r="AX162" s="661"/>
      <c r="AY162" s="666">
        <f t="shared" si="301"/>
        <v>1010</v>
      </c>
      <c r="AZ162" s="670">
        <v>755</v>
      </c>
      <c r="BA162" s="666">
        <f>261-20</f>
        <v>241</v>
      </c>
      <c r="BB162" s="666">
        <v>20</v>
      </c>
      <c r="BC162" s="666"/>
      <c r="BD162" s="666"/>
      <c r="BE162" s="666">
        <f>(BA162+BB162)*10%</f>
        <v>26.1</v>
      </c>
      <c r="BF162" s="667">
        <f t="shared" si="302"/>
        <v>26</v>
      </c>
      <c r="BG162" s="666">
        <f t="shared" si="303"/>
        <v>990</v>
      </c>
      <c r="BH162" s="666"/>
      <c r="BI162" s="666"/>
      <c r="BJ162" s="666"/>
      <c r="BK162" s="666"/>
      <c r="BL162" s="666"/>
      <c r="BM162" s="667"/>
      <c r="BN162" s="666">
        <f t="shared" si="304"/>
        <v>0</v>
      </c>
      <c r="BO162" s="666">
        <v>20</v>
      </c>
      <c r="BP162" s="666"/>
      <c r="BQ162" s="666">
        <v>808</v>
      </c>
      <c r="BR162" s="666"/>
      <c r="BS162" s="666"/>
      <c r="BT162" s="666"/>
      <c r="BU162" s="666"/>
      <c r="BV162" s="666"/>
      <c r="BW162" s="662"/>
      <c r="CA162" s="1352"/>
      <c r="CB162" s="1352" t="s">
        <v>604</v>
      </c>
      <c r="CC162" s="1352">
        <v>8</v>
      </c>
      <c r="CD162" s="1352">
        <v>8</v>
      </c>
      <c r="CE162" s="1352">
        <v>8</v>
      </c>
      <c r="CF162" s="1352"/>
      <c r="CG162" s="1352">
        <v>8</v>
      </c>
      <c r="CH162" s="1352"/>
      <c r="CI162" s="1352"/>
      <c r="CJ162" s="1352"/>
      <c r="CK162" s="1353">
        <v>982</v>
      </c>
      <c r="CL162" s="1353">
        <v>802</v>
      </c>
      <c r="CM162" s="1354">
        <v>203</v>
      </c>
      <c r="CN162" s="1354">
        <v>29</v>
      </c>
      <c r="CO162" s="1354"/>
      <c r="CP162" s="1354"/>
      <c r="CQ162" s="1354"/>
      <c r="CR162" s="1354">
        <v>52</v>
      </c>
      <c r="CS162" s="1354">
        <v>52</v>
      </c>
      <c r="CT162" s="1353">
        <v>982</v>
      </c>
      <c r="CU162" s="1353"/>
      <c r="CV162" s="1353"/>
      <c r="CW162" s="1353"/>
      <c r="CX162" s="1353">
        <v>0</v>
      </c>
      <c r="CY162" s="1353">
        <v>0</v>
      </c>
      <c r="CZ162" s="1353"/>
      <c r="DA162" s="1353">
        <v>0</v>
      </c>
      <c r="DB162" s="1353">
        <v>0</v>
      </c>
      <c r="DC162" s="1353"/>
      <c r="DD162" s="1353"/>
      <c r="DE162" s="1353"/>
      <c r="DF162" s="1353"/>
      <c r="DG162" s="1353"/>
      <c r="DH162" s="1353"/>
      <c r="DI162" s="1353"/>
      <c r="DJ162" s="1353"/>
      <c r="DK162" s="1353"/>
      <c r="DT162" s="659"/>
      <c r="DU162" s="660" t="s">
        <v>604</v>
      </c>
      <c r="DV162" s="777">
        <f t="shared" si="305"/>
        <v>0</v>
      </c>
      <c r="DW162" s="777">
        <f t="shared" si="305"/>
        <v>0</v>
      </c>
      <c r="DX162" s="777">
        <f t="shared" si="305"/>
        <v>0</v>
      </c>
      <c r="DY162" s="777">
        <f t="shared" si="305"/>
        <v>0</v>
      </c>
      <c r="DZ162" s="777">
        <f t="shared" si="305"/>
        <v>0</v>
      </c>
      <c r="EA162" s="777">
        <f t="shared" si="305"/>
        <v>0</v>
      </c>
      <c r="EB162" s="777">
        <f t="shared" si="305"/>
        <v>0</v>
      </c>
      <c r="EC162" s="777">
        <f t="shared" si="305"/>
        <v>0</v>
      </c>
      <c r="ED162" s="777">
        <f t="shared" si="305"/>
        <v>0</v>
      </c>
      <c r="EE162" s="777">
        <f t="shared" si="305"/>
        <v>0</v>
      </c>
      <c r="EF162" s="777">
        <f t="shared" si="305"/>
        <v>0</v>
      </c>
      <c r="EG162" s="777">
        <f t="shared" si="305"/>
        <v>0</v>
      </c>
      <c r="EH162" s="777">
        <f t="shared" si="305"/>
        <v>0</v>
      </c>
      <c r="EI162" s="777">
        <f t="shared" si="305"/>
        <v>0</v>
      </c>
      <c r="EJ162" s="777">
        <f t="shared" si="305"/>
        <v>0</v>
      </c>
      <c r="EK162" s="777">
        <f t="shared" si="305"/>
        <v>0</v>
      </c>
      <c r="EL162" s="777">
        <f t="shared" si="306"/>
        <v>0</v>
      </c>
      <c r="EM162" s="777">
        <f t="shared" si="306"/>
        <v>0</v>
      </c>
      <c r="EN162" s="777">
        <f t="shared" si="306"/>
        <v>0</v>
      </c>
      <c r="EO162" s="777">
        <f t="shared" si="306"/>
        <v>0</v>
      </c>
      <c r="EP162" s="777">
        <f t="shared" si="306"/>
        <v>0</v>
      </c>
      <c r="EQ162" s="777">
        <f t="shared" si="306"/>
        <v>0</v>
      </c>
      <c r="ER162" s="777">
        <f t="shared" si="306"/>
        <v>0</v>
      </c>
      <c r="ES162" s="777">
        <f t="shared" si="306"/>
        <v>0</v>
      </c>
      <c r="ET162" s="777">
        <f t="shared" si="306"/>
        <v>0</v>
      </c>
      <c r="EU162" s="777">
        <f t="shared" si="306"/>
        <v>0</v>
      </c>
      <c r="EV162" s="777">
        <f t="shared" si="306"/>
        <v>0</v>
      </c>
    </row>
    <row r="163" spans="1:152" s="617" customFormat="1" ht="29.4" customHeight="1">
      <c r="A163" s="659">
        <v>46</v>
      </c>
      <c r="B163" s="751" t="s">
        <v>605</v>
      </c>
      <c r="C163" s="661">
        <f t="shared" si="292"/>
        <v>33</v>
      </c>
      <c r="D163" s="661">
        <f t="shared" si="293"/>
        <v>29</v>
      </c>
      <c r="E163" s="661">
        <v>29</v>
      </c>
      <c r="F163" s="661"/>
      <c r="G163" s="661">
        <v>28</v>
      </c>
      <c r="H163" s="661"/>
      <c r="I163" s="661">
        <v>4</v>
      </c>
      <c r="J163" s="661">
        <v>4</v>
      </c>
      <c r="K163" s="646">
        <f t="shared" si="272"/>
        <v>6091</v>
      </c>
      <c r="L163" s="662">
        <f t="shared" si="294"/>
        <v>6370</v>
      </c>
      <c r="M163" s="666">
        <f>3312-59</f>
        <v>3253</v>
      </c>
      <c r="N163" s="666">
        <f>768-27</f>
        <v>741</v>
      </c>
      <c r="O163" s="666">
        <v>42</v>
      </c>
      <c r="P163" s="666"/>
      <c r="Q163" s="666"/>
      <c r="R163" s="666"/>
      <c r="S163" s="666">
        <v>91</v>
      </c>
      <c r="T163" s="666">
        <f t="shared" si="295"/>
        <v>91</v>
      </c>
      <c r="U163" s="666">
        <f t="shared" si="296"/>
        <v>3945</v>
      </c>
      <c r="V163" s="666">
        <v>2129</v>
      </c>
      <c r="W163" s="666">
        <v>272</v>
      </c>
      <c r="X163" s="666"/>
      <c r="Y163" s="666">
        <f t="shared" si="307"/>
        <v>37.800000000000011</v>
      </c>
      <c r="Z163" s="666">
        <f>(V163-91)*10%</f>
        <v>203.8</v>
      </c>
      <c r="AA163" s="666">
        <v>217</v>
      </c>
      <c r="AB163" s="666">
        <f t="shared" si="297"/>
        <v>255</v>
      </c>
      <c r="AC163" s="666">
        <f t="shared" si="298"/>
        <v>2146</v>
      </c>
      <c r="AD163" s="666">
        <v>279</v>
      </c>
      <c r="AE163" s="666"/>
      <c r="AF163" s="666"/>
      <c r="AG163" s="666">
        <v>178</v>
      </c>
      <c r="AH163" s="666">
        <v>4</v>
      </c>
      <c r="AI163" s="666">
        <v>152</v>
      </c>
      <c r="AJ163" s="666"/>
      <c r="AK163" s="666">
        <v>1800</v>
      </c>
      <c r="AL163" s="664"/>
      <c r="AN163" s="610"/>
      <c r="AO163" s="659">
        <v>51</v>
      </c>
      <c r="AP163" s="751" t="s">
        <v>605</v>
      </c>
      <c r="AQ163" s="661">
        <f t="shared" si="299"/>
        <v>34</v>
      </c>
      <c r="AR163" s="661">
        <f t="shared" si="300"/>
        <v>30</v>
      </c>
      <c r="AS163" s="661">
        <v>30</v>
      </c>
      <c r="AT163" s="661"/>
      <c r="AU163" s="661">
        <v>30</v>
      </c>
      <c r="AV163" s="661"/>
      <c r="AW163" s="661">
        <v>4</v>
      </c>
      <c r="AX163" s="661">
        <v>4</v>
      </c>
      <c r="AY163" s="662">
        <f t="shared" si="301"/>
        <v>6065</v>
      </c>
      <c r="AZ163" s="670">
        <f>2910+195</f>
        <v>3105</v>
      </c>
      <c r="BA163" s="666">
        <f>810-134</f>
        <v>676</v>
      </c>
      <c r="BB163" s="666">
        <v>134</v>
      </c>
      <c r="BC163" s="666"/>
      <c r="BD163" s="666"/>
      <c r="BE163" s="666">
        <f>(BA163+BB163)*10%</f>
        <v>81</v>
      </c>
      <c r="BF163" s="667">
        <f t="shared" si="302"/>
        <v>81</v>
      </c>
      <c r="BG163" s="666">
        <f t="shared" si="303"/>
        <v>3834</v>
      </c>
      <c r="BH163" s="666">
        <f>1477+150+30</f>
        <v>1657</v>
      </c>
      <c r="BI163" s="666"/>
      <c r="BJ163" s="666">
        <v>240</v>
      </c>
      <c r="BK163" s="666"/>
      <c r="BL163" s="666">
        <f>BH163*10%</f>
        <v>165.70000000000002</v>
      </c>
      <c r="BM163" s="667">
        <f>ROUND(BL163,0)</f>
        <v>166</v>
      </c>
      <c r="BN163" s="666">
        <f t="shared" si="304"/>
        <v>1731</v>
      </c>
      <c r="BO163" s="666">
        <v>500</v>
      </c>
      <c r="BP163" s="666"/>
      <c r="BQ163" s="666"/>
      <c r="BR163" s="666">
        <v>15</v>
      </c>
      <c r="BS163" s="666">
        <v>2</v>
      </c>
      <c r="BT163" s="666">
        <v>152</v>
      </c>
      <c r="BU163" s="666"/>
      <c r="BV163" s="666"/>
      <c r="BW163" s="662"/>
      <c r="BY163" s="1365"/>
      <c r="BZ163" s="1365"/>
      <c r="CA163" s="1366">
        <v>48</v>
      </c>
      <c r="CB163" s="1366" t="s">
        <v>605</v>
      </c>
      <c r="CC163" s="1366">
        <v>34</v>
      </c>
      <c r="CD163" s="1366">
        <v>30</v>
      </c>
      <c r="CE163" s="1366">
        <v>30</v>
      </c>
      <c r="CF163" s="1366"/>
      <c r="CG163" s="1366">
        <v>28</v>
      </c>
      <c r="CH163" s="1366"/>
      <c r="CI163" s="1366">
        <v>4</v>
      </c>
      <c r="CJ163" s="1366">
        <v>4</v>
      </c>
      <c r="CK163" s="1354">
        <v>6456</v>
      </c>
      <c r="CL163" s="1354">
        <v>3312</v>
      </c>
      <c r="CM163" s="1354">
        <v>768</v>
      </c>
      <c r="CN163" s="1354">
        <v>42</v>
      </c>
      <c r="CO163" s="1354"/>
      <c r="CP163" s="1354"/>
      <c r="CQ163" s="1354">
        <v>0</v>
      </c>
      <c r="CR163" s="1354">
        <v>91</v>
      </c>
      <c r="CS163" s="1354">
        <v>91</v>
      </c>
      <c r="CT163" s="1354">
        <v>4031</v>
      </c>
      <c r="CU163" s="1354">
        <v>2129</v>
      </c>
      <c r="CV163" s="1354">
        <v>272</v>
      </c>
      <c r="CW163" s="1354"/>
      <c r="CX163" s="1354">
        <v>37.800000000000011</v>
      </c>
      <c r="CY163" s="1354">
        <v>203.8</v>
      </c>
      <c r="CZ163" s="1354">
        <v>217</v>
      </c>
      <c r="DA163" s="1354">
        <v>255</v>
      </c>
      <c r="DB163" s="1354">
        <v>2146</v>
      </c>
      <c r="DC163" s="1354">
        <v>279</v>
      </c>
      <c r="DD163" s="1354"/>
      <c r="DE163" s="1354"/>
      <c r="DF163" s="1354"/>
      <c r="DG163" s="1354"/>
      <c r="DH163" s="1354"/>
      <c r="DI163" s="1354"/>
      <c r="DJ163" s="1354"/>
      <c r="DK163" s="1354"/>
      <c r="DT163" s="659">
        <v>48</v>
      </c>
      <c r="DU163" s="751" t="s">
        <v>605</v>
      </c>
      <c r="DV163" s="777">
        <f t="shared" si="305"/>
        <v>-86</v>
      </c>
      <c r="DW163" s="777">
        <f t="shared" si="305"/>
        <v>-59</v>
      </c>
      <c r="DX163" s="777">
        <f t="shared" si="305"/>
        <v>-27</v>
      </c>
      <c r="DY163" s="777">
        <f t="shared" si="305"/>
        <v>0</v>
      </c>
      <c r="DZ163" s="777">
        <f t="shared" si="305"/>
        <v>0</v>
      </c>
      <c r="EA163" s="777">
        <f t="shared" si="305"/>
        <v>0</v>
      </c>
      <c r="EB163" s="777">
        <f t="shared" si="305"/>
        <v>0</v>
      </c>
      <c r="EC163" s="777">
        <f t="shared" si="305"/>
        <v>0</v>
      </c>
      <c r="ED163" s="777">
        <f t="shared" si="305"/>
        <v>0</v>
      </c>
      <c r="EE163" s="777">
        <f t="shared" si="305"/>
        <v>-86</v>
      </c>
      <c r="EF163" s="777">
        <f t="shared" si="305"/>
        <v>0</v>
      </c>
      <c r="EG163" s="777">
        <f t="shared" si="305"/>
        <v>0</v>
      </c>
      <c r="EH163" s="777">
        <f t="shared" si="305"/>
        <v>0</v>
      </c>
      <c r="EI163" s="777">
        <f t="shared" si="305"/>
        <v>0</v>
      </c>
      <c r="EJ163" s="777">
        <f t="shared" si="305"/>
        <v>0</v>
      </c>
      <c r="EK163" s="777">
        <f t="shared" si="305"/>
        <v>0</v>
      </c>
      <c r="EL163" s="777">
        <f t="shared" si="306"/>
        <v>0</v>
      </c>
      <c r="EM163" s="777">
        <f t="shared" si="306"/>
        <v>0</v>
      </c>
      <c r="EN163" s="777">
        <f t="shared" si="306"/>
        <v>0</v>
      </c>
      <c r="EO163" s="777">
        <f t="shared" si="306"/>
        <v>0</v>
      </c>
      <c r="EP163" s="777">
        <f t="shared" si="306"/>
        <v>0</v>
      </c>
      <c r="EQ163" s="777">
        <f t="shared" si="306"/>
        <v>178</v>
      </c>
      <c r="ER163" s="777">
        <f t="shared" si="306"/>
        <v>4</v>
      </c>
      <c r="ES163" s="777">
        <f t="shared" si="306"/>
        <v>152</v>
      </c>
      <c r="ET163" s="777">
        <f t="shared" si="306"/>
        <v>0</v>
      </c>
      <c r="EU163" s="777">
        <f t="shared" si="306"/>
        <v>1800</v>
      </c>
      <c r="EV163" s="777">
        <f t="shared" si="306"/>
        <v>0</v>
      </c>
    </row>
    <row r="164" spans="1:152" ht="29.4" customHeight="1">
      <c r="A164" s="694">
        <v>47</v>
      </c>
      <c r="B164" s="695" t="s">
        <v>606</v>
      </c>
      <c r="C164" s="696">
        <f t="shared" si="292"/>
        <v>54</v>
      </c>
      <c r="D164" s="696">
        <f t="shared" si="293"/>
        <v>49</v>
      </c>
      <c r="E164" s="696">
        <v>49</v>
      </c>
      <c r="F164" s="696"/>
      <c r="G164" s="696">
        <v>46</v>
      </c>
      <c r="H164" s="696"/>
      <c r="I164" s="696">
        <v>5</v>
      </c>
      <c r="J164" s="696">
        <v>5</v>
      </c>
      <c r="K164" s="1548">
        <f t="shared" si="272"/>
        <v>8465</v>
      </c>
      <c r="L164" s="697">
        <f t="shared" si="294"/>
        <v>9265</v>
      </c>
      <c r="M164" s="668">
        <f>5384+20-59</f>
        <v>5345</v>
      </c>
      <c r="N164" s="668">
        <f>950-25</f>
        <v>925</v>
      </c>
      <c r="O164" s="668">
        <v>300</v>
      </c>
      <c r="P164" s="668">
        <f>125-2</f>
        <v>123</v>
      </c>
      <c r="Q164" s="668"/>
      <c r="R164" s="668"/>
      <c r="S164" s="668">
        <v>161</v>
      </c>
      <c r="T164" s="668">
        <f t="shared" si="295"/>
        <v>161</v>
      </c>
      <c r="U164" s="668">
        <f>(M164+N164+O164+P164)-T164</f>
        <v>6532</v>
      </c>
      <c r="V164" s="668">
        <f>1000+300</f>
        <v>1300</v>
      </c>
      <c r="W164" s="668">
        <f>750+200</f>
        <v>950</v>
      </c>
      <c r="X164" s="668"/>
      <c r="Y164" s="668">
        <v>8</v>
      </c>
      <c r="Z164" s="668">
        <f>V164*10%</f>
        <v>130</v>
      </c>
      <c r="AA164" s="668">
        <v>309</v>
      </c>
      <c r="AB164" s="668">
        <f t="shared" si="297"/>
        <v>317</v>
      </c>
      <c r="AC164" s="668">
        <f t="shared" si="298"/>
        <v>1933</v>
      </c>
      <c r="AD164" s="666">
        <v>800</v>
      </c>
      <c r="AE164" s="666"/>
      <c r="AF164" s="666"/>
      <c r="AG164" s="666"/>
      <c r="AH164" s="666"/>
      <c r="AI164" s="666"/>
      <c r="AJ164" s="666"/>
      <c r="AK164" s="666">
        <v>225</v>
      </c>
      <c r="AL164" s="664"/>
      <c r="AN164" s="610"/>
      <c r="AO164" s="659">
        <v>52</v>
      </c>
      <c r="AP164" s="660" t="s">
        <v>606</v>
      </c>
      <c r="AQ164" s="661">
        <f t="shared" si="299"/>
        <v>57</v>
      </c>
      <c r="AR164" s="661">
        <f t="shared" si="300"/>
        <v>52</v>
      </c>
      <c r="AS164" s="661">
        <v>52</v>
      </c>
      <c r="AT164" s="661"/>
      <c r="AU164" s="661">
        <v>46</v>
      </c>
      <c r="AV164" s="661"/>
      <c r="AW164" s="661">
        <v>5</v>
      </c>
      <c r="AX164" s="661">
        <v>5</v>
      </c>
      <c r="AY164" s="666">
        <f t="shared" si="301"/>
        <v>10033</v>
      </c>
      <c r="AZ164" s="670">
        <v>5705</v>
      </c>
      <c r="BA164" s="666">
        <v>1000</v>
      </c>
      <c r="BB164" s="666">
        <v>300</v>
      </c>
      <c r="BC164" s="666">
        <v>130</v>
      </c>
      <c r="BD164" s="666"/>
      <c r="BE164" s="666">
        <f>(BA164+BB164)*10%</f>
        <v>130</v>
      </c>
      <c r="BF164" s="667">
        <f t="shared" si="302"/>
        <v>130</v>
      </c>
      <c r="BG164" s="666">
        <f t="shared" si="303"/>
        <v>7005</v>
      </c>
      <c r="BH164" s="666">
        <v>1300</v>
      </c>
      <c r="BI164" s="666">
        <f>500-150</f>
        <v>350</v>
      </c>
      <c r="BJ164" s="666">
        <v>700</v>
      </c>
      <c r="BK164" s="666"/>
      <c r="BL164" s="666">
        <f>(BH164-80)*10%</f>
        <v>122</v>
      </c>
      <c r="BM164" s="667">
        <f>ROUND(BL164,0)</f>
        <v>122</v>
      </c>
      <c r="BN164" s="666">
        <f t="shared" si="304"/>
        <v>2228</v>
      </c>
      <c r="BO164" s="666">
        <v>800</v>
      </c>
      <c r="BP164" s="666"/>
      <c r="BQ164" s="666"/>
      <c r="BR164" s="666"/>
      <c r="BS164" s="666"/>
      <c r="BT164" s="666"/>
      <c r="BU164" s="666"/>
      <c r="BV164" s="666"/>
      <c r="BW164" s="662"/>
      <c r="CA164" s="1352">
        <v>49</v>
      </c>
      <c r="CB164" s="1352" t="s">
        <v>606</v>
      </c>
      <c r="CC164" s="1352">
        <v>55</v>
      </c>
      <c r="CD164" s="1352">
        <v>50</v>
      </c>
      <c r="CE164" s="1352">
        <v>50</v>
      </c>
      <c r="CF164" s="1352"/>
      <c r="CG164" s="1352">
        <v>46</v>
      </c>
      <c r="CH164" s="1352"/>
      <c r="CI164" s="1352">
        <v>5</v>
      </c>
      <c r="CJ164" s="1352">
        <v>5</v>
      </c>
      <c r="CK164" s="1353">
        <v>8709</v>
      </c>
      <c r="CL164" s="1353">
        <v>5404</v>
      </c>
      <c r="CM164" s="1354">
        <v>950</v>
      </c>
      <c r="CN164" s="1354">
        <v>300</v>
      </c>
      <c r="CO164" s="1354">
        <v>125</v>
      </c>
      <c r="CP164" s="1354"/>
      <c r="CQ164" s="1354"/>
      <c r="CR164" s="1354">
        <v>161</v>
      </c>
      <c r="CS164" s="1354">
        <v>161</v>
      </c>
      <c r="CT164" s="1353">
        <v>6618</v>
      </c>
      <c r="CU164" s="1353">
        <v>1000</v>
      </c>
      <c r="CV164" s="1353">
        <v>600</v>
      </c>
      <c r="CW164" s="1353"/>
      <c r="CX164" s="1353"/>
      <c r="CY164" s="1353">
        <v>100</v>
      </c>
      <c r="CZ164" s="1353">
        <v>309</v>
      </c>
      <c r="DA164" s="1353">
        <v>309</v>
      </c>
      <c r="DB164" s="1353">
        <v>1291</v>
      </c>
      <c r="DC164" s="1353">
        <v>800</v>
      </c>
      <c r="DD164" s="1353"/>
      <c r="DE164" s="1353"/>
      <c r="DF164" s="1353"/>
      <c r="DG164" s="1353"/>
      <c r="DH164" s="1353"/>
      <c r="DI164" s="1353"/>
      <c r="DJ164" s="1353"/>
      <c r="DK164" s="1353"/>
      <c r="DT164" s="659">
        <v>49</v>
      </c>
      <c r="DU164" s="660" t="s">
        <v>606</v>
      </c>
      <c r="DV164" s="777">
        <f t="shared" si="305"/>
        <v>556</v>
      </c>
      <c r="DW164" s="777">
        <f t="shared" si="305"/>
        <v>-59</v>
      </c>
      <c r="DX164" s="777">
        <f t="shared" si="305"/>
        <v>-25</v>
      </c>
      <c r="DY164" s="777">
        <f t="shared" si="305"/>
        <v>0</v>
      </c>
      <c r="DZ164" s="777">
        <f t="shared" si="305"/>
        <v>-2</v>
      </c>
      <c r="EA164" s="777">
        <f t="shared" si="305"/>
        <v>0</v>
      </c>
      <c r="EB164" s="777">
        <f t="shared" si="305"/>
        <v>0</v>
      </c>
      <c r="EC164" s="777">
        <f t="shared" si="305"/>
        <v>0</v>
      </c>
      <c r="ED164" s="777">
        <f t="shared" si="305"/>
        <v>0</v>
      </c>
      <c r="EE164" s="777">
        <f t="shared" si="305"/>
        <v>-86</v>
      </c>
      <c r="EF164" s="777">
        <f t="shared" si="305"/>
        <v>300</v>
      </c>
      <c r="EG164" s="777">
        <f t="shared" si="305"/>
        <v>350</v>
      </c>
      <c r="EH164" s="777">
        <f t="shared" si="305"/>
        <v>0</v>
      </c>
      <c r="EI164" s="777">
        <f t="shared" si="305"/>
        <v>8</v>
      </c>
      <c r="EJ164" s="777">
        <f t="shared" si="305"/>
        <v>30</v>
      </c>
      <c r="EK164" s="777">
        <f t="shared" si="305"/>
        <v>0</v>
      </c>
      <c r="EL164" s="777">
        <f t="shared" si="306"/>
        <v>8</v>
      </c>
      <c r="EM164" s="777">
        <f t="shared" si="306"/>
        <v>642</v>
      </c>
      <c r="EN164" s="777">
        <f t="shared" si="306"/>
        <v>0</v>
      </c>
      <c r="EO164" s="777">
        <f t="shared" si="306"/>
        <v>0</v>
      </c>
      <c r="EP164" s="777">
        <f t="shared" si="306"/>
        <v>0</v>
      </c>
      <c r="EQ164" s="777">
        <f t="shared" si="306"/>
        <v>0</v>
      </c>
      <c r="ER164" s="777">
        <f t="shared" si="306"/>
        <v>0</v>
      </c>
      <c r="ES164" s="777">
        <f t="shared" si="306"/>
        <v>0</v>
      </c>
      <c r="ET164" s="777">
        <f t="shared" si="306"/>
        <v>0</v>
      </c>
      <c r="EU164" s="777">
        <f t="shared" si="306"/>
        <v>225</v>
      </c>
      <c r="EV164" s="777">
        <f t="shared" si="306"/>
        <v>0</v>
      </c>
    </row>
    <row r="165" spans="1:152" ht="34.200000000000003" customHeight="1">
      <c r="A165" s="659">
        <v>48</v>
      </c>
      <c r="B165" s="660" t="s">
        <v>607</v>
      </c>
      <c r="C165" s="661">
        <f t="shared" si="292"/>
        <v>35</v>
      </c>
      <c r="D165" s="661">
        <f t="shared" si="293"/>
        <v>32</v>
      </c>
      <c r="E165" s="661">
        <v>32</v>
      </c>
      <c r="F165" s="661"/>
      <c r="G165" s="661">
        <v>32</v>
      </c>
      <c r="H165" s="661"/>
      <c r="I165" s="661">
        <v>3</v>
      </c>
      <c r="J165" s="661">
        <v>3</v>
      </c>
      <c r="K165" s="646">
        <f t="shared" si="272"/>
        <v>5314</v>
      </c>
      <c r="L165" s="662">
        <f t="shared" si="294"/>
        <v>5374</v>
      </c>
      <c r="M165" s="666">
        <f>3527-117</f>
        <v>3410</v>
      </c>
      <c r="N165" s="666">
        <f>807-27</f>
        <v>780</v>
      </c>
      <c r="O165" s="666">
        <v>111</v>
      </c>
      <c r="P165" s="666">
        <f>92-3</f>
        <v>89</v>
      </c>
      <c r="Q165" s="666"/>
      <c r="R165" s="666"/>
      <c r="S165" s="666">
        <v>102</v>
      </c>
      <c r="T165" s="666">
        <f t="shared" si="295"/>
        <v>102</v>
      </c>
      <c r="U165" s="666">
        <f t="shared" si="296"/>
        <v>4288</v>
      </c>
      <c r="V165" s="666">
        <f>930</f>
        <v>930</v>
      </c>
      <c r="W165" s="666">
        <v>105</v>
      </c>
      <c r="X165" s="666"/>
      <c r="Y165" s="666"/>
      <c r="Z165" s="666">
        <f>(V165-50)*10%</f>
        <v>88</v>
      </c>
      <c r="AA165" s="666">
        <v>9</v>
      </c>
      <c r="AB165" s="666">
        <f t="shared" si="297"/>
        <v>9</v>
      </c>
      <c r="AC165" s="666">
        <f t="shared" si="298"/>
        <v>1026</v>
      </c>
      <c r="AD165" s="666">
        <v>60</v>
      </c>
      <c r="AE165" s="666"/>
      <c r="AF165" s="666"/>
      <c r="AG165" s="666"/>
      <c r="AH165" s="666"/>
      <c r="AI165" s="666"/>
      <c r="AJ165" s="666"/>
      <c r="AK165" s="666">
        <f>3640+378</f>
        <v>4018</v>
      </c>
      <c r="AL165" s="662"/>
      <c r="AN165" s="608"/>
      <c r="AO165" s="659">
        <v>53</v>
      </c>
      <c r="AP165" s="660" t="s">
        <v>607</v>
      </c>
      <c r="AQ165" s="661">
        <f t="shared" si="299"/>
        <v>39</v>
      </c>
      <c r="AR165" s="661">
        <f t="shared" si="300"/>
        <v>36</v>
      </c>
      <c r="AS165" s="661">
        <v>36</v>
      </c>
      <c r="AT165" s="661"/>
      <c r="AU165" s="661">
        <v>36</v>
      </c>
      <c r="AV165" s="661"/>
      <c r="AW165" s="661">
        <v>3</v>
      </c>
      <c r="AX165" s="661">
        <v>3</v>
      </c>
      <c r="AY165" s="666">
        <f t="shared" si="301"/>
        <v>5809</v>
      </c>
      <c r="AZ165" s="666">
        <f>3276+207+174</f>
        <v>3657</v>
      </c>
      <c r="BA165" s="666">
        <f>972-151+58</f>
        <v>879</v>
      </c>
      <c r="BB165" s="666">
        <v>151</v>
      </c>
      <c r="BC165" s="666">
        <v>98</v>
      </c>
      <c r="BD165" s="666"/>
      <c r="BE165" s="666">
        <f>(BA165+BB165)*10%</f>
        <v>103</v>
      </c>
      <c r="BF165" s="666">
        <f t="shared" si="302"/>
        <v>103</v>
      </c>
      <c r="BG165" s="666">
        <f t="shared" si="303"/>
        <v>4682</v>
      </c>
      <c r="BH165" s="666">
        <f>1200-50</f>
        <v>1150</v>
      </c>
      <c r="BI165" s="666"/>
      <c r="BJ165" s="666"/>
      <c r="BK165" s="666"/>
      <c r="BL165" s="666">
        <f>(BH165-20)*10%</f>
        <v>113</v>
      </c>
      <c r="BM165" s="666">
        <f>ROUND(BL165,0)</f>
        <v>113</v>
      </c>
      <c r="BN165" s="666">
        <f t="shared" si="304"/>
        <v>1037</v>
      </c>
      <c r="BO165" s="666">
        <v>90</v>
      </c>
      <c r="BP165" s="666"/>
      <c r="BQ165" s="666"/>
      <c r="BR165" s="666">
        <v>49</v>
      </c>
      <c r="BS165" s="666">
        <v>170</v>
      </c>
      <c r="BT165" s="666"/>
      <c r="BU165" s="666"/>
      <c r="BV165" s="666"/>
      <c r="BW165" s="662"/>
      <c r="CA165" s="1352">
        <v>50</v>
      </c>
      <c r="CB165" s="1352" t="s">
        <v>607</v>
      </c>
      <c r="CC165" s="1352">
        <v>37</v>
      </c>
      <c r="CD165" s="1352">
        <v>34</v>
      </c>
      <c r="CE165" s="1352">
        <v>34</v>
      </c>
      <c r="CF165" s="1352"/>
      <c r="CG165" s="1352">
        <v>32</v>
      </c>
      <c r="CH165" s="1352"/>
      <c r="CI165" s="1352">
        <v>3</v>
      </c>
      <c r="CJ165" s="1352">
        <v>3</v>
      </c>
      <c r="CK165" s="1353">
        <v>5521</v>
      </c>
      <c r="CL165" s="1353">
        <v>3527</v>
      </c>
      <c r="CM165" s="1354">
        <v>807</v>
      </c>
      <c r="CN165" s="1354">
        <v>111</v>
      </c>
      <c r="CO165" s="1354">
        <v>92</v>
      </c>
      <c r="CP165" s="1354"/>
      <c r="CQ165" s="1354"/>
      <c r="CR165" s="1354">
        <v>102</v>
      </c>
      <c r="CS165" s="1354">
        <v>102</v>
      </c>
      <c r="CT165" s="1353">
        <v>4435</v>
      </c>
      <c r="CU165" s="1353">
        <v>930</v>
      </c>
      <c r="CV165" s="1353">
        <v>105</v>
      </c>
      <c r="CW165" s="1353"/>
      <c r="CX165" s="1353"/>
      <c r="CY165" s="1353">
        <v>88</v>
      </c>
      <c r="CZ165" s="1353">
        <v>9</v>
      </c>
      <c r="DA165" s="1353">
        <v>9</v>
      </c>
      <c r="DB165" s="1353">
        <v>1026</v>
      </c>
      <c r="DC165" s="1353">
        <v>60</v>
      </c>
      <c r="DD165" s="1353"/>
      <c r="DE165" s="1353"/>
      <c r="DF165" s="1353"/>
      <c r="DG165" s="1353"/>
      <c r="DH165" s="1353"/>
      <c r="DI165" s="1353"/>
      <c r="DJ165" s="1353"/>
      <c r="DK165" s="1353"/>
      <c r="DT165" s="659">
        <v>50</v>
      </c>
      <c r="DU165" s="660" t="s">
        <v>607</v>
      </c>
      <c r="DV165" s="777">
        <f t="shared" si="305"/>
        <v>-147</v>
      </c>
      <c r="DW165" s="777">
        <f t="shared" si="305"/>
        <v>-117</v>
      </c>
      <c r="DX165" s="777">
        <f t="shared" si="305"/>
        <v>-27</v>
      </c>
      <c r="DY165" s="777">
        <f t="shared" si="305"/>
        <v>0</v>
      </c>
      <c r="DZ165" s="777">
        <f t="shared" si="305"/>
        <v>-3</v>
      </c>
      <c r="EA165" s="777">
        <f t="shared" si="305"/>
        <v>0</v>
      </c>
      <c r="EB165" s="777">
        <f t="shared" si="305"/>
        <v>0</v>
      </c>
      <c r="EC165" s="777">
        <f t="shared" si="305"/>
        <v>0</v>
      </c>
      <c r="ED165" s="777">
        <f t="shared" si="305"/>
        <v>0</v>
      </c>
      <c r="EE165" s="777">
        <f t="shared" si="305"/>
        <v>-147</v>
      </c>
      <c r="EF165" s="777">
        <f t="shared" si="305"/>
        <v>0</v>
      </c>
      <c r="EG165" s="777">
        <f t="shared" si="305"/>
        <v>0</v>
      </c>
      <c r="EH165" s="777">
        <f t="shared" si="305"/>
        <v>0</v>
      </c>
      <c r="EI165" s="777">
        <f t="shared" si="305"/>
        <v>0</v>
      </c>
      <c r="EJ165" s="777">
        <f t="shared" si="305"/>
        <v>0</v>
      </c>
      <c r="EK165" s="777">
        <f t="shared" si="305"/>
        <v>0</v>
      </c>
      <c r="EL165" s="777">
        <f t="shared" si="306"/>
        <v>0</v>
      </c>
      <c r="EM165" s="777">
        <f t="shared" si="306"/>
        <v>0</v>
      </c>
      <c r="EN165" s="777">
        <f t="shared" si="306"/>
        <v>0</v>
      </c>
      <c r="EO165" s="777">
        <f t="shared" si="306"/>
        <v>0</v>
      </c>
      <c r="EP165" s="777">
        <f t="shared" si="306"/>
        <v>0</v>
      </c>
      <c r="EQ165" s="777">
        <f t="shared" si="306"/>
        <v>0</v>
      </c>
      <c r="ER165" s="777">
        <f t="shared" si="306"/>
        <v>0</v>
      </c>
      <c r="ES165" s="777">
        <f t="shared" si="306"/>
        <v>0</v>
      </c>
      <c r="ET165" s="777">
        <f t="shared" si="306"/>
        <v>0</v>
      </c>
      <c r="EU165" s="777">
        <f t="shared" si="306"/>
        <v>4018</v>
      </c>
      <c r="EV165" s="777">
        <f t="shared" si="306"/>
        <v>0</v>
      </c>
    </row>
    <row r="166" spans="1:152" s="617" customFormat="1" ht="29.4" customHeight="1">
      <c r="A166" s="659">
        <v>49</v>
      </c>
      <c r="B166" s="751" t="s">
        <v>608</v>
      </c>
      <c r="C166" s="661">
        <f t="shared" ref="C166:J166" si="308">SUM(C167:C168)</f>
        <v>61</v>
      </c>
      <c r="D166" s="661">
        <f t="shared" si="308"/>
        <v>54</v>
      </c>
      <c r="E166" s="661">
        <f t="shared" si="308"/>
        <v>40</v>
      </c>
      <c r="F166" s="661">
        <f t="shared" si="308"/>
        <v>14</v>
      </c>
      <c r="G166" s="661">
        <f t="shared" si="308"/>
        <v>41</v>
      </c>
      <c r="H166" s="661">
        <f t="shared" si="308"/>
        <v>14</v>
      </c>
      <c r="I166" s="661">
        <f t="shared" si="308"/>
        <v>7</v>
      </c>
      <c r="J166" s="661">
        <f t="shared" si="308"/>
        <v>7</v>
      </c>
      <c r="K166" s="646">
        <f t="shared" si="272"/>
        <v>10567</v>
      </c>
      <c r="L166" s="662">
        <f>SUM(L167:L168)</f>
        <v>10647</v>
      </c>
      <c r="M166" s="666">
        <f t="shared" ref="M166:AK166" si="309">SUM(M167:M168)</f>
        <v>4944</v>
      </c>
      <c r="N166" s="666">
        <f t="shared" si="309"/>
        <v>1304</v>
      </c>
      <c r="O166" s="666">
        <f t="shared" si="309"/>
        <v>154</v>
      </c>
      <c r="P166" s="666">
        <f t="shared" si="309"/>
        <v>0</v>
      </c>
      <c r="Q166" s="666">
        <f t="shared" si="309"/>
        <v>0</v>
      </c>
      <c r="R166" s="666">
        <f t="shared" si="309"/>
        <v>2.7</v>
      </c>
      <c r="S166" s="666">
        <f t="shared" si="309"/>
        <v>151</v>
      </c>
      <c r="T166" s="666">
        <f t="shared" si="309"/>
        <v>154</v>
      </c>
      <c r="U166" s="666">
        <f t="shared" si="309"/>
        <v>6248</v>
      </c>
      <c r="V166" s="666">
        <f t="shared" si="309"/>
        <v>2870</v>
      </c>
      <c r="W166" s="666">
        <f t="shared" si="309"/>
        <v>1496</v>
      </c>
      <c r="X166" s="666">
        <f t="shared" si="309"/>
        <v>0</v>
      </c>
      <c r="Y166" s="666">
        <f t="shared" si="309"/>
        <v>5.2000000000000028</v>
      </c>
      <c r="Z166" s="666">
        <f t="shared" si="309"/>
        <v>187.60000000000002</v>
      </c>
      <c r="AA166" s="666">
        <f t="shared" si="309"/>
        <v>42</v>
      </c>
      <c r="AB166" s="666">
        <f t="shared" si="309"/>
        <v>47</v>
      </c>
      <c r="AC166" s="666">
        <f t="shared" si="309"/>
        <v>4319</v>
      </c>
      <c r="AD166" s="666">
        <f t="shared" si="309"/>
        <v>80</v>
      </c>
      <c r="AE166" s="666">
        <f t="shared" si="309"/>
        <v>0</v>
      </c>
      <c r="AF166" s="666">
        <f t="shared" si="309"/>
        <v>0</v>
      </c>
      <c r="AG166" s="666">
        <f>SUM(AG167:AG168)</f>
        <v>1434</v>
      </c>
      <c r="AH166" s="666">
        <f>SUM(AH167:AH168)</f>
        <v>2306</v>
      </c>
      <c r="AI166" s="666">
        <f t="shared" si="309"/>
        <v>2400</v>
      </c>
      <c r="AJ166" s="666">
        <f t="shared" si="309"/>
        <v>0</v>
      </c>
      <c r="AK166" s="666">
        <f t="shared" si="309"/>
        <v>0</v>
      </c>
      <c r="AL166" s="669"/>
      <c r="AN166" s="610"/>
      <c r="AO166" s="659">
        <v>54</v>
      </c>
      <c r="AP166" s="751" t="s">
        <v>608</v>
      </c>
      <c r="AQ166" s="661">
        <f>AQ167+AQ168</f>
        <v>62</v>
      </c>
      <c r="AR166" s="661">
        <f>AR167+AR168</f>
        <v>55</v>
      </c>
      <c r="AS166" s="661">
        <f t="shared" ref="AS166:AX166" si="310">AS167+AS168</f>
        <v>41</v>
      </c>
      <c r="AT166" s="661">
        <f t="shared" si="310"/>
        <v>14</v>
      </c>
      <c r="AU166" s="661">
        <f t="shared" si="310"/>
        <v>40</v>
      </c>
      <c r="AV166" s="661">
        <f t="shared" si="310"/>
        <v>14</v>
      </c>
      <c r="AW166" s="661">
        <f t="shared" si="310"/>
        <v>7</v>
      </c>
      <c r="AX166" s="661">
        <f t="shared" si="310"/>
        <v>6</v>
      </c>
      <c r="AY166" s="666">
        <f>SUM(AY167:AY168)</f>
        <v>12176</v>
      </c>
      <c r="AZ166" s="670">
        <f t="shared" ref="AZ166:BV166" si="311">SUM(AZ167:AZ168)</f>
        <v>4511</v>
      </c>
      <c r="BA166" s="666">
        <f t="shared" si="311"/>
        <v>1326</v>
      </c>
      <c r="BB166" s="666">
        <f t="shared" si="311"/>
        <v>159</v>
      </c>
      <c r="BC166" s="666">
        <f t="shared" si="311"/>
        <v>0</v>
      </c>
      <c r="BD166" s="666">
        <f t="shared" si="311"/>
        <v>0</v>
      </c>
      <c r="BE166" s="666">
        <f t="shared" si="311"/>
        <v>148.5</v>
      </c>
      <c r="BF166" s="667">
        <f t="shared" si="311"/>
        <v>148</v>
      </c>
      <c r="BG166" s="666">
        <f t="shared" si="311"/>
        <v>5848</v>
      </c>
      <c r="BH166" s="666">
        <f t="shared" si="311"/>
        <v>5832</v>
      </c>
      <c r="BI166" s="666">
        <f t="shared" si="311"/>
        <v>300</v>
      </c>
      <c r="BJ166" s="666">
        <f t="shared" si="311"/>
        <v>604</v>
      </c>
      <c r="BK166" s="666">
        <f t="shared" si="311"/>
        <v>0</v>
      </c>
      <c r="BL166" s="666">
        <f t="shared" si="311"/>
        <v>473.5</v>
      </c>
      <c r="BM166" s="667">
        <f t="shared" si="311"/>
        <v>474</v>
      </c>
      <c r="BN166" s="666">
        <f t="shared" si="311"/>
        <v>6262</v>
      </c>
      <c r="BO166" s="666">
        <f t="shared" si="311"/>
        <v>66</v>
      </c>
      <c r="BP166" s="666">
        <f t="shared" si="311"/>
        <v>0</v>
      </c>
      <c r="BQ166" s="666">
        <f t="shared" si="311"/>
        <v>0</v>
      </c>
      <c r="BR166" s="666">
        <f>SUM(BR167:BR168)</f>
        <v>313</v>
      </c>
      <c r="BS166" s="666">
        <f>SUM(BS167:BS168)</f>
        <v>6490</v>
      </c>
      <c r="BT166" s="666">
        <f t="shared" si="311"/>
        <v>2400</v>
      </c>
      <c r="BU166" s="666">
        <f t="shared" si="311"/>
        <v>0</v>
      </c>
      <c r="BV166" s="666">
        <f t="shared" si="311"/>
        <v>0</v>
      </c>
      <c r="BW166" s="666"/>
      <c r="BY166" s="1365"/>
      <c r="BZ166" s="1365"/>
      <c r="CA166" s="1366">
        <v>51</v>
      </c>
      <c r="CB166" s="1366" t="s">
        <v>608</v>
      </c>
      <c r="CC166" s="1366">
        <v>62</v>
      </c>
      <c r="CD166" s="1366">
        <v>55</v>
      </c>
      <c r="CE166" s="1366">
        <v>41</v>
      </c>
      <c r="CF166" s="1366">
        <v>14</v>
      </c>
      <c r="CG166" s="1366">
        <v>41</v>
      </c>
      <c r="CH166" s="1366">
        <v>14</v>
      </c>
      <c r="CI166" s="1366">
        <v>7</v>
      </c>
      <c r="CJ166" s="1366">
        <v>7</v>
      </c>
      <c r="CK166" s="1354">
        <v>10641</v>
      </c>
      <c r="CL166" s="1354">
        <v>5011</v>
      </c>
      <c r="CM166" s="1354">
        <v>1331</v>
      </c>
      <c r="CN166" s="1354">
        <v>154</v>
      </c>
      <c r="CO166" s="1354">
        <v>0</v>
      </c>
      <c r="CP166" s="1354">
        <v>0</v>
      </c>
      <c r="CQ166" s="1354">
        <v>2.7</v>
      </c>
      <c r="CR166" s="1354">
        <v>151</v>
      </c>
      <c r="CS166" s="1354">
        <v>154</v>
      </c>
      <c r="CT166" s="1354">
        <v>6342</v>
      </c>
      <c r="CU166" s="1354">
        <v>2870</v>
      </c>
      <c r="CV166" s="1354">
        <v>1496</v>
      </c>
      <c r="CW166" s="1354">
        <v>0</v>
      </c>
      <c r="CX166" s="1354">
        <v>104.6</v>
      </c>
      <c r="CY166" s="1354">
        <v>287</v>
      </c>
      <c r="CZ166" s="1354">
        <v>42</v>
      </c>
      <c r="DA166" s="1354">
        <v>147</v>
      </c>
      <c r="DB166" s="1354">
        <v>4219</v>
      </c>
      <c r="DC166" s="1354">
        <v>80</v>
      </c>
      <c r="DD166" s="1354">
        <v>0</v>
      </c>
      <c r="DE166" s="1354">
        <v>0</v>
      </c>
      <c r="DF166" s="1354">
        <v>1434</v>
      </c>
      <c r="DG166" s="1354">
        <v>2306</v>
      </c>
      <c r="DH166" s="1354">
        <v>2400</v>
      </c>
      <c r="DI166" s="1354">
        <v>0</v>
      </c>
      <c r="DJ166" s="1354">
        <v>0</v>
      </c>
      <c r="DK166" s="1354"/>
      <c r="DT166" s="659">
        <v>51</v>
      </c>
      <c r="DU166" s="751" t="s">
        <v>608</v>
      </c>
      <c r="DV166" s="666">
        <f>DV167+DV168</f>
        <v>6</v>
      </c>
      <c r="DW166" s="666">
        <f t="shared" ref="DW166:EV166" si="312">DW167+DW168</f>
        <v>-67</v>
      </c>
      <c r="DX166" s="666">
        <f t="shared" si="312"/>
        <v>-27</v>
      </c>
      <c r="DY166" s="666">
        <f t="shared" si="312"/>
        <v>0</v>
      </c>
      <c r="DZ166" s="666">
        <f t="shared" si="312"/>
        <v>0</v>
      </c>
      <c r="EA166" s="666">
        <f t="shared" si="312"/>
        <v>0</v>
      </c>
      <c r="EB166" s="666">
        <f t="shared" si="312"/>
        <v>0</v>
      </c>
      <c r="EC166" s="666">
        <f t="shared" si="312"/>
        <v>0</v>
      </c>
      <c r="ED166" s="666">
        <f t="shared" si="312"/>
        <v>0</v>
      </c>
      <c r="EE166" s="666">
        <f t="shared" si="312"/>
        <v>-94</v>
      </c>
      <c r="EF166" s="666">
        <f t="shared" si="312"/>
        <v>0</v>
      </c>
      <c r="EG166" s="666">
        <f t="shared" si="312"/>
        <v>0</v>
      </c>
      <c r="EH166" s="666">
        <f t="shared" si="312"/>
        <v>0</v>
      </c>
      <c r="EI166" s="666">
        <f t="shared" si="312"/>
        <v>-99.399999999999991</v>
      </c>
      <c r="EJ166" s="666">
        <f t="shared" si="312"/>
        <v>-99.399999999999991</v>
      </c>
      <c r="EK166" s="666">
        <f t="shared" si="312"/>
        <v>0</v>
      </c>
      <c r="EL166" s="666">
        <f t="shared" si="312"/>
        <v>-100</v>
      </c>
      <c r="EM166" s="666">
        <f t="shared" si="312"/>
        <v>100</v>
      </c>
      <c r="EN166" s="666">
        <f t="shared" si="312"/>
        <v>0</v>
      </c>
      <c r="EO166" s="666">
        <f t="shared" si="312"/>
        <v>0</v>
      </c>
      <c r="EP166" s="666">
        <f t="shared" si="312"/>
        <v>0</v>
      </c>
      <c r="EQ166" s="666">
        <f t="shared" si="312"/>
        <v>0</v>
      </c>
      <c r="ER166" s="666">
        <f t="shared" si="312"/>
        <v>0</v>
      </c>
      <c r="ES166" s="666">
        <f t="shared" si="312"/>
        <v>0</v>
      </c>
      <c r="ET166" s="666">
        <f t="shared" si="312"/>
        <v>0</v>
      </c>
      <c r="EU166" s="666">
        <f t="shared" si="312"/>
        <v>0</v>
      </c>
      <c r="EV166" s="666">
        <f t="shared" si="312"/>
        <v>0</v>
      </c>
    </row>
    <row r="167" spans="1:152" s="617" customFormat="1" ht="24" hidden="1" customHeight="1">
      <c r="A167" s="659"/>
      <c r="B167" s="660" t="s">
        <v>609</v>
      </c>
      <c r="C167" s="661">
        <f t="shared" ref="C167:C172" si="313">D167+I167</f>
        <v>27</v>
      </c>
      <c r="D167" s="661">
        <f>E167+F167</f>
        <v>23</v>
      </c>
      <c r="E167" s="661">
        <v>23</v>
      </c>
      <c r="F167" s="661"/>
      <c r="G167" s="661">
        <v>23</v>
      </c>
      <c r="H167" s="661"/>
      <c r="I167" s="661">
        <v>4</v>
      </c>
      <c r="J167" s="661">
        <v>4</v>
      </c>
      <c r="K167" s="646">
        <f t="shared" si="272"/>
        <v>5540</v>
      </c>
      <c r="L167" s="662">
        <f>U167+AC167+AD167+AE167</f>
        <v>5620</v>
      </c>
      <c r="M167" s="666">
        <v>2213</v>
      </c>
      <c r="N167" s="666">
        <v>545</v>
      </c>
      <c r="O167" s="666">
        <v>76</v>
      </c>
      <c r="P167" s="666"/>
      <c r="Q167" s="666"/>
      <c r="R167" s="666">
        <f>((N167+O167)-(BA167+BB167))*10%</f>
        <v>2.7</v>
      </c>
      <c r="S167" s="666">
        <v>62</v>
      </c>
      <c r="T167" s="666">
        <f>ROUND((Q167+R167+S167),0)</f>
        <v>65</v>
      </c>
      <c r="U167" s="666">
        <f>(M167+N167+O167+P167)-T167</f>
        <v>2769</v>
      </c>
      <c r="V167" s="666">
        <v>1434</v>
      </c>
      <c r="W167" s="666">
        <v>1340</v>
      </c>
      <c r="X167" s="666"/>
      <c r="Y167" s="666"/>
      <c r="Z167" s="666">
        <f>V167*10%</f>
        <v>143.4</v>
      </c>
      <c r="AA167" s="666">
        <v>3</v>
      </c>
      <c r="AB167" s="666">
        <f>ROUND((Y167+AA167+X167),0)</f>
        <v>3</v>
      </c>
      <c r="AC167" s="666">
        <f>(V167+W167)-AB167</f>
        <v>2771</v>
      </c>
      <c r="AD167" s="666">
        <v>80</v>
      </c>
      <c r="AE167" s="666"/>
      <c r="AF167" s="666"/>
      <c r="AG167" s="666">
        <v>1434</v>
      </c>
      <c r="AH167" s="666">
        <v>2306</v>
      </c>
      <c r="AI167" s="666"/>
      <c r="AJ167" s="666"/>
      <c r="AK167" s="666"/>
      <c r="AL167" s="664"/>
      <c r="AN167" s="610"/>
      <c r="AO167" s="659"/>
      <c r="AP167" s="660" t="s">
        <v>609</v>
      </c>
      <c r="AQ167" s="661">
        <f t="shared" ref="AQ167:AQ172" si="314">AR167+AW167</f>
        <v>26</v>
      </c>
      <c r="AR167" s="661">
        <f>AS167+AT167</f>
        <v>22</v>
      </c>
      <c r="AS167" s="661">
        <v>22</v>
      </c>
      <c r="AT167" s="661"/>
      <c r="AU167" s="661">
        <v>22</v>
      </c>
      <c r="AV167" s="661"/>
      <c r="AW167" s="661">
        <v>4</v>
      </c>
      <c r="AX167" s="661">
        <v>4</v>
      </c>
      <c r="AY167" s="666">
        <f>BG167+BN167+BO167+BP167</f>
        <v>6790</v>
      </c>
      <c r="AZ167" s="670">
        <v>1927</v>
      </c>
      <c r="BA167" s="666">
        <f>594-78</f>
        <v>516</v>
      </c>
      <c r="BB167" s="666">
        <v>78</v>
      </c>
      <c r="BC167" s="666"/>
      <c r="BD167" s="666"/>
      <c r="BE167" s="666">
        <f t="shared" ref="BE167:BE185" si="315">(BA167+BB167)*10%</f>
        <v>59.400000000000006</v>
      </c>
      <c r="BF167" s="667">
        <f>ROUND(BE167,0)</f>
        <v>59</v>
      </c>
      <c r="BG167" s="666">
        <f>(AZ167+BA167+BB167+BC167)-BF167</f>
        <v>2462</v>
      </c>
      <c r="BH167" s="666">
        <f>4070+280</f>
        <v>4350</v>
      </c>
      <c r="BI167" s="666"/>
      <c r="BJ167" s="666">
        <v>347</v>
      </c>
      <c r="BK167" s="666"/>
      <c r="BL167" s="666">
        <f>BH167*10%</f>
        <v>435</v>
      </c>
      <c r="BM167" s="667">
        <f>ROUND(BL167,0)</f>
        <v>435</v>
      </c>
      <c r="BN167" s="666">
        <f>(BH167+BI167+BJ167)-BM167</f>
        <v>4262</v>
      </c>
      <c r="BO167" s="666">
        <v>66</v>
      </c>
      <c r="BP167" s="666"/>
      <c r="BQ167" s="666"/>
      <c r="BR167" s="666">
        <v>313</v>
      </c>
      <c r="BS167" s="666">
        <v>6490</v>
      </c>
      <c r="BT167" s="666"/>
      <c r="BU167" s="666"/>
      <c r="BV167" s="666"/>
      <c r="BW167" s="662"/>
      <c r="BY167" s="1365"/>
      <c r="BZ167" s="1365"/>
      <c r="CA167" s="1366"/>
      <c r="CB167" s="1366" t="s">
        <v>609</v>
      </c>
      <c r="CC167" s="1366">
        <v>27</v>
      </c>
      <c r="CD167" s="1366">
        <v>23</v>
      </c>
      <c r="CE167" s="1366">
        <v>23</v>
      </c>
      <c r="CF167" s="1366"/>
      <c r="CG167" s="1366">
        <v>23</v>
      </c>
      <c r="CH167" s="1366"/>
      <c r="CI167" s="1366">
        <v>4</v>
      </c>
      <c r="CJ167" s="1366">
        <v>4</v>
      </c>
      <c r="CK167" s="1354">
        <v>5620</v>
      </c>
      <c r="CL167" s="1354">
        <v>2213</v>
      </c>
      <c r="CM167" s="1354">
        <v>545</v>
      </c>
      <c r="CN167" s="1354">
        <v>76</v>
      </c>
      <c r="CO167" s="1354"/>
      <c r="CP167" s="1354"/>
      <c r="CQ167" s="1354">
        <v>2.7</v>
      </c>
      <c r="CR167" s="1354">
        <v>62</v>
      </c>
      <c r="CS167" s="1354">
        <v>65</v>
      </c>
      <c r="CT167" s="1354">
        <v>2769</v>
      </c>
      <c r="CU167" s="1354">
        <v>1434</v>
      </c>
      <c r="CV167" s="1354">
        <v>1340</v>
      </c>
      <c r="CW167" s="1354"/>
      <c r="CX167" s="1354"/>
      <c r="CY167" s="1354">
        <v>143.4</v>
      </c>
      <c r="CZ167" s="1354">
        <v>3</v>
      </c>
      <c r="DA167" s="1354">
        <v>3</v>
      </c>
      <c r="DB167" s="1354">
        <v>2771</v>
      </c>
      <c r="DC167" s="1354">
        <v>80</v>
      </c>
      <c r="DD167" s="1354"/>
      <c r="DE167" s="1354"/>
      <c r="DF167" s="1354">
        <v>1434</v>
      </c>
      <c r="DG167" s="1354">
        <v>2306</v>
      </c>
      <c r="DH167" s="1354"/>
      <c r="DI167" s="1354"/>
      <c r="DJ167" s="1354"/>
      <c r="DK167" s="1354"/>
      <c r="DT167" s="659"/>
      <c r="DU167" s="660" t="s">
        <v>609</v>
      </c>
      <c r="DV167" s="777">
        <f t="shared" ref="DV167:EK169" si="316">L167-CK167</f>
        <v>0</v>
      </c>
      <c r="DW167" s="777">
        <f t="shared" si="316"/>
        <v>0</v>
      </c>
      <c r="DX167" s="777">
        <f t="shared" si="316"/>
        <v>0</v>
      </c>
      <c r="DY167" s="777">
        <f t="shared" si="316"/>
        <v>0</v>
      </c>
      <c r="DZ167" s="777">
        <f t="shared" si="316"/>
        <v>0</v>
      </c>
      <c r="EA167" s="777">
        <f t="shared" si="316"/>
        <v>0</v>
      </c>
      <c r="EB167" s="777">
        <f t="shared" si="316"/>
        <v>0</v>
      </c>
      <c r="EC167" s="777">
        <f t="shared" si="316"/>
        <v>0</v>
      </c>
      <c r="ED167" s="777">
        <f t="shared" si="316"/>
        <v>0</v>
      </c>
      <c r="EE167" s="777">
        <f t="shared" si="316"/>
        <v>0</v>
      </c>
      <c r="EF167" s="777">
        <f t="shared" si="316"/>
        <v>0</v>
      </c>
      <c r="EG167" s="777">
        <f t="shared" si="316"/>
        <v>0</v>
      </c>
      <c r="EH167" s="777">
        <f t="shared" si="316"/>
        <v>0</v>
      </c>
      <c r="EI167" s="777">
        <f t="shared" si="316"/>
        <v>0</v>
      </c>
      <c r="EJ167" s="777">
        <f t="shared" si="316"/>
        <v>0</v>
      </c>
      <c r="EK167" s="777">
        <f t="shared" si="316"/>
        <v>0</v>
      </c>
      <c r="EL167" s="777">
        <f t="shared" ref="EL167:EV169" si="317">AB167-DA167</f>
        <v>0</v>
      </c>
      <c r="EM167" s="777">
        <f t="shared" si="317"/>
        <v>0</v>
      </c>
      <c r="EN167" s="777">
        <f t="shared" si="317"/>
        <v>0</v>
      </c>
      <c r="EO167" s="777">
        <f t="shared" si="317"/>
        <v>0</v>
      </c>
      <c r="EP167" s="777">
        <f t="shared" si="317"/>
        <v>0</v>
      </c>
      <c r="EQ167" s="777">
        <f t="shared" si="317"/>
        <v>0</v>
      </c>
      <c r="ER167" s="777">
        <f t="shared" si="317"/>
        <v>0</v>
      </c>
      <c r="ES167" s="777">
        <f t="shared" si="317"/>
        <v>0</v>
      </c>
      <c r="ET167" s="777">
        <f t="shared" si="317"/>
        <v>0</v>
      </c>
      <c r="EU167" s="777">
        <f t="shared" si="317"/>
        <v>0</v>
      </c>
      <c r="EV167" s="777">
        <f t="shared" si="317"/>
        <v>0</v>
      </c>
    </row>
    <row r="168" spans="1:152" s="617" customFormat="1" ht="36.75" hidden="1" customHeight="1">
      <c r="A168" s="659"/>
      <c r="B168" s="660" t="s">
        <v>610</v>
      </c>
      <c r="C168" s="661">
        <f t="shared" si="313"/>
        <v>34</v>
      </c>
      <c r="D168" s="661">
        <f>E168+F168</f>
        <v>31</v>
      </c>
      <c r="E168" s="661">
        <v>17</v>
      </c>
      <c r="F168" s="661">
        <v>14</v>
      </c>
      <c r="G168" s="661">
        <v>18</v>
      </c>
      <c r="H168" s="661">
        <v>14</v>
      </c>
      <c r="I168" s="661">
        <v>3</v>
      </c>
      <c r="J168" s="661">
        <v>3</v>
      </c>
      <c r="K168" s="646">
        <f t="shared" si="272"/>
        <v>5027</v>
      </c>
      <c r="L168" s="662">
        <f>U168+AC168+AD168+AE168</f>
        <v>5027</v>
      </c>
      <c r="M168" s="666">
        <v>2731</v>
      </c>
      <c r="N168" s="666">
        <v>759</v>
      </c>
      <c r="O168" s="666">
        <v>78</v>
      </c>
      <c r="P168" s="666"/>
      <c r="Q168" s="666"/>
      <c r="R168" s="666"/>
      <c r="S168" s="666">
        <v>89</v>
      </c>
      <c r="T168" s="666">
        <f>ROUND((Q168+R168+S168),0)</f>
        <v>89</v>
      </c>
      <c r="U168" s="666">
        <f>(M168+N168+O168+P168)-T168</f>
        <v>3479</v>
      </c>
      <c r="V168" s="666">
        <v>1436</v>
      </c>
      <c r="W168" s="666">
        <v>156</v>
      </c>
      <c r="X168" s="666"/>
      <c r="Y168" s="666">
        <f>Z168-BM168</f>
        <v>5.2000000000000028</v>
      </c>
      <c r="Z168" s="666">
        <f>(V168-100-60-150-600-84)*10%</f>
        <v>44.2</v>
      </c>
      <c r="AA168" s="666">
        <v>39</v>
      </c>
      <c r="AB168" s="666">
        <f>ROUND((Y168+AA168+X168),0)</f>
        <v>44</v>
      </c>
      <c r="AC168" s="666">
        <f>(V168+W168)-AB168</f>
        <v>1548</v>
      </c>
      <c r="AD168" s="666"/>
      <c r="AE168" s="666"/>
      <c r="AF168" s="666"/>
      <c r="AG168" s="666"/>
      <c r="AH168" s="666"/>
      <c r="AI168" s="666">
        <v>2400</v>
      </c>
      <c r="AJ168" s="666"/>
      <c r="AK168" s="666"/>
      <c r="AL168" s="664"/>
      <c r="AN168" s="610"/>
      <c r="AO168" s="659"/>
      <c r="AP168" s="660" t="s">
        <v>610</v>
      </c>
      <c r="AQ168" s="661">
        <f t="shared" si="314"/>
        <v>36</v>
      </c>
      <c r="AR168" s="661">
        <f>AS168+AT168</f>
        <v>33</v>
      </c>
      <c r="AS168" s="661">
        <v>19</v>
      </c>
      <c r="AT168" s="661">
        <v>14</v>
      </c>
      <c r="AU168" s="661">
        <v>18</v>
      </c>
      <c r="AV168" s="661">
        <v>14</v>
      </c>
      <c r="AW168" s="661">
        <v>3</v>
      </c>
      <c r="AX168" s="661">
        <v>2</v>
      </c>
      <c r="AY168" s="666">
        <f>BG168+BN168+BO168+BP168</f>
        <v>5386</v>
      </c>
      <c r="AZ168" s="670">
        <f>1819+660+95+10</f>
        <v>2584</v>
      </c>
      <c r="BA168" s="666">
        <f>891-81</f>
        <v>810</v>
      </c>
      <c r="BB168" s="666">
        <v>81</v>
      </c>
      <c r="BC168" s="666"/>
      <c r="BD168" s="666"/>
      <c r="BE168" s="666">
        <f t="shared" si="315"/>
        <v>89.100000000000009</v>
      </c>
      <c r="BF168" s="667">
        <f>ROUND(BE168,0)</f>
        <v>89</v>
      </c>
      <c r="BG168" s="666">
        <f>(AZ168+BA168+BB168+BC168)-BF168</f>
        <v>3386</v>
      </c>
      <c r="BH168" s="666">
        <v>1482</v>
      </c>
      <c r="BI168" s="666">
        <v>300</v>
      </c>
      <c r="BJ168" s="666">
        <f>557-300</f>
        <v>257</v>
      </c>
      <c r="BK168" s="666"/>
      <c r="BL168" s="666">
        <f>(BH168-1097)*10%</f>
        <v>38.5</v>
      </c>
      <c r="BM168" s="667">
        <f>ROUND(BL168,0)</f>
        <v>39</v>
      </c>
      <c r="BN168" s="666">
        <f>(BH168+BI168+BJ168)-BM168</f>
        <v>2000</v>
      </c>
      <c r="BO168" s="666"/>
      <c r="BP168" s="666"/>
      <c r="BQ168" s="666"/>
      <c r="BR168" s="666"/>
      <c r="BS168" s="666"/>
      <c r="BT168" s="666">
        <v>2400</v>
      </c>
      <c r="BU168" s="666"/>
      <c r="BV168" s="666"/>
      <c r="BW168" s="662"/>
      <c r="BY168" s="1365"/>
      <c r="BZ168" s="1365"/>
      <c r="CA168" s="1366"/>
      <c r="CB168" s="1366" t="s">
        <v>610</v>
      </c>
      <c r="CC168" s="1366">
        <v>35</v>
      </c>
      <c r="CD168" s="1366">
        <v>32</v>
      </c>
      <c r="CE168" s="1366">
        <v>18</v>
      </c>
      <c r="CF168" s="1366">
        <v>14</v>
      </c>
      <c r="CG168" s="1366">
        <v>18</v>
      </c>
      <c r="CH168" s="1366">
        <v>14</v>
      </c>
      <c r="CI168" s="1366">
        <v>3</v>
      </c>
      <c r="CJ168" s="1366">
        <v>3</v>
      </c>
      <c r="CK168" s="1354">
        <v>5021</v>
      </c>
      <c r="CL168" s="1354">
        <v>2798</v>
      </c>
      <c r="CM168" s="1354">
        <v>786</v>
      </c>
      <c r="CN168" s="1354">
        <v>78</v>
      </c>
      <c r="CO168" s="1354"/>
      <c r="CP168" s="1354"/>
      <c r="CQ168" s="1354"/>
      <c r="CR168" s="1354">
        <v>89</v>
      </c>
      <c r="CS168" s="1354">
        <v>89</v>
      </c>
      <c r="CT168" s="1354">
        <v>3573</v>
      </c>
      <c r="CU168" s="1354">
        <v>1436</v>
      </c>
      <c r="CV168" s="1354">
        <v>156</v>
      </c>
      <c r="CW168" s="1354"/>
      <c r="CX168" s="1354">
        <v>104.6</v>
      </c>
      <c r="CY168" s="1354">
        <v>143.6</v>
      </c>
      <c r="CZ168" s="1354">
        <v>39</v>
      </c>
      <c r="DA168" s="1354">
        <v>144</v>
      </c>
      <c r="DB168" s="1354">
        <v>1448</v>
      </c>
      <c r="DC168" s="1354"/>
      <c r="DD168" s="1354"/>
      <c r="DE168" s="1354"/>
      <c r="DF168" s="1354"/>
      <c r="DG168" s="1354"/>
      <c r="DH168" s="1354">
        <v>2400</v>
      </c>
      <c r="DI168" s="1354"/>
      <c r="DJ168" s="1354"/>
      <c r="DK168" s="1354"/>
      <c r="DT168" s="659"/>
      <c r="DU168" s="660" t="s">
        <v>610</v>
      </c>
      <c r="DV168" s="777">
        <f t="shared" si="316"/>
        <v>6</v>
      </c>
      <c r="DW168" s="777">
        <f t="shared" si="316"/>
        <v>-67</v>
      </c>
      <c r="DX168" s="777">
        <f t="shared" si="316"/>
        <v>-27</v>
      </c>
      <c r="DY168" s="777">
        <f t="shared" si="316"/>
        <v>0</v>
      </c>
      <c r="DZ168" s="777">
        <f t="shared" si="316"/>
        <v>0</v>
      </c>
      <c r="EA168" s="777">
        <f t="shared" si="316"/>
        <v>0</v>
      </c>
      <c r="EB168" s="777">
        <f t="shared" si="316"/>
        <v>0</v>
      </c>
      <c r="EC168" s="777">
        <f t="shared" si="316"/>
        <v>0</v>
      </c>
      <c r="ED168" s="777">
        <f t="shared" si="316"/>
        <v>0</v>
      </c>
      <c r="EE168" s="777">
        <f t="shared" si="316"/>
        <v>-94</v>
      </c>
      <c r="EF168" s="777">
        <f t="shared" si="316"/>
        <v>0</v>
      </c>
      <c r="EG168" s="777">
        <f t="shared" si="316"/>
        <v>0</v>
      </c>
      <c r="EH168" s="777">
        <f t="shared" si="316"/>
        <v>0</v>
      </c>
      <c r="EI168" s="777">
        <f t="shared" si="316"/>
        <v>-99.399999999999991</v>
      </c>
      <c r="EJ168" s="777">
        <f t="shared" si="316"/>
        <v>-99.399999999999991</v>
      </c>
      <c r="EK168" s="777">
        <f t="shared" si="316"/>
        <v>0</v>
      </c>
      <c r="EL168" s="777">
        <f t="shared" si="317"/>
        <v>-100</v>
      </c>
      <c r="EM168" s="777">
        <f t="shared" si="317"/>
        <v>100</v>
      </c>
      <c r="EN168" s="777">
        <f t="shared" si="317"/>
        <v>0</v>
      </c>
      <c r="EO168" s="777">
        <f t="shared" si="317"/>
        <v>0</v>
      </c>
      <c r="EP168" s="777">
        <f t="shared" si="317"/>
        <v>0</v>
      </c>
      <c r="EQ168" s="777">
        <f t="shared" si="317"/>
        <v>0</v>
      </c>
      <c r="ER168" s="777">
        <f t="shared" si="317"/>
        <v>0</v>
      </c>
      <c r="ES168" s="777">
        <f t="shared" si="317"/>
        <v>0</v>
      </c>
      <c r="ET168" s="777">
        <f t="shared" si="317"/>
        <v>0</v>
      </c>
      <c r="EU168" s="777">
        <f t="shared" si="317"/>
        <v>0</v>
      </c>
      <c r="EV168" s="777">
        <f t="shared" si="317"/>
        <v>0</v>
      </c>
    </row>
    <row r="169" spans="1:152" ht="31.2" customHeight="1">
      <c r="A169" s="659">
        <v>50</v>
      </c>
      <c r="B169" s="660" t="s">
        <v>611</v>
      </c>
      <c r="C169" s="661">
        <f t="shared" si="313"/>
        <v>47</v>
      </c>
      <c r="D169" s="661">
        <f>E169+F169</f>
        <v>42</v>
      </c>
      <c r="E169" s="661">
        <v>42</v>
      </c>
      <c r="F169" s="661"/>
      <c r="G169" s="661">
        <v>42</v>
      </c>
      <c r="H169" s="661"/>
      <c r="I169" s="661">
        <v>5</v>
      </c>
      <c r="J169" s="661">
        <v>5</v>
      </c>
      <c r="K169" s="646">
        <f t="shared" si="272"/>
        <v>7330</v>
      </c>
      <c r="L169" s="662">
        <f>U169+AC169+AD169+AE169</f>
        <v>7380</v>
      </c>
      <c r="M169" s="666">
        <f>4510-59</f>
        <v>4451</v>
      </c>
      <c r="N169" s="666">
        <f>924-25</f>
        <v>899</v>
      </c>
      <c r="O169" s="666">
        <v>151</v>
      </c>
      <c r="P169" s="666"/>
      <c r="Q169" s="666"/>
      <c r="R169" s="666"/>
      <c r="S169" s="666">
        <v>118</v>
      </c>
      <c r="T169" s="666">
        <f>ROUND((Q169+R169+S169),0)</f>
        <v>118</v>
      </c>
      <c r="U169" s="666">
        <f>(M169+N169+O169+P169)-T169</f>
        <v>5383</v>
      </c>
      <c r="V169" s="666">
        <v>1090</v>
      </c>
      <c r="W169" s="666">
        <v>975</v>
      </c>
      <c r="X169" s="666"/>
      <c r="Y169" s="666">
        <f>Z169-BM169</f>
        <v>74</v>
      </c>
      <c r="Z169" s="666">
        <f>(V169-50)*10%</f>
        <v>104</v>
      </c>
      <c r="AA169" s="666">
        <v>44</v>
      </c>
      <c r="AB169" s="666">
        <f>ROUND((Y169+AA169+X169),0)</f>
        <v>118</v>
      </c>
      <c r="AC169" s="666">
        <f>(V169+W169)-AB169</f>
        <v>1947</v>
      </c>
      <c r="AD169" s="666">
        <v>50</v>
      </c>
      <c r="AE169" s="666"/>
      <c r="AF169" s="666"/>
      <c r="AG169" s="666"/>
      <c r="AH169" s="666">
        <v>75</v>
      </c>
      <c r="AI169" s="666">
        <v>323</v>
      </c>
      <c r="AJ169" s="666"/>
      <c r="AK169" s="666"/>
      <c r="AL169" s="664"/>
      <c r="AN169" s="610"/>
      <c r="AO169" s="659">
        <v>55</v>
      </c>
      <c r="AP169" s="660" t="s">
        <v>611</v>
      </c>
      <c r="AQ169" s="661">
        <f t="shared" si="314"/>
        <v>49</v>
      </c>
      <c r="AR169" s="661">
        <f>AS169+AT169</f>
        <v>44</v>
      </c>
      <c r="AS169" s="661">
        <v>44</v>
      </c>
      <c r="AT169" s="661"/>
      <c r="AU169" s="661">
        <v>43</v>
      </c>
      <c r="AV169" s="661"/>
      <c r="AW169" s="661">
        <v>5</v>
      </c>
      <c r="AX169" s="661">
        <v>5</v>
      </c>
      <c r="AY169" s="666">
        <f>BG169+BN169+BO169+BP169</f>
        <v>6169</v>
      </c>
      <c r="AZ169" s="670">
        <f>3890+231</f>
        <v>4121</v>
      </c>
      <c r="BA169" s="666">
        <f>1100-184</f>
        <v>916</v>
      </c>
      <c r="BB169" s="666">
        <v>184</v>
      </c>
      <c r="BC169" s="666"/>
      <c r="BD169" s="666"/>
      <c r="BE169" s="666">
        <f t="shared" si="315"/>
        <v>110</v>
      </c>
      <c r="BF169" s="667">
        <f>ROUND(BE169,0)</f>
        <v>110</v>
      </c>
      <c r="BG169" s="666">
        <f>(AZ169+BA169+BB169+BC169)-BF169</f>
        <v>5111</v>
      </c>
      <c r="BH169" s="666">
        <v>297</v>
      </c>
      <c r="BI169" s="666"/>
      <c r="BJ169" s="666">
        <v>241</v>
      </c>
      <c r="BK169" s="666"/>
      <c r="BL169" s="666">
        <f>BH169*10%</f>
        <v>29.700000000000003</v>
      </c>
      <c r="BM169" s="667">
        <f>ROUND(BL169,0)</f>
        <v>30</v>
      </c>
      <c r="BN169" s="666">
        <f>(BH169+BI169+BJ169)-BM169</f>
        <v>508</v>
      </c>
      <c r="BO169" s="666">
        <v>50</v>
      </c>
      <c r="BP169" s="666">
        <v>500</v>
      </c>
      <c r="BQ169" s="666"/>
      <c r="BR169" s="666"/>
      <c r="BS169" s="666">
        <v>75</v>
      </c>
      <c r="BT169" s="666">
        <v>323</v>
      </c>
      <c r="BU169" s="666"/>
      <c r="BV169" s="666"/>
      <c r="BW169" s="662"/>
      <c r="CA169" s="1352">
        <v>52</v>
      </c>
      <c r="CB169" s="1352" t="s">
        <v>611</v>
      </c>
      <c r="CC169" s="1352">
        <v>48</v>
      </c>
      <c r="CD169" s="1352">
        <v>43</v>
      </c>
      <c r="CE169" s="1352">
        <v>43</v>
      </c>
      <c r="CF169" s="1352"/>
      <c r="CG169" s="1352">
        <v>42</v>
      </c>
      <c r="CH169" s="1352"/>
      <c r="CI169" s="1352">
        <v>5</v>
      </c>
      <c r="CJ169" s="1352">
        <v>5</v>
      </c>
      <c r="CK169" s="1353">
        <v>7464</v>
      </c>
      <c r="CL169" s="1353">
        <v>4510</v>
      </c>
      <c r="CM169" s="1354">
        <v>924</v>
      </c>
      <c r="CN169" s="1354">
        <v>151</v>
      </c>
      <c r="CO169" s="1354"/>
      <c r="CP169" s="1354"/>
      <c r="CQ169" s="1354"/>
      <c r="CR169" s="1354">
        <v>118</v>
      </c>
      <c r="CS169" s="1354">
        <v>118</v>
      </c>
      <c r="CT169" s="1353">
        <v>5467</v>
      </c>
      <c r="CU169" s="1353">
        <v>1090</v>
      </c>
      <c r="CV169" s="1353">
        <v>975</v>
      </c>
      <c r="CW169" s="1353"/>
      <c r="CX169" s="1353">
        <v>74</v>
      </c>
      <c r="CY169" s="1353">
        <v>104</v>
      </c>
      <c r="CZ169" s="1353">
        <v>44</v>
      </c>
      <c r="DA169" s="1353">
        <v>118</v>
      </c>
      <c r="DB169" s="1353">
        <v>1947</v>
      </c>
      <c r="DC169" s="1353">
        <v>50</v>
      </c>
      <c r="DD169" s="1353"/>
      <c r="DE169" s="1353"/>
      <c r="DF169" s="1353"/>
      <c r="DG169" s="1353"/>
      <c r="DH169" s="1353"/>
      <c r="DI169" s="1353"/>
      <c r="DJ169" s="1353"/>
      <c r="DK169" s="1353"/>
      <c r="DT169" s="659">
        <v>52</v>
      </c>
      <c r="DU169" s="660" t="s">
        <v>611</v>
      </c>
      <c r="DV169" s="777">
        <f t="shared" si="316"/>
        <v>-84</v>
      </c>
      <c r="DW169" s="777">
        <f t="shared" si="316"/>
        <v>-59</v>
      </c>
      <c r="DX169" s="777">
        <f t="shared" si="316"/>
        <v>-25</v>
      </c>
      <c r="DY169" s="777">
        <f t="shared" si="316"/>
        <v>0</v>
      </c>
      <c r="DZ169" s="777">
        <f t="shared" si="316"/>
        <v>0</v>
      </c>
      <c r="EA169" s="777">
        <f t="shared" si="316"/>
        <v>0</v>
      </c>
      <c r="EB169" s="777">
        <f t="shared" si="316"/>
        <v>0</v>
      </c>
      <c r="EC169" s="777">
        <f t="shared" si="316"/>
        <v>0</v>
      </c>
      <c r="ED169" s="777">
        <f t="shared" si="316"/>
        <v>0</v>
      </c>
      <c r="EE169" s="777">
        <f t="shared" si="316"/>
        <v>-84</v>
      </c>
      <c r="EF169" s="777">
        <f t="shared" si="316"/>
        <v>0</v>
      </c>
      <c r="EG169" s="777">
        <f t="shared" si="316"/>
        <v>0</v>
      </c>
      <c r="EH169" s="777">
        <f t="shared" si="316"/>
        <v>0</v>
      </c>
      <c r="EI169" s="777">
        <f t="shared" si="316"/>
        <v>0</v>
      </c>
      <c r="EJ169" s="777">
        <f t="shared" si="316"/>
        <v>0</v>
      </c>
      <c r="EK169" s="777">
        <f t="shared" si="316"/>
        <v>0</v>
      </c>
      <c r="EL169" s="777">
        <f t="shared" si="317"/>
        <v>0</v>
      </c>
      <c r="EM169" s="777">
        <f t="shared" si="317"/>
        <v>0</v>
      </c>
      <c r="EN169" s="777">
        <f t="shared" si="317"/>
        <v>0</v>
      </c>
      <c r="EO169" s="777">
        <f t="shared" si="317"/>
        <v>0</v>
      </c>
      <c r="EP169" s="777">
        <f t="shared" si="317"/>
        <v>0</v>
      </c>
      <c r="EQ169" s="777">
        <f t="shared" si="317"/>
        <v>0</v>
      </c>
      <c r="ER169" s="777">
        <f t="shared" si="317"/>
        <v>75</v>
      </c>
      <c r="ES169" s="777">
        <f t="shared" si="317"/>
        <v>323</v>
      </c>
      <c r="ET169" s="777">
        <f t="shared" si="317"/>
        <v>0</v>
      </c>
      <c r="EU169" s="777">
        <f t="shared" si="317"/>
        <v>0</v>
      </c>
      <c r="EV169" s="777">
        <f t="shared" si="317"/>
        <v>0</v>
      </c>
    </row>
    <row r="170" spans="1:152" ht="23.25" customHeight="1">
      <c r="A170" s="659">
        <v>51</v>
      </c>
      <c r="B170" s="660" t="s">
        <v>612</v>
      </c>
      <c r="C170" s="661">
        <f t="shared" ref="C170:AM170" si="318">C171+C172</f>
        <v>39</v>
      </c>
      <c r="D170" s="661">
        <f t="shared" si="318"/>
        <v>36</v>
      </c>
      <c r="E170" s="661">
        <f t="shared" si="318"/>
        <v>36</v>
      </c>
      <c r="F170" s="661">
        <f t="shared" si="318"/>
        <v>0</v>
      </c>
      <c r="G170" s="661">
        <f t="shared" si="318"/>
        <v>30</v>
      </c>
      <c r="H170" s="661">
        <f t="shared" si="318"/>
        <v>0</v>
      </c>
      <c r="I170" s="661">
        <f t="shared" si="318"/>
        <v>3</v>
      </c>
      <c r="J170" s="661">
        <f t="shared" si="318"/>
        <v>3</v>
      </c>
      <c r="K170" s="646">
        <f t="shared" si="272"/>
        <v>6156</v>
      </c>
      <c r="L170" s="662">
        <f t="shared" si="318"/>
        <v>6457</v>
      </c>
      <c r="M170" s="662">
        <f t="shared" si="318"/>
        <v>3504</v>
      </c>
      <c r="N170" s="662">
        <f t="shared" si="318"/>
        <v>587</v>
      </c>
      <c r="O170" s="662">
        <f t="shared" si="318"/>
        <v>223</v>
      </c>
      <c r="P170" s="662">
        <f t="shared" si="318"/>
        <v>0</v>
      </c>
      <c r="Q170" s="662">
        <f t="shared" si="318"/>
        <v>0</v>
      </c>
      <c r="R170" s="662">
        <f t="shared" si="318"/>
        <v>0</v>
      </c>
      <c r="S170" s="662">
        <f t="shared" si="318"/>
        <v>107</v>
      </c>
      <c r="T170" s="662">
        <f t="shared" si="318"/>
        <v>107</v>
      </c>
      <c r="U170" s="662">
        <f t="shared" si="318"/>
        <v>4207</v>
      </c>
      <c r="V170" s="662">
        <f t="shared" si="318"/>
        <v>1976</v>
      </c>
      <c r="W170" s="662">
        <f t="shared" si="318"/>
        <v>269</v>
      </c>
      <c r="X170" s="662">
        <f t="shared" si="318"/>
        <v>0</v>
      </c>
      <c r="Y170" s="662">
        <f t="shared" si="318"/>
        <v>0</v>
      </c>
      <c r="Z170" s="662">
        <f t="shared" si="318"/>
        <v>197.60000000000002</v>
      </c>
      <c r="AA170" s="662">
        <f t="shared" si="318"/>
        <v>296</v>
      </c>
      <c r="AB170" s="662">
        <f t="shared" si="318"/>
        <v>296</v>
      </c>
      <c r="AC170" s="662">
        <f t="shared" si="318"/>
        <v>1949</v>
      </c>
      <c r="AD170" s="662">
        <f t="shared" si="318"/>
        <v>301</v>
      </c>
      <c r="AE170" s="662">
        <f t="shared" si="318"/>
        <v>0</v>
      </c>
      <c r="AF170" s="662">
        <f t="shared" si="318"/>
        <v>0</v>
      </c>
      <c r="AG170" s="662">
        <f t="shared" si="318"/>
        <v>93</v>
      </c>
      <c r="AH170" s="662">
        <f t="shared" si="318"/>
        <v>0</v>
      </c>
      <c r="AI170" s="662">
        <f t="shared" si="318"/>
        <v>50</v>
      </c>
      <c r="AJ170" s="662">
        <f t="shared" si="318"/>
        <v>0</v>
      </c>
      <c r="AK170" s="662">
        <f t="shared" si="318"/>
        <v>685</v>
      </c>
      <c r="AL170" s="664">
        <f t="shared" si="318"/>
        <v>0</v>
      </c>
      <c r="AM170" s="662">
        <f t="shared" si="318"/>
        <v>0</v>
      </c>
      <c r="AN170" s="610"/>
      <c r="AO170" s="659">
        <v>56</v>
      </c>
      <c r="AP170" s="660" t="s">
        <v>612</v>
      </c>
      <c r="AQ170" s="661">
        <f t="shared" si="314"/>
        <v>90</v>
      </c>
      <c r="AR170" s="661">
        <f>AR171+AR172</f>
        <v>85</v>
      </c>
      <c r="AS170" s="661">
        <f t="shared" ref="AS170:BW170" si="319">AS171+AS172</f>
        <v>85</v>
      </c>
      <c r="AT170" s="661">
        <f t="shared" si="319"/>
        <v>0</v>
      </c>
      <c r="AU170" s="661">
        <f t="shared" si="319"/>
        <v>79</v>
      </c>
      <c r="AV170" s="661">
        <f t="shared" si="319"/>
        <v>0</v>
      </c>
      <c r="AW170" s="661">
        <f t="shared" si="319"/>
        <v>5</v>
      </c>
      <c r="AX170" s="661">
        <f t="shared" si="319"/>
        <v>4</v>
      </c>
      <c r="AY170" s="662">
        <f t="shared" si="319"/>
        <v>15042</v>
      </c>
      <c r="AZ170" s="665">
        <f t="shared" si="319"/>
        <v>8080</v>
      </c>
      <c r="BA170" s="662">
        <f t="shared" si="319"/>
        <v>1801</v>
      </c>
      <c r="BB170" s="662">
        <f t="shared" si="319"/>
        <v>400</v>
      </c>
      <c r="BC170" s="662">
        <f t="shared" si="319"/>
        <v>0</v>
      </c>
      <c r="BD170" s="662">
        <f t="shared" si="319"/>
        <v>0</v>
      </c>
      <c r="BE170" s="662">
        <f t="shared" si="319"/>
        <v>220.10000000000002</v>
      </c>
      <c r="BF170" s="663">
        <f t="shared" si="319"/>
        <v>221</v>
      </c>
      <c r="BG170" s="662">
        <f t="shared" si="319"/>
        <v>10060</v>
      </c>
      <c r="BH170" s="662">
        <f t="shared" si="319"/>
        <v>4611</v>
      </c>
      <c r="BI170" s="662">
        <f t="shared" si="319"/>
        <v>0</v>
      </c>
      <c r="BJ170" s="662">
        <f t="shared" si="319"/>
        <v>453</v>
      </c>
      <c r="BK170" s="662">
        <f t="shared" si="319"/>
        <v>0</v>
      </c>
      <c r="BL170" s="662">
        <f t="shared" si="319"/>
        <v>441.1</v>
      </c>
      <c r="BM170" s="663">
        <f t="shared" si="319"/>
        <v>441</v>
      </c>
      <c r="BN170" s="662">
        <f t="shared" si="319"/>
        <v>4623</v>
      </c>
      <c r="BO170" s="662">
        <f t="shared" si="319"/>
        <v>359</v>
      </c>
      <c r="BP170" s="662">
        <f t="shared" si="319"/>
        <v>0</v>
      </c>
      <c r="BQ170" s="662">
        <f t="shared" si="319"/>
        <v>0</v>
      </c>
      <c r="BR170" s="662">
        <f t="shared" si="319"/>
        <v>88</v>
      </c>
      <c r="BS170" s="662">
        <f t="shared" si="319"/>
        <v>0</v>
      </c>
      <c r="BT170" s="662">
        <f t="shared" si="319"/>
        <v>5328</v>
      </c>
      <c r="BU170" s="662">
        <f t="shared" si="319"/>
        <v>0</v>
      </c>
      <c r="BV170" s="662">
        <f t="shared" si="319"/>
        <v>0</v>
      </c>
      <c r="BW170" s="662">
        <f t="shared" si="319"/>
        <v>0</v>
      </c>
      <c r="CA170" s="1352">
        <v>53</v>
      </c>
      <c r="CB170" s="1352" t="s">
        <v>612</v>
      </c>
      <c r="CC170" s="1352">
        <v>41</v>
      </c>
      <c r="CD170" s="1352">
        <v>38</v>
      </c>
      <c r="CE170" s="1352">
        <v>38</v>
      </c>
      <c r="CF170" s="1352">
        <v>0</v>
      </c>
      <c r="CG170" s="1352">
        <v>30</v>
      </c>
      <c r="CH170" s="1352">
        <v>0</v>
      </c>
      <c r="CI170" s="1352">
        <v>3</v>
      </c>
      <c r="CJ170" s="1352">
        <v>3</v>
      </c>
      <c r="CK170" s="1353">
        <v>6788</v>
      </c>
      <c r="CL170" s="1353">
        <v>3619</v>
      </c>
      <c r="CM170" s="1354">
        <v>803</v>
      </c>
      <c r="CN170" s="1354">
        <v>223</v>
      </c>
      <c r="CO170" s="1354">
        <v>0</v>
      </c>
      <c r="CP170" s="1354">
        <v>0</v>
      </c>
      <c r="CQ170" s="1354">
        <v>0</v>
      </c>
      <c r="CR170" s="1354">
        <v>107</v>
      </c>
      <c r="CS170" s="1354">
        <v>107</v>
      </c>
      <c r="CT170" s="1353">
        <v>4538</v>
      </c>
      <c r="CU170" s="1353">
        <v>1976</v>
      </c>
      <c r="CV170" s="1353">
        <v>269</v>
      </c>
      <c r="CW170" s="1353">
        <v>0</v>
      </c>
      <c r="CX170" s="1353">
        <v>0</v>
      </c>
      <c r="CY170" s="1353">
        <v>197.60000000000002</v>
      </c>
      <c r="CZ170" s="1353">
        <v>296</v>
      </c>
      <c r="DA170" s="1353">
        <v>296</v>
      </c>
      <c r="DB170" s="1353">
        <v>1949</v>
      </c>
      <c r="DC170" s="1353">
        <v>301</v>
      </c>
      <c r="DD170" s="1353">
        <v>0</v>
      </c>
      <c r="DE170" s="1353">
        <v>0</v>
      </c>
      <c r="DF170" s="1353">
        <v>93</v>
      </c>
      <c r="DG170" s="1353">
        <v>0</v>
      </c>
      <c r="DH170" s="1353">
        <v>50</v>
      </c>
      <c r="DI170" s="1353">
        <v>0</v>
      </c>
      <c r="DJ170" s="1353">
        <v>0</v>
      </c>
      <c r="DK170" s="1353">
        <v>0</v>
      </c>
      <c r="DT170" s="659">
        <v>53</v>
      </c>
      <c r="DU170" s="660" t="s">
        <v>612</v>
      </c>
      <c r="DV170" s="777">
        <f>DV171+DV172</f>
        <v>-331</v>
      </c>
      <c r="DW170" s="777">
        <f t="shared" ref="DW170:EV170" si="320">DW171+DW172</f>
        <v>-115</v>
      </c>
      <c r="DX170" s="777">
        <f t="shared" si="320"/>
        <v>-216</v>
      </c>
      <c r="DY170" s="777">
        <f t="shared" si="320"/>
        <v>0</v>
      </c>
      <c r="DZ170" s="777">
        <f t="shared" si="320"/>
        <v>0</v>
      </c>
      <c r="EA170" s="777">
        <f t="shared" si="320"/>
        <v>0</v>
      </c>
      <c r="EB170" s="777">
        <f t="shared" si="320"/>
        <v>0</v>
      </c>
      <c r="EC170" s="777">
        <f t="shared" si="320"/>
        <v>0</v>
      </c>
      <c r="ED170" s="777">
        <f t="shared" si="320"/>
        <v>0</v>
      </c>
      <c r="EE170" s="777">
        <f t="shared" si="320"/>
        <v>-331</v>
      </c>
      <c r="EF170" s="777">
        <f t="shared" si="320"/>
        <v>0</v>
      </c>
      <c r="EG170" s="777">
        <f t="shared" si="320"/>
        <v>0</v>
      </c>
      <c r="EH170" s="777">
        <f t="shared" si="320"/>
        <v>0</v>
      </c>
      <c r="EI170" s="777">
        <f t="shared" si="320"/>
        <v>0</v>
      </c>
      <c r="EJ170" s="777">
        <f t="shared" si="320"/>
        <v>0</v>
      </c>
      <c r="EK170" s="777">
        <f t="shared" si="320"/>
        <v>0</v>
      </c>
      <c r="EL170" s="777">
        <f t="shared" si="320"/>
        <v>0</v>
      </c>
      <c r="EM170" s="777">
        <f t="shared" si="320"/>
        <v>0</v>
      </c>
      <c r="EN170" s="777">
        <f t="shared" si="320"/>
        <v>0</v>
      </c>
      <c r="EO170" s="777">
        <f t="shared" si="320"/>
        <v>0</v>
      </c>
      <c r="EP170" s="777">
        <f t="shared" si="320"/>
        <v>0</v>
      </c>
      <c r="EQ170" s="777">
        <f t="shared" si="320"/>
        <v>0</v>
      </c>
      <c r="ER170" s="777">
        <f t="shared" si="320"/>
        <v>0</v>
      </c>
      <c r="ES170" s="777">
        <f t="shared" si="320"/>
        <v>0</v>
      </c>
      <c r="ET170" s="777">
        <f t="shared" si="320"/>
        <v>0</v>
      </c>
      <c r="EU170" s="777">
        <f t="shared" si="320"/>
        <v>685</v>
      </c>
      <c r="EV170" s="777">
        <f t="shared" si="320"/>
        <v>0</v>
      </c>
    </row>
    <row r="171" spans="1:152" ht="23.25" hidden="1" customHeight="1">
      <c r="A171" s="659"/>
      <c r="B171" s="660" t="s">
        <v>613</v>
      </c>
      <c r="C171" s="661">
        <f t="shared" si="313"/>
        <v>39</v>
      </c>
      <c r="D171" s="661">
        <f>E171+F171</f>
        <v>36</v>
      </c>
      <c r="E171" s="661">
        <v>36</v>
      </c>
      <c r="F171" s="661"/>
      <c r="G171" s="661">
        <v>30</v>
      </c>
      <c r="H171" s="661"/>
      <c r="I171" s="661">
        <v>3</v>
      </c>
      <c r="J171" s="661">
        <v>3</v>
      </c>
      <c r="K171" s="646">
        <f t="shared" si="272"/>
        <v>6156</v>
      </c>
      <c r="L171" s="662">
        <f>U171+AC171+AD171+AE171</f>
        <v>6457</v>
      </c>
      <c r="M171" s="662">
        <v>3504</v>
      </c>
      <c r="N171" s="662">
        <f>803-216</f>
        <v>587</v>
      </c>
      <c r="O171" s="662">
        <v>223</v>
      </c>
      <c r="P171" s="662"/>
      <c r="Q171" s="662"/>
      <c r="R171" s="666"/>
      <c r="S171" s="666">
        <v>107</v>
      </c>
      <c r="T171" s="666">
        <f>ROUND((Q171+R171+S171),0)</f>
        <v>107</v>
      </c>
      <c r="U171" s="666">
        <f>(M171+N171+O171+P171)-T171</f>
        <v>4207</v>
      </c>
      <c r="V171" s="662">
        <v>1976</v>
      </c>
      <c r="W171" s="662">
        <v>269</v>
      </c>
      <c r="X171" s="662"/>
      <c r="Y171" s="666"/>
      <c r="Z171" s="666">
        <f>V171*10%</f>
        <v>197.60000000000002</v>
      </c>
      <c r="AA171" s="666">
        <v>296</v>
      </c>
      <c r="AB171" s="666">
        <f>ROUND((Y171+AA171+X171),0)</f>
        <v>296</v>
      </c>
      <c r="AC171" s="666">
        <f>(V171+W171)-AB171</f>
        <v>1949</v>
      </c>
      <c r="AD171" s="662">
        <v>301</v>
      </c>
      <c r="AE171" s="662"/>
      <c r="AF171" s="662"/>
      <c r="AG171" s="662">
        <v>93</v>
      </c>
      <c r="AH171" s="662"/>
      <c r="AI171" s="662">
        <v>50</v>
      </c>
      <c r="AJ171" s="662"/>
      <c r="AK171" s="662">
        <v>685</v>
      </c>
      <c r="AL171" s="664"/>
      <c r="AN171" s="610"/>
      <c r="AO171" s="659"/>
      <c r="AP171" s="660" t="s">
        <v>613</v>
      </c>
      <c r="AQ171" s="661">
        <f t="shared" si="314"/>
        <v>41</v>
      </c>
      <c r="AR171" s="661">
        <f>AS171+AT171</f>
        <v>38</v>
      </c>
      <c r="AS171" s="661">
        <v>38</v>
      </c>
      <c r="AT171" s="661"/>
      <c r="AU171" s="661">
        <v>33</v>
      </c>
      <c r="AV171" s="661"/>
      <c r="AW171" s="661">
        <v>3</v>
      </c>
      <c r="AX171" s="661">
        <v>3</v>
      </c>
      <c r="AY171" s="662">
        <f>BG171+BN171+BO171+BP171</f>
        <v>7304</v>
      </c>
      <c r="AZ171" s="665">
        <v>3628</v>
      </c>
      <c r="BA171" s="662">
        <v>1026</v>
      </c>
      <c r="BB171" s="662"/>
      <c r="BC171" s="662"/>
      <c r="BD171" s="662"/>
      <c r="BE171" s="666">
        <f>(BA171+BB171)*10%</f>
        <v>102.60000000000001</v>
      </c>
      <c r="BF171" s="667">
        <f>ROUND(BE171,0)</f>
        <v>103</v>
      </c>
      <c r="BG171" s="666">
        <f>(AZ171+BA171+BB171+BC171)-BF171</f>
        <v>4551</v>
      </c>
      <c r="BH171" s="662">
        <v>2509</v>
      </c>
      <c r="BI171" s="662"/>
      <c r="BJ171" s="662">
        <v>245</v>
      </c>
      <c r="BK171" s="662"/>
      <c r="BL171" s="666">
        <f>BH171*10%</f>
        <v>250.9</v>
      </c>
      <c r="BM171" s="667">
        <f>ROUND(BL171,0)</f>
        <v>251</v>
      </c>
      <c r="BN171" s="666">
        <f>(BH171+BI171+BJ171)-BM171</f>
        <v>2503</v>
      </c>
      <c r="BO171" s="662">
        <v>250</v>
      </c>
      <c r="BP171" s="662"/>
      <c r="BQ171" s="662"/>
      <c r="BR171" s="662">
        <v>88</v>
      </c>
      <c r="BS171" s="662"/>
      <c r="BT171" s="662">
        <v>80</v>
      </c>
      <c r="BU171" s="662"/>
      <c r="BV171" s="662"/>
      <c r="BW171" s="662"/>
      <c r="CA171" s="1352"/>
      <c r="CB171" s="1352" t="s">
        <v>613</v>
      </c>
      <c r="CC171" s="1352">
        <v>41</v>
      </c>
      <c r="CD171" s="1352">
        <v>38</v>
      </c>
      <c r="CE171" s="1352">
        <v>38</v>
      </c>
      <c r="CF171" s="1352"/>
      <c r="CG171" s="1352">
        <v>30</v>
      </c>
      <c r="CH171" s="1352"/>
      <c r="CI171" s="1352">
        <v>3</v>
      </c>
      <c r="CJ171" s="1352">
        <v>3</v>
      </c>
      <c r="CK171" s="1353">
        <v>6788</v>
      </c>
      <c r="CL171" s="1353">
        <v>3619</v>
      </c>
      <c r="CM171" s="1354">
        <v>803</v>
      </c>
      <c r="CN171" s="1354">
        <v>223</v>
      </c>
      <c r="CO171" s="1354"/>
      <c r="CP171" s="1354"/>
      <c r="CQ171" s="1354">
        <v>0</v>
      </c>
      <c r="CR171" s="1354">
        <v>107</v>
      </c>
      <c r="CS171" s="1354">
        <v>107</v>
      </c>
      <c r="CT171" s="1353">
        <v>4538</v>
      </c>
      <c r="CU171" s="1353">
        <v>1976</v>
      </c>
      <c r="CV171" s="1353">
        <v>269</v>
      </c>
      <c r="CW171" s="1353"/>
      <c r="CX171" s="1353"/>
      <c r="CY171" s="1353">
        <v>197.60000000000002</v>
      </c>
      <c r="CZ171" s="1353">
        <v>296</v>
      </c>
      <c r="DA171" s="1353">
        <v>296</v>
      </c>
      <c r="DB171" s="1353">
        <v>1949</v>
      </c>
      <c r="DC171" s="1353">
        <v>301</v>
      </c>
      <c r="DD171" s="1353"/>
      <c r="DE171" s="1353"/>
      <c r="DF171" s="1353">
        <v>93</v>
      </c>
      <c r="DG171" s="1353"/>
      <c r="DH171" s="1353">
        <v>50</v>
      </c>
      <c r="DI171" s="1353"/>
      <c r="DJ171" s="1353"/>
      <c r="DK171" s="1353"/>
      <c r="DT171" s="659"/>
      <c r="DU171" s="660" t="s">
        <v>613</v>
      </c>
      <c r="DV171" s="777">
        <f t="shared" ref="DV171:EK172" si="321">L171-CK171</f>
        <v>-331</v>
      </c>
      <c r="DW171" s="777">
        <f t="shared" si="321"/>
        <v>-115</v>
      </c>
      <c r="DX171" s="777">
        <f t="shared" si="321"/>
        <v>-216</v>
      </c>
      <c r="DY171" s="777">
        <f t="shared" si="321"/>
        <v>0</v>
      </c>
      <c r="DZ171" s="777">
        <f t="shared" si="321"/>
        <v>0</v>
      </c>
      <c r="EA171" s="777">
        <f t="shared" si="321"/>
        <v>0</v>
      </c>
      <c r="EB171" s="777">
        <f t="shared" si="321"/>
        <v>0</v>
      </c>
      <c r="EC171" s="777">
        <f t="shared" si="321"/>
        <v>0</v>
      </c>
      <c r="ED171" s="777">
        <f t="shared" si="321"/>
        <v>0</v>
      </c>
      <c r="EE171" s="777">
        <f t="shared" si="321"/>
        <v>-331</v>
      </c>
      <c r="EF171" s="777">
        <f t="shared" si="321"/>
        <v>0</v>
      </c>
      <c r="EG171" s="777">
        <f t="shared" si="321"/>
        <v>0</v>
      </c>
      <c r="EH171" s="777">
        <f t="shared" si="321"/>
        <v>0</v>
      </c>
      <c r="EI171" s="777">
        <f t="shared" si="321"/>
        <v>0</v>
      </c>
      <c r="EJ171" s="777">
        <f t="shared" si="321"/>
        <v>0</v>
      </c>
      <c r="EK171" s="777">
        <f t="shared" si="321"/>
        <v>0</v>
      </c>
      <c r="EL171" s="777">
        <f t="shared" ref="EL171:EV172" si="322">AB171-DA171</f>
        <v>0</v>
      </c>
      <c r="EM171" s="777">
        <f t="shared" si="322"/>
        <v>0</v>
      </c>
      <c r="EN171" s="777">
        <f t="shared" si="322"/>
        <v>0</v>
      </c>
      <c r="EO171" s="777">
        <f t="shared" si="322"/>
        <v>0</v>
      </c>
      <c r="EP171" s="777">
        <f t="shared" si="322"/>
        <v>0</v>
      </c>
      <c r="EQ171" s="777">
        <f t="shared" si="322"/>
        <v>0</v>
      </c>
      <c r="ER171" s="777">
        <f t="shared" si="322"/>
        <v>0</v>
      </c>
      <c r="ES171" s="777">
        <f t="shared" si="322"/>
        <v>0</v>
      </c>
      <c r="ET171" s="777">
        <f t="shared" si="322"/>
        <v>0</v>
      </c>
      <c r="EU171" s="777">
        <f t="shared" si="322"/>
        <v>685</v>
      </c>
      <c r="EV171" s="777">
        <f t="shared" si="322"/>
        <v>0</v>
      </c>
    </row>
    <row r="172" spans="1:152" ht="23.25" hidden="1" customHeight="1">
      <c r="A172" s="659"/>
      <c r="B172" s="660" t="s">
        <v>614</v>
      </c>
      <c r="C172" s="661">
        <f t="shared" si="313"/>
        <v>0</v>
      </c>
      <c r="D172" s="661">
        <f>E172+F172</f>
        <v>0</v>
      </c>
      <c r="E172" s="661"/>
      <c r="F172" s="661"/>
      <c r="G172" s="661"/>
      <c r="H172" s="661"/>
      <c r="I172" s="661"/>
      <c r="J172" s="661"/>
      <c r="K172" s="646">
        <f t="shared" si="272"/>
        <v>0</v>
      </c>
      <c r="L172" s="662">
        <f>U172+AC172+AD172+AE172</f>
        <v>0</v>
      </c>
      <c r="M172" s="666"/>
      <c r="N172" s="666"/>
      <c r="O172" s="666"/>
      <c r="P172" s="666"/>
      <c r="Q172" s="666"/>
      <c r="R172" s="666"/>
      <c r="S172" s="666"/>
      <c r="T172" s="666">
        <f>ROUND((Q172+R172+S172),0)</f>
        <v>0</v>
      </c>
      <c r="U172" s="666">
        <f>(M172+N172+O172+P172)-T172</f>
        <v>0</v>
      </c>
      <c r="V172" s="666"/>
      <c r="W172" s="666"/>
      <c r="X172" s="666"/>
      <c r="Y172" s="666"/>
      <c r="Z172" s="666">
        <f>V172*10%</f>
        <v>0</v>
      </c>
      <c r="AA172" s="666"/>
      <c r="AB172" s="666">
        <f>ROUND((Y172+AA172+X172),0)</f>
        <v>0</v>
      </c>
      <c r="AC172" s="666">
        <f>(V172+W172)-AB172</f>
        <v>0</v>
      </c>
      <c r="AD172" s="666"/>
      <c r="AE172" s="666"/>
      <c r="AF172" s="666"/>
      <c r="AG172" s="666"/>
      <c r="AH172" s="666"/>
      <c r="AI172" s="666"/>
      <c r="AJ172" s="666"/>
      <c r="AK172" s="666"/>
      <c r="AL172" s="664"/>
      <c r="AN172" s="610"/>
      <c r="AO172" s="659"/>
      <c r="AP172" s="660" t="s">
        <v>614</v>
      </c>
      <c r="AQ172" s="661">
        <f t="shared" si="314"/>
        <v>49</v>
      </c>
      <c r="AR172" s="661">
        <f>AS172+AT172</f>
        <v>47</v>
      </c>
      <c r="AS172" s="661">
        <v>47</v>
      </c>
      <c r="AT172" s="661"/>
      <c r="AU172" s="661">
        <v>46</v>
      </c>
      <c r="AV172" s="661"/>
      <c r="AW172" s="661">
        <v>2</v>
      </c>
      <c r="AX172" s="661">
        <v>1</v>
      </c>
      <c r="AY172" s="666">
        <f>BG172+BN172+BO172+BP172</f>
        <v>7738</v>
      </c>
      <c r="AZ172" s="670">
        <f>4386+66</f>
        <v>4452</v>
      </c>
      <c r="BA172" s="666">
        <f>1175-400</f>
        <v>775</v>
      </c>
      <c r="BB172" s="666">
        <v>400</v>
      </c>
      <c r="BC172" s="666"/>
      <c r="BD172" s="666"/>
      <c r="BE172" s="666">
        <f>(BA172+BB172)*10%</f>
        <v>117.5</v>
      </c>
      <c r="BF172" s="667">
        <f>ROUND(BE172,0)</f>
        <v>118</v>
      </c>
      <c r="BG172" s="666">
        <f>(AZ172+BA172+BB172+BC172)-BF172</f>
        <v>5509</v>
      </c>
      <c r="BH172" s="666">
        <v>2102</v>
      </c>
      <c r="BI172" s="666"/>
      <c r="BJ172" s="666">
        <v>208</v>
      </c>
      <c r="BK172" s="666"/>
      <c r="BL172" s="666">
        <f>(BH172-200)*10%</f>
        <v>190.20000000000002</v>
      </c>
      <c r="BM172" s="667">
        <f>ROUND(BL172,0)</f>
        <v>190</v>
      </c>
      <c r="BN172" s="666">
        <f>(BH172+BI172+BJ172)-BM172</f>
        <v>2120</v>
      </c>
      <c r="BO172" s="666">
        <v>109</v>
      </c>
      <c r="BP172" s="666"/>
      <c r="BQ172" s="666"/>
      <c r="BR172" s="666"/>
      <c r="BS172" s="666"/>
      <c r="BT172" s="666">
        <v>5248</v>
      </c>
      <c r="BU172" s="666"/>
      <c r="BV172" s="666"/>
      <c r="BW172" s="662"/>
      <c r="CA172" s="1352"/>
      <c r="CB172" s="1352" t="s">
        <v>614</v>
      </c>
      <c r="CC172" s="1352">
        <v>0</v>
      </c>
      <c r="CD172" s="1352">
        <v>0</v>
      </c>
      <c r="CE172" s="1352"/>
      <c r="CF172" s="1352"/>
      <c r="CG172" s="1352"/>
      <c r="CH172" s="1352"/>
      <c r="CI172" s="1352"/>
      <c r="CJ172" s="1352"/>
      <c r="CK172" s="1353">
        <v>0</v>
      </c>
      <c r="CL172" s="1353"/>
      <c r="CM172" s="1354"/>
      <c r="CN172" s="1354"/>
      <c r="CO172" s="1354"/>
      <c r="CP172" s="1354"/>
      <c r="CQ172" s="1354"/>
      <c r="CR172" s="1354"/>
      <c r="CS172" s="1354">
        <v>0</v>
      </c>
      <c r="CT172" s="1353">
        <v>0</v>
      </c>
      <c r="CU172" s="1353"/>
      <c r="CV172" s="1353"/>
      <c r="CW172" s="1353"/>
      <c r="CX172" s="1353"/>
      <c r="CY172" s="1353">
        <v>0</v>
      </c>
      <c r="CZ172" s="1353"/>
      <c r="DA172" s="1353">
        <v>0</v>
      </c>
      <c r="DB172" s="1353">
        <v>0</v>
      </c>
      <c r="DC172" s="1353"/>
      <c r="DD172" s="1353"/>
      <c r="DE172" s="1353"/>
      <c r="DF172" s="1353"/>
      <c r="DG172" s="1353"/>
      <c r="DH172" s="1353"/>
      <c r="DI172" s="1353"/>
      <c r="DJ172" s="1353"/>
      <c r="DK172" s="1353"/>
      <c r="DT172" s="659"/>
      <c r="DU172" s="660" t="s">
        <v>614</v>
      </c>
      <c r="DV172" s="777">
        <f t="shared" si="321"/>
        <v>0</v>
      </c>
      <c r="DW172" s="777">
        <f t="shared" si="321"/>
        <v>0</v>
      </c>
      <c r="DX172" s="777">
        <f t="shared" si="321"/>
        <v>0</v>
      </c>
      <c r="DY172" s="777">
        <f t="shared" si="321"/>
        <v>0</v>
      </c>
      <c r="DZ172" s="777">
        <f t="shared" si="321"/>
        <v>0</v>
      </c>
      <c r="EA172" s="777">
        <f t="shared" si="321"/>
        <v>0</v>
      </c>
      <c r="EB172" s="777">
        <f t="shared" si="321"/>
        <v>0</v>
      </c>
      <c r="EC172" s="777">
        <f t="shared" si="321"/>
        <v>0</v>
      </c>
      <c r="ED172" s="777">
        <f t="shared" si="321"/>
        <v>0</v>
      </c>
      <c r="EE172" s="777">
        <f t="shared" si="321"/>
        <v>0</v>
      </c>
      <c r="EF172" s="777">
        <f t="shared" si="321"/>
        <v>0</v>
      </c>
      <c r="EG172" s="777">
        <f t="shared" si="321"/>
        <v>0</v>
      </c>
      <c r="EH172" s="777">
        <f t="shared" si="321"/>
        <v>0</v>
      </c>
      <c r="EI172" s="777">
        <f t="shared" si="321"/>
        <v>0</v>
      </c>
      <c r="EJ172" s="777">
        <f t="shared" si="321"/>
        <v>0</v>
      </c>
      <c r="EK172" s="777">
        <f t="shared" si="321"/>
        <v>0</v>
      </c>
      <c r="EL172" s="777">
        <f t="shared" si="322"/>
        <v>0</v>
      </c>
      <c r="EM172" s="777">
        <f t="shared" si="322"/>
        <v>0</v>
      </c>
      <c r="EN172" s="777">
        <f t="shared" si="322"/>
        <v>0</v>
      </c>
      <c r="EO172" s="777">
        <f t="shared" si="322"/>
        <v>0</v>
      </c>
      <c r="EP172" s="777">
        <f t="shared" si="322"/>
        <v>0</v>
      </c>
      <c r="EQ172" s="777">
        <f t="shared" si="322"/>
        <v>0</v>
      </c>
      <c r="ER172" s="777">
        <f t="shared" si="322"/>
        <v>0</v>
      </c>
      <c r="ES172" s="777">
        <f t="shared" si="322"/>
        <v>0</v>
      </c>
      <c r="ET172" s="777">
        <f t="shared" si="322"/>
        <v>0</v>
      </c>
      <c r="EU172" s="777">
        <f t="shared" si="322"/>
        <v>0</v>
      </c>
      <c r="EV172" s="777">
        <f t="shared" si="322"/>
        <v>0</v>
      </c>
    </row>
    <row r="173" spans="1:152" ht="23.25" customHeight="1">
      <c r="A173" s="659">
        <v>52</v>
      </c>
      <c r="B173" s="751" t="s">
        <v>615</v>
      </c>
      <c r="C173" s="661">
        <f t="shared" ref="C173:J173" si="323">SUM(C174:C175)</f>
        <v>51</v>
      </c>
      <c r="D173" s="661">
        <f t="shared" si="323"/>
        <v>47</v>
      </c>
      <c r="E173" s="661">
        <f t="shared" si="323"/>
        <v>28</v>
      </c>
      <c r="F173" s="661">
        <f t="shared" si="323"/>
        <v>19</v>
      </c>
      <c r="G173" s="661">
        <f t="shared" si="323"/>
        <v>27</v>
      </c>
      <c r="H173" s="661">
        <f t="shared" si="323"/>
        <v>17</v>
      </c>
      <c r="I173" s="661">
        <f t="shared" si="323"/>
        <v>4</v>
      </c>
      <c r="J173" s="661">
        <f t="shared" si="323"/>
        <v>4</v>
      </c>
      <c r="K173" s="646">
        <f t="shared" si="272"/>
        <v>11180</v>
      </c>
      <c r="L173" s="662">
        <f>SUM(L174:L175)</f>
        <v>11317</v>
      </c>
      <c r="M173" s="666">
        <f t="shared" ref="M173:AL173" si="324">SUM(M174:M175)</f>
        <v>4626</v>
      </c>
      <c r="N173" s="666">
        <f t="shared" si="324"/>
        <v>1046</v>
      </c>
      <c r="O173" s="666">
        <f t="shared" si="324"/>
        <v>154</v>
      </c>
      <c r="P173" s="666">
        <f t="shared" si="324"/>
        <v>0</v>
      </c>
      <c r="Q173" s="666">
        <f t="shared" si="324"/>
        <v>0</v>
      </c>
      <c r="R173" s="666">
        <f t="shared" si="324"/>
        <v>0</v>
      </c>
      <c r="S173" s="666">
        <f t="shared" si="324"/>
        <v>145</v>
      </c>
      <c r="T173" s="666">
        <f t="shared" si="324"/>
        <v>145</v>
      </c>
      <c r="U173" s="666">
        <f t="shared" si="324"/>
        <v>5681</v>
      </c>
      <c r="V173" s="666">
        <f t="shared" si="324"/>
        <v>5515</v>
      </c>
      <c r="W173" s="666">
        <f t="shared" si="324"/>
        <v>255</v>
      </c>
      <c r="X173" s="666">
        <f t="shared" si="324"/>
        <v>0</v>
      </c>
      <c r="Y173" s="666">
        <f>SUM(Y174:Y175)</f>
        <v>180.10000000000002</v>
      </c>
      <c r="Z173" s="666">
        <f>SUM(Z174:Z175)</f>
        <v>446.1</v>
      </c>
      <c r="AA173" s="666">
        <f t="shared" si="324"/>
        <v>91</v>
      </c>
      <c r="AB173" s="666">
        <f t="shared" si="324"/>
        <v>271</v>
      </c>
      <c r="AC173" s="666">
        <f t="shared" si="324"/>
        <v>5499</v>
      </c>
      <c r="AD173" s="666">
        <f t="shared" si="324"/>
        <v>137</v>
      </c>
      <c r="AE173" s="666">
        <f t="shared" si="324"/>
        <v>0</v>
      </c>
      <c r="AF173" s="666">
        <f t="shared" si="324"/>
        <v>0</v>
      </c>
      <c r="AG173" s="666">
        <f t="shared" si="324"/>
        <v>560</v>
      </c>
      <c r="AH173" s="666">
        <f t="shared" si="324"/>
        <v>0</v>
      </c>
      <c r="AI173" s="666">
        <f t="shared" si="324"/>
        <v>32</v>
      </c>
      <c r="AJ173" s="666">
        <f t="shared" si="324"/>
        <v>440</v>
      </c>
      <c r="AK173" s="666">
        <f t="shared" si="324"/>
        <v>200</v>
      </c>
      <c r="AL173" s="669">
        <f t="shared" si="324"/>
        <v>0</v>
      </c>
      <c r="AN173" s="610"/>
      <c r="AO173" s="659">
        <v>57</v>
      </c>
      <c r="AP173" s="751" t="s">
        <v>615</v>
      </c>
      <c r="AQ173" s="661">
        <f>AQ174+AQ175</f>
        <v>53</v>
      </c>
      <c r="AR173" s="661">
        <f t="shared" ref="AR173:AX173" si="325">AR174+AR175</f>
        <v>49</v>
      </c>
      <c r="AS173" s="661">
        <f t="shared" si="325"/>
        <v>29</v>
      </c>
      <c r="AT173" s="661">
        <f t="shared" si="325"/>
        <v>20</v>
      </c>
      <c r="AU173" s="661">
        <f t="shared" si="325"/>
        <v>31</v>
      </c>
      <c r="AV173" s="661">
        <f t="shared" si="325"/>
        <v>17</v>
      </c>
      <c r="AW173" s="661">
        <f t="shared" si="325"/>
        <v>4</v>
      </c>
      <c r="AX173" s="661">
        <f t="shared" si="325"/>
        <v>4</v>
      </c>
      <c r="AY173" s="666">
        <f>SUM(AY174:AY175)</f>
        <v>9359</v>
      </c>
      <c r="AZ173" s="670">
        <f t="shared" ref="AZ173:BW173" si="326">SUM(AZ174:AZ175)</f>
        <v>4268</v>
      </c>
      <c r="BA173" s="666">
        <f t="shared" si="326"/>
        <v>997</v>
      </c>
      <c r="BB173" s="666">
        <f t="shared" si="326"/>
        <v>278</v>
      </c>
      <c r="BC173" s="666">
        <f t="shared" si="326"/>
        <v>0</v>
      </c>
      <c r="BD173" s="666">
        <f t="shared" si="326"/>
        <v>0</v>
      </c>
      <c r="BE173" s="666">
        <f t="shared" si="326"/>
        <v>127.5</v>
      </c>
      <c r="BF173" s="667">
        <f t="shared" si="326"/>
        <v>128</v>
      </c>
      <c r="BG173" s="666">
        <f t="shared" si="326"/>
        <v>5415</v>
      </c>
      <c r="BH173" s="666">
        <f t="shared" si="326"/>
        <v>3085</v>
      </c>
      <c r="BI173" s="666">
        <f t="shared" si="326"/>
        <v>740</v>
      </c>
      <c r="BJ173" s="666">
        <f t="shared" si="326"/>
        <v>238</v>
      </c>
      <c r="BK173" s="666">
        <f t="shared" si="326"/>
        <v>0</v>
      </c>
      <c r="BL173" s="666">
        <f>SUM(BL174:BL175)</f>
        <v>266.7</v>
      </c>
      <c r="BM173" s="667">
        <f t="shared" si="326"/>
        <v>266</v>
      </c>
      <c r="BN173" s="666">
        <f t="shared" si="326"/>
        <v>3797</v>
      </c>
      <c r="BO173" s="666">
        <f t="shared" si="326"/>
        <v>147</v>
      </c>
      <c r="BP173" s="666">
        <f t="shared" si="326"/>
        <v>0</v>
      </c>
      <c r="BQ173" s="666">
        <f t="shared" si="326"/>
        <v>0</v>
      </c>
      <c r="BR173" s="666">
        <f t="shared" si="326"/>
        <v>343</v>
      </c>
      <c r="BS173" s="666">
        <f t="shared" si="326"/>
        <v>0</v>
      </c>
      <c r="BT173" s="666">
        <f t="shared" si="326"/>
        <v>32</v>
      </c>
      <c r="BU173" s="666">
        <f t="shared" si="326"/>
        <v>501</v>
      </c>
      <c r="BV173" s="666">
        <f t="shared" si="326"/>
        <v>0</v>
      </c>
      <c r="BW173" s="666">
        <f t="shared" si="326"/>
        <v>0</v>
      </c>
      <c r="CA173" s="1352">
        <v>54</v>
      </c>
      <c r="CB173" s="1352" t="s">
        <v>615</v>
      </c>
      <c r="CC173" s="1352">
        <v>52</v>
      </c>
      <c r="CD173" s="1352">
        <v>48</v>
      </c>
      <c r="CE173" s="1352">
        <v>29</v>
      </c>
      <c r="CF173" s="1352">
        <v>19</v>
      </c>
      <c r="CG173" s="1352">
        <v>27</v>
      </c>
      <c r="CH173" s="1352">
        <v>17</v>
      </c>
      <c r="CI173" s="1352">
        <v>4</v>
      </c>
      <c r="CJ173" s="1352">
        <v>4</v>
      </c>
      <c r="CK173" s="1353">
        <v>11454</v>
      </c>
      <c r="CL173" s="1353">
        <v>4685</v>
      </c>
      <c r="CM173" s="1354">
        <v>1195</v>
      </c>
      <c r="CN173" s="1354">
        <v>84</v>
      </c>
      <c r="CO173" s="1354">
        <v>0</v>
      </c>
      <c r="CP173" s="1354">
        <v>0</v>
      </c>
      <c r="CQ173" s="1354">
        <v>1</v>
      </c>
      <c r="CR173" s="1354">
        <v>145</v>
      </c>
      <c r="CS173" s="1354">
        <v>146</v>
      </c>
      <c r="CT173" s="1353">
        <v>5818</v>
      </c>
      <c r="CU173" s="1353">
        <v>5515</v>
      </c>
      <c r="CV173" s="1353">
        <v>255</v>
      </c>
      <c r="CW173" s="1353">
        <v>0</v>
      </c>
      <c r="CX173" s="1353">
        <v>180.10000000000002</v>
      </c>
      <c r="CY173" s="1353">
        <v>446.1</v>
      </c>
      <c r="CZ173" s="1353">
        <v>91</v>
      </c>
      <c r="DA173" s="1353">
        <v>271</v>
      </c>
      <c r="DB173" s="1353">
        <v>5499</v>
      </c>
      <c r="DC173" s="1353">
        <v>137</v>
      </c>
      <c r="DD173" s="1353">
        <v>0</v>
      </c>
      <c r="DE173" s="1353">
        <v>0</v>
      </c>
      <c r="DF173" s="1353">
        <v>0</v>
      </c>
      <c r="DG173" s="1353">
        <v>0</v>
      </c>
      <c r="DH173" s="1353">
        <v>0</v>
      </c>
      <c r="DI173" s="1353">
        <v>0</v>
      </c>
      <c r="DJ173" s="1353">
        <v>0</v>
      </c>
      <c r="DK173" s="1353">
        <v>0</v>
      </c>
      <c r="DT173" s="659">
        <v>54</v>
      </c>
      <c r="DU173" s="751" t="s">
        <v>615</v>
      </c>
      <c r="DV173" s="777">
        <f>DV174+DV175</f>
        <v>-137</v>
      </c>
      <c r="DW173" s="777">
        <f t="shared" ref="DW173:EV173" si="327">DW174+DW175</f>
        <v>-59</v>
      </c>
      <c r="DX173" s="777">
        <f t="shared" si="327"/>
        <v>-149</v>
      </c>
      <c r="DY173" s="777">
        <f t="shared" si="327"/>
        <v>70</v>
      </c>
      <c r="DZ173" s="777">
        <f t="shared" si="327"/>
        <v>0</v>
      </c>
      <c r="EA173" s="777">
        <f t="shared" si="327"/>
        <v>0</v>
      </c>
      <c r="EB173" s="777">
        <f t="shared" si="327"/>
        <v>-1</v>
      </c>
      <c r="EC173" s="777">
        <f t="shared" si="327"/>
        <v>0</v>
      </c>
      <c r="ED173" s="777">
        <f t="shared" si="327"/>
        <v>-1</v>
      </c>
      <c r="EE173" s="777">
        <f t="shared" si="327"/>
        <v>-137</v>
      </c>
      <c r="EF173" s="777">
        <f t="shared" si="327"/>
        <v>0</v>
      </c>
      <c r="EG173" s="777">
        <f t="shared" si="327"/>
        <v>0</v>
      </c>
      <c r="EH173" s="777">
        <f t="shared" si="327"/>
        <v>0</v>
      </c>
      <c r="EI173" s="777">
        <f t="shared" si="327"/>
        <v>0</v>
      </c>
      <c r="EJ173" s="777">
        <f t="shared" si="327"/>
        <v>0</v>
      </c>
      <c r="EK173" s="777">
        <f t="shared" si="327"/>
        <v>0</v>
      </c>
      <c r="EL173" s="777">
        <f t="shared" si="327"/>
        <v>0</v>
      </c>
      <c r="EM173" s="777">
        <f t="shared" si="327"/>
        <v>0</v>
      </c>
      <c r="EN173" s="777">
        <f t="shared" si="327"/>
        <v>0</v>
      </c>
      <c r="EO173" s="777">
        <f t="shared" si="327"/>
        <v>0</v>
      </c>
      <c r="EP173" s="777">
        <f t="shared" si="327"/>
        <v>0</v>
      </c>
      <c r="EQ173" s="777">
        <f t="shared" si="327"/>
        <v>560</v>
      </c>
      <c r="ER173" s="777">
        <f t="shared" si="327"/>
        <v>0</v>
      </c>
      <c r="ES173" s="777">
        <f t="shared" si="327"/>
        <v>32</v>
      </c>
      <c r="ET173" s="777">
        <f t="shared" si="327"/>
        <v>440</v>
      </c>
      <c r="EU173" s="777">
        <f t="shared" si="327"/>
        <v>200</v>
      </c>
      <c r="EV173" s="777">
        <f t="shared" si="327"/>
        <v>0</v>
      </c>
    </row>
    <row r="174" spans="1:152" ht="23.25" hidden="1" customHeight="1">
      <c r="A174" s="659"/>
      <c r="B174" s="718" t="s">
        <v>616</v>
      </c>
      <c r="C174" s="661">
        <f t="shared" ref="C174:C181" si="328">D174+I174</f>
        <v>31</v>
      </c>
      <c r="D174" s="661">
        <f t="shared" ref="D174:D181" si="329">E174+F174</f>
        <v>28</v>
      </c>
      <c r="E174" s="661">
        <v>28</v>
      </c>
      <c r="F174" s="661"/>
      <c r="G174" s="661">
        <v>27</v>
      </c>
      <c r="H174" s="661"/>
      <c r="I174" s="661">
        <v>3</v>
      </c>
      <c r="J174" s="661">
        <v>3</v>
      </c>
      <c r="K174" s="646">
        <f t="shared" si="272"/>
        <v>8187</v>
      </c>
      <c r="L174" s="662">
        <f t="shared" ref="L174:L185" si="330">U174+AC174+AD174+AE174</f>
        <v>8304</v>
      </c>
      <c r="M174" s="666">
        <f>3172-59</f>
        <v>3113</v>
      </c>
      <c r="N174" s="666">
        <f>699-27</f>
        <v>672</v>
      </c>
      <c r="O174" s="666">
        <v>84</v>
      </c>
      <c r="P174" s="666"/>
      <c r="Q174" s="666"/>
      <c r="R174" s="666"/>
      <c r="S174" s="666">
        <v>93</v>
      </c>
      <c r="T174" s="666">
        <f t="shared" ref="T174:T185" si="331">ROUND((Q174+R174+S174),0)</f>
        <v>93</v>
      </c>
      <c r="U174" s="666">
        <f t="shared" ref="U174:U185" si="332">(M174+N174+O174+P174)-T174</f>
        <v>3776</v>
      </c>
      <c r="V174" s="666">
        <v>4455</v>
      </c>
      <c r="W174" s="666">
        <v>180</v>
      </c>
      <c r="X174" s="666"/>
      <c r="Y174" s="666">
        <f>Z174-BM174</f>
        <v>159.30000000000001</v>
      </c>
      <c r="Z174" s="666">
        <f>(V174-92-15-15-300)*10%</f>
        <v>403.3</v>
      </c>
      <c r="AA174" s="666">
        <v>65</v>
      </c>
      <c r="AB174" s="666">
        <f t="shared" ref="AB174:AB185" si="333">ROUND((Y174+AA174+X174),0)</f>
        <v>224</v>
      </c>
      <c r="AC174" s="666">
        <f t="shared" ref="AC174:AC185" si="334">(V174+W174)-AB174</f>
        <v>4411</v>
      </c>
      <c r="AD174" s="666">
        <v>117</v>
      </c>
      <c r="AE174" s="666"/>
      <c r="AF174" s="666"/>
      <c r="AG174" s="666">
        <v>560</v>
      </c>
      <c r="AH174" s="666"/>
      <c r="AI174" s="666">
        <v>32</v>
      </c>
      <c r="AJ174" s="666"/>
      <c r="AK174" s="666">
        <v>200</v>
      </c>
      <c r="AL174" s="664"/>
      <c r="AN174" s="610"/>
      <c r="AO174" s="659"/>
      <c r="AP174" s="718" t="s">
        <v>616</v>
      </c>
      <c r="AQ174" s="661">
        <f t="shared" ref="AQ174:AQ180" si="335">AR174+AW174</f>
        <v>32</v>
      </c>
      <c r="AR174" s="661">
        <f t="shared" ref="AR174:AR180" si="336">AS174+AT174</f>
        <v>29</v>
      </c>
      <c r="AS174" s="661">
        <f>32-3</f>
        <v>29</v>
      </c>
      <c r="AT174" s="661"/>
      <c r="AU174" s="661">
        <v>31</v>
      </c>
      <c r="AV174" s="661"/>
      <c r="AW174" s="661">
        <v>3</v>
      </c>
      <c r="AX174" s="661">
        <v>3</v>
      </c>
      <c r="AY174" s="666">
        <f t="shared" ref="AY174:AY185" si="337">BG174+BN174+BO174+BP174</f>
        <v>6897</v>
      </c>
      <c r="AZ174" s="670">
        <f>2892+211-246</f>
        <v>2857</v>
      </c>
      <c r="BA174" s="666">
        <f>864-204-75</f>
        <v>585</v>
      </c>
      <c r="BB174" s="666">
        <v>204</v>
      </c>
      <c r="BC174" s="666"/>
      <c r="BD174" s="666"/>
      <c r="BE174" s="666">
        <f t="shared" si="315"/>
        <v>78.900000000000006</v>
      </c>
      <c r="BF174" s="667">
        <f t="shared" ref="BF174:BF181" si="338">ROUND(BE174,0)</f>
        <v>79</v>
      </c>
      <c r="BG174" s="666">
        <f>(AZ174+BA174+BB174+BC174)-BF174</f>
        <v>3567</v>
      </c>
      <c r="BH174" s="666">
        <v>2543</v>
      </c>
      <c r="BI174" s="666">
        <v>740</v>
      </c>
      <c r="BJ174" s="666">
        <f>914-740</f>
        <v>174</v>
      </c>
      <c r="BK174" s="666"/>
      <c r="BL174" s="666">
        <f>(BH174-99)*10%</f>
        <v>244.4</v>
      </c>
      <c r="BM174" s="667">
        <f>ROUND(BL174,0)</f>
        <v>244</v>
      </c>
      <c r="BN174" s="666">
        <f t="shared" ref="BN174:BN181" si="339">(BH174+BI174+BJ174)-BM174</f>
        <v>3213</v>
      </c>
      <c r="BO174" s="666">
        <v>117</v>
      </c>
      <c r="BP174" s="666"/>
      <c r="BQ174" s="666"/>
      <c r="BR174" s="666">
        <v>343</v>
      </c>
      <c r="BS174" s="666"/>
      <c r="BT174" s="666">
        <v>32</v>
      </c>
      <c r="BU174" s="666"/>
      <c r="BV174" s="666"/>
      <c r="BW174" s="662"/>
      <c r="CA174" s="1352"/>
      <c r="CB174" s="1352" t="s">
        <v>616</v>
      </c>
      <c r="CC174" s="1352">
        <v>32</v>
      </c>
      <c r="CD174" s="1352">
        <v>29</v>
      </c>
      <c r="CE174" s="1352">
        <v>29</v>
      </c>
      <c r="CF174" s="1352"/>
      <c r="CG174" s="1352">
        <v>27</v>
      </c>
      <c r="CH174" s="1352"/>
      <c r="CI174" s="1352">
        <v>3</v>
      </c>
      <c r="CJ174" s="1352">
        <v>3</v>
      </c>
      <c r="CK174" s="1353">
        <v>8390</v>
      </c>
      <c r="CL174" s="1353">
        <v>3172</v>
      </c>
      <c r="CM174" s="1354">
        <v>699</v>
      </c>
      <c r="CN174" s="1354">
        <v>84</v>
      </c>
      <c r="CO174" s="1354"/>
      <c r="CP174" s="1354"/>
      <c r="CQ174" s="1354"/>
      <c r="CR174" s="1354">
        <v>93</v>
      </c>
      <c r="CS174" s="1354">
        <v>93</v>
      </c>
      <c r="CT174" s="1353">
        <v>3862</v>
      </c>
      <c r="CU174" s="1353">
        <v>4455</v>
      </c>
      <c r="CV174" s="1353">
        <v>180</v>
      </c>
      <c r="CW174" s="1353"/>
      <c r="CX174" s="1353">
        <v>159.30000000000001</v>
      </c>
      <c r="CY174" s="1353">
        <v>403.3</v>
      </c>
      <c r="CZ174" s="1353">
        <v>65</v>
      </c>
      <c r="DA174" s="1353">
        <v>224</v>
      </c>
      <c r="DB174" s="1353">
        <v>4411</v>
      </c>
      <c r="DC174" s="1353">
        <v>117</v>
      </c>
      <c r="DD174" s="1353"/>
      <c r="DE174" s="1353"/>
      <c r="DF174" s="1353"/>
      <c r="DG174" s="1353"/>
      <c r="DH174" s="1353"/>
      <c r="DI174" s="1353"/>
      <c r="DJ174" s="1353"/>
      <c r="DK174" s="1353"/>
      <c r="DT174" s="659"/>
      <c r="DU174" s="718" t="s">
        <v>616</v>
      </c>
      <c r="DV174" s="777">
        <f t="shared" ref="DV174:EK185" si="340">L174-CK174</f>
        <v>-86</v>
      </c>
      <c r="DW174" s="777">
        <f t="shared" si="340"/>
        <v>-59</v>
      </c>
      <c r="DX174" s="777">
        <f t="shared" si="340"/>
        <v>-27</v>
      </c>
      <c r="DY174" s="777">
        <f t="shared" si="340"/>
        <v>0</v>
      </c>
      <c r="DZ174" s="777">
        <f t="shared" si="340"/>
        <v>0</v>
      </c>
      <c r="EA174" s="777">
        <f t="shared" si="340"/>
        <v>0</v>
      </c>
      <c r="EB174" s="777">
        <f t="shared" si="340"/>
        <v>0</v>
      </c>
      <c r="EC174" s="777">
        <f t="shared" si="340"/>
        <v>0</v>
      </c>
      <c r="ED174" s="777">
        <f t="shared" si="340"/>
        <v>0</v>
      </c>
      <c r="EE174" s="777">
        <f t="shared" si="340"/>
        <v>-86</v>
      </c>
      <c r="EF174" s="777">
        <f t="shared" si="340"/>
        <v>0</v>
      </c>
      <c r="EG174" s="777">
        <f t="shared" si="340"/>
        <v>0</v>
      </c>
      <c r="EH174" s="777">
        <f t="shared" si="340"/>
        <v>0</v>
      </c>
      <c r="EI174" s="777">
        <f t="shared" si="340"/>
        <v>0</v>
      </c>
      <c r="EJ174" s="777">
        <f t="shared" si="340"/>
        <v>0</v>
      </c>
      <c r="EK174" s="777">
        <f t="shared" si="340"/>
        <v>0</v>
      </c>
      <c r="EL174" s="777">
        <f t="shared" ref="EL174:EV185" si="341">AB174-DA174</f>
        <v>0</v>
      </c>
      <c r="EM174" s="777">
        <f t="shared" si="341"/>
        <v>0</v>
      </c>
      <c r="EN174" s="777">
        <f t="shared" si="341"/>
        <v>0</v>
      </c>
      <c r="EO174" s="777">
        <f t="shared" si="341"/>
        <v>0</v>
      </c>
      <c r="EP174" s="777">
        <f t="shared" si="341"/>
        <v>0</v>
      </c>
      <c r="EQ174" s="777">
        <f t="shared" si="341"/>
        <v>560</v>
      </c>
      <c r="ER174" s="777">
        <f t="shared" si="341"/>
        <v>0</v>
      </c>
      <c r="ES174" s="777">
        <f t="shared" si="341"/>
        <v>32</v>
      </c>
      <c r="ET174" s="777">
        <f t="shared" si="341"/>
        <v>0</v>
      </c>
      <c r="EU174" s="777">
        <f t="shared" si="341"/>
        <v>200</v>
      </c>
      <c r="EV174" s="777">
        <f t="shared" si="341"/>
        <v>0</v>
      </c>
    </row>
    <row r="175" spans="1:152" ht="23.25" hidden="1" customHeight="1">
      <c r="A175" s="659"/>
      <c r="B175" s="1377" t="s">
        <v>617</v>
      </c>
      <c r="C175" s="661">
        <f t="shared" si="328"/>
        <v>20</v>
      </c>
      <c r="D175" s="661">
        <f t="shared" si="329"/>
        <v>19</v>
      </c>
      <c r="E175" s="661"/>
      <c r="F175" s="661">
        <v>19</v>
      </c>
      <c r="G175" s="661"/>
      <c r="H175" s="661">
        <v>17</v>
      </c>
      <c r="I175" s="661">
        <v>1</v>
      </c>
      <c r="J175" s="661">
        <v>1</v>
      </c>
      <c r="K175" s="646">
        <f t="shared" si="272"/>
        <v>2993</v>
      </c>
      <c r="L175" s="662">
        <f t="shared" si="330"/>
        <v>3013</v>
      </c>
      <c r="M175" s="666">
        <v>1513</v>
      </c>
      <c r="N175" s="666">
        <f>496-52-70</f>
        <v>374</v>
      </c>
      <c r="O175" s="666">
        <v>70</v>
      </c>
      <c r="P175" s="666"/>
      <c r="Q175" s="666"/>
      <c r="R175" s="666"/>
      <c r="S175" s="666">
        <v>52</v>
      </c>
      <c r="T175" s="666">
        <f t="shared" si="331"/>
        <v>52</v>
      </c>
      <c r="U175" s="666">
        <f t="shared" si="332"/>
        <v>1905</v>
      </c>
      <c r="V175" s="666">
        <v>1060</v>
      </c>
      <c r="W175" s="666">
        <v>75</v>
      </c>
      <c r="X175" s="666"/>
      <c r="Y175" s="666">
        <f>Z175-BM175</f>
        <v>20.800000000000004</v>
      </c>
      <c r="Z175" s="666">
        <f>(V175-32-600)*10%</f>
        <v>42.800000000000004</v>
      </c>
      <c r="AA175" s="666">
        <v>26</v>
      </c>
      <c r="AB175" s="666">
        <f t="shared" si="333"/>
        <v>47</v>
      </c>
      <c r="AC175" s="666">
        <f t="shared" si="334"/>
        <v>1088</v>
      </c>
      <c r="AD175" s="666">
        <v>20</v>
      </c>
      <c r="AE175" s="666"/>
      <c r="AF175" s="666"/>
      <c r="AG175" s="666"/>
      <c r="AH175" s="666"/>
      <c r="AI175" s="666"/>
      <c r="AJ175" s="666">
        <v>440</v>
      </c>
      <c r="AK175" s="666"/>
      <c r="AL175" s="664"/>
      <c r="AN175" s="610"/>
      <c r="AO175" s="659"/>
      <c r="AP175" s="1377" t="s">
        <v>617</v>
      </c>
      <c r="AQ175" s="661">
        <f t="shared" si="335"/>
        <v>21</v>
      </c>
      <c r="AR175" s="661">
        <f t="shared" si="336"/>
        <v>20</v>
      </c>
      <c r="AS175" s="661"/>
      <c r="AT175" s="661">
        <v>20</v>
      </c>
      <c r="AU175" s="661"/>
      <c r="AV175" s="661">
        <v>17</v>
      </c>
      <c r="AW175" s="661">
        <v>1</v>
      </c>
      <c r="AX175" s="661">
        <v>1</v>
      </c>
      <c r="AY175" s="666">
        <f t="shared" si="337"/>
        <v>2462</v>
      </c>
      <c r="AZ175" s="670">
        <f>1371+40</f>
        <v>1411</v>
      </c>
      <c r="BA175" s="666">
        <f>486-74</f>
        <v>412</v>
      </c>
      <c r="BB175" s="666">
        <v>74</v>
      </c>
      <c r="BC175" s="666"/>
      <c r="BD175" s="666"/>
      <c r="BE175" s="666">
        <f t="shared" si="315"/>
        <v>48.6</v>
      </c>
      <c r="BF175" s="667">
        <f t="shared" si="338"/>
        <v>49</v>
      </c>
      <c r="BG175" s="666">
        <f>(AZ175+BA175+BB175+BC175)-BF175</f>
        <v>1848</v>
      </c>
      <c r="BH175" s="666">
        <v>542</v>
      </c>
      <c r="BI175" s="666"/>
      <c r="BJ175" s="666">
        <v>64</v>
      </c>
      <c r="BK175" s="666"/>
      <c r="BL175" s="666">
        <f>(BH175-319)*10%</f>
        <v>22.3</v>
      </c>
      <c r="BM175" s="667">
        <f>ROUND(BL175,0)</f>
        <v>22</v>
      </c>
      <c r="BN175" s="666">
        <f t="shared" si="339"/>
        <v>584</v>
      </c>
      <c r="BO175" s="666">
        <v>30</v>
      </c>
      <c r="BP175" s="666"/>
      <c r="BQ175" s="666"/>
      <c r="BR175" s="666"/>
      <c r="BS175" s="666"/>
      <c r="BT175" s="666"/>
      <c r="BU175" s="666">
        <v>501</v>
      </c>
      <c r="BV175" s="666"/>
      <c r="BW175" s="662"/>
      <c r="CA175" s="1352"/>
      <c r="CB175" s="1352" t="s">
        <v>617</v>
      </c>
      <c r="CC175" s="1352">
        <v>20</v>
      </c>
      <c r="CD175" s="1352">
        <v>19</v>
      </c>
      <c r="CE175" s="1352"/>
      <c r="CF175" s="1352">
        <v>19</v>
      </c>
      <c r="CG175" s="1352"/>
      <c r="CH175" s="1352">
        <v>17</v>
      </c>
      <c r="CI175" s="1352">
        <v>1</v>
      </c>
      <c r="CJ175" s="1352">
        <v>1</v>
      </c>
      <c r="CK175" s="1353">
        <v>3064</v>
      </c>
      <c r="CL175" s="1353">
        <v>1513</v>
      </c>
      <c r="CM175" s="1354">
        <v>496</v>
      </c>
      <c r="CN175" s="1354"/>
      <c r="CO175" s="1354"/>
      <c r="CP175" s="1354"/>
      <c r="CQ175" s="1354">
        <v>1</v>
      </c>
      <c r="CR175" s="1354">
        <v>52</v>
      </c>
      <c r="CS175" s="1354">
        <v>53</v>
      </c>
      <c r="CT175" s="1353">
        <v>1956</v>
      </c>
      <c r="CU175" s="1353">
        <v>1060</v>
      </c>
      <c r="CV175" s="1353">
        <v>75</v>
      </c>
      <c r="CW175" s="1353"/>
      <c r="CX175" s="1353">
        <v>20.800000000000004</v>
      </c>
      <c r="CY175" s="1353">
        <v>42.800000000000004</v>
      </c>
      <c r="CZ175" s="1353">
        <v>26</v>
      </c>
      <c r="DA175" s="1353">
        <v>47</v>
      </c>
      <c r="DB175" s="1353">
        <v>1088</v>
      </c>
      <c r="DC175" s="1353">
        <v>20</v>
      </c>
      <c r="DD175" s="1353"/>
      <c r="DE175" s="1353"/>
      <c r="DF175" s="1353"/>
      <c r="DG175" s="1353"/>
      <c r="DH175" s="1353"/>
      <c r="DI175" s="1353"/>
      <c r="DJ175" s="1353"/>
      <c r="DK175" s="1353"/>
      <c r="DT175" s="659"/>
      <c r="DU175" s="1377" t="s">
        <v>617</v>
      </c>
      <c r="DV175" s="777">
        <f t="shared" si="340"/>
        <v>-51</v>
      </c>
      <c r="DW175" s="777">
        <f t="shared" si="340"/>
        <v>0</v>
      </c>
      <c r="DX175" s="777">
        <f t="shared" si="340"/>
        <v>-122</v>
      </c>
      <c r="DY175" s="777">
        <f t="shared" si="340"/>
        <v>70</v>
      </c>
      <c r="DZ175" s="777">
        <f t="shared" si="340"/>
        <v>0</v>
      </c>
      <c r="EA175" s="777">
        <f t="shared" si="340"/>
        <v>0</v>
      </c>
      <c r="EB175" s="777">
        <f t="shared" si="340"/>
        <v>-1</v>
      </c>
      <c r="EC175" s="777">
        <f t="shared" si="340"/>
        <v>0</v>
      </c>
      <c r="ED175" s="777">
        <f t="shared" si="340"/>
        <v>-1</v>
      </c>
      <c r="EE175" s="777">
        <f t="shared" si="340"/>
        <v>-51</v>
      </c>
      <c r="EF175" s="777">
        <f t="shared" si="340"/>
        <v>0</v>
      </c>
      <c r="EG175" s="777">
        <f t="shared" si="340"/>
        <v>0</v>
      </c>
      <c r="EH175" s="777">
        <f t="shared" si="340"/>
        <v>0</v>
      </c>
      <c r="EI175" s="777">
        <f t="shared" si="340"/>
        <v>0</v>
      </c>
      <c r="EJ175" s="777">
        <f t="shared" si="340"/>
        <v>0</v>
      </c>
      <c r="EK175" s="777">
        <f t="shared" si="340"/>
        <v>0</v>
      </c>
      <c r="EL175" s="777">
        <f t="shared" si="341"/>
        <v>0</v>
      </c>
      <c r="EM175" s="777">
        <f t="shared" si="341"/>
        <v>0</v>
      </c>
      <c r="EN175" s="777">
        <f t="shared" si="341"/>
        <v>0</v>
      </c>
      <c r="EO175" s="777">
        <f t="shared" si="341"/>
        <v>0</v>
      </c>
      <c r="EP175" s="777">
        <f t="shared" si="341"/>
        <v>0</v>
      </c>
      <c r="EQ175" s="777">
        <f t="shared" si="341"/>
        <v>0</v>
      </c>
      <c r="ER175" s="777">
        <f t="shared" si="341"/>
        <v>0</v>
      </c>
      <c r="ES175" s="777">
        <f t="shared" si="341"/>
        <v>0</v>
      </c>
      <c r="ET175" s="777">
        <f t="shared" si="341"/>
        <v>440</v>
      </c>
      <c r="EU175" s="777">
        <f t="shared" si="341"/>
        <v>0</v>
      </c>
      <c r="EV175" s="777">
        <f t="shared" si="341"/>
        <v>0</v>
      </c>
    </row>
    <row r="176" spans="1:152" ht="24" customHeight="1">
      <c r="A176" s="659">
        <v>53</v>
      </c>
      <c r="B176" s="660" t="s">
        <v>618</v>
      </c>
      <c r="C176" s="661">
        <f t="shared" si="328"/>
        <v>22</v>
      </c>
      <c r="D176" s="661">
        <f t="shared" si="329"/>
        <v>20</v>
      </c>
      <c r="E176" s="661">
        <v>20</v>
      </c>
      <c r="F176" s="661"/>
      <c r="G176" s="661">
        <v>19</v>
      </c>
      <c r="H176" s="661"/>
      <c r="I176" s="661">
        <v>2</v>
      </c>
      <c r="J176" s="661">
        <v>2</v>
      </c>
      <c r="K176" s="646">
        <f t="shared" si="272"/>
        <v>7918</v>
      </c>
      <c r="L176" s="662">
        <f t="shared" si="330"/>
        <v>8468</v>
      </c>
      <c r="M176" s="662">
        <v>2160</v>
      </c>
      <c r="N176" s="662">
        <v>460</v>
      </c>
      <c r="O176" s="662">
        <v>80</v>
      </c>
      <c r="P176" s="662"/>
      <c r="Q176" s="662"/>
      <c r="R176" s="666"/>
      <c r="S176" s="666">
        <v>57</v>
      </c>
      <c r="T176" s="666">
        <f t="shared" si="331"/>
        <v>57</v>
      </c>
      <c r="U176" s="666">
        <f t="shared" si="332"/>
        <v>2643</v>
      </c>
      <c r="V176" s="662">
        <f>5072+497</f>
        <v>5569</v>
      </c>
      <c r="W176" s="662">
        <v>95</v>
      </c>
      <c r="X176" s="662"/>
      <c r="Y176" s="666"/>
      <c r="Z176" s="666">
        <f>(V176-2050)*10%</f>
        <v>351.90000000000003</v>
      </c>
      <c r="AA176" s="666">
        <v>389</v>
      </c>
      <c r="AB176" s="666">
        <f t="shared" si="333"/>
        <v>389</v>
      </c>
      <c r="AC176" s="666">
        <f t="shared" si="334"/>
        <v>5275</v>
      </c>
      <c r="AD176" s="662">
        <v>550</v>
      </c>
      <c r="AE176" s="662"/>
      <c r="AF176" s="662"/>
      <c r="AG176" s="662"/>
      <c r="AH176" s="662"/>
      <c r="AI176" s="662"/>
      <c r="AJ176" s="662"/>
      <c r="AK176" s="662"/>
      <c r="AL176" s="664"/>
      <c r="AN176" s="610"/>
      <c r="AO176" s="659">
        <v>58</v>
      </c>
      <c r="AP176" s="660" t="s">
        <v>618</v>
      </c>
      <c r="AQ176" s="661">
        <f t="shared" si="335"/>
        <v>23</v>
      </c>
      <c r="AR176" s="661">
        <f t="shared" si="336"/>
        <v>21</v>
      </c>
      <c r="AS176" s="661">
        <v>21</v>
      </c>
      <c r="AT176" s="661"/>
      <c r="AU176" s="661">
        <v>18</v>
      </c>
      <c r="AV176" s="661"/>
      <c r="AW176" s="661">
        <v>2</v>
      </c>
      <c r="AX176" s="661">
        <v>2</v>
      </c>
      <c r="AY176" s="662">
        <f t="shared" si="337"/>
        <v>6251</v>
      </c>
      <c r="AZ176" s="665">
        <v>1990</v>
      </c>
      <c r="BA176" s="662">
        <v>567</v>
      </c>
      <c r="BB176" s="662"/>
      <c r="BC176" s="662"/>
      <c r="BD176" s="662"/>
      <c r="BE176" s="666">
        <f t="shared" si="315"/>
        <v>56.7</v>
      </c>
      <c r="BF176" s="667">
        <f t="shared" si="338"/>
        <v>57</v>
      </c>
      <c r="BG176" s="666">
        <f t="shared" ref="BG176:BG185" si="342">(AZ176+BA176+BB176+BC176)-BF176</f>
        <v>2500</v>
      </c>
      <c r="BH176" s="662">
        <v>3568</v>
      </c>
      <c r="BI176" s="662"/>
      <c r="BJ176" s="662">
        <v>70</v>
      </c>
      <c r="BK176" s="662"/>
      <c r="BL176" s="666">
        <f>BH176*10%</f>
        <v>356.8</v>
      </c>
      <c r="BM176" s="667">
        <f>ROUND(BL176,0)</f>
        <v>357</v>
      </c>
      <c r="BN176" s="666">
        <f t="shared" si="339"/>
        <v>3281</v>
      </c>
      <c r="BO176" s="662">
        <v>470</v>
      </c>
      <c r="BP176" s="662"/>
      <c r="BQ176" s="662"/>
      <c r="BR176" s="662"/>
      <c r="BS176" s="662"/>
      <c r="BT176" s="662"/>
      <c r="BU176" s="662"/>
      <c r="BV176" s="662"/>
      <c r="BW176" s="662"/>
      <c r="CA176" s="1352">
        <v>55</v>
      </c>
      <c r="CB176" s="1352" t="s">
        <v>618</v>
      </c>
      <c r="CC176" s="1352">
        <v>23</v>
      </c>
      <c r="CD176" s="1352">
        <v>21</v>
      </c>
      <c r="CE176" s="1352">
        <v>21</v>
      </c>
      <c r="CF176" s="1352"/>
      <c r="CG176" s="1352">
        <v>19</v>
      </c>
      <c r="CH176" s="1352"/>
      <c r="CI176" s="1352">
        <v>2</v>
      </c>
      <c r="CJ176" s="1352">
        <v>2</v>
      </c>
      <c r="CK176" s="1353">
        <v>8552</v>
      </c>
      <c r="CL176" s="1353">
        <v>2217</v>
      </c>
      <c r="CM176" s="1354">
        <v>487</v>
      </c>
      <c r="CN176" s="1354">
        <v>80</v>
      </c>
      <c r="CO176" s="1354"/>
      <c r="CP176" s="1354"/>
      <c r="CQ176" s="1354">
        <v>0</v>
      </c>
      <c r="CR176" s="1354">
        <v>57</v>
      </c>
      <c r="CS176" s="1354">
        <v>57</v>
      </c>
      <c r="CT176" s="1353">
        <v>2727</v>
      </c>
      <c r="CU176" s="1353">
        <v>5569</v>
      </c>
      <c r="CV176" s="1353">
        <v>95</v>
      </c>
      <c r="CW176" s="1353"/>
      <c r="CX176" s="1353"/>
      <c r="CY176" s="1353">
        <v>351.90000000000003</v>
      </c>
      <c r="CZ176" s="1353">
        <v>389</v>
      </c>
      <c r="DA176" s="1353">
        <v>389</v>
      </c>
      <c r="DB176" s="1353">
        <v>5275</v>
      </c>
      <c r="DC176" s="1353">
        <v>550</v>
      </c>
      <c r="DD176" s="1353"/>
      <c r="DE176" s="1353"/>
      <c r="DF176" s="1353"/>
      <c r="DG176" s="1353"/>
      <c r="DH176" s="1353"/>
      <c r="DI176" s="1353"/>
      <c r="DJ176" s="1353"/>
      <c r="DK176" s="1353"/>
      <c r="DT176" s="659">
        <v>55</v>
      </c>
      <c r="DU176" s="660" t="s">
        <v>618</v>
      </c>
      <c r="DV176" s="777">
        <f t="shared" si="340"/>
        <v>-84</v>
      </c>
      <c r="DW176" s="777">
        <f t="shared" si="340"/>
        <v>-57</v>
      </c>
      <c r="DX176" s="777">
        <f t="shared" si="340"/>
        <v>-27</v>
      </c>
      <c r="DY176" s="777">
        <f t="shared" si="340"/>
        <v>0</v>
      </c>
      <c r="DZ176" s="777">
        <f t="shared" si="340"/>
        <v>0</v>
      </c>
      <c r="EA176" s="777">
        <f t="shared" si="340"/>
        <v>0</v>
      </c>
      <c r="EB176" s="777">
        <f t="shared" si="340"/>
        <v>0</v>
      </c>
      <c r="EC176" s="777">
        <f t="shared" si="340"/>
        <v>0</v>
      </c>
      <c r="ED176" s="777">
        <f t="shared" si="340"/>
        <v>0</v>
      </c>
      <c r="EE176" s="777">
        <f t="shared" si="340"/>
        <v>-84</v>
      </c>
      <c r="EF176" s="777">
        <f t="shared" si="340"/>
        <v>0</v>
      </c>
      <c r="EG176" s="777">
        <f t="shared" si="340"/>
        <v>0</v>
      </c>
      <c r="EH176" s="777">
        <f t="shared" si="340"/>
        <v>0</v>
      </c>
      <c r="EI176" s="777">
        <f t="shared" si="340"/>
        <v>0</v>
      </c>
      <c r="EJ176" s="777">
        <f t="shared" si="340"/>
        <v>0</v>
      </c>
      <c r="EK176" s="777">
        <f t="shared" si="340"/>
        <v>0</v>
      </c>
      <c r="EL176" s="777">
        <f t="shared" si="341"/>
        <v>0</v>
      </c>
      <c r="EM176" s="777">
        <f t="shared" si="341"/>
        <v>0</v>
      </c>
      <c r="EN176" s="777">
        <f t="shared" si="341"/>
        <v>0</v>
      </c>
      <c r="EO176" s="777">
        <f t="shared" si="341"/>
        <v>0</v>
      </c>
      <c r="EP176" s="777">
        <f t="shared" si="341"/>
        <v>0</v>
      </c>
      <c r="EQ176" s="777">
        <f t="shared" si="341"/>
        <v>0</v>
      </c>
      <c r="ER176" s="777">
        <f t="shared" si="341"/>
        <v>0</v>
      </c>
      <c r="ES176" s="777">
        <f t="shared" si="341"/>
        <v>0</v>
      </c>
      <c r="ET176" s="777">
        <f t="shared" si="341"/>
        <v>0</v>
      </c>
      <c r="EU176" s="777">
        <f t="shared" si="341"/>
        <v>0</v>
      </c>
      <c r="EV176" s="777">
        <f t="shared" si="341"/>
        <v>0</v>
      </c>
    </row>
    <row r="177" spans="1:152" s="797" customFormat="1" ht="24" customHeight="1">
      <c r="A177" s="659">
        <v>54</v>
      </c>
      <c r="B177" s="660" t="s">
        <v>619</v>
      </c>
      <c r="C177" s="661">
        <f t="shared" si="328"/>
        <v>32</v>
      </c>
      <c r="D177" s="661">
        <f t="shared" si="329"/>
        <v>29</v>
      </c>
      <c r="E177" s="661">
        <v>29</v>
      </c>
      <c r="F177" s="661"/>
      <c r="G177" s="661">
        <v>29</v>
      </c>
      <c r="H177" s="661"/>
      <c r="I177" s="661">
        <v>3</v>
      </c>
      <c r="J177" s="661">
        <v>3</v>
      </c>
      <c r="K177" s="646">
        <f t="shared" si="272"/>
        <v>7301</v>
      </c>
      <c r="L177" s="716">
        <f t="shared" si="330"/>
        <v>7367</v>
      </c>
      <c r="M177" s="666">
        <v>2944</v>
      </c>
      <c r="N177" s="666">
        <v>592</v>
      </c>
      <c r="O177" s="666">
        <v>191</v>
      </c>
      <c r="P177" s="666"/>
      <c r="Q177" s="666"/>
      <c r="R177" s="666"/>
      <c r="S177" s="666">
        <v>89</v>
      </c>
      <c r="T177" s="666">
        <f t="shared" si="331"/>
        <v>89</v>
      </c>
      <c r="U177" s="666">
        <f t="shared" si="332"/>
        <v>3638</v>
      </c>
      <c r="V177" s="666">
        <v>2422</v>
      </c>
      <c r="W177" s="666">
        <v>162</v>
      </c>
      <c r="X177" s="666"/>
      <c r="Y177" s="666">
        <f t="shared" ref="Y177:Y185" si="343">Z177-BM177</f>
        <v>28.700000000000017</v>
      </c>
      <c r="Z177" s="666">
        <f>(V177-25)*10%</f>
        <v>239.70000000000002</v>
      </c>
      <c r="AA177" s="666">
        <v>192</v>
      </c>
      <c r="AB177" s="666">
        <f t="shared" si="333"/>
        <v>221</v>
      </c>
      <c r="AC177" s="666">
        <f t="shared" si="334"/>
        <v>2363</v>
      </c>
      <c r="AD177" s="666">
        <v>66</v>
      </c>
      <c r="AE177" s="666">
        <v>1300</v>
      </c>
      <c r="AF177" s="666"/>
      <c r="AG177" s="666"/>
      <c r="AH177" s="666">
        <f>126+2</f>
        <v>128</v>
      </c>
      <c r="AI177" s="666"/>
      <c r="AJ177" s="666"/>
      <c r="AK177" s="666"/>
      <c r="AL177" s="664"/>
      <c r="AM177" s="772" t="e">
        <f>#REF!</f>
        <v>#REF!</v>
      </c>
      <c r="AN177" s="610"/>
      <c r="AO177" s="659">
        <v>59</v>
      </c>
      <c r="AP177" s="660" t="s">
        <v>619</v>
      </c>
      <c r="AQ177" s="661">
        <f t="shared" si="335"/>
        <v>37</v>
      </c>
      <c r="AR177" s="661">
        <f t="shared" si="336"/>
        <v>33</v>
      </c>
      <c r="AS177" s="661">
        <v>33</v>
      </c>
      <c r="AT177" s="661"/>
      <c r="AU177" s="661">
        <v>31</v>
      </c>
      <c r="AV177" s="661"/>
      <c r="AW177" s="661">
        <v>4</v>
      </c>
      <c r="AX177" s="661">
        <v>4</v>
      </c>
      <c r="AY177" s="796">
        <f t="shared" si="337"/>
        <v>6009</v>
      </c>
      <c r="AZ177" s="670">
        <f>1799+73+478+421+145+34+36</f>
        <v>2986</v>
      </c>
      <c r="BA177" s="666">
        <v>700</v>
      </c>
      <c r="BB177" s="666">
        <v>191</v>
      </c>
      <c r="BC177" s="666"/>
      <c r="BD177" s="666"/>
      <c r="BE177" s="666">
        <f t="shared" si="315"/>
        <v>89.100000000000009</v>
      </c>
      <c r="BF177" s="667">
        <f t="shared" si="338"/>
        <v>89</v>
      </c>
      <c r="BG177" s="666">
        <f>(AZ177+BA177+BB177+BC177)-BF177</f>
        <v>3788</v>
      </c>
      <c r="BH177" s="666">
        <f>2052+25+40+20</f>
        <v>2137</v>
      </c>
      <c r="BI177" s="666"/>
      <c r="BJ177" s="666">
        <v>248</v>
      </c>
      <c r="BK177" s="666"/>
      <c r="BL177" s="666">
        <f>(BH177-25)*10%</f>
        <v>211.20000000000002</v>
      </c>
      <c r="BM177" s="667">
        <f>ROUND(BL177,0)</f>
        <v>211</v>
      </c>
      <c r="BN177" s="666">
        <f t="shared" si="339"/>
        <v>2174</v>
      </c>
      <c r="BO177" s="666">
        <v>47</v>
      </c>
      <c r="BP177" s="666"/>
      <c r="BQ177" s="666"/>
      <c r="BR177" s="666"/>
      <c r="BS177" s="666">
        <v>101</v>
      </c>
      <c r="BT177" s="666"/>
      <c r="BU177" s="666"/>
      <c r="BV177" s="666"/>
      <c r="BW177" s="662"/>
      <c r="BY177" s="1378"/>
      <c r="BZ177" s="1378"/>
      <c r="CA177" s="1352">
        <v>56</v>
      </c>
      <c r="CB177" s="1352" t="s">
        <v>619</v>
      </c>
      <c r="CC177" s="1352">
        <v>32</v>
      </c>
      <c r="CD177" s="1352">
        <v>29</v>
      </c>
      <c r="CE177" s="1352">
        <v>29</v>
      </c>
      <c r="CF177" s="1352"/>
      <c r="CG177" s="1352">
        <v>29</v>
      </c>
      <c r="CH177" s="1352"/>
      <c r="CI177" s="1352">
        <v>3</v>
      </c>
      <c r="CJ177" s="1352">
        <v>3</v>
      </c>
      <c r="CK177" s="1353">
        <v>7365</v>
      </c>
      <c r="CL177" s="1353">
        <v>2944</v>
      </c>
      <c r="CM177" s="1354">
        <v>592</v>
      </c>
      <c r="CN177" s="1354">
        <v>191</v>
      </c>
      <c r="CO177" s="1354"/>
      <c r="CP177" s="1354"/>
      <c r="CQ177" s="1354"/>
      <c r="CR177" s="1354">
        <v>89</v>
      </c>
      <c r="CS177" s="1354">
        <v>89</v>
      </c>
      <c r="CT177" s="1353">
        <v>3638</v>
      </c>
      <c r="CU177" s="1353">
        <v>2422</v>
      </c>
      <c r="CV177" s="1353">
        <v>162</v>
      </c>
      <c r="CW177" s="1353"/>
      <c r="CX177" s="1353">
        <v>31.200000000000017</v>
      </c>
      <c r="CY177" s="1353">
        <v>242.20000000000002</v>
      </c>
      <c r="CZ177" s="1353">
        <v>192</v>
      </c>
      <c r="DA177" s="1353">
        <v>223</v>
      </c>
      <c r="DB177" s="1353">
        <v>2361</v>
      </c>
      <c r="DC177" s="1353">
        <v>66</v>
      </c>
      <c r="DD177" s="1353">
        <v>1300</v>
      </c>
      <c r="DE177" s="1353"/>
      <c r="DF177" s="1353"/>
      <c r="DG177" s="1353">
        <v>128</v>
      </c>
      <c r="DH177" s="1353"/>
      <c r="DI177" s="1353"/>
      <c r="DJ177" s="1353"/>
      <c r="DK177" s="1353"/>
      <c r="DT177" s="659">
        <v>56</v>
      </c>
      <c r="DU177" s="660" t="s">
        <v>619</v>
      </c>
      <c r="DV177" s="777">
        <f t="shared" si="340"/>
        <v>2</v>
      </c>
      <c r="DW177" s="777">
        <f t="shared" si="340"/>
        <v>0</v>
      </c>
      <c r="DX177" s="777">
        <f t="shared" si="340"/>
        <v>0</v>
      </c>
      <c r="DY177" s="777">
        <f t="shared" si="340"/>
        <v>0</v>
      </c>
      <c r="DZ177" s="777">
        <f t="shared" si="340"/>
        <v>0</v>
      </c>
      <c r="EA177" s="777">
        <f t="shared" si="340"/>
        <v>0</v>
      </c>
      <c r="EB177" s="777">
        <f t="shared" si="340"/>
        <v>0</v>
      </c>
      <c r="EC177" s="777">
        <f t="shared" si="340"/>
        <v>0</v>
      </c>
      <c r="ED177" s="777">
        <f t="shared" si="340"/>
        <v>0</v>
      </c>
      <c r="EE177" s="777">
        <f t="shared" si="340"/>
        <v>0</v>
      </c>
      <c r="EF177" s="777">
        <f t="shared" si="340"/>
        <v>0</v>
      </c>
      <c r="EG177" s="777">
        <f t="shared" si="340"/>
        <v>0</v>
      </c>
      <c r="EH177" s="777">
        <f t="shared" si="340"/>
        <v>0</v>
      </c>
      <c r="EI177" s="777">
        <f t="shared" si="340"/>
        <v>-2.5</v>
      </c>
      <c r="EJ177" s="777">
        <f t="shared" si="340"/>
        <v>-2.5</v>
      </c>
      <c r="EK177" s="777">
        <f t="shared" si="340"/>
        <v>0</v>
      </c>
      <c r="EL177" s="777">
        <f t="shared" si="341"/>
        <v>-2</v>
      </c>
      <c r="EM177" s="777">
        <f t="shared" si="341"/>
        <v>2</v>
      </c>
      <c r="EN177" s="777">
        <f t="shared" si="341"/>
        <v>0</v>
      </c>
      <c r="EO177" s="777">
        <f t="shared" si="341"/>
        <v>0</v>
      </c>
      <c r="EP177" s="777">
        <f t="shared" si="341"/>
        <v>0</v>
      </c>
      <c r="EQ177" s="777">
        <f t="shared" si="341"/>
        <v>0</v>
      </c>
      <c r="ER177" s="777">
        <f t="shared" si="341"/>
        <v>0</v>
      </c>
      <c r="ES177" s="777">
        <f t="shared" si="341"/>
        <v>0</v>
      </c>
      <c r="ET177" s="777">
        <f t="shared" si="341"/>
        <v>0</v>
      </c>
      <c r="EU177" s="777">
        <f t="shared" si="341"/>
        <v>0</v>
      </c>
      <c r="EV177" s="777">
        <f t="shared" si="341"/>
        <v>0</v>
      </c>
    </row>
    <row r="178" spans="1:152" s="797" customFormat="1" ht="23.25" customHeight="1">
      <c r="A178" s="659">
        <v>55</v>
      </c>
      <c r="B178" s="751" t="s">
        <v>443</v>
      </c>
      <c r="C178" s="661">
        <f t="shared" si="328"/>
        <v>56</v>
      </c>
      <c r="D178" s="661">
        <f t="shared" si="329"/>
        <v>53</v>
      </c>
      <c r="E178" s="661">
        <v>53</v>
      </c>
      <c r="F178" s="661"/>
      <c r="G178" s="661">
        <v>53</v>
      </c>
      <c r="H178" s="661"/>
      <c r="I178" s="661">
        <v>3</v>
      </c>
      <c r="J178" s="661">
        <v>3</v>
      </c>
      <c r="K178" s="646">
        <f t="shared" si="272"/>
        <v>8057</v>
      </c>
      <c r="L178" s="716">
        <f t="shared" si="330"/>
        <v>8157</v>
      </c>
      <c r="M178" s="666">
        <v>6172</v>
      </c>
      <c r="N178" s="666">
        <f>1215-25</f>
        <v>1190</v>
      </c>
      <c r="O178" s="666">
        <v>135</v>
      </c>
      <c r="P178" s="666"/>
      <c r="Q178" s="666"/>
      <c r="R178" s="666"/>
      <c r="S178" s="666">
        <v>192</v>
      </c>
      <c r="T178" s="666">
        <f t="shared" si="331"/>
        <v>192</v>
      </c>
      <c r="U178" s="666">
        <f t="shared" si="332"/>
        <v>7305</v>
      </c>
      <c r="V178" s="666">
        <f>557</f>
        <v>557</v>
      </c>
      <c r="W178" s="666">
        <v>260</v>
      </c>
      <c r="X178" s="666"/>
      <c r="Y178" s="666">
        <f t="shared" si="343"/>
        <v>6.1000000000000014</v>
      </c>
      <c r="Z178" s="666">
        <f>(V178-67-9)*10%</f>
        <v>48.1</v>
      </c>
      <c r="AA178" s="666">
        <v>59</v>
      </c>
      <c r="AB178" s="666">
        <f t="shared" si="333"/>
        <v>65</v>
      </c>
      <c r="AC178" s="666">
        <f t="shared" si="334"/>
        <v>752</v>
      </c>
      <c r="AD178" s="666">
        <v>100</v>
      </c>
      <c r="AE178" s="666"/>
      <c r="AF178" s="666"/>
      <c r="AG178" s="666"/>
      <c r="AH178" s="666"/>
      <c r="AI178" s="666">
        <v>600</v>
      </c>
      <c r="AJ178" s="666"/>
      <c r="AK178" s="666">
        <f>400+5000</f>
        <v>5400</v>
      </c>
      <c r="AL178" s="669"/>
      <c r="AM178" s="662"/>
      <c r="AN178" s="610"/>
      <c r="AO178" s="659">
        <v>60</v>
      </c>
      <c r="AP178" s="751" t="s">
        <v>443</v>
      </c>
      <c r="AQ178" s="661">
        <f t="shared" si="335"/>
        <v>62</v>
      </c>
      <c r="AR178" s="661">
        <f t="shared" si="336"/>
        <v>58</v>
      </c>
      <c r="AS178" s="661">
        <v>58</v>
      </c>
      <c r="AT178" s="661"/>
      <c r="AU178" s="661">
        <v>51</v>
      </c>
      <c r="AV178" s="661"/>
      <c r="AW178" s="661">
        <v>4</v>
      </c>
      <c r="AX178" s="661">
        <v>3</v>
      </c>
      <c r="AY178" s="666">
        <f t="shared" si="337"/>
        <v>10548</v>
      </c>
      <c r="AZ178" s="670">
        <f>5525+195</f>
        <v>5720</v>
      </c>
      <c r="BA178" s="666">
        <f>1450-450</f>
        <v>1000</v>
      </c>
      <c r="BB178" s="666">
        <v>450</v>
      </c>
      <c r="BC178" s="666"/>
      <c r="BD178" s="666"/>
      <c r="BE178" s="666">
        <f t="shared" si="315"/>
        <v>145</v>
      </c>
      <c r="BF178" s="667">
        <f t="shared" si="338"/>
        <v>145</v>
      </c>
      <c r="BG178" s="666">
        <f>(AZ178+BA178+BB178+BC178)-BF178</f>
        <v>7025</v>
      </c>
      <c r="BH178" s="666">
        <f>449+2678-2678</f>
        <v>449</v>
      </c>
      <c r="BI178" s="666">
        <f>2341-1641</f>
        <v>700</v>
      </c>
      <c r="BJ178" s="666">
        <v>140</v>
      </c>
      <c r="BK178" s="666"/>
      <c r="BL178" s="666">
        <f>(BH178-26)*10%</f>
        <v>42.300000000000004</v>
      </c>
      <c r="BM178" s="667">
        <f>ROUND(BL178,0)</f>
        <v>42</v>
      </c>
      <c r="BN178" s="666">
        <f t="shared" si="339"/>
        <v>1247</v>
      </c>
      <c r="BO178" s="666">
        <v>100</v>
      </c>
      <c r="BP178" s="666">
        <f>3594-1418</f>
        <v>2176</v>
      </c>
      <c r="BQ178" s="666"/>
      <c r="BR178" s="666"/>
      <c r="BS178" s="666"/>
      <c r="BT178" s="666">
        <v>400</v>
      </c>
      <c r="BU178" s="666"/>
      <c r="BV178" s="666"/>
      <c r="BW178" s="662"/>
      <c r="BY178" s="1378"/>
      <c r="BZ178" s="1378"/>
      <c r="CA178" s="1352">
        <v>57</v>
      </c>
      <c r="CB178" s="1352" t="s">
        <v>443</v>
      </c>
      <c r="CC178" s="1352">
        <v>57</v>
      </c>
      <c r="CD178" s="1352">
        <v>54</v>
      </c>
      <c r="CE178" s="1352">
        <v>54</v>
      </c>
      <c r="CF178" s="1352"/>
      <c r="CG178" s="1352">
        <v>54</v>
      </c>
      <c r="CH178" s="1352"/>
      <c r="CI178" s="1352">
        <v>3</v>
      </c>
      <c r="CJ178" s="1352">
        <v>3</v>
      </c>
      <c r="CK178" s="1353">
        <v>8271</v>
      </c>
      <c r="CL178" s="1353">
        <v>6261</v>
      </c>
      <c r="CM178" s="1354">
        <v>1215</v>
      </c>
      <c r="CN178" s="1354">
        <v>135</v>
      </c>
      <c r="CO178" s="1354"/>
      <c r="CP178" s="1354"/>
      <c r="CQ178" s="1354"/>
      <c r="CR178" s="1354">
        <v>192</v>
      </c>
      <c r="CS178" s="1354">
        <v>192</v>
      </c>
      <c r="CT178" s="1353">
        <v>7419</v>
      </c>
      <c r="CU178" s="1353">
        <v>557</v>
      </c>
      <c r="CV178" s="1353">
        <v>260</v>
      </c>
      <c r="CW178" s="1353"/>
      <c r="CX178" s="1353">
        <v>6.1000000000000014</v>
      </c>
      <c r="CY178" s="1353">
        <v>48.1</v>
      </c>
      <c r="CZ178" s="1353">
        <v>59</v>
      </c>
      <c r="DA178" s="1353">
        <v>65</v>
      </c>
      <c r="DB178" s="1353">
        <v>752</v>
      </c>
      <c r="DC178" s="1353">
        <v>100</v>
      </c>
      <c r="DD178" s="1353"/>
      <c r="DE178" s="1353"/>
      <c r="DF178" s="1353"/>
      <c r="DG178" s="1353"/>
      <c r="DH178" s="1353"/>
      <c r="DI178" s="1353"/>
      <c r="DJ178" s="1353"/>
      <c r="DK178" s="1353"/>
      <c r="DT178" s="659">
        <v>57</v>
      </c>
      <c r="DU178" s="751" t="s">
        <v>443</v>
      </c>
      <c r="DV178" s="777">
        <f t="shared" si="340"/>
        <v>-114</v>
      </c>
      <c r="DW178" s="777">
        <f t="shared" si="340"/>
        <v>-89</v>
      </c>
      <c r="DX178" s="777">
        <f t="shared" si="340"/>
        <v>-25</v>
      </c>
      <c r="DY178" s="777">
        <f t="shared" si="340"/>
        <v>0</v>
      </c>
      <c r="DZ178" s="777">
        <f t="shared" si="340"/>
        <v>0</v>
      </c>
      <c r="EA178" s="777">
        <f t="shared" si="340"/>
        <v>0</v>
      </c>
      <c r="EB178" s="777">
        <f t="shared" si="340"/>
        <v>0</v>
      </c>
      <c r="EC178" s="777">
        <f t="shared" si="340"/>
        <v>0</v>
      </c>
      <c r="ED178" s="777">
        <f t="shared" si="340"/>
        <v>0</v>
      </c>
      <c r="EE178" s="777">
        <f t="shared" si="340"/>
        <v>-114</v>
      </c>
      <c r="EF178" s="777">
        <f t="shared" si="340"/>
        <v>0</v>
      </c>
      <c r="EG178" s="777">
        <f t="shared" si="340"/>
        <v>0</v>
      </c>
      <c r="EH178" s="777">
        <f t="shared" si="340"/>
        <v>0</v>
      </c>
      <c r="EI178" s="777">
        <f t="shared" si="340"/>
        <v>0</v>
      </c>
      <c r="EJ178" s="777">
        <f t="shared" si="340"/>
        <v>0</v>
      </c>
      <c r="EK178" s="777">
        <f t="shared" si="340"/>
        <v>0</v>
      </c>
      <c r="EL178" s="777">
        <f t="shared" si="341"/>
        <v>0</v>
      </c>
      <c r="EM178" s="777">
        <f t="shared" si="341"/>
        <v>0</v>
      </c>
      <c r="EN178" s="777">
        <f t="shared" si="341"/>
        <v>0</v>
      </c>
      <c r="EO178" s="777">
        <f t="shared" si="341"/>
        <v>0</v>
      </c>
      <c r="EP178" s="777">
        <f t="shared" si="341"/>
        <v>0</v>
      </c>
      <c r="EQ178" s="777">
        <f t="shared" si="341"/>
        <v>0</v>
      </c>
      <c r="ER178" s="777">
        <f t="shared" si="341"/>
        <v>0</v>
      </c>
      <c r="ES178" s="777">
        <f t="shared" si="341"/>
        <v>600</v>
      </c>
      <c r="ET178" s="777">
        <f t="shared" si="341"/>
        <v>0</v>
      </c>
      <c r="EU178" s="777">
        <f t="shared" si="341"/>
        <v>5400</v>
      </c>
      <c r="EV178" s="777">
        <f t="shared" si="341"/>
        <v>0</v>
      </c>
    </row>
    <row r="179" spans="1:152" ht="22.5" customHeight="1">
      <c r="A179" s="659">
        <v>56</v>
      </c>
      <c r="B179" s="660" t="s">
        <v>620</v>
      </c>
      <c r="C179" s="661">
        <f t="shared" si="328"/>
        <v>36</v>
      </c>
      <c r="D179" s="661">
        <f t="shared" si="329"/>
        <v>32</v>
      </c>
      <c r="E179" s="661">
        <f>28+4</f>
        <v>32</v>
      </c>
      <c r="F179" s="661"/>
      <c r="G179" s="661">
        <v>25</v>
      </c>
      <c r="H179" s="661"/>
      <c r="I179" s="661">
        <f>3+1</f>
        <v>4</v>
      </c>
      <c r="J179" s="661">
        <f>3+1</f>
        <v>4</v>
      </c>
      <c r="K179" s="646">
        <f t="shared" si="272"/>
        <v>5471</v>
      </c>
      <c r="L179" s="716">
        <f t="shared" si="330"/>
        <v>5491</v>
      </c>
      <c r="M179" s="662">
        <f>3185-114+600</f>
        <v>3671</v>
      </c>
      <c r="N179" s="662">
        <f>918-54</f>
        <v>864</v>
      </c>
      <c r="O179" s="662"/>
      <c r="P179" s="662"/>
      <c r="Q179" s="662"/>
      <c r="R179" s="666">
        <f>((N179+O179)-(BA179+BB179))*10%</f>
        <v>8.1</v>
      </c>
      <c r="S179" s="666">
        <v>91</v>
      </c>
      <c r="T179" s="666">
        <f t="shared" si="331"/>
        <v>99</v>
      </c>
      <c r="U179" s="666">
        <f t="shared" si="332"/>
        <v>4436</v>
      </c>
      <c r="V179" s="662">
        <f>190+439</f>
        <v>629</v>
      </c>
      <c r="W179" s="662">
        <f>450+6</f>
        <v>456</v>
      </c>
      <c r="X179" s="662"/>
      <c r="Y179" s="666">
        <f t="shared" si="343"/>
        <v>49.900000000000006</v>
      </c>
      <c r="Z179" s="666">
        <f>(V179)*10%</f>
        <v>62.900000000000006</v>
      </c>
      <c r="AA179" s="666"/>
      <c r="AB179" s="666">
        <f t="shared" si="333"/>
        <v>50</v>
      </c>
      <c r="AC179" s="666">
        <f t="shared" si="334"/>
        <v>1035</v>
      </c>
      <c r="AD179" s="662">
        <v>20</v>
      </c>
      <c r="AE179" s="662"/>
      <c r="AF179" s="662"/>
      <c r="AG179" s="662">
        <v>55</v>
      </c>
      <c r="AH179" s="662">
        <v>100</v>
      </c>
      <c r="AI179" s="662">
        <v>500</v>
      </c>
      <c r="AJ179" s="802"/>
      <c r="AK179" s="662">
        <f>200+19000</f>
        <v>19200</v>
      </c>
      <c r="AL179" s="662"/>
      <c r="AN179" s="608"/>
      <c r="AO179" s="659">
        <v>61</v>
      </c>
      <c r="AP179" s="660" t="s">
        <v>620</v>
      </c>
      <c r="AQ179" s="661">
        <f t="shared" si="335"/>
        <v>32</v>
      </c>
      <c r="AR179" s="661">
        <f t="shared" si="336"/>
        <v>29</v>
      </c>
      <c r="AS179" s="661">
        <v>29</v>
      </c>
      <c r="AT179" s="661"/>
      <c r="AU179" s="661">
        <v>26</v>
      </c>
      <c r="AV179" s="661"/>
      <c r="AW179" s="661">
        <v>3</v>
      </c>
      <c r="AX179" s="661">
        <v>3</v>
      </c>
      <c r="AY179" s="662">
        <f t="shared" si="337"/>
        <v>3991</v>
      </c>
      <c r="AZ179" s="662">
        <v>3005</v>
      </c>
      <c r="BA179" s="662">
        <v>680</v>
      </c>
      <c r="BB179" s="662">
        <f>103</f>
        <v>103</v>
      </c>
      <c r="BC179" s="662"/>
      <c r="BD179" s="662"/>
      <c r="BE179" s="666">
        <f t="shared" si="315"/>
        <v>78.300000000000011</v>
      </c>
      <c r="BF179" s="666">
        <f t="shared" si="338"/>
        <v>78</v>
      </c>
      <c r="BG179" s="666">
        <f t="shared" si="342"/>
        <v>3710</v>
      </c>
      <c r="BH179" s="662">
        <v>130</v>
      </c>
      <c r="BI179" s="662"/>
      <c r="BJ179" s="662">
        <v>124</v>
      </c>
      <c r="BK179" s="662"/>
      <c r="BL179" s="666">
        <f>BH179*10%</f>
        <v>13</v>
      </c>
      <c r="BM179" s="666">
        <f t="shared" ref="BM179:BM185" si="344">ROUND(BL179,0)</f>
        <v>13</v>
      </c>
      <c r="BN179" s="666">
        <f t="shared" si="339"/>
        <v>241</v>
      </c>
      <c r="BO179" s="662">
        <v>40</v>
      </c>
      <c r="BP179" s="662"/>
      <c r="BQ179" s="662"/>
      <c r="BR179" s="662">
        <v>44</v>
      </c>
      <c r="BS179" s="662">
        <v>100</v>
      </c>
      <c r="BT179" s="662"/>
      <c r="BU179" s="802"/>
      <c r="BV179" s="802"/>
      <c r="BW179" s="662"/>
      <c r="BY179" s="625"/>
      <c r="BZ179" s="625"/>
      <c r="CA179" s="775">
        <v>58</v>
      </c>
      <c r="CB179" s="775" t="s">
        <v>620</v>
      </c>
      <c r="CC179" s="775">
        <v>31</v>
      </c>
      <c r="CD179" s="775">
        <v>28</v>
      </c>
      <c r="CE179" s="775">
        <v>28</v>
      </c>
      <c r="CF179" s="775"/>
      <c r="CG179" s="775">
        <v>25</v>
      </c>
      <c r="CH179" s="775"/>
      <c r="CI179" s="775">
        <v>3</v>
      </c>
      <c r="CJ179" s="775">
        <v>3</v>
      </c>
      <c r="CK179" s="1379">
        <v>4652</v>
      </c>
      <c r="CL179" s="1379">
        <v>3185</v>
      </c>
      <c r="CM179" s="796">
        <v>918</v>
      </c>
      <c r="CN179" s="796"/>
      <c r="CO179" s="796"/>
      <c r="CP179" s="796"/>
      <c r="CQ179" s="796">
        <v>13.5</v>
      </c>
      <c r="CR179" s="796">
        <v>91</v>
      </c>
      <c r="CS179" s="796">
        <v>105</v>
      </c>
      <c r="CT179" s="1379">
        <v>3998</v>
      </c>
      <c r="CU179" s="1379">
        <v>190</v>
      </c>
      <c r="CV179" s="1379">
        <v>450</v>
      </c>
      <c r="CW179" s="1379"/>
      <c r="CX179" s="1379">
        <v>6</v>
      </c>
      <c r="CY179" s="1379">
        <v>19</v>
      </c>
      <c r="CZ179" s="1379"/>
      <c r="DA179" s="1379">
        <v>6</v>
      </c>
      <c r="DB179" s="1379">
        <v>634</v>
      </c>
      <c r="DC179" s="1379">
        <v>20</v>
      </c>
      <c r="DD179" s="1379"/>
      <c r="DE179" s="1379"/>
      <c r="DF179" s="1379"/>
      <c r="DG179" s="1379"/>
      <c r="DH179" s="1379"/>
      <c r="DI179" s="1379"/>
      <c r="DJ179" s="1379"/>
      <c r="DK179" s="1379"/>
      <c r="DT179" s="659">
        <v>58</v>
      </c>
      <c r="DU179" s="660" t="s">
        <v>620</v>
      </c>
      <c r="DV179" s="777">
        <f t="shared" si="340"/>
        <v>839</v>
      </c>
      <c r="DW179" s="777">
        <f t="shared" si="340"/>
        <v>486</v>
      </c>
      <c r="DX179" s="777">
        <f t="shared" si="340"/>
        <v>-54</v>
      </c>
      <c r="DY179" s="777">
        <f t="shared" si="340"/>
        <v>0</v>
      </c>
      <c r="DZ179" s="777">
        <f t="shared" si="340"/>
        <v>0</v>
      </c>
      <c r="EA179" s="777">
        <f t="shared" si="340"/>
        <v>0</v>
      </c>
      <c r="EB179" s="777">
        <f t="shared" si="340"/>
        <v>-5.4</v>
      </c>
      <c r="EC179" s="777">
        <f t="shared" si="340"/>
        <v>0</v>
      </c>
      <c r="ED179" s="777">
        <f t="shared" si="340"/>
        <v>-6</v>
      </c>
      <c r="EE179" s="777">
        <f t="shared" si="340"/>
        <v>438</v>
      </c>
      <c r="EF179" s="777">
        <f t="shared" si="340"/>
        <v>439</v>
      </c>
      <c r="EG179" s="777">
        <f t="shared" si="340"/>
        <v>6</v>
      </c>
      <c r="EH179" s="777">
        <f t="shared" si="340"/>
        <v>0</v>
      </c>
      <c r="EI179" s="777">
        <f t="shared" si="340"/>
        <v>43.900000000000006</v>
      </c>
      <c r="EJ179" s="777">
        <f t="shared" si="340"/>
        <v>43.900000000000006</v>
      </c>
      <c r="EK179" s="777">
        <f t="shared" si="340"/>
        <v>0</v>
      </c>
      <c r="EL179" s="777">
        <f t="shared" si="341"/>
        <v>44</v>
      </c>
      <c r="EM179" s="777">
        <f t="shared" si="341"/>
        <v>401</v>
      </c>
      <c r="EN179" s="777">
        <f t="shared" si="341"/>
        <v>0</v>
      </c>
      <c r="EO179" s="777">
        <f t="shared" si="341"/>
        <v>0</v>
      </c>
      <c r="EP179" s="777">
        <f t="shared" si="341"/>
        <v>0</v>
      </c>
      <c r="EQ179" s="777">
        <f t="shared" si="341"/>
        <v>55</v>
      </c>
      <c r="ER179" s="777">
        <f t="shared" si="341"/>
        <v>100</v>
      </c>
      <c r="ES179" s="777">
        <f t="shared" si="341"/>
        <v>500</v>
      </c>
      <c r="ET179" s="777">
        <f t="shared" si="341"/>
        <v>0</v>
      </c>
      <c r="EU179" s="777">
        <f t="shared" si="341"/>
        <v>19200</v>
      </c>
      <c r="EV179" s="777">
        <f t="shared" si="341"/>
        <v>0</v>
      </c>
    </row>
    <row r="180" spans="1:152" ht="23.25" customHeight="1">
      <c r="A180" s="659">
        <v>57</v>
      </c>
      <c r="B180" s="660" t="s">
        <v>621</v>
      </c>
      <c r="C180" s="661">
        <f t="shared" si="328"/>
        <v>53</v>
      </c>
      <c r="D180" s="661">
        <f t="shared" si="329"/>
        <v>50</v>
      </c>
      <c r="E180" s="661">
        <v>50</v>
      </c>
      <c r="F180" s="661"/>
      <c r="G180" s="661">
        <v>50</v>
      </c>
      <c r="H180" s="661"/>
      <c r="I180" s="661">
        <v>3</v>
      </c>
      <c r="J180" s="661">
        <v>3</v>
      </c>
      <c r="K180" s="646">
        <f t="shared" si="272"/>
        <v>7272</v>
      </c>
      <c r="L180" s="662">
        <f t="shared" si="330"/>
        <v>7272</v>
      </c>
      <c r="M180" s="666">
        <f>6114-48</f>
        <v>6066</v>
      </c>
      <c r="N180" s="666">
        <f>1000-25</f>
        <v>975</v>
      </c>
      <c r="O180" s="666">
        <v>275</v>
      </c>
      <c r="P180" s="666"/>
      <c r="Q180" s="666"/>
      <c r="R180" s="666"/>
      <c r="S180" s="666">
        <v>181</v>
      </c>
      <c r="T180" s="666">
        <f t="shared" si="331"/>
        <v>181</v>
      </c>
      <c r="U180" s="666">
        <f t="shared" si="332"/>
        <v>7135</v>
      </c>
      <c r="V180" s="666">
        <v>139</v>
      </c>
      <c r="W180" s="666">
        <f>598-598</f>
        <v>0</v>
      </c>
      <c r="X180" s="666"/>
      <c r="Y180" s="666">
        <f t="shared" si="343"/>
        <v>1.9000000000000004</v>
      </c>
      <c r="Z180" s="666">
        <f t="shared" ref="Z180:Z185" si="345">V180*10%</f>
        <v>13.9</v>
      </c>
      <c r="AA180" s="666"/>
      <c r="AB180" s="666">
        <f t="shared" si="333"/>
        <v>2</v>
      </c>
      <c r="AC180" s="666">
        <f t="shared" si="334"/>
        <v>137</v>
      </c>
      <c r="AD180" s="666"/>
      <c r="AE180" s="666"/>
      <c r="AF180" s="666"/>
      <c r="AG180" s="666"/>
      <c r="AH180" s="666"/>
      <c r="AI180" s="666"/>
      <c r="AJ180" s="666"/>
      <c r="AK180" s="666">
        <v>175</v>
      </c>
      <c r="AL180" s="669"/>
      <c r="AN180" s="610"/>
      <c r="AO180" s="659">
        <v>62</v>
      </c>
      <c r="AP180" s="660" t="s">
        <v>621</v>
      </c>
      <c r="AQ180" s="661">
        <f t="shared" si="335"/>
        <v>57</v>
      </c>
      <c r="AR180" s="661">
        <f t="shared" si="336"/>
        <v>54</v>
      </c>
      <c r="AS180" s="661">
        <v>54</v>
      </c>
      <c r="AT180" s="661"/>
      <c r="AU180" s="661">
        <v>51</v>
      </c>
      <c r="AV180" s="661"/>
      <c r="AW180" s="661">
        <v>3</v>
      </c>
      <c r="AX180" s="661">
        <v>3</v>
      </c>
      <c r="AY180" s="666">
        <f t="shared" si="337"/>
        <v>7574</v>
      </c>
      <c r="AZ180" s="670">
        <v>5754</v>
      </c>
      <c r="BA180" s="666">
        <v>1000</v>
      </c>
      <c r="BB180" s="666">
        <v>350</v>
      </c>
      <c r="BC180" s="666"/>
      <c r="BD180" s="666"/>
      <c r="BE180" s="666">
        <f t="shared" si="315"/>
        <v>135</v>
      </c>
      <c r="BF180" s="667">
        <f t="shared" si="338"/>
        <v>135</v>
      </c>
      <c r="BG180" s="666">
        <f t="shared" si="342"/>
        <v>6969</v>
      </c>
      <c r="BH180" s="666">
        <f>47+30+40</f>
        <v>117</v>
      </c>
      <c r="BI180" s="666">
        <f>197+303</f>
        <v>500</v>
      </c>
      <c r="BJ180" s="666"/>
      <c r="BK180" s="666"/>
      <c r="BL180" s="666">
        <f>BH180*10%</f>
        <v>11.700000000000001</v>
      </c>
      <c r="BM180" s="667">
        <f t="shared" si="344"/>
        <v>12</v>
      </c>
      <c r="BN180" s="666">
        <f t="shared" si="339"/>
        <v>605</v>
      </c>
      <c r="BO180" s="666"/>
      <c r="BP180" s="666"/>
      <c r="BQ180" s="666"/>
      <c r="BR180" s="666"/>
      <c r="BS180" s="666"/>
      <c r="BT180" s="666"/>
      <c r="BU180" s="666"/>
      <c r="BV180" s="666"/>
      <c r="BW180" s="666"/>
      <c r="CA180" s="1352">
        <v>59</v>
      </c>
      <c r="CB180" s="1352" t="s">
        <v>621</v>
      </c>
      <c r="CC180" s="1352">
        <v>54</v>
      </c>
      <c r="CD180" s="1352">
        <v>51</v>
      </c>
      <c r="CE180" s="1352">
        <v>51</v>
      </c>
      <c r="CF180" s="1352"/>
      <c r="CG180" s="1352">
        <v>50</v>
      </c>
      <c r="CH180" s="1352"/>
      <c r="CI180" s="1352">
        <v>3</v>
      </c>
      <c r="CJ180" s="1352">
        <v>3</v>
      </c>
      <c r="CK180" s="1353">
        <v>7345</v>
      </c>
      <c r="CL180" s="1353">
        <v>6114</v>
      </c>
      <c r="CM180" s="1354">
        <v>1000</v>
      </c>
      <c r="CN180" s="1354">
        <v>275</v>
      </c>
      <c r="CO180" s="1354"/>
      <c r="CP180" s="1354"/>
      <c r="CQ180" s="1354"/>
      <c r="CR180" s="1354">
        <v>181</v>
      </c>
      <c r="CS180" s="1354">
        <v>181</v>
      </c>
      <c r="CT180" s="1353">
        <v>7208</v>
      </c>
      <c r="CU180" s="1353">
        <v>139</v>
      </c>
      <c r="CV180" s="1353">
        <v>0</v>
      </c>
      <c r="CW180" s="1353"/>
      <c r="CX180" s="1353">
        <v>1.9000000000000004</v>
      </c>
      <c r="CY180" s="1353">
        <v>13.9</v>
      </c>
      <c r="CZ180" s="1353"/>
      <c r="DA180" s="1353">
        <v>2</v>
      </c>
      <c r="DB180" s="1353">
        <v>137</v>
      </c>
      <c r="DC180" s="1353"/>
      <c r="DD180" s="1353"/>
      <c r="DE180" s="1353"/>
      <c r="DF180" s="1353"/>
      <c r="DG180" s="1353"/>
      <c r="DH180" s="1353"/>
      <c r="DI180" s="1353"/>
      <c r="DJ180" s="1353"/>
      <c r="DK180" s="1353"/>
      <c r="DT180" s="659">
        <v>59</v>
      </c>
      <c r="DU180" s="660" t="s">
        <v>621</v>
      </c>
      <c r="DV180" s="777">
        <f t="shared" si="340"/>
        <v>-73</v>
      </c>
      <c r="DW180" s="777">
        <f t="shared" si="340"/>
        <v>-48</v>
      </c>
      <c r="DX180" s="777">
        <f t="shared" si="340"/>
        <v>-25</v>
      </c>
      <c r="DY180" s="777">
        <f t="shared" si="340"/>
        <v>0</v>
      </c>
      <c r="DZ180" s="777">
        <f t="shared" si="340"/>
        <v>0</v>
      </c>
      <c r="EA180" s="777">
        <f t="shared" si="340"/>
        <v>0</v>
      </c>
      <c r="EB180" s="777">
        <f t="shared" si="340"/>
        <v>0</v>
      </c>
      <c r="EC180" s="777">
        <f t="shared" si="340"/>
        <v>0</v>
      </c>
      <c r="ED180" s="777">
        <f t="shared" si="340"/>
        <v>0</v>
      </c>
      <c r="EE180" s="777">
        <f t="shared" si="340"/>
        <v>-73</v>
      </c>
      <c r="EF180" s="777">
        <f t="shared" si="340"/>
        <v>0</v>
      </c>
      <c r="EG180" s="777">
        <f t="shared" si="340"/>
        <v>0</v>
      </c>
      <c r="EH180" s="777">
        <f t="shared" si="340"/>
        <v>0</v>
      </c>
      <c r="EI180" s="777">
        <f t="shared" si="340"/>
        <v>0</v>
      </c>
      <c r="EJ180" s="777">
        <f t="shared" si="340"/>
        <v>0</v>
      </c>
      <c r="EK180" s="777">
        <f t="shared" si="340"/>
        <v>0</v>
      </c>
      <c r="EL180" s="777">
        <f t="shared" si="341"/>
        <v>0</v>
      </c>
      <c r="EM180" s="777">
        <f t="shared" si="341"/>
        <v>0</v>
      </c>
      <c r="EN180" s="777">
        <f t="shared" si="341"/>
        <v>0</v>
      </c>
      <c r="EO180" s="777">
        <f t="shared" si="341"/>
        <v>0</v>
      </c>
      <c r="EP180" s="777">
        <f t="shared" si="341"/>
        <v>0</v>
      </c>
      <c r="EQ180" s="777">
        <f t="shared" si="341"/>
        <v>0</v>
      </c>
      <c r="ER180" s="777">
        <f t="shared" si="341"/>
        <v>0</v>
      </c>
      <c r="ES180" s="777">
        <f t="shared" si="341"/>
        <v>0</v>
      </c>
      <c r="ET180" s="777">
        <f t="shared" si="341"/>
        <v>0</v>
      </c>
      <c r="EU180" s="777">
        <f t="shared" si="341"/>
        <v>175</v>
      </c>
      <c r="EV180" s="777">
        <f t="shared" si="341"/>
        <v>0</v>
      </c>
    </row>
    <row r="181" spans="1:152" ht="24.75" customHeight="1">
      <c r="A181" s="659">
        <v>58</v>
      </c>
      <c r="B181" s="660" t="s">
        <v>622</v>
      </c>
      <c r="C181" s="661">
        <f t="shared" si="328"/>
        <v>35</v>
      </c>
      <c r="D181" s="661">
        <f t="shared" si="329"/>
        <v>31</v>
      </c>
      <c r="E181" s="661">
        <v>31</v>
      </c>
      <c r="F181" s="661"/>
      <c r="G181" s="661">
        <v>32</v>
      </c>
      <c r="H181" s="661"/>
      <c r="I181" s="661">
        <v>4</v>
      </c>
      <c r="J181" s="661">
        <v>4</v>
      </c>
      <c r="K181" s="646">
        <f t="shared" si="272"/>
        <v>14324</v>
      </c>
      <c r="L181" s="662">
        <f t="shared" si="330"/>
        <v>14638</v>
      </c>
      <c r="M181" s="662">
        <f>2975+200</f>
        <v>3175</v>
      </c>
      <c r="N181" s="662">
        <f>864-27</f>
        <v>837</v>
      </c>
      <c r="O181" s="662"/>
      <c r="P181" s="662"/>
      <c r="Q181" s="662"/>
      <c r="R181" s="666">
        <f>((N181+O181)-(BA181+BB181))*10%</f>
        <v>0</v>
      </c>
      <c r="S181" s="666">
        <v>97</v>
      </c>
      <c r="T181" s="666">
        <f t="shared" si="331"/>
        <v>97</v>
      </c>
      <c r="U181" s="666">
        <f t="shared" si="332"/>
        <v>3915</v>
      </c>
      <c r="V181" s="662">
        <f>(200+76+182+328+2345+80+9000+357)-(2345)</f>
        <v>10223</v>
      </c>
      <c r="W181" s="662">
        <f>360</f>
        <v>360</v>
      </c>
      <c r="X181" s="662"/>
      <c r="Y181" s="666">
        <f t="shared" si="343"/>
        <v>62.300000000000011</v>
      </c>
      <c r="Z181" s="666">
        <f>(V181-9000)*10%</f>
        <v>122.30000000000001</v>
      </c>
      <c r="AA181" s="666">
        <v>112</v>
      </c>
      <c r="AB181" s="666">
        <f t="shared" si="333"/>
        <v>174</v>
      </c>
      <c r="AC181" s="666">
        <f t="shared" si="334"/>
        <v>10409</v>
      </c>
      <c r="AD181" s="662">
        <v>314</v>
      </c>
      <c r="AE181" s="662"/>
      <c r="AF181" s="662"/>
      <c r="AG181" s="662">
        <v>1200</v>
      </c>
      <c r="AH181" s="662"/>
      <c r="AI181" s="662">
        <v>850</v>
      </c>
      <c r="AJ181" s="662"/>
      <c r="AK181" s="662"/>
      <c r="AL181" s="664"/>
      <c r="AN181" s="610"/>
      <c r="AO181" s="659">
        <v>63</v>
      </c>
      <c r="AP181" s="660" t="s">
        <v>622</v>
      </c>
      <c r="AQ181" s="661">
        <f>AR181+AW181</f>
        <v>36</v>
      </c>
      <c r="AR181" s="661">
        <f>AS181+AT181</f>
        <v>32</v>
      </c>
      <c r="AS181" s="661">
        <v>32</v>
      </c>
      <c r="AT181" s="661"/>
      <c r="AU181" s="661">
        <v>30</v>
      </c>
      <c r="AV181" s="661"/>
      <c r="AW181" s="661">
        <v>4</v>
      </c>
      <c r="AX181" s="661">
        <v>3</v>
      </c>
      <c r="AY181" s="662">
        <f t="shared" si="337"/>
        <v>9909</v>
      </c>
      <c r="AZ181" s="665">
        <f>2880+51+184</f>
        <v>3115</v>
      </c>
      <c r="BA181" s="662">
        <v>837</v>
      </c>
      <c r="BB181" s="662"/>
      <c r="BC181" s="662"/>
      <c r="BD181" s="662"/>
      <c r="BE181" s="666">
        <f>(BA181+BB181)*10%</f>
        <v>83.7</v>
      </c>
      <c r="BF181" s="667">
        <f t="shared" si="338"/>
        <v>84</v>
      </c>
      <c r="BG181" s="666">
        <f t="shared" si="342"/>
        <v>3868</v>
      </c>
      <c r="BH181" s="662">
        <f>(218+343+8000)+20+20-8000</f>
        <v>601</v>
      </c>
      <c r="BI181" s="662"/>
      <c r="BJ181" s="662">
        <v>3500</v>
      </c>
      <c r="BK181" s="662"/>
      <c r="BL181" s="666">
        <f>(BH181)*10%</f>
        <v>60.1</v>
      </c>
      <c r="BM181" s="667">
        <f t="shared" si="344"/>
        <v>60</v>
      </c>
      <c r="BN181" s="666">
        <f t="shared" si="339"/>
        <v>4041</v>
      </c>
      <c r="BO181" s="662">
        <v>2000</v>
      </c>
      <c r="BP181" s="662"/>
      <c r="BQ181" s="662"/>
      <c r="BR181" s="662">
        <v>400</v>
      </c>
      <c r="BS181" s="662"/>
      <c r="BT181" s="662">
        <v>850</v>
      </c>
      <c r="BU181" s="662"/>
      <c r="BV181" s="662"/>
      <c r="BW181" s="662"/>
      <c r="CA181" s="1352">
        <v>60</v>
      </c>
      <c r="CB181" s="1352" t="s">
        <v>622</v>
      </c>
      <c r="CC181" s="1352">
        <v>36</v>
      </c>
      <c r="CD181" s="1352">
        <v>32</v>
      </c>
      <c r="CE181" s="1352">
        <v>32</v>
      </c>
      <c r="CF181" s="1352"/>
      <c r="CG181" s="1352">
        <v>32</v>
      </c>
      <c r="CH181" s="1352"/>
      <c r="CI181" s="1352">
        <v>4</v>
      </c>
      <c r="CJ181" s="1352">
        <v>4</v>
      </c>
      <c r="CK181" s="1353">
        <v>14758</v>
      </c>
      <c r="CL181" s="1353">
        <v>3271</v>
      </c>
      <c r="CM181" s="1354">
        <v>864</v>
      </c>
      <c r="CN181" s="1354"/>
      <c r="CO181" s="1354"/>
      <c r="CP181" s="1354"/>
      <c r="CQ181" s="1354">
        <v>2.7</v>
      </c>
      <c r="CR181" s="1354">
        <v>97</v>
      </c>
      <c r="CS181" s="1354">
        <v>100</v>
      </c>
      <c r="CT181" s="1353">
        <v>4035</v>
      </c>
      <c r="CU181" s="1353">
        <v>10223</v>
      </c>
      <c r="CV181" s="1353">
        <v>360</v>
      </c>
      <c r="CW181" s="1353"/>
      <c r="CX181" s="1353">
        <v>62.300000000000011</v>
      </c>
      <c r="CY181" s="1353">
        <v>122.30000000000001</v>
      </c>
      <c r="CZ181" s="1353">
        <v>112</v>
      </c>
      <c r="DA181" s="1353">
        <v>174</v>
      </c>
      <c r="DB181" s="1353">
        <v>10409</v>
      </c>
      <c r="DC181" s="1353">
        <v>314</v>
      </c>
      <c r="DD181" s="1353"/>
      <c r="DE181" s="1353"/>
      <c r="DF181" s="1353"/>
      <c r="DG181" s="1353"/>
      <c r="DH181" s="1353"/>
      <c r="DI181" s="1353"/>
      <c r="DJ181" s="1353"/>
      <c r="DK181" s="1353"/>
      <c r="DT181" s="659">
        <v>60</v>
      </c>
      <c r="DU181" s="660" t="s">
        <v>622</v>
      </c>
      <c r="DV181" s="777">
        <f t="shared" si="340"/>
        <v>-120</v>
      </c>
      <c r="DW181" s="777">
        <f t="shared" si="340"/>
        <v>-96</v>
      </c>
      <c r="DX181" s="777">
        <f t="shared" si="340"/>
        <v>-27</v>
      </c>
      <c r="DY181" s="777">
        <f t="shared" si="340"/>
        <v>0</v>
      </c>
      <c r="DZ181" s="777">
        <f t="shared" si="340"/>
        <v>0</v>
      </c>
      <c r="EA181" s="777">
        <f t="shared" si="340"/>
        <v>0</v>
      </c>
      <c r="EB181" s="777">
        <f t="shared" si="340"/>
        <v>-2.7</v>
      </c>
      <c r="EC181" s="777">
        <f t="shared" si="340"/>
        <v>0</v>
      </c>
      <c r="ED181" s="777">
        <f t="shared" si="340"/>
        <v>-3</v>
      </c>
      <c r="EE181" s="777">
        <f t="shared" si="340"/>
        <v>-120</v>
      </c>
      <c r="EF181" s="777">
        <f t="shared" si="340"/>
        <v>0</v>
      </c>
      <c r="EG181" s="777">
        <f t="shared" si="340"/>
        <v>0</v>
      </c>
      <c r="EH181" s="777">
        <f t="shared" si="340"/>
        <v>0</v>
      </c>
      <c r="EI181" s="777">
        <f t="shared" si="340"/>
        <v>0</v>
      </c>
      <c r="EJ181" s="777">
        <f t="shared" si="340"/>
        <v>0</v>
      </c>
      <c r="EK181" s="777">
        <f t="shared" si="340"/>
        <v>0</v>
      </c>
      <c r="EL181" s="777">
        <f t="shared" si="341"/>
        <v>0</v>
      </c>
      <c r="EM181" s="777">
        <f t="shared" si="341"/>
        <v>0</v>
      </c>
      <c r="EN181" s="777">
        <f t="shared" si="341"/>
        <v>0</v>
      </c>
      <c r="EO181" s="777">
        <f t="shared" si="341"/>
        <v>0</v>
      </c>
      <c r="EP181" s="777">
        <f t="shared" si="341"/>
        <v>0</v>
      </c>
      <c r="EQ181" s="777">
        <f t="shared" si="341"/>
        <v>1200</v>
      </c>
      <c r="ER181" s="777">
        <f t="shared" si="341"/>
        <v>0</v>
      </c>
      <c r="ES181" s="777">
        <f t="shared" si="341"/>
        <v>850</v>
      </c>
      <c r="ET181" s="777">
        <f t="shared" si="341"/>
        <v>0</v>
      </c>
      <c r="EU181" s="777">
        <f t="shared" si="341"/>
        <v>0</v>
      </c>
      <c r="EV181" s="777">
        <f t="shared" si="341"/>
        <v>0</v>
      </c>
    </row>
    <row r="182" spans="1:152" s="693" customFormat="1" ht="38.25" customHeight="1">
      <c r="A182" s="682"/>
      <c r="B182" s="803" t="s">
        <v>623</v>
      </c>
      <c r="C182" s="684"/>
      <c r="D182" s="684"/>
      <c r="E182" s="804"/>
      <c r="F182" s="804"/>
      <c r="G182" s="804"/>
      <c r="H182" s="804"/>
      <c r="I182" s="804"/>
      <c r="J182" s="804"/>
      <c r="K182" s="646">
        <f t="shared" si="272"/>
        <v>9000</v>
      </c>
      <c r="L182" s="692">
        <f t="shared" si="330"/>
        <v>9000</v>
      </c>
      <c r="M182" s="692"/>
      <c r="N182" s="692"/>
      <c r="O182" s="805"/>
      <c r="P182" s="805"/>
      <c r="Q182" s="805"/>
      <c r="R182" s="805"/>
      <c r="S182" s="805"/>
      <c r="T182" s="666">
        <f t="shared" si="331"/>
        <v>0</v>
      </c>
      <c r="U182" s="666">
        <f t="shared" si="332"/>
        <v>0</v>
      </c>
      <c r="V182" s="807">
        <v>9000</v>
      </c>
      <c r="W182" s="805"/>
      <c r="X182" s="805"/>
      <c r="Y182" s="666">
        <f t="shared" si="343"/>
        <v>0</v>
      </c>
      <c r="Z182" s="666"/>
      <c r="AA182" s="807"/>
      <c r="AB182" s="666">
        <f t="shared" si="333"/>
        <v>0</v>
      </c>
      <c r="AC182" s="666">
        <f t="shared" si="334"/>
        <v>9000</v>
      </c>
      <c r="AD182" s="805"/>
      <c r="AE182" s="805"/>
      <c r="AF182" s="805"/>
      <c r="AG182" s="805"/>
      <c r="AH182" s="805"/>
      <c r="AI182" s="805"/>
      <c r="AJ182" s="805"/>
      <c r="AK182" s="805"/>
      <c r="AL182" s="809"/>
      <c r="AM182" s="689"/>
      <c r="AN182" s="690"/>
      <c r="AO182" s="682"/>
      <c r="AP182" s="803" t="s">
        <v>623</v>
      </c>
      <c r="AQ182" s="684"/>
      <c r="AR182" s="684"/>
      <c r="AS182" s="804"/>
      <c r="AT182" s="804"/>
      <c r="AU182" s="804"/>
      <c r="AV182" s="804"/>
      <c r="AW182" s="804"/>
      <c r="AX182" s="804"/>
      <c r="AY182" s="685">
        <f t="shared" si="337"/>
        <v>0</v>
      </c>
      <c r="AZ182" s="713"/>
      <c r="BA182" s="692"/>
      <c r="BB182" s="805"/>
      <c r="BC182" s="805"/>
      <c r="BD182" s="805"/>
      <c r="BE182" s="805"/>
      <c r="BF182" s="806"/>
      <c r="BG182" s="692"/>
      <c r="BH182" s="807"/>
      <c r="BI182" s="805"/>
      <c r="BJ182" s="805"/>
      <c r="BK182" s="805"/>
      <c r="BL182" s="807"/>
      <c r="BM182" s="808"/>
      <c r="BN182" s="685">
        <f>(BH182+BI182+BJ182)-BL182</f>
        <v>0</v>
      </c>
      <c r="BO182" s="805"/>
      <c r="BP182" s="805"/>
      <c r="BQ182" s="805"/>
      <c r="BR182" s="805"/>
      <c r="BS182" s="805"/>
      <c r="BT182" s="805"/>
      <c r="BU182" s="805"/>
      <c r="BV182" s="805"/>
      <c r="BW182" s="805"/>
      <c r="BY182" s="1355"/>
      <c r="BZ182" s="1355"/>
      <c r="CA182" s="1356"/>
      <c r="CB182" s="1356" t="s">
        <v>623</v>
      </c>
      <c r="CC182" s="1356"/>
      <c r="CD182" s="1356"/>
      <c r="CE182" s="1356"/>
      <c r="CF182" s="1356"/>
      <c r="CG182" s="1356"/>
      <c r="CH182" s="1356"/>
      <c r="CI182" s="1356"/>
      <c r="CJ182" s="1356"/>
      <c r="CK182" s="1357">
        <v>9000</v>
      </c>
      <c r="CL182" s="1357"/>
      <c r="CM182" s="1358"/>
      <c r="CN182" s="1358"/>
      <c r="CO182" s="1358"/>
      <c r="CP182" s="1358"/>
      <c r="CQ182" s="1358"/>
      <c r="CR182" s="1358"/>
      <c r="CS182" s="1358">
        <v>0</v>
      </c>
      <c r="CT182" s="1357">
        <v>0</v>
      </c>
      <c r="CU182" s="1357">
        <v>9000</v>
      </c>
      <c r="CV182" s="1357"/>
      <c r="CW182" s="1357"/>
      <c r="CX182" s="1357">
        <v>0</v>
      </c>
      <c r="CY182" s="1357"/>
      <c r="CZ182" s="1357"/>
      <c r="DA182" s="1357">
        <v>0</v>
      </c>
      <c r="DB182" s="1357">
        <v>9000</v>
      </c>
      <c r="DC182" s="1357"/>
      <c r="DD182" s="1357"/>
      <c r="DE182" s="1357"/>
      <c r="DF182" s="1357"/>
      <c r="DG182" s="1357"/>
      <c r="DH182" s="1357"/>
      <c r="DI182" s="1357"/>
      <c r="DJ182" s="1357"/>
      <c r="DK182" s="1357"/>
      <c r="DT182" s="682"/>
      <c r="DU182" s="803" t="s">
        <v>623</v>
      </c>
      <c r="DV182" s="777">
        <f t="shared" si="340"/>
        <v>0</v>
      </c>
      <c r="DW182" s="777">
        <f t="shared" si="340"/>
        <v>0</v>
      </c>
      <c r="DX182" s="777">
        <f t="shared" si="340"/>
        <v>0</v>
      </c>
      <c r="DY182" s="777">
        <f t="shared" si="340"/>
        <v>0</v>
      </c>
      <c r="DZ182" s="777">
        <f t="shared" si="340"/>
        <v>0</v>
      </c>
      <c r="EA182" s="777">
        <f t="shared" si="340"/>
        <v>0</v>
      </c>
      <c r="EB182" s="777">
        <f t="shared" si="340"/>
        <v>0</v>
      </c>
      <c r="EC182" s="777">
        <f t="shared" si="340"/>
        <v>0</v>
      </c>
      <c r="ED182" s="777">
        <f t="shared" si="340"/>
        <v>0</v>
      </c>
      <c r="EE182" s="777">
        <f t="shared" si="340"/>
        <v>0</v>
      </c>
      <c r="EF182" s="777">
        <f t="shared" si="340"/>
        <v>0</v>
      </c>
      <c r="EG182" s="777">
        <f t="shared" si="340"/>
        <v>0</v>
      </c>
      <c r="EH182" s="777">
        <f t="shared" si="340"/>
        <v>0</v>
      </c>
      <c r="EI182" s="777">
        <f t="shared" si="340"/>
        <v>0</v>
      </c>
      <c r="EJ182" s="777">
        <f t="shared" si="340"/>
        <v>0</v>
      </c>
      <c r="EK182" s="777">
        <f t="shared" si="340"/>
        <v>0</v>
      </c>
      <c r="EL182" s="777">
        <f t="shared" si="341"/>
        <v>0</v>
      </c>
      <c r="EM182" s="777">
        <f t="shared" si="341"/>
        <v>0</v>
      </c>
      <c r="EN182" s="777">
        <f t="shared" si="341"/>
        <v>0</v>
      </c>
      <c r="EO182" s="777">
        <f t="shared" si="341"/>
        <v>0</v>
      </c>
      <c r="EP182" s="777">
        <f t="shared" si="341"/>
        <v>0</v>
      </c>
      <c r="EQ182" s="777">
        <f t="shared" si="341"/>
        <v>0</v>
      </c>
      <c r="ER182" s="777">
        <f t="shared" si="341"/>
        <v>0</v>
      </c>
      <c r="ES182" s="777">
        <f t="shared" si="341"/>
        <v>0</v>
      </c>
      <c r="ET182" s="777">
        <f t="shared" si="341"/>
        <v>0</v>
      </c>
      <c r="EU182" s="777">
        <f t="shared" si="341"/>
        <v>0</v>
      </c>
      <c r="EV182" s="777">
        <f t="shared" si="341"/>
        <v>0</v>
      </c>
    </row>
    <row r="183" spans="1:152" ht="24.75" customHeight="1">
      <c r="A183" s="659">
        <v>59</v>
      </c>
      <c r="B183" s="718" t="s">
        <v>624</v>
      </c>
      <c r="C183" s="661">
        <f>D183+I183</f>
        <v>48</v>
      </c>
      <c r="D183" s="661">
        <f>E183+F183</f>
        <v>44</v>
      </c>
      <c r="E183" s="661">
        <v>44</v>
      </c>
      <c r="F183" s="661"/>
      <c r="G183" s="661">
        <v>41</v>
      </c>
      <c r="H183" s="661"/>
      <c r="I183" s="661">
        <v>4</v>
      </c>
      <c r="J183" s="661">
        <v>4</v>
      </c>
      <c r="K183" s="646">
        <f t="shared" si="272"/>
        <v>8778</v>
      </c>
      <c r="L183" s="662">
        <f t="shared" si="330"/>
        <v>9145</v>
      </c>
      <c r="M183" s="666">
        <v>4565</v>
      </c>
      <c r="N183" s="666">
        <v>991</v>
      </c>
      <c r="O183" s="666">
        <v>109</v>
      </c>
      <c r="P183" s="666"/>
      <c r="Q183" s="666"/>
      <c r="R183" s="666">
        <f>((N183+O183)-(BA183+BB183))*10%</f>
        <v>5</v>
      </c>
      <c r="S183" s="666">
        <v>123</v>
      </c>
      <c r="T183" s="666">
        <f t="shared" si="331"/>
        <v>128</v>
      </c>
      <c r="U183" s="666">
        <f t="shared" si="332"/>
        <v>5537</v>
      </c>
      <c r="V183" s="666">
        <f>1892-16-32</f>
        <v>1844</v>
      </c>
      <c r="W183" s="666">
        <f>2508-900</f>
        <v>1608</v>
      </c>
      <c r="X183" s="666"/>
      <c r="Y183" s="666">
        <f t="shared" si="343"/>
        <v>16.400000000000006</v>
      </c>
      <c r="Z183" s="666">
        <f t="shared" si="345"/>
        <v>184.4</v>
      </c>
      <c r="AA183" s="666">
        <v>195</v>
      </c>
      <c r="AB183" s="666">
        <f t="shared" si="333"/>
        <v>211</v>
      </c>
      <c r="AC183" s="666">
        <f t="shared" si="334"/>
        <v>3241</v>
      </c>
      <c r="AD183" s="666">
        <v>367</v>
      </c>
      <c r="AE183" s="666"/>
      <c r="AF183" s="666"/>
      <c r="AG183" s="666">
        <v>65</v>
      </c>
      <c r="AH183" s="666"/>
      <c r="AI183" s="666">
        <v>250</v>
      </c>
      <c r="AJ183" s="666">
        <v>1339</v>
      </c>
      <c r="AK183" s="666">
        <v>1500</v>
      </c>
      <c r="AL183" s="664"/>
      <c r="AN183" s="610"/>
      <c r="AO183" s="659">
        <v>64</v>
      </c>
      <c r="AP183" s="718" t="s">
        <v>624</v>
      </c>
      <c r="AQ183" s="661">
        <f>AR183+AW183</f>
        <v>52</v>
      </c>
      <c r="AR183" s="661">
        <f>AS183+AT183</f>
        <v>48</v>
      </c>
      <c r="AS183" s="661">
        <v>48</v>
      </c>
      <c r="AT183" s="661"/>
      <c r="AU183" s="661">
        <v>42</v>
      </c>
      <c r="AV183" s="661"/>
      <c r="AW183" s="661">
        <v>4</v>
      </c>
      <c r="AX183" s="661">
        <v>4</v>
      </c>
      <c r="AY183" s="666">
        <f t="shared" si="337"/>
        <v>7884</v>
      </c>
      <c r="AZ183" s="670">
        <v>4342</v>
      </c>
      <c r="BA183" s="666">
        <f>1050-150</f>
        <v>900</v>
      </c>
      <c r="BB183" s="666">
        <v>150</v>
      </c>
      <c r="BC183" s="666"/>
      <c r="BD183" s="666"/>
      <c r="BE183" s="666">
        <f t="shared" si="315"/>
        <v>105</v>
      </c>
      <c r="BF183" s="667">
        <f>ROUND(BE183,0)</f>
        <v>105</v>
      </c>
      <c r="BG183" s="666">
        <f>(AZ183+BA183+BB183+BC183)-BF183</f>
        <v>5287</v>
      </c>
      <c r="BH183" s="666">
        <f>1593-1308+1308+60+30</f>
        <v>1683</v>
      </c>
      <c r="BI183" s="666">
        <v>349</v>
      </c>
      <c r="BJ183" s="666">
        <v>208</v>
      </c>
      <c r="BK183" s="666"/>
      <c r="BL183" s="666">
        <f>BH183*10%</f>
        <v>168.3</v>
      </c>
      <c r="BM183" s="667">
        <f>ROUND(BL183,0)</f>
        <v>168</v>
      </c>
      <c r="BN183" s="666">
        <f>(BH183+BI183+BJ183)-BM183</f>
        <v>2072</v>
      </c>
      <c r="BO183" s="666">
        <v>86</v>
      </c>
      <c r="BP183" s="666">
        <v>439</v>
      </c>
      <c r="BQ183" s="666"/>
      <c r="BR183" s="666">
        <v>36</v>
      </c>
      <c r="BS183" s="666"/>
      <c r="BT183" s="666">
        <v>250</v>
      </c>
      <c r="BU183" s="666"/>
      <c r="BV183" s="666"/>
      <c r="BW183" s="662"/>
      <c r="CA183" s="1352">
        <v>61</v>
      </c>
      <c r="CB183" s="1352" t="s">
        <v>624</v>
      </c>
      <c r="CC183" s="1352">
        <v>50</v>
      </c>
      <c r="CD183" s="1352">
        <v>46</v>
      </c>
      <c r="CE183" s="1352">
        <v>46</v>
      </c>
      <c r="CF183" s="1352"/>
      <c r="CG183" s="1352">
        <v>41</v>
      </c>
      <c r="CH183" s="1352"/>
      <c r="CI183" s="1352">
        <v>4</v>
      </c>
      <c r="CJ183" s="1352">
        <v>4</v>
      </c>
      <c r="CK183" s="1353">
        <v>10206</v>
      </c>
      <c r="CL183" s="1353">
        <v>4681</v>
      </c>
      <c r="CM183" s="1354">
        <v>1041</v>
      </c>
      <c r="CN183" s="1354">
        <v>109</v>
      </c>
      <c r="CO183" s="1354"/>
      <c r="CP183" s="1354"/>
      <c r="CQ183" s="1354">
        <v>10</v>
      </c>
      <c r="CR183" s="1354">
        <v>123</v>
      </c>
      <c r="CS183" s="1354">
        <v>133</v>
      </c>
      <c r="CT183" s="1353">
        <v>5698</v>
      </c>
      <c r="CU183" s="1353">
        <v>1844</v>
      </c>
      <c r="CV183" s="1353">
        <v>2508</v>
      </c>
      <c r="CW183" s="1353"/>
      <c r="CX183" s="1353">
        <v>16.400000000000006</v>
      </c>
      <c r="CY183" s="1353">
        <v>184.4</v>
      </c>
      <c r="CZ183" s="1353">
        <v>195</v>
      </c>
      <c r="DA183" s="1353">
        <v>211</v>
      </c>
      <c r="DB183" s="1353">
        <v>4141</v>
      </c>
      <c r="DC183" s="1353">
        <v>367</v>
      </c>
      <c r="DD183" s="1353"/>
      <c r="DE183" s="1353"/>
      <c r="DF183" s="1353"/>
      <c r="DG183" s="1353"/>
      <c r="DH183" s="1353"/>
      <c r="DI183" s="1353"/>
      <c r="DJ183" s="1353"/>
      <c r="DK183" s="1353"/>
      <c r="DT183" s="659">
        <v>61</v>
      </c>
      <c r="DU183" s="718" t="s">
        <v>624</v>
      </c>
      <c r="DV183" s="777">
        <f t="shared" si="340"/>
        <v>-1061</v>
      </c>
      <c r="DW183" s="777">
        <f t="shared" si="340"/>
        <v>-116</v>
      </c>
      <c r="DX183" s="777">
        <f t="shared" si="340"/>
        <v>-50</v>
      </c>
      <c r="DY183" s="777">
        <f t="shared" si="340"/>
        <v>0</v>
      </c>
      <c r="DZ183" s="777">
        <f t="shared" si="340"/>
        <v>0</v>
      </c>
      <c r="EA183" s="777">
        <f t="shared" si="340"/>
        <v>0</v>
      </c>
      <c r="EB183" s="777">
        <f t="shared" si="340"/>
        <v>-5</v>
      </c>
      <c r="EC183" s="777">
        <f t="shared" si="340"/>
        <v>0</v>
      </c>
      <c r="ED183" s="777">
        <f t="shared" si="340"/>
        <v>-5</v>
      </c>
      <c r="EE183" s="777">
        <f t="shared" si="340"/>
        <v>-161</v>
      </c>
      <c r="EF183" s="777">
        <f t="shared" si="340"/>
        <v>0</v>
      </c>
      <c r="EG183" s="777">
        <f t="shared" si="340"/>
        <v>-900</v>
      </c>
      <c r="EH183" s="777">
        <f t="shared" si="340"/>
        <v>0</v>
      </c>
      <c r="EI183" s="777">
        <f t="shared" si="340"/>
        <v>0</v>
      </c>
      <c r="EJ183" s="777">
        <f t="shared" si="340"/>
        <v>0</v>
      </c>
      <c r="EK183" s="777">
        <f t="shared" si="340"/>
        <v>0</v>
      </c>
      <c r="EL183" s="777">
        <f t="shared" si="341"/>
        <v>0</v>
      </c>
      <c r="EM183" s="777">
        <f t="shared" si="341"/>
        <v>-900</v>
      </c>
      <c r="EN183" s="777">
        <f t="shared" si="341"/>
        <v>0</v>
      </c>
      <c r="EO183" s="777">
        <f t="shared" si="341"/>
        <v>0</v>
      </c>
      <c r="EP183" s="777">
        <f t="shared" si="341"/>
        <v>0</v>
      </c>
      <c r="EQ183" s="777">
        <f t="shared" si="341"/>
        <v>65</v>
      </c>
      <c r="ER183" s="777">
        <f t="shared" si="341"/>
        <v>0</v>
      </c>
      <c r="ES183" s="777">
        <f t="shared" si="341"/>
        <v>250</v>
      </c>
      <c r="ET183" s="777">
        <f t="shared" si="341"/>
        <v>1339</v>
      </c>
      <c r="EU183" s="777">
        <f t="shared" si="341"/>
        <v>1500</v>
      </c>
      <c r="EV183" s="777">
        <f t="shared" si="341"/>
        <v>0</v>
      </c>
    </row>
    <row r="184" spans="1:152" ht="24" customHeight="1">
      <c r="A184" s="659">
        <v>60</v>
      </c>
      <c r="B184" s="718" t="s">
        <v>625</v>
      </c>
      <c r="C184" s="661">
        <f>D184+I184</f>
        <v>48</v>
      </c>
      <c r="D184" s="661">
        <f>E184+F184</f>
        <v>42</v>
      </c>
      <c r="E184" s="661">
        <v>42</v>
      </c>
      <c r="F184" s="661"/>
      <c r="G184" s="661">
        <v>39</v>
      </c>
      <c r="H184" s="661"/>
      <c r="I184" s="661">
        <v>6</v>
      </c>
      <c r="J184" s="661">
        <v>6</v>
      </c>
      <c r="K184" s="646">
        <f t="shared" si="272"/>
        <v>7019</v>
      </c>
      <c r="L184" s="662">
        <f t="shared" si="330"/>
        <v>7469</v>
      </c>
      <c r="M184" s="662">
        <v>4485</v>
      </c>
      <c r="N184" s="662">
        <v>994</v>
      </c>
      <c r="O184" s="662">
        <v>56</v>
      </c>
      <c r="P184" s="662"/>
      <c r="Q184" s="662"/>
      <c r="R184" s="666"/>
      <c r="S184" s="666">
        <v>115</v>
      </c>
      <c r="T184" s="666">
        <f t="shared" si="331"/>
        <v>115</v>
      </c>
      <c r="U184" s="666">
        <f t="shared" si="332"/>
        <v>5420</v>
      </c>
      <c r="V184" s="666">
        <v>1660</v>
      </c>
      <c r="W184" s="662">
        <v>10</v>
      </c>
      <c r="X184" s="662"/>
      <c r="Y184" s="666">
        <f t="shared" si="343"/>
        <v>71</v>
      </c>
      <c r="Z184" s="666">
        <f t="shared" si="345"/>
        <v>166</v>
      </c>
      <c r="AA184" s="666"/>
      <c r="AB184" s="666">
        <f t="shared" si="333"/>
        <v>71</v>
      </c>
      <c r="AC184" s="666">
        <f t="shared" si="334"/>
        <v>1599</v>
      </c>
      <c r="AD184" s="662">
        <f>200+250</f>
        <v>450</v>
      </c>
      <c r="AE184" s="662"/>
      <c r="AF184" s="662"/>
      <c r="AG184" s="662"/>
      <c r="AH184" s="662">
        <v>45</v>
      </c>
      <c r="AI184" s="662">
        <v>100</v>
      </c>
      <c r="AJ184" s="662"/>
      <c r="AK184" s="662"/>
      <c r="AL184" s="664"/>
      <c r="AN184" s="610"/>
      <c r="AO184" s="659">
        <v>65</v>
      </c>
      <c r="AP184" s="718" t="s">
        <v>625</v>
      </c>
      <c r="AQ184" s="661">
        <f>AR184+AW184</f>
        <v>51</v>
      </c>
      <c r="AR184" s="661">
        <f>AS184+AT184</f>
        <v>45</v>
      </c>
      <c r="AS184" s="661">
        <v>45</v>
      </c>
      <c r="AT184" s="661"/>
      <c r="AU184" s="661">
        <v>42</v>
      </c>
      <c r="AV184" s="661"/>
      <c r="AW184" s="661">
        <v>6</v>
      </c>
      <c r="AX184" s="661">
        <v>6</v>
      </c>
      <c r="AY184" s="666">
        <f t="shared" si="337"/>
        <v>6354</v>
      </c>
      <c r="AZ184" s="665">
        <v>4475</v>
      </c>
      <c r="BA184" s="662">
        <v>1125</v>
      </c>
      <c r="BB184" s="662"/>
      <c r="BC184" s="662"/>
      <c r="BD184" s="662"/>
      <c r="BE184" s="666">
        <f t="shared" si="315"/>
        <v>112.5</v>
      </c>
      <c r="BF184" s="667">
        <f>ROUND(BE184,0)</f>
        <v>113</v>
      </c>
      <c r="BG184" s="666">
        <f>(AZ184+BA184+BB184+BC184)-BF184</f>
        <v>5487</v>
      </c>
      <c r="BH184" s="666">
        <f>934+20</f>
        <v>954</v>
      </c>
      <c r="BI184" s="662"/>
      <c r="BJ184" s="662">
        <v>8</v>
      </c>
      <c r="BK184" s="662"/>
      <c r="BL184" s="666">
        <f>BH184*10%</f>
        <v>95.4</v>
      </c>
      <c r="BM184" s="667">
        <f>ROUND(BL184,0)</f>
        <v>95</v>
      </c>
      <c r="BN184" s="666">
        <f>(BH184+BI184+BJ184)-BM184</f>
        <v>867</v>
      </c>
      <c r="BO184" s="662"/>
      <c r="BP184" s="662"/>
      <c r="BQ184" s="662"/>
      <c r="BR184" s="662">
        <v>45</v>
      </c>
      <c r="BS184" s="662"/>
      <c r="BT184" s="662">
        <v>100</v>
      </c>
      <c r="BU184" s="662"/>
      <c r="BV184" s="662"/>
      <c r="BW184" s="662"/>
      <c r="CA184" s="1352">
        <v>62</v>
      </c>
      <c r="CB184" s="1352" t="s">
        <v>625</v>
      </c>
      <c r="CC184" s="1352">
        <v>50</v>
      </c>
      <c r="CD184" s="1352">
        <v>44</v>
      </c>
      <c r="CE184" s="1352">
        <v>44</v>
      </c>
      <c r="CF184" s="1352"/>
      <c r="CG184" s="1352">
        <v>39</v>
      </c>
      <c r="CH184" s="1352"/>
      <c r="CI184" s="1352">
        <v>6</v>
      </c>
      <c r="CJ184" s="1352">
        <v>6</v>
      </c>
      <c r="CK184" s="1353">
        <v>7635</v>
      </c>
      <c r="CL184" s="1353">
        <v>4601</v>
      </c>
      <c r="CM184" s="1354">
        <v>1044</v>
      </c>
      <c r="CN184" s="1354">
        <v>56</v>
      </c>
      <c r="CO184" s="1354"/>
      <c r="CP184" s="1354"/>
      <c r="CQ184" s="1354"/>
      <c r="CR184" s="1354">
        <v>115</v>
      </c>
      <c r="CS184" s="1354">
        <v>115</v>
      </c>
      <c r="CT184" s="1353">
        <v>5586</v>
      </c>
      <c r="CU184" s="1353">
        <v>1660</v>
      </c>
      <c r="CV184" s="1353">
        <v>10</v>
      </c>
      <c r="CW184" s="1353"/>
      <c r="CX184" s="1353">
        <v>71</v>
      </c>
      <c r="CY184" s="1353">
        <v>166</v>
      </c>
      <c r="CZ184" s="1353"/>
      <c r="DA184" s="1353">
        <v>71</v>
      </c>
      <c r="DB184" s="1353">
        <v>1599</v>
      </c>
      <c r="DC184" s="1353">
        <v>450</v>
      </c>
      <c r="DD184" s="1353"/>
      <c r="DE184" s="1353"/>
      <c r="DF184" s="1353"/>
      <c r="DG184" s="1353"/>
      <c r="DH184" s="1353"/>
      <c r="DI184" s="1353"/>
      <c r="DJ184" s="1353"/>
      <c r="DK184" s="1353"/>
      <c r="DT184" s="659">
        <v>62</v>
      </c>
      <c r="DU184" s="718" t="s">
        <v>625</v>
      </c>
      <c r="DV184" s="777">
        <f t="shared" si="340"/>
        <v>-166</v>
      </c>
      <c r="DW184" s="777">
        <f t="shared" si="340"/>
        <v>-116</v>
      </c>
      <c r="DX184" s="777">
        <f t="shared" si="340"/>
        <v>-50</v>
      </c>
      <c r="DY184" s="777">
        <f t="shared" si="340"/>
        <v>0</v>
      </c>
      <c r="DZ184" s="777">
        <f t="shared" si="340"/>
        <v>0</v>
      </c>
      <c r="EA184" s="777">
        <f t="shared" si="340"/>
        <v>0</v>
      </c>
      <c r="EB184" s="777">
        <f t="shared" si="340"/>
        <v>0</v>
      </c>
      <c r="EC184" s="777">
        <f t="shared" si="340"/>
        <v>0</v>
      </c>
      <c r="ED184" s="777">
        <f t="shared" si="340"/>
        <v>0</v>
      </c>
      <c r="EE184" s="777">
        <f t="shared" si="340"/>
        <v>-166</v>
      </c>
      <c r="EF184" s="777">
        <f t="shared" si="340"/>
        <v>0</v>
      </c>
      <c r="EG184" s="777">
        <f t="shared" si="340"/>
        <v>0</v>
      </c>
      <c r="EH184" s="777">
        <f t="shared" si="340"/>
        <v>0</v>
      </c>
      <c r="EI184" s="777">
        <f t="shared" si="340"/>
        <v>0</v>
      </c>
      <c r="EJ184" s="777">
        <f t="shared" si="340"/>
        <v>0</v>
      </c>
      <c r="EK184" s="777">
        <f t="shared" si="340"/>
        <v>0</v>
      </c>
      <c r="EL184" s="777">
        <f t="shared" si="341"/>
        <v>0</v>
      </c>
      <c r="EM184" s="777">
        <f t="shared" si="341"/>
        <v>0</v>
      </c>
      <c r="EN184" s="777">
        <f t="shared" si="341"/>
        <v>0</v>
      </c>
      <c r="EO184" s="777">
        <f t="shared" si="341"/>
        <v>0</v>
      </c>
      <c r="EP184" s="777">
        <f t="shared" si="341"/>
        <v>0</v>
      </c>
      <c r="EQ184" s="777">
        <f t="shared" si="341"/>
        <v>0</v>
      </c>
      <c r="ER184" s="777">
        <f t="shared" si="341"/>
        <v>45</v>
      </c>
      <c r="ES184" s="777">
        <f t="shared" si="341"/>
        <v>100</v>
      </c>
      <c r="ET184" s="777">
        <f t="shared" si="341"/>
        <v>0</v>
      </c>
      <c r="EU184" s="777">
        <f t="shared" si="341"/>
        <v>0</v>
      </c>
      <c r="EV184" s="777">
        <f t="shared" si="341"/>
        <v>0</v>
      </c>
    </row>
    <row r="185" spans="1:152" ht="24" customHeight="1">
      <c r="A185" s="659">
        <v>61</v>
      </c>
      <c r="B185" s="660" t="s">
        <v>626</v>
      </c>
      <c r="C185" s="661">
        <f>D185+I185</f>
        <v>25</v>
      </c>
      <c r="D185" s="661">
        <f>E185+F185</f>
        <v>22</v>
      </c>
      <c r="E185" s="661">
        <v>22</v>
      </c>
      <c r="F185" s="661"/>
      <c r="G185" s="661">
        <v>22</v>
      </c>
      <c r="H185" s="661"/>
      <c r="I185" s="661">
        <v>3</v>
      </c>
      <c r="J185" s="661">
        <v>3</v>
      </c>
      <c r="K185" s="646">
        <f t="shared" si="272"/>
        <v>6554</v>
      </c>
      <c r="L185" s="662">
        <f t="shared" si="330"/>
        <v>6554</v>
      </c>
      <c r="M185" s="662">
        <v>2582</v>
      </c>
      <c r="N185" s="662">
        <v>468</v>
      </c>
      <c r="O185" s="662">
        <v>126</v>
      </c>
      <c r="P185" s="662"/>
      <c r="Q185" s="662"/>
      <c r="R185" s="666"/>
      <c r="S185" s="666">
        <v>62</v>
      </c>
      <c r="T185" s="666">
        <f t="shared" si="331"/>
        <v>62</v>
      </c>
      <c r="U185" s="666">
        <f t="shared" si="332"/>
        <v>3114</v>
      </c>
      <c r="V185" s="662">
        <f>25118-21580</f>
        <v>3538</v>
      </c>
      <c r="W185" s="662">
        <v>239</v>
      </c>
      <c r="X185" s="662"/>
      <c r="Y185" s="666">
        <f t="shared" si="343"/>
        <v>336.8</v>
      </c>
      <c r="Z185" s="666">
        <f t="shared" si="345"/>
        <v>353.8</v>
      </c>
      <c r="AA185" s="666"/>
      <c r="AB185" s="666">
        <f t="shared" si="333"/>
        <v>337</v>
      </c>
      <c r="AC185" s="666">
        <f t="shared" si="334"/>
        <v>3440</v>
      </c>
      <c r="AD185" s="662"/>
      <c r="AE185" s="662"/>
      <c r="AF185" s="662"/>
      <c r="AG185" s="662">
        <v>45</v>
      </c>
      <c r="AH185" s="662">
        <v>0</v>
      </c>
      <c r="AI185" s="662">
        <v>120</v>
      </c>
      <c r="AJ185" s="662"/>
      <c r="AK185" s="662"/>
      <c r="AL185" s="720"/>
      <c r="AN185" s="610"/>
      <c r="AO185" s="659">
        <v>66</v>
      </c>
      <c r="AP185" s="660" t="s">
        <v>626</v>
      </c>
      <c r="AQ185" s="661">
        <f>AR185+AW185</f>
        <v>26</v>
      </c>
      <c r="AR185" s="661">
        <f>AS185+AT185</f>
        <v>23</v>
      </c>
      <c r="AS185" s="661">
        <v>23</v>
      </c>
      <c r="AT185" s="661"/>
      <c r="AU185" s="661">
        <v>23</v>
      </c>
      <c r="AV185" s="661"/>
      <c r="AW185" s="661">
        <v>3</v>
      </c>
      <c r="AX185" s="661">
        <v>3</v>
      </c>
      <c r="AY185" s="662">
        <f t="shared" si="337"/>
        <v>3479</v>
      </c>
      <c r="AZ185" s="665">
        <v>2564</v>
      </c>
      <c r="BA185" s="662">
        <v>621</v>
      </c>
      <c r="BB185" s="662"/>
      <c r="BC185" s="662"/>
      <c r="BD185" s="662"/>
      <c r="BE185" s="666">
        <f t="shared" si="315"/>
        <v>62.1</v>
      </c>
      <c r="BF185" s="667">
        <f>ROUND(BE185,0)</f>
        <v>62</v>
      </c>
      <c r="BG185" s="666">
        <f t="shared" si="342"/>
        <v>3123</v>
      </c>
      <c r="BH185" s="662">
        <f>22777-22612</f>
        <v>165</v>
      </c>
      <c r="BI185" s="662"/>
      <c r="BJ185" s="662">
        <v>208</v>
      </c>
      <c r="BK185" s="662"/>
      <c r="BL185" s="666">
        <f>BH185*10%</f>
        <v>16.5</v>
      </c>
      <c r="BM185" s="667">
        <f t="shared" si="344"/>
        <v>17</v>
      </c>
      <c r="BN185" s="666">
        <f>(BH185+BI185+BJ185)-BM185</f>
        <v>356</v>
      </c>
      <c r="BO185" s="662"/>
      <c r="BP185" s="662"/>
      <c r="BQ185" s="662"/>
      <c r="BR185" s="662">
        <v>10</v>
      </c>
      <c r="BS185" s="662">
        <v>5</v>
      </c>
      <c r="BT185" s="662">
        <v>250</v>
      </c>
      <c r="BU185" s="662"/>
      <c r="BV185" s="662"/>
      <c r="BW185" s="721"/>
      <c r="CA185" s="1352">
        <v>63</v>
      </c>
      <c r="CB185" s="1352" t="s">
        <v>626</v>
      </c>
      <c r="CC185" s="1352">
        <v>26</v>
      </c>
      <c r="CD185" s="1352">
        <v>23</v>
      </c>
      <c r="CE185" s="1352">
        <v>23</v>
      </c>
      <c r="CF185" s="1352"/>
      <c r="CG185" s="1352">
        <v>22</v>
      </c>
      <c r="CH185" s="1352"/>
      <c r="CI185" s="1352">
        <v>3</v>
      </c>
      <c r="CJ185" s="1352">
        <v>3</v>
      </c>
      <c r="CK185" s="1353">
        <v>6630</v>
      </c>
      <c r="CL185" s="1353">
        <v>2631</v>
      </c>
      <c r="CM185" s="1354">
        <v>495</v>
      </c>
      <c r="CN185" s="1354">
        <v>126</v>
      </c>
      <c r="CO185" s="1354"/>
      <c r="CP185" s="1354"/>
      <c r="CQ185" s="1354">
        <v>0</v>
      </c>
      <c r="CR185" s="1354">
        <v>62</v>
      </c>
      <c r="CS185" s="1354">
        <v>62</v>
      </c>
      <c r="CT185" s="1353">
        <v>3190</v>
      </c>
      <c r="CU185" s="1353">
        <v>3538</v>
      </c>
      <c r="CV185" s="1353">
        <v>239</v>
      </c>
      <c r="CW185" s="1353"/>
      <c r="CX185" s="1353">
        <v>336.8</v>
      </c>
      <c r="CY185" s="1353">
        <v>353.8</v>
      </c>
      <c r="CZ185" s="1353"/>
      <c r="DA185" s="1353">
        <v>337</v>
      </c>
      <c r="DB185" s="1353">
        <v>3440</v>
      </c>
      <c r="DC185" s="1353"/>
      <c r="DD185" s="1353"/>
      <c r="DE185" s="1353"/>
      <c r="DF185" s="1353">
        <v>45</v>
      </c>
      <c r="DG185" s="1353">
        <v>0</v>
      </c>
      <c r="DH185" s="1353">
        <v>120</v>
      </c>
      <c r="DI185" s="1353"/>
      <c r="DJ185" s="1353"/>
      <c r="DK185" s="1353"/>
      <c r="DT185" s="659">
        <v>63</v>
      </c>
      <c r="DU185" s="660" t="s">
        <v>626</v>
      </c>
      <c r="DV185" s="777">
        <f t="shared" si="340"/>
        <v>-76</v>
      </c>
      <c r="DW185" s="777">
        <f t="shared" si="340"/>
        <v>-49</v>
      </c>
      <c r="DX185" s="777">
        <f t="shared" si="340"/>
        <v>-27</v>
      </c>
      <c r="DY185" s="777">
        <f t="shared" si="340"/>
        <v>0</v>
      </c>
      <c r="DZ185" s="777">
        <f t="shared" si="340"/>
        <v>0</v>
      </c>
      <c r="EA185" s="777">
        <f t="shared" si="340"/>
        <v>0</v>
      </c>
      <c r="EB185" s="777">
        <f t="shared" si="340"/>
        <v>0</v>
      </c>
      <c r="EC185" s="777">
        <f t="shared" si="340"/>
        <v>0</v>
      </c>
      <c r="ED185" s="777">
        <f t="shared" si="340"/>
        <v>0</v>
      </c>
      <c r="EE185" s="777">
        <f t="shared" si="340"/>
        <v>-76</v>
      </c>
      <c r="EF185" s="777">
        <f t="shared" si="340"/>
        <v>0</v>
      </c>
      <c r="EG185" s="777">
        <f t="shared" si="340"/>
        <v>0</v>
      </c>
      <c r="EH185" s="777">
        <f t="shared" si="340"/>
        <v>0</v>
      </c>
      <c r="EI185" s="777">
        <f t="shared" si="340"/>
        <v>0</v>
      </c>
      <c r="EJ185" s="777">
        <f t="shared" si="340"/>
        <v>0</v>
      </c>
      <c r="EK185" s="777">
        <f t="shared" si="340"/>
        <v>0</v>
      </c>
      <c r="EL185" s="777">
        <f t="shared" si="341"/>
        <v>0</v>
      </c>
      <c r="EM185" s="777">
        <f t="shared" si="341"/>
        <v>0</v>
      </c>
      <c r="EN185" s="777">
        <f t="shared" si="341"/>
        <v>0</v>
      </c>
      <c r="EO185" s="777">
        <f t="shared" si="341"/>
        <v>0</v>
      </c>
      <c r="EP185" s="777">
        <f t="shared" si="341"/>
        <v>0</v>
      </c>
      <c r="EQ185" s="777">
        <f t="shared" si="341"/>
        <v>0</v>
      </c>
      <c r="ER185" s="777">
        <f t="shared" si="341"/>
        <v>0</v>
      </c>
      <c r="ES185" s="777">
        <f t="shared" si="341"/>
        <v>0</v>
      </c>
      <c r="ET185" s="777">
        <f t="shared" si="341"/>
        <v>0</v>
      </c>
      <c r="EU185" s="777">
        <f t="shared" si="341"/>
        <v>0</v>
      </c>
      <c r="EV185" s="777">
        <f t="shared" si="341"/>
        <v>0</v>
      </c>
    </row>
    <row r="186" spans="1:152" s="614" customFormat="1" ht="20.25" customHeight="1">
      <c r="A186" s="1429" t="s">
        <v>627</v>
      </c>
      <c r="B186" s="651" t="s">
        <v>628</v>
      </c>
      <c r="C186" s="1430">
        <f>D186+I186</f>
        <v>105</v>
      </c>
      <c r="D186" s="1430">
        <f>E186+F186</f>
        <v>91</v>
      </c>
      <c r="E186" s="1430">
        <f t="shared" ref="E186:J186" si="346">SUM(E187,E191,E193,E196,E198)</f>
        <v>81</v>
      </c>
      <c r="F186" s="1430">
        <f t="shared" si="346"/>
        <v>10</v>
      </c>
      <c r="G186" s="1430">
        <f t="shared" si="346"/>
        <v>84</v>
      </c>
      <c r="H186" s="1430">
        <f t="shared" si="346"/>
        <v>10</v>
      </c>
      <c r="I186" s="1430">
        <f t="shared" si="346"/>
        <v>14</v>
      </c>
      <c r="J186" s="1430">
        <f t="shared" si="346"/>
        <v>12</v>
      </c>
      <c r="K186" s="1548">
        <f t="shared" si="272"/>
        <v>26576</v>
      </c>
      <c r="L186" s="820">
        <f t="shared" ref="L186:AK186" si="347">SUM(L187,L191,L193,L196,L198)</f>
        <v>29261</v>
      </c>
      <c r="M186" s="653">
        <f t="shared" si="347"/>
        <v>11146</v>
      </c>
      <c r="N186" s="653">
        <f t="shared" si="347"/>
        <v>1838</v>
      </c>
      <c r="O186" s="653">
        <f t="shared" si="347"/>
        <v>732</v>
      </c>
      <c r="P186" s="653">
        <f t="shared" si="347"/>
        <v>0</v>
      </c>
      <c r="Q186" s="653">
        <f t="shared" si="347"/>
        <v>0</v>
      </c>
      <c r="R186" s="653">
        <f t="shared" si="347"/>
        <v>1.1000000000000001</v>
      </c>
      <c r="S186" s="653">
        <f t="shared" si="347"/>
        <v>324</v>
      </c>
      <c r="T186" s="653">
        <f t="shared" si="347"/>
        <v>325</v>
      </c>
      <c r="U186" s="653">
        <f t="shared" si="347"/>
        <v>13391</v>
      </c>
      <c r="V186" s="653">
        <f t="shared" si="347"/>
        <v>12987</v>
      </c>
      <c r="W186" s="653">
        <f t="shared" si="347"/>
        <v>1320</v>
      </c>
      <c r="X186" s="653">
        <f t="shared" si="347"/>
        <v>0</v>
      </c>
      <c r="Y186" s="653">
        <f t="shared" si="347"/>
        <v>349.90000000000009</v>
      </c>
      <c r="Z186" s="653">
        <f t="shared" si="347"/>
        <v>1102.2</v>
      </c>
      <c r="AA186" s="653">
        <f t="shared" si="347"/>
        <v>772</v>
      </c>
      <c r="AB186" s="653">
        <f t="shared" si="347"/>
        <v>1122</v>
      </c>
      <c r="AC186" s="653">
        <f t="shared" si="347"/>
        <v>13185</v>
      </c>
      <c r="AD186" s="653">
        <f t="shared" si="347"/>
        <v>2685</v>
      </c>
      <c r="AE186" s="653">
        <f t="shared" si="347"/>
        <v>0</v>
      </c>
      <c r="AF186" s="653">
        <f t="shared" si="347"/>
        <v>0</v>
      </c>
      <c r="AG186" s="653">
        <f t="shared" si="347"/>
        <v>0</v>
      </c>
      <c r="AH186" s="653">
        <f t="shared" si="347"/>
        <v>0</v>
      </c>
      <c r="AI186" s="653">
        <f t="shared" si="347"/>
        <v>0</v>
      </c>
      <c r="AJ186" s="653">
        <f t="shared" si="347"/>
        <v>0</v>
      </c>
      <c r="AK186" s="653">
        <f t="shared" si="347"/>
        <v>1711</v>
      </c>
      <c r="AL186" s="656"/>
      <c r="AM186" s="612"/>
      <c r="AN186" s="610"/>
      <c r="AO186" s="1323" t="s">
        <v>627</v>
      </c>
      <c r="AP186" s="651" t="s">
        <v>628</v>
      </c>
      <c r="AQ186" s="1320">
        <f>AR186+AW186</f>
        <v>113</v>
      </c>
      <c r="AR186" s="1320">
        <f>AS186+AT186</f>
        <v>99</v>
      </c>
      <c r="AS186" s="1320">
        <f t="shared" ref="AS186:BV186" si="348">SUM(AS187,AS191,AS193,AS196,AS198)</f>
        <v>88</v>
      </c>
      <c r="AT186" s="1320">
        <f t="shared" si="348"/>
        <v>11</v>
      </c>
      <c r="AU186" s="1320">
        <f t="shared" si="348"/>
        <v>84</v>
      </c>
      <c r="AV186" s="1320">
        <f t="shared" si="348"/>
        <v>10</v>
      </c>
      <c r="AW186" s="1320">
        <f t="shared" si="348"/>
        <v>14</v>
      </c>
      <c r="AX186" s="1320">
        <f t="shared" si="348"/>
        <v>14</v>
      </c>
      <c r="AY186" s="653">
        <f t="shared" si="348"/>
        <v>27555</v>
      </c>
      <c r="AZ186" s="658">
        <f t="shared" si="348"/>
        <v>11035</v>
      </c>
      <c r="BA186" s="653">
        <f t="shared" si="348"/>
        <v>2021</v>
      </c>
      <c r="BB186" s="653">
        <f t="shared" si="348"/>
        <v>732</v>
      </c>
      <c r="BC186" s="653">
        <f t="shared" si="348"/>
        <v>0</v>
      </c>
      <c r="BD186" s="653">
        <f t="shared" si="348"/>
        <v>0</v>
      </c>
      <c r="BE186" s="653">
        <f t="shared" si="348"/>
        <v>275</v>
      </c>
      <c r="BF186" s="655">
        <f t="shared" si="348"/>
        <v>275</v>
      </c>
      <c r="BG186" s="653">
        <f t="shared" si="348"/>
        <v>13513</v>
      </c>
      <c r="BH186" s="653">
        <f t="shared" si="348"/>
        <v>11437</v>
      </c>
      <c r="BI186" s="653">
        <f t="shared" si="348"/>
        <v>0</v>
      </c>
      <c r="BJ186" s="653">
        <f t="shared" si="348"/>
        <v>888</v>
      </c>
      <c r="BK186" s="653">
        <f t="shared" si="348"/>
        <v>0</v>
      </c>
      <c r="BL186" s="653">
        <f t="shared" si="348"/>
        <v>807</v>
      </c>
      <c r="BM186" s="655">
        <f t="shared" si="348"/>
        <v>807</v>
      </c>
      <c r="BN186" s="653">
        <f t="shared" si="348"/>
        <v>11518</v>
      </c>
      <c r="BO186" s="653">
        <f t="shared" si="348"/>
        <v>2524</v>
      </c>
      <c r="BP186" s="653">
        <f t="shared" si="348"/>
        <v>0</v>
      </c>
      <c r="BQ186" s="653">
        <f t="shared" si="348"/>
        <v>0</v>
      </c>
      <c r="BR186" s="653">
        <f t="shared" si="348"/>
        <v>0</v>
      </c>
      <c r="BS186" s="653">
        <f t="shared" si="348"/>
        <v>0</v>
      </c>
      <c r="BT186" s="653">
        <f t="shared" si="348"/>
        <v>0</v>
      </c>
      <c r="BU186" s="653">
        <f t="shared" si="348"/>
        <v>0</v>
      </c>
      <c r="BV186" s="653">
        <f t="shared" si="348"/>
        <v>0</v>
      </c>
      <c r="BW186" s="653"/>
      <c r="BY186" s="732"/>
      <c r="BZ186" s="732"/>
      <c r="CA186" s="1348" t="s">
        <v>627</v>
      </c>
      <c r="CB186" s="1348" t="s">
        <v>628</v>
      </c>
      <c r="CC186" s="1348">
        <v>105</v>
      </c>
      <c r="CD186" s="1348">
        <v>91</v>
      </c>
      <c r="CE186" s="1348">
        <v>81</v>
      </c>
      <c r="CF186" s="1348">
        <v>10</v>
      </c>
      <c r="CG186" s="1348">
        <v>84</v>
      </c>
      <c r="CH186" s="1348">
        <v>10</v>
      </c>
      <c r="CI186" s="1348">
        <v>14</v>
      </c>
      <c r="CJ186" s="1348">
        <v>12</v>
      </c>
      <c r="CK186" s="1349">
        <v>29408</v>
      </c>
      <c r="CL186" s="1349">
        <v>11146</v>
      </c>
      <c r="CM186" s="1350">
        <v>1838</v>
      </c>
      <c r="CN186" s="1350">
        <v>732</v>
      </c>
      <c r="CO186" s="1350">
        <v>0</v>
      </c>
      <c r="CP186" s="1350">
        <v>0</v>
      </c>
      <c r="CQ186" s="1350">
        <v>1.1000000000000001</v>
      </c>
      <c r="CR186" s="1350">
        <v>324</v>
      </c>
      <c r="CS186" s="1350">
        <v>325</v>
      </c>
      <c r="CT186" s="1349">
        <v>13391</v>
      </c>
      <c r="CU186" s="1349">
        <v>12987</v>
      </c>
      <c r="CV186" s="1349">
        <v>1320</v>
      </c>
      <c r="CW186" s="1349">
        <v>0</v>
      </c>
      <c r="CX186" s="1349">
        <v>202.40000000000009</v>
      </c>
      <c r="CY186" s="1349">
        <v>954.7</v>
      </c>
      <c r="CZ186" s="1349">
        <v>772</v>
      </c>
      <c r="DA186" s="1349">
        <v>975</v>
      </c>
      <c r="DB186" s="1349">
        <v>13332</v>
      </c>
      <c r="DC186" s="1349">
        <v>2685</v>
      </c>
      <c r="DD186" s="1349">
        <v>0</v>
      </c>
      <c r="DE186" s="1349">
        <v>0</v>
      </c>
      <c r="DF186" s="1349">
        <v>0</v>
      </c>
      <c r="DG186" s="1349">
        <v>0</v>
      </c>
      <c r="DH186" s="1349">
        <v>0</v>
      </c>
      <c r="DI186" s="1349">
        <v>0</v>
      </c>
      <c r="DJ186" s="1349">
        <v>0</v>
      </c>
      <c r="DK186" s="1349"/>
      <c r="DT186" s="1323" t="s">
        <v>627</v>
      </c>
      <c r="DU186" s="651" t="s">
        <v>628</v>
      </c>
      <c r="DV186" s="1351">
        <f t="shared" ref="DV186:EV186" si="349">DV187+DV191+DV193+DV196+DV198</f>
        <v>-147</v>
      </c>
      <c r="DW186" s="1351">
        <f t="shared" si="349"/>
        <v>0</v>
      </c>
      <c r="DX186" s="1351">
        <f t="shared" si="349"/>
        <v>0</v>
      </c>
      <c r="DY186" s="1351">
        <f t="shared" si="349"/>
        <v>0</v>
      </c>
      <c r="DZ186" s="1351">
        <f t="shared" si="349"/>
        <v>0</v>
      </c>
      <c r="EA186" s="1351">
        <f t="shared" si="349"/>
        <v>0</v>
      </c>
      <c r="EB186" s="1351">
        <f t="shared" si="349"/>
        <v>0</v>
      </c>
      <c r="EC186" s="1351">
        <f t="shared" si="349"/>
        <v>0</v>
      </c>
      <c r="ED186" s="1351">
        <f t="shared" si="349"/>
        <v>0</v>
      </c>
      <c r="EE186" s="1351">
        <f t="shared" si="349"/>
        <v>0</v>
      </c>
      <c r="EF186" s="1351">
        <f t="shared" si="349"/>
        <v>0</v>
      </c>
      <c r="EG186" s="1351">
        <f t="shared" si="349"/>
        <v>0</v>
      </c>
      <c r="EH186" s="1351">
        <f t="shared" si="349"/>
        <v>0</v>
      </c>
      <c r="EI186" s="1351">
        <f t="shared" si="349"/>
        <v>147.5</v>
      </c>
      <c r="EJ186" s="1351">
        <f t="shared" si="349"/>
        <v>147.5</v>
      </c>
      <c r="EK186" s="1351">
        <f t="shared" si="349"/>
        <v>0</v>
      </c>
      <c r="EL186" s="1351">
        <f t="shared" si="349"/>
        <v>147</v>
      </c>
      <c r="EM186" s="1351">
        <f t="shared" si="349"/>
        <v>-147</v>
      </c>
      <c r="EN186" s="1351">
        <f t="shared" si="349"/>
        <v>0</v>
      </c>
      <c r="EO186" s="1351">
        <f t="shared" si="349"/>
        <v>0</v>
      </c>
      <c r="EP186" s="1351">
        <f t="shared" si="349"/>
        <v>0</v>
      </c>
      <c r="EQ186" s="1351">
        <f t="shared" si="349"/>
        <v>0</v>
      </c>
      <c r="ER186" s="1351">
        <f t="shared" si="349"/>
        <v>0</v>
      </c>
      <c r="ES186" s="1351">
        <f t="shared" si="349"/>
        <v>0</v>
      </c>
      <c r="ET186" s="1351">
        <f t="shared" si="349"/>
        <v>0</v>
      </c>
      <c r="EU186" s="1351">
        <f t="shared" si="349"/>
        <v>1344</v>
      </c>
      <c r="EV186" s="1351">
        <f t="shared" si="349"/>
        <v>0</v>
      </c>
    </row>
    <row r="187" spans="1:152" ht="21" customHeight="1">
      <c r="A187" s="659">
        <v>62</v>
      </c>
      <c r="B187" s="751" t="s">
        <v>629</v>
      </c>
      <c r="C187" s="666">
        <f t="shared" ref="C187:J187" si="350">SUM(C188:C189)</f>
        <v>37</v>
      </c>
      <c r="D187" s="666">
        <f t="shared" si="350"/>
        <v>32</v>
      </c>
      <c r="E187" s="666">
        <f t="shared" si="350"/>
        <v>22</v>
      </c>
      <c r="F187" s="666">
        <f t="shared" si="350"/>
        <v>10</v>
      </c>
      <c r="G187" s="666">
        <f t="shared" si="350"/>
        <v>23</v>
      </c>
      <c r="H187" s="666">
        <f t="shared" si="350"/>
        <v>10</v>
      </c>
      <c r="I187" s="666">
        <f t="shared" si="350"/>
        <v>5</v>
      </c>
      <c r="J187" s="666">
        <f t="shared" si="350"/>
        <v>4</v>
      </c>
      <c r="K187" s="646">
        <f t="shared" si="272"/>
        <v>7521</v>
      </c>
      <c r="L187" s="662">
        <f>SUM(L188:L189)</f>
        <v>8244</v>
      </c>
      <c r="M187" s="666">
        <f t="shared" ref="M187:AJ187" si="351">SUM(M188:M189)</f>
        <v>2722</v>
      </c>
      <c r="N187" s="666">
        <f>SUM(N188:N189)</f>
        <v>626</v>
      </c>
      <c r="O187" s="666">
        <f>SUM(O188:O189)</f>
        <v>175</v>
      </c>
      <c r="P187" s="666">
        <f t="shared" si="351"/>
        <v>0</v>
      </c>
      <c r="Q187" s="666">
        <f t="shared" si="351"/>
        <v>0</v>
      </c>
      <c r="R187" s="666">
        <f t="shared" si="351"/>
        <v>0</v>
      </c>
      <c r="S187" s="666">
        <f t="shared" si="351"/>
        <v>94</v>
      </c>
      <c r="T187" s="666">
        <f t="shared" si="351"/>
        <v>94</v>
      </c>
      <c r="U187" s="666">
        <f t="shared" si="351"/>
        <v>3429</v>
      </c>
      <c r="V187" s="666">
        <f t="shared" si="351"/>
        <v>4168</v>
      </c>
      <c r="W187" s="666">
        <f t="shared" si="351"/>
        <v>314</v>
      </c>
      <c r="X187" s="666">
        <f t="shared" si="351"/>
        <v>0</v>
      </c>
      <c r="Y187" s="666">
        <f t="shared" si="351"/>
        <v>65.80000000000004</v>
      </c>
      <c r="Z187" s="666">
        <f t="shared" si="351"/>
        <v>416.80000000000007</v>
      </c>
      <c r="AA187" s="666">
        <f t="shared" si="351"/>
        <v>324</v>
      </c>
      <c r="AB187" s="666">
        <f t="shared" si="351"/>
        <v>390</v>
      </c>
      <c r="AC187" s="666">
        <f t="shared" si="351"/>
        <v>4092</v>
      </c>
      <c r="AD187" s="666">
        <f t="shared" si="351"/>
        <v>723</v>
      </c>
      <c r="AE187" s="666">
        <f t="shared" si="351"/>
        <v>0</v>
      </c>
      <c r="AF187" s="666">
        <f t="shared" si="351"/>
        <v>0</v>
      </c>
      <c r="AG187" s="666">
        <f>SUM(AG188:AG189)</f>
        <v>0</v>
      </c>
      <c r="AH187" s="666">
        <f>SUM(AH188:AH189)</f>
        <v>0</v>
      </c>
      <c r="AI187" s="666">
        <f t="shared" si="351"/>
        <v>0</v>
      </c>
      <c r="AJ187" s="666">
        <f t="shared" si="351"/>
        <v>0</v>
      </c>
      <c r="AK187" s="666">
        <v>367</v>
      </c>
      <c r="AL187" s="669"/>
      <c r="AN187" s="610"/>
      <c r="AO187" s="659">
        <v>67</v>
      </c>
      <c r="AP187" s="751" t="s">
        <v>629</v>
      </c>
      <c r="AQ187" s="661">
        <f>AQ188+AQ189</f>
        <v>39</v>
      </c>
      <c r="AR187" s="661">
        <f t="shared" ref="AR187:AX187" si="352">AR188+AR189</f>
        <v>34</v>
      </c>
      <c r="AS187" s="661">
        <f t="shared" si="352"/>
        <v>23</v>
      </c>
      <c r="AT187" s="661">
        <f t="shared" si="352"/>
        <v>11</v>
      </c>
      <c r="AU187" s="661">
        <f t="shared" si="352"/>
        <v>20</v>
      </c>
      <c r="AV187" s="661">
        <f t="shared" si="352"/>
        <v>10</v>
      </c>
      <c r="AW187" s="661">
        <f t="shared" si="352"/>
        <v>5</v>
      </c>
      <c r="AX187" s="661">
        <f t="shared" si="352"/>
        <v>5</v>
      </c>
      <c r="AY187" s="666">
        <f>SUM(AY188:AY189)</f>
        <v>7626</v>
      </c>
      <c r="AZ187" s="670">
        <f t="shared" ref="AZ187:BV187" si="353">SUM(AZ188:AZ189)</f>
        <v>2769</v>
      </c>
      <c r="BA187" s="666">
        <f t="shared" si="353"/>
        <v>733</v>
      </c>
      <c r="BB187" s="666">
        <f t="shared" si="353"/>
        <v>175</v>
      </c>
      <c r="BC187" s="666">
        <f t="shared" si="353"/>
        <v>0</v>
      </c>
      <c r="BD187" s="666">
        <f t="shared" si="353"/>
        <v>0</v>
      </c>
      <c r="BE187" s="666">
        <f t="shared" si="353"/>
        <v>91</v>
      </c>
      <c r="BF187" s="667">
        <f t="shared" si="353"/>
        <v>91</v>
      </c>
      <c r="BG187" s="666">
        <f t="shared" si="353"/>
        <v>3586</v>
      </c>
      <c r="BH187" s="666">
        <f t="shared" si="353"/>
        <v>3513</v>
      </c>
      <c r="BI187" s="666">
        <f t="shared" si="353"/>
        <v>0</v>
      </c>
      <c r="BJ187" s="666">
        <f t="shared" si="353"/>
        <v>369</v>
      </c>
      <c r="BK187" s="666">
        <f t="shared" si="353"/>
        <v>0</v>
      </c>
      <c r="BL187" s="666">
        <f t="shared" si="353"/>
        <v>351</v>
      </c>
      <c r="BM187" s="667">
        <f t="shared" si="353"/>
        <v>351</v>
      </c>
      <c r="BN187" s="666">
        <f t="shared" si="353"/>
        <v>3531</v>
      </c>
      <c r="BO187" s="666">
        <f t="shared" si="353"/>
        <v>509</v>
      </c>
      <c r="BP187" s="666">
        <f t="shared" si="353"/>
        <v>0</v>
      </c>
      <c r="BQ187" s="666">
        <f t="shared" si="353"/>
        <v>0</v>
      </c>
      <c r="BR187" s="666">
        <f>SUM(BR188:BR189)</f>
        <v>0</v>
      </c>
      <c r="BS187" s="666">
        <f>SUM(BS188:BS189)</f>
        <v>0</v>
      </c>
      <c r="BT187" s="666">
        <f t="shared" si="353"/>
        <v>0</v>
      </c>
      <c r="BU187" s="666">
        <f t="shared" si="353"/>
        <v>0</v>
      </c>
      <c r="BV187" s="666">
        <f t="shared" si="353"/>
        <v>0</v>
      </c>
      <c r="BW187" s="666"/>
      <c r="CA187" s="1352">
        <v>64</v>
      </c>
      <c r="CB187" s="1352" t="s">
        <v>629</v>
      </c>
      <c r="CC187" s="1352">
        <v>37</v>
      </c>
      <c r="CD187" s="1352">
        <v>32</v>
      </c>
      <c r="CE187" s="1352">
        <v>22</v>
      </c>
      <c r="CF187" s="1352">
        <v>10</v>
      </c>
      <c r="CG187" s="1352">
        <v>23</v>
      </c>
      <c r="CH187" s="1352">
        <v>10</v>
      </c>
      <c r="CI187" s="1352">
        <v>5</v>
      </c>
      <c r="CJ187" s="1352">
        <v>4</v>
      </c>
      <c r="CK187" s="1353">
        <v>8244</v>
      </c>
      <c r="CL187" s="1353">
        <v>2722</v>
      </c>
      <c r="CM187" s="1354">
        <v>626</v>
      </c>
      <c r="CN187" s="1354">
        <v>175</v>
      </c>
      <c r="CO187" s="1354">
        <v>0</v>
      </c>
      <c r="CP187" s="1354">
        <v>0</v>
      </c>
      <c r="CQ187" s="1354">
        <v>0</v>
      </c>
      <c r="CR187" s="1354">
        <v>94</v>
      </c>
      <c r="CS187" s="1354">
        <v>94</v>
      </c>
      <c r="CT187" s="1353">
        <v>3429</v>
      </c>
      <c r="CU187" s="1353">
        <v>4168</v>
      </c>
      <c r="CV187" s="1353">
        <v>314</v>
      </c>
      <c r="CW187" s="1353">
        <v>0</v>
      </c>
      <c r="CX187" s="1353">
        <v>65.80000000000004</v>
      </c>
      <c r="CY187" s="1353">
        <v>416.80000000000007</v>
      </c>
      <c r="CZ187" s="1353">
        <v>324</v>
      </c>
      <c r="DA187" s="1353">
        <v>390</v>
      </c>
      <c r="DB187" s="1353">
        <v>4092</v>
      </c>
      <c r="DC187" s="1353">
        <v>723</v>
      </c>
      <c r="DD187" s="1353">
        <v>0</v>
      </c>
      <c r="DE187" s="1353">
        <v>0</v>
      </c>
      <c r="DF187" s="1353">
        <v>0</v>
      </c>
      <c r="DG187" s="1353">
        <v>0</v>
      </c>
      <c r="DH187" s="1353">
        <v>0</v>
      </c>
      <c r="DI187" s="1353">
        <v>0</v>
      </c>
      <c r="DJ187" s="1353">
        <v>0</v>
      </c>
      <c r="DK187" s="1353"/>
      <c r="DT187" s="659">
        <v>64</v>
      </c>
      <c r="DU187" s="751" t="s">
        <v>629</v>
      </c>
      <c r="DV187" s="777">
        <f>DV188+DV189</f>
        <v>0</v>
      </c>
      <c r="DW187" s="777">
        <f t="shared" ref="DW187:EV187" si="354">DW188+DW189</f>
        <v>0</v>
      </c>
      <c r="DX187" s="777">
        <f t="shared" si="354"/>
        <v>0</v>
      </c>
      <c r="DY187" s="777">
        <f t="shared" si="354"/>
        <v>0</v>
      </c>
      <c r="DZ187" s="777">
        <f t="shared" si="354"/>
        <v>0</v>
      </c>
      <c r="EA187" s="777">
        <f t="shared" si="354"/>
        <v>0</v>
      </c>
      <c r="EB187" s="777">
        <f t="shared" si="354"/>
        <v>0</v>
      </c>
      <c r="EC187" s="777">
        <f t="shared" si="354"/>
        <v>0</v>
      </c>
      <c r="ED187" s="777">
        <f t="shared" si="354"/>
        <v>0</v>
      </c>
      <c r="EE187" s="777">
        <f t="shared" si="354"/>
        <v>0</v>
      </c>
      <c r="EF187" s="777">
        <f t="shared" si="354"/>
        <v>0</v>
      </c>
      <c r="EG187" s="777">
        <f t="shared" si="354"/>
        <v>0</v>
      </c>
      <c r="EH187" s="777">
        <f t="shared" si="354"/>
        <v>0</v>
      </c>
      <c r="EI187" s="777">
        <f t="shared" si="354"/>
        <v>0</v>
      </c>
      <c r="EJ187" s="777">
        <f t="shared" si="354"/>
        <v>0</v>
      </c>
      <c r="EK187" s="777">
        <f t="shared" si="354"/>
        <v>0</v>
      </c>
      <c r="EL187" s="777">
        <f t="shared" si="354"/>
        <v>0</v>
      </c>
      <c r="EM187" s="777">
        <f t="shared" si="354"/>
        <v>0</v>
      </c>
      <c r="EN187" s="777">
        <f t="shared" si="354"/>
        <v>0</v>
      </c>
      <c r="EO187" s="777">
        <f t="shared" si="354"/>
        <v>0</v>
      </c>
      <c r="EP187" s="777">
        <f t="shared" si="354"/>
        <v>0</v>
      </c>
      <c r="EQ187" s="777">
        <f t="shared" si="354"/>
        <v>0</v>
      </c>
      <c r="ER187" s="777">
        <f t="shared" si="354"/>
        <v>0</v>
      </c>
      <c r="ES187" s="777">
        <f t="shared" si="354"/>
        <v>0</v>
      </c>
      <c r="ET187" s="777">
        <f t="shared" si="354"/>
        <v>0</v>
      </c>
      <c r="EU187" s="777">
        <f t="shared" si="354"/>
        <v>0</v>
      </c>
      <c r="EV187" s="777">
        <f t="shared" si="354"/>
        <v>0</v>
      </c>
    </row>
    <row r="188" spans="1:152" ht="26.25" hidden="1" customHeight="1">
      <c r="A188" s="659"/>
      <c r="B188" s="718" t="s">
        <v>630</v>
      </c>
      <c r="C188" s="661">
        <f t="shared" ref="C188:C193" si="355">D188+I188</f>
        <v>25</v>
      </c>
      <c r="D188" s="661">
        <f t="shared" ref="D188:D193" si="356">E188+F188</f>
        <v>22</v>
      </c>
      <c r="E188" s="661">
        <v>22</v>
      </c>
      <c r="F188" s="661"/>
      <c r="G188" s="661">
        <v>23</v>
      </c>
      <c r="H188" s="661"/>
      <c r="I188" s="661">
        <v>3</v>
      </c>
      <c r="J188" s="661">
        <v>3</v>
      </c>
      <c r="K188" s="646">
        <f t="shared" si="272"/>
        <v>5703</v>
      </c>
      <c r="L188" s="662">
        <f t="shared" ref="L188:L198" si="357">U188+AC188+AD188+AE188</f>
        <v>6302</v>
      </c>
      <c r="M188" s="666">
        <v>1966</v>
      </c>
      <c r="N188" s="666">
        <v>449</v>
      </c>
      <c r="O188" s="666">
        <f>91</f>
        <v>91</v>
      </c>
      <c r="P188" s="666"/>
      <c r="Q188" s="666"/>
      <c r="R188" s="666"/>
      <c r="S188" s="666">
        <v>63</v>
      </c>
      <c r="T188" s="666">
        <f t="shared" ref="T188:T198" si="358">ROUND((Q188+R188+S188),0)</f>
        <v>63</v>
      </c>
      <c r="U188" s="666">
        <f>(M188+N188+O188+P188)-T188</f>
        <v>2443</v>
      </c>
      <c r="V188" s="666">
        <f>3109+150</f>
        <v>3259</v>
      </c>
      <c r="W188" s="666">
        <v>288</v>
      </c>
      <c r="X188" s="666"/>
      <c r="Y188" s="666">
        <f>Z188-BM188</f>
        <v>43.900000000000034</v>
      </c>
      <c r="Z188" s="666">
        <f>V188*10%</f>
        <v>325.90000000000003</v>
      </c>
      <c r="AA188" s="666">
        <v>243</v>
      </c>
      <c r="AB188" s="666">
        <f>ROUND((Y188+AA188+X188),0)</f>
        <v>287</v>
      </c>
      <c r="AC188" s="666">
        <f t="shared" ref="AC188:AC193" si="359">(V188+W188)-AB188</f>
        <v>3260</v>
      </c>
      <c r="AD188" s="666">
        <v>599</v>
      </c>
      <c r="AE188" s="666"/>
      <c r="AF188" s="666"/>
      <c r="AG188" s="666"/>
      <c r="AH188" s="666"/>
      <c r="AI188" s="666"/>
      <c r="AJ188" s="666"/>
      <c r="AK188" s="666"/>
      <c r="AL188" s="664"/>
      <c r="AN188" s="610"/>
      <c r="AO188" s="659"/>
      <c r="AP188" s="718" t="s">
        <v>630</v>
      </c>
      <c r="AQ188" s="661">
        <f>AR188+AW188</f>
        <v>26</v>
      </c>
      <c r="AR188" s="661">
        <f>AS188+AT188</f>
        <v>23</v>
      </c>
      <c r="AS188" s="661">
        <v>23</v>
      </c>
      <c r="AT188" s="661"/>
      <c r="AU188" s="661">
        <v>20</v>
      </c>
      <c r="AV188" s="661"/>
      <c r="AW188" s="661">
        <v>3</v>
      </c>
      <c r="AX188" s="661">
        <v>3</v>
      </c>
      <c r="AY188" s="666">
        <f t="shared" ref="AY188:AY198" si="360">BG188+BN188+BO188+BP188</f>
        <v>5992</v>
      </c>
      <c r="AZ188" s="670">
        <f>816+151+110+12+592+242+99+54+23</f>
        <v>2099</v>
      </c>
      <c r="BA188" s="666">
        <v>530</v>
      </c>
      <c r="BB188" s="666">
        <f>91</f>
        <v>91</v>
      </c>
      <c r="BC188" s="666"/>
      <c r="BD188" s="666"/>
      <c r="BE188" s="666">
        <v>62</v>
      </c>
      <c r="BF188" s="667">
        <f>ROUND(BE188,0)</f>
        <v>62</v>
      </c>
      <c r="BG188" s="666">
        <f>(AZ188+BA188+BB188+BC188)-BF188</f>
        <v>2658</v>
      </c>
      <c r="BH188" s="666">
        <f>2753+30+40</f>
        <v>2823</v>
      </c>
      <c r="BI188" s="666"/>
      <c r="BJ188" s="666">
        <v>344</v>
      </c>
      <c r="BK188" s="666"/>
      <c r="BL188" s="666">
        <v>282</v>
      </c>
      <c r="BM188" s="667">
        <f>ROUND(BL188,0)</f>
        <v>282</v>
      </c>
      <c r="BN188" s="666">
        <f>(BH188+BI188+BJ188)-BM188</f>
        <v>2885</v>
      </c>
      <c r="BO188" s="666">
        <v>449</v>
      </c>
      <c r="BP188" s="666"/>
      <c r="BQ188" s="666"/>
      <c r="BR188" s="666"/>
      <c r="BS188" s="666"/>
      <c r="BT188" s="666"/>
      <c r="BU188" s="666"/>
      <c r="BV188" s="666"/>
      <c r="BW188" s="662"/>
      <c r="CA188" s="1352"/>
      <c r="CB188" s="1352" t="s">
        <v>630</v>
      </c>
      <c r="CC188" s="1352">
        <v>25</v>
      </c>
      <c r="CD188" s="1352">
        <v>22</v>
      </c>
      <c r="CE188" s="1352">
        <v>22</v>
      </c>
      <c r="CF188" s="1352"/>
      <c r="CG188" s="1352">
        <v>23</v>
      </c>
      <c r="CH188" s="1352"/>
      <c r="CI188" s="1352">
        <v>3</v>
      </c>
      <c r="CJ188" s="1352">
        <v>3</v>
      </c>
      <c r="CK188" s="1353">
        <v>6302</v>
      </c>
      <c r="CL188" s="1353">
        <v>1966</v>
      </c>
      <c r="CM188" s="1354">
        <v>449</v>
      </c>
      <c r="CN188" s="1354">
        <v>91</v>
      </c>
      <c r="CO188" s="1354"/>
      <c r="CP188" s="1354"/>
      <c r="CQ188" s="1354"/>
      <c r="CR188" s="1354">
        <v>63</v>
      </c>
      <c r="CS188" s="1354">
        <v>63</v>
      </c>
      <c r="CT188" s="1353">
        <v>2443</v>
      </c>
      <c r="CU188" s="1353">
        <v>3259</v>
      </c>
      <c r="CV188" s="1353">
        <v>288</v>
      </c>
      <c r="CW188" s="1353"/>
      <c r="CX188" s="1353">
        <v>43.900000000000034</v>
      </c>
      <c r="CY188" s="1353">
        <v>325.90000000000003</v>
      </c>
      <c r="CZ188" s="1353">
        <v>243</v>
      </c>
      <c r="DA188" s="1353">
        <v>287</v>
      </c>
      <c r="DB188" s="1353">
        <v>3260</v>
      </c>
      <c r="DC188" s="1353">
        <v>599</v>
      </c>
      <c r="DD188" s="1353"/>
      <c r="DE188" s="1353"/>
      <c r="DF188" s="1353"/>
      <c r="DG188" s="1353"/>
      <c r="DH188" s="1353"/>
      <c r="DI188" s="1353"/>
      <c r="DJ188" s="1353"/>
      <c r="DK188" s="1353"/>
      <c r="DT188" s="659"/>
      <c r="DU188" s="718" t="s">
        <v>630</v>
      </c>
      <c r="DV188" s="777">
        <f t="shared" ref="DV188:EK198" si="361">L188-CK188</f>
        <v>0</v>
      </c>
      <c r="DW188" s="777">
        <f t="shared" si="361"/>
        <v>0</v>
      </c>
      <c r="DX188" s="777">
        <f t="shared" si="361"/>
        <v>0</v>
      </c>
      <c r="DY188" s="777">
        <f t="shared" si="361"/>
        <v>0</v>
      </c>
      <c r="DZ188" s="777">
        <f t="shared" si="361"/>
        <v>0</v>
      </c>
      <c r="EA188" s="777">
        <f t="shared" si="361"/>
        <v>0</v>
      </c>
      <c r="EB188" s="777">
        <f t="shared" si="361"/>
        <v>0</v>
      </c>
      <c r="EC188" s="777">
        <f t="shared" si="361"/>
        <v>0</v>
      </c>
      <c r="ED188" s="777">
        <f t="shared" si="361"/>
        <v>0</v>
      </c>
      <c r="EE188" s="777">
        <f t="shared" si="361"/>
        <v>0</v>
      </c>
      <c r="EF188" s="777">
        <f t="shared" si="361"/>
        <v>0</v>
      </c>
      <c r="EG188" s="777">
        <f t="shared" si="361"/>
        <v>0</v>
      </c>
      <c r="EH188" s="777">
        <f t="shared" si="361"/>
        <v>0</v>
      </c>
      <c r="EI188" s="777">
        <f t="shared" si="361"/>
        <v>0</v>
      </c>
      <c r="EJ188" s="777">
        <f t="shared" si="361"/>
        <v>0</v>
      </c>
      <c r="EK188" s="777">
        <f t="shared" si="361"/>
        <v>0</v>
      </c>
      <c r="EL188" s="777">
        <f t="shared" ref="EL188:EV198" si="362">AB188-DA188</f>
        <v>0</v>
      </c>
      <c r="EM188" s="777">
        <f t="shared" si="362"/>
        <v>0</v>
      </c>
      <c r="EN188" s="777">
        <f t="shared" si="362"/>
        <v>0</v>
      </c>
      <c r="EO188" s="777">
        <f t="shared" si="362"/>
        <v>0</v>
      </c>
      <c r="EP188" s="777">
        <f t="shared" si="362"/>
        <v>0</v>
      </c>
      <c r="EQ188" s="777">
        <f t="shared" si="362"/>
        <v>0</v>
      </c>
      <c r="ER188" s="777">
        <f t="shared" si="362"/>
        <v>0</v>
      </c>
      <c r="ES188" s="777">
        <f t="shared" si="362"/>
        <v>0</v>
      </c>
      <c r="ET188" s="777">
        <f t="shared" si="362"/>
        <v>0</v>
      </c>
      <c r="EU188" s="777">
        <f t="shared" si="362"/>
        <v>0</v>
      </c>
      <c r="EV188" s="777">
        <f t="shared" si="362"/>
        <v>0</v>
      </c>
    </row>
    <row r="189" spans="1:152" ht="26.25" hidden="1" customHeight="1">
      <c r="A189" s="659"/>
      <c r="B189" s="718" t="s">
        <v>631</v>
      </c>
      <c r="C189" s="661">
        <f t="shared" si="355"/>
        <v>12</v>
      </c>
      <c r="D189" s="661">
        <f t="shared" si="356"/>
        <v>10</v>
      </c>
      <c r="E189" s="661"/>
      <c r="F189" s="661">
        <v>10</v>
      </c>
      <c r="G189" s="661"/>
      <c r="H189" s="661">
        <v>10</v>
      </c>
      <c r="I189" s="661">
        <v>2</v>
      </c>
      <c r="J189" s="661">
        <v>1</v>
      </c>
      <c r="K189" s="646">
        <f t="shared" si="272"/>
        <v>1818</v>
      </c>
      <c r="L189" s="662">
        <f t="shared" si="357"/>
        <v>1942</v>
      </c>
      <c r="M189" s="666">
        <v>756</v>
      </c>
      <c r="N189" s="666">
        <v>177</v>
      </c>
      <c r="O189" s="666">
        <v>84</v>
      </c>
      <c r="P189" s="666"/>
      <c r="Q189" s="666"/>
      <c r="R189" s="666"/>
      <c r="S189" s="666">
        <v>31</v>
      </c>
      <c r="T189" s="666">
        <f t="shared" si="358"/>
        <v>31</v>
      </c>
      <c r="U189" s="666">
        <f>(M189+N189+O189+P189)-T189</f>
        <v>986</v>
      </c>
      <c r="V189" s="666">
        <v>909</v>
      </c>
      <c r="W189" s="666">
        <v>26</v>
      </c>
      <c r="X189" s="666"/>
      <c r="Y189" s="666">
        <f>Z189-BM189</f>
        <v>21.900000000000006</v>
      </c>
      <c r="Z189" s="666">
        <f>V189*10%</f>
        <v>90.9</v>
      </c>
      <c r="AA189" s="666">
        <v>81</v>
      </c>
      <c r="AB189" s="666">
        <f>ROUND((Y189+AA189+X189),0)</f>
        <v>103</v>
      </c>
      <c r="AC189" s="666">
        <f t="shared" si="359"/>
        <v>832</v>
      </c>
      <c r="AD189" s="666">
        <v>124</v>
      </c>
      <c r="AE189" s="666"/>
      <c r="AF189" s="666"/>
      <c r="AG189" s="666"/>
      <c r="AH189" s="666"/>
      <c r="AI189" s="666"/>
      <c r="AJ189" s="666"/>
      <c r="AK189" s="666"/>
      <c r="AL189" s="664"/>
      <c r="AN189" s="610"/>
      <c r="AO189" s="659"/>
      <c r="AP189" s="718" t="s">
        <v>631</v>
      </c>
      <c r="AQ189" s="661">
        <f>AR189+AW189</f>
        <v>13</v>
      </c>
      <c r="AR189" s="661">
        <f>AS189+AT189</f>
        <v>11</v>
      </c>
      <c r="AS189" s="661"/>
      <c r="AT189" s="661">
        <v>11</v>
      </c>
      <c r="AU189" s="661"/>
      <c r="AV189" s="661">
        <v>10</v>
      </c>
      <c r="AW189" s="661">
        <v>2</v>
      </c>
      <c r="AX189" s="661">
        <v>2</v>
      </c>
      <c r="AY189" s="666">
        <f t="shared" si="360"/>
        <v>1634</v>
      </c>
      <c r="AZ189" s="670">
        <f>591+79</f>
        <v>670</v>
      </c>
      <c r="BA189" s="666">
        <v>203</v>
      </c>
      <c r="BB189" s="666">
        <v>84</v>
      </c>
      <c r="BC189" s="666"/>
      <c r="BD189" s="666"/>
      <c r="BE189" s="666">
        <v>29</v>
      </c>
      <c r="BF189" s="667">
        <f>ROUND(BE189,0)</f>
        <v>29</v>
      </c>
      <c r="BG189" s="666">
        <f>(AZ189+BA189+BB189+BC189)-BF189</f>
        <v>928</v>
      </c>
      <c r="BH189" s="666">
        <v>690</v>
      </c>
      <c r="BI189" s="666"/>
      <c r="BJ189" s="666">
        <v>25</v>
      </c>
      <c r="BK189" s="666"/>
      <c r="BL189" s="666">
        <v>69</v>
      </c>
      <c r="BM189" s="667">
        <f>ROUND(BL189,0)</f>
        <v>69</v>
      </c>
      <c r="BN189" s="666">
        <f>(BH189+BI189+BJ189)-BM189</f>
        <v>646</v>
      </c>
      <c r="BO189" s="666">
        <v>60</v>
      </c>
      <c r="BP189" s="666"/>
      <c r="BQ189" s="666"/>
      <c r="BR189" s="666"/>
      <c r="BS189" s="666"/>
      <c r="BT189" s="666"/>
      <c r="BU189" s="666"/>
      <c r="BV189" s="666"/>
      <c r="BW189" s="662"/>
      <c r="CA189" s="1352"/>
      <c r="CB189" s="1352" t="s">
        <v>631</v>
      </c>
      <c r="CC189" s="1352">
        <v>12</v>
      </c>
      <c r="CD189" s="1352">
        <v>10</v>
      </c>
      <c r="CE189" s="1352"/>
      <c r="CF189" s="1352">
        <v>10</v>
      </c>
      <c r="CG189" s="1352"/>
      <c r="CH189" s="1352">
        <v>10</v>
      </c>
      <c r="CI189" s="1352">
        <v>2</v>
      </c>
      <c r="CJ189" s="1352">
        <v>1</v>
      </c>
      <c r="CK189" s="1353">
        <v>1942</v>
      </c>
      <c r="CL189" s="1353">
        <v>756</v>
      </c>
      <c r="CM189" s="1354">
        <v>177</v>
      </c>
      <c r="CN189" s="1354">
        <v>84</v>
      </c>
      <c r="CO189" s="1354"/>
      <c r="CP189" s="1354"/>
      <c r="CQ189" s="1354"/>
      <c r="CR189" s="1354">
        <v>31</v>
      </c>
      <c r="CS189" s="1354">
        <v>31</v>
      </c>
      <c r="CT189" s="1353">
        <v>986</v>
      </c>
      <c r="CU189" s="1353">
        <v>909</v>
      </c>
      <c r="CV189" s="1353">
        <v>26</v>
      </c>
      <c r="CW189" s="1353"/>
      <c r="CX189" s="1353">
        <v>21.900000000000006</v>
      </c>
      <c r="CY189" s="1353">
        <v>90.9</v>
      </c>
      <c r="CZ189" s="1353">
        <v>81</v>
      </c>
      <c r="DA189" s="1353">
        <v>103</v>
      </c>
      <c r="DB189" s="1353">
        <v>832</v>
      </c>
      <c r="DC189" s="1353">
        <v>124</v>
      </c>
      <c r="DD189" s="1353"/>
      <c r="DE189" s="1353"/>
      <c r="DF189" s="1353"/>
      <c r="DG189" s="1353"/>
      <c r="DH189" s="1353"/>
      <c r="DI189" s="1353"/>
      <c r="DJ189" s="1353"/>
      <c r="DK189" s="1353"/>
      <c r="DT189" s="659"/>
      <c r="DU189" s="718" t="s">
        <v>631</v>
      </c>
      <c r="DV189" s="777">
        <f t="shared" si="361"/>
        <v>0</v>
      </c>
      <c r="DW189" s="777">
        <f t="shared" si="361"/>
        <v>0</v>
      </c>
      <c r="DX189" s="777">
        <f t="shared" si="361"/>
        <v>0</v>
      </c>
      <c r="DY189" s="777">
        <f t="shared" si="361"/>
        <v>0</v>
      </c>
      <c r="DZ189" s="777">
        <f t="shared" si="361"/>
        <v>0</v>
      </c>
      <c r="EA189" s="777">
        <f t="shared" si="361"/>
        <v>0</v>
      </c>
      <c r="EB189" s="777">
        <f t="shared" si="361"/>
        <v>0</v>
      </c>
      <c r="EC189" s="777">
        <f t="shared" si="361"/>
        <v>0</v>
      </c>
      <c r="ED189" s="777">
        <f t="shared" si="361"/>
        <v>0</v>
      </c>
      <c r="EE189" s="777">
        <f t="shared" si="361"/>
        <v>0</v>
      </c>
      <c r="EF189" s="777">
        <f t="shared" si="361"/>
        <v>0</v>
      </c>
      <c r="EG189" s="777">
        <f t="shared" si="361"/>
        <v>0</v>
      </c>
      <c r="EH189" s="777">
        <f t="shared" si="361"/>
        <v>0</v>
      </c>
      <c r="EI189" s="777">
        <f t="shared" si="361"/>
        <v>0</v>
      </c>
      <c r="EJ189" s="777">
        <f t="shared" si="361"/>
        <v>0</v>
      </c>
      <c r="EK189" s="777">
        <f t="shared" si="361"/>
        <v>0</v>
      </c>
      <c r="EL189" s="777">
        <f t="shared" si="362"/>
        <v>0</v>
      </c>
      <c r="EM189" s="777">
        <f t="shared" si="362"/>
        <v>0</v>
      </c>
      <c r="EN189" s="777">
        <f t="shared" si="362"/>
        <v>0</v>
      </c>
      <c r="EO189" s="777">
        <f t="shared" si="362"/>
        <v>0</v>
      </c>
      <c r="EP189" s="777">
        <f t="shared" si="362"/>
        <v>0</v>
      </c>
      <c r="EQ189" s="777">
        <f t="shared" si="362"/>
        <v>0</v>
      </c>
      <c r="ER189" s="777">
        <f t="shared" si="362"/>
        <v>0</v>
      </c>
      <c r="ES189" s="777">
        <f t="shared" si="362"/>
        <v>0</v>
      </c>
      <c r="ET189" s="777">
        <f t="shared" si="362"/>
        <v>0</v>
      </c>
      <c r="EU189" s="777">
        <f t="shared" si="362"/>
        <v>0</v>
      </c>
      <c r="EV189" s="777">
        <f t="shared" si="362"/>
        <v>0</v>
      </c>
    </row>
    <row r="190" spans="1:152" s="693" customFormat="1" ht="39" customHeight="1">
      <c r="A190" s="682"/>
      <c r="B190" s="683" t="s">
        <v>529</v>
      </c>
      <c r="C190" s="684">
        <f t="shared" si="355"/>
        <v>0</v>
      </c>
      <c r="D190" s="684">
        <f t="shared" si="356"/>
        <v>0</v>
      </c>
      <c r="E190" s="684"/>
      <c r="F190" s="684"/>
      <c r="G190" s="684"/>
      <c r="H190" s="684"/>
      <c r="I190" s="684"/>
      <c r="J190" s="684"/>
      <c r="K190" s="646">
        <f t="shared" si="272"/>
        <v>150</v>
      </c>
      <c r="L190" s="692">
        <f t="shared" si="357"/>
        <v>150</v>
      </c>
      <c r="M190" s="685"/>
      <c r="N190" s="685"/>
      <c r="O190" s="685"/>
      <c r="P190" s="685"/>
      <c r="Q190" s="685"/>
      <c r="R190" s="685"/>
      <c r="S190" s="685"/>
      <c r="T190" s="666">
        <f t="shared" si="358"/>
        <v>0</v>
      </c>
      <c r="U190" s="685">
        <f>(M190+N190+O190+P190)-S190</f>
        <v>0</v>
      </c>
      <c r="V190" s="685">
        <v>150</v>
      </c>
      <c r="W190" s="685"/>
      <c r="X190" s="685"/>
      <c r="Y190" s="685"/>
      <c r="Z190" s="685"/>
      <c r="AA190" s="685"/>
      <c r="AB190" s="685"/>
      <c r="AC190" s="666">
        <f t="shared" si="359"/>
        <v>150</v>
      </c>
      <c r="AD190" s="685"/>
      <c r="AE190" s="685"/>
      <c r="AF190" s="685"/>
      <c r="AG190" s="685"/>
      <c r="AH190" s="685"/>
      <c r="AI190" s="685"/>
      <c r="AJ190" s="685"/>
      <c r="AK190" s="685"/>
      <c r="AL190" s="688"/>
      <c r="AM190" s="689"/>
      <c r="AN190" s="690"/>
      <c r="AO190" s="682"/>
      <c r="AP190" s="714"/>
      <c r="AQ190" s="684"/>
      <c r="AR190" s="684"/>
      <c r="AS190" s="684"/>
      <c r="AT190" s="684"/>
      <c r="AU190" s="684"/>
      <c r="AV190" s="684"/>
      <c r="AW190" s="684"/>
      <c r="AX190" s="684"/>
      <c r="AY190" s="685"/>
      <c r="AZ190" s="691"/>
      <c r="BA190" s="685"/>
      <c r="BB190" s="685"/>
      <c r="BC190" s="685"/>
      <c r="BD190" s="685"/>
      <c r="BE190" s="685"/>
      <c r="BF190" s="686"/>
      <c r="BG190" s="685"/>
      <c r="BH190" s="685"/>
      <c r="BI190" s="685"/>
      <c r="BJ190" s="685"/>
      <c r="BK190" s="685"/>
      <c r="BL190" s="685"/>
      <c r="BM190" s="686"/>
      <c r="BN190" s="685"/>
      <c r="BO190" s="685"/>
      <c r="BP190" s="685"/>
      <c r="BQ190" s="685"/>
      <c r="BR190" s="685"/>
      <c r="BS190" s="685"/>
      <c r="BT190" s="685"/>
      <c r="BU190" s="685"/>
      <c r="BV190" s="685"/>
      <c r="BW190" s="692"/>
      <c r="BY190" s="1355"/>
      <c r="BZ190" s="1355"/>
      <c r="CA190" s="1356"/>
      <c r="CB190" s="1356" t="s">
        <v>529</v>
      </c>
      <c r="CC190" s="1356">
        <v>0</v>
      </c>
      <c r="CD190" s="1356">
        <v>0</v>
      </c>
      <c r="CE190" s="1356"/>
      <c r="CF190" s="1356"/>
      <c r="CG190" s="1356"/>
      <c r="CH190" s="1356"/>
      <c r="CI190" s="1356"/>
      <c r="CJ190" s="1356"/>
      <c r="CK190" s="1357">
        <v>150</v>
      </c>
      <c r="CL190" s="1357"/>
      <c r="CM190" s="1358"/>
      <c r="CN190" s="1358"/>
      <c r="CO190" s="1358"/>
      <c r="CP190" s="1358"/>
      <c r="CQ190" s="1358"/>
      <c r="CR190" s="1358"/>
      <c r="CS190" s="1358">
        <v>0</v>
      </c>
      <c r="CT190" s="1357">
        <v>0</v>
      </c>
      <c r="CU190" s="1357">
        <v>150</v>
      </c>
      <c r="CV190" s="1357"/>
      <c r="CW190" s="1357"/>
      <c r="CX190" s="1357"/>
      <c r="CY190" s="1357"/>
      <c r="CZ190" s="1357"/>
      <c r="DA190" s="1357"/>
      <c r="DB190" s="1357">
        <v>150</v>
      </c>
      <c r="DC190" s="1357"/>
      <c r="DD190" s="1357"/>
      <c r="DE190" s="1357"/>
      <c r="DF190" s="1357"/>
      <c r="DG190" s="1357"/>
      <c r="DH190" s="1357"/>
      <c r="DI190" s="1357"/>
      <c r="DJ190" s="1357"/>
      <c r="DK190" s="1357"/>
      <c r="DT190" s="682"/>
      <c r="DU190" s="683" t="s">
        <v>529</v>
      </c>
      <c r="DV190" s="777">
        <f t="shared" si="361"/>
        <v>0</v>
      </c>
      <c r="DW190" s="777">
        <f t="shared" si="361"/>
        <v>0</v>
      </c>
      <c r="DX190" s="777">
        <f t="shared" si="361"/>
        <v>0</v>
      </c>
      <c r="DY190" s="777">
        <f t="shared" si="361"/>
        <v>0</v>
      </c>
      <c r="DZ190" s="777">
        <f t="shared" si="361"/>
        <v>0</v>
      </c>
      <c r="EA190" s="777">
        <f t="shared" si="361"/>
        <v>0</v>
      </c>
      <c r="EB190" s="777">
        <f t="shared" si="361"/>
        <v>0</v>
      </c>
      <c r="EC190" s="777">
        <f t="shared" si="361"/>
        <v>0</v>
      </c>
      <c r="ED190" s="777">
        <f t="shared" si="361"/>
        <v>0</v>
      </c>
      <c r="EE190" s="777">
        <f t="shared" si="361"/>
        <v>0</v>
      </c>
      <c r="EF190" s="777">
        <f t="shared" si="361"/>
        <v>0</v>
      </c>
      <c r="EG190" s="777">
        <f t="shared" si="361"/>
        <v>0</v>
      </c>
      <c r="EH190" s="777">
        <f t="shared" si="361"/>
        <v>0</v>
      </c>
      <c r="EI190" s="777">
        <f t="shared" si="361"/>
        <v>0</v>
      </c>
      <c r="EJ190" s="777">
        <f t="shared" si="361"/>
        <v>0</v>
      </c>
      <c r="EK190" s="777">
        <f t="shared" si="361"/>
        <v>0</v>
      </c>
      <c r="EL190" s="777">
        <f t="shared" si="362"/>
        <v>0</v>
      </c>
      <c r="EM190" s="777">
        <f t="shared" si="362"/>
        <v>0</v>
      </c>
      <c r="EN190" s="777">
        <f t="shared" si="362"/>
        <v>0</v>
      </c>
      <c r="EO190" s="777">
        <f t="shared" si="362"/>
        <v>0</v>
      </c>
      <c r="EP190" s="777">
        <f t="shared" si="362"/>
        <v>0</v>
      </c>
      <c r="EQ190" s="777">
        <f t="shared" si="362"/>
        <v>0</v>
      </c>
      <c r="ER190" s="777">
        <f t="shared" si="362"/>
        <v>0</v>
      </c>
      <c r="ES190" s="777">
        <f t="shared" si="362"/>
        <v>0</v>
      </c>
      <c r="ET190" s="777">
        <f t="shared" si="362"/>
        <v>0</v>
      </c>
      <c r="EU190" s="777">
        <f t="shared" si="362"/>
        <v>0</v>
      </c>
      <c r="EV190" s="777">
        <f t="shared" si="362"/>
        <v>0</v>
      </c>
    </row>
    <row r="191" spans="1:152" ht="30.6" customHeight="1">
      <c r="A191" s="659">
        <v>63</v>
      </c>
      <c r="B191" s="660" t="s">
        <v>632</v>
      </c>
      <c r="C191" s="661">
        <f t="shared" si="355"/>
        <v>21</v>
      </c>
      <c r="D191" s="661">
        <f t="shared" si="356"/>
        <v>18</v>
      </c>
      <c r="E191" s="661">
        <v>18</v>
      </c>
      <c r="F191" s="661"/>
      <c r="G191" s="661">
        <v>19</v>
      </c>
      <c r="H191" s="661"/>
      <c r="I191" s="661">
        <v>3</v>
      </c>
      <c r="J191" s="661">
        <v>3</v>
      </c>
      <c r="K191" s="646">
        <f t="shared" si="272"/>
        <v>7084</v>
      </c>
      <c r="L191" s="662">
        <f t="shared" si="357"/>
        <v>8119</v>
      </c>
      <c r="M191" s="666">
        <v>2653</v>
      </c>
      <c r="N191" s="666">
        <v>311</v>
      </c>
      <c r="O191" s="666">
        <v>240</v>
      </c>
      <c r="P191" s="666"/>
      <c r="Q191" s="666"/>
      <c r="R191" s="666">
        <f>((N191+O191)-(BA191+BB191))*10%</f>
        <v>1.1000000000000001</v>
      </c>
      <c r="S191" s="666">
        <v>72</v>
      </c>
      <c r="T191" s="666">
        <f t="shared" si="358"/>
        <v>73</v>
      </c>
      <c r="U191" s="666">
        <f>(M191+N191+O191+P191)-T191</f>
        <v>3131</v>
      </c>
      <c r="V191" s="666">
        <f>3998-50+121</f>
        <v>4069</v>
      </c>
      <c r="W191" s="666">
        <v>207</v>
      </c>
      <c r="X191" s="666"/>
      <c r="Y191" s="666">
        <f>Z191-BM191</f>
        <v>28.400000000000034</v>
      </c>
      <c r="Z191" s="666">
        <f>(V191-965)*10%</f>
        <v>310.40000000000003</v>
      </c>
      <c r="AA191" s="666">
        <v>295</v>
      </c>
      <c r="AB191" s="666">
        <f>ROUND((Y191+AA191+X191),0)</f>
        <v>323</v>
      </c>
      <c r="AC191" s="666">
        <f t="shared" si="359"/>
        <v>3953</v>
      </c>
      <c r="AD191" s="666">
        <v>1035</v>
      </c>
      <c r="AE191" s="666"/>
      <c r="AF191" s="666"/>
      <c r="AG191" s="666"/>
      <c r="AH191" s="666"/>
      <c r="AI191" s="666"/>
      <c r="AJ191" s="666"/>
      <c r="AK191" s="666"/>
      <c r="AL191" s="664"/>
      <c r="AN191" s="610"/>
      <c r="AO191" s="659">
        <v>68</v>
      </c>
      <c r="AP191" s="660" t="s">
        <v>632</v>
      </c>
      <c r="AQ191" s="661">
        <f>AR191+AW191</f>
        <v>23</v>
      </c>
      <c r="AR191" s="661">
        <f>AS191+AT191</f>
        <v>20</v>
      </c>
      <c r="AS191" s="661">
        <v>20</v>
      </c>
      <c r="AT191" s="661"/>
      <c r="AU191" s="661">
        <v>20</v>
      </c>
      <c r="AV191" s="661"/>
      <c r="AW191" s="661">
        <v>3</v>
      </c>
      <c r="AX191" s="661">
        <v>3</v>
      </c>
      <c r="AY191" s="666">
        <f t="shared" si="360"/>
        <v>7780</v>
      </c>
      <c r="AZ191" s="670">
        <f>1299+37+5+735+301+198</f>
        <v>2575</v>
      </c>
      <c r="BA191" s="666">
        <v>300</v>
      </c>
      <c r="BB191" s="666">
        <v>240</v>
      </c>
      <c r="BC191" s="666"/>
      <c r="BD191" s="666"/>
      <c r="BE191" s="666">
        <v>54</v>
      </c>
      <c r="BF191" s="667">
        <f>ROUND(BE191,0)</f>
        <v>54</v>
      </c>
      <c r="BG191" s="666">
        <f>(AZ191+BA191+BB191+BC191)-BF191</f>
        <v>3061</v>
      </c>
      <c r="BH191" s="666">
        <f>3257-12+176+323+10</f>
        <v>3754</v>
      </c>
      <c r="BI191" s="666"/>
      <c r="BJ191" s="666">
        <f>200+12</f>
        <v>212</v>
      </c>
      <c r="BK191" s="666"/>
      <c r="BL191" s="666">
        <v>282</v>
      </c>
      <c r="BM191" s="667">
        <f>ROUND(BL191,0)</f>
        <v>282</v>
      </c>
      <c r="BN191" s="666">
        <f>(BH191+BI191+BJ191)-BM191</f>
        <v>3684</v>
      </c>
      <c r="BO191" s="666">
        <f>1000+35</f>
        <v>1035</v>
      </c>
      <c r="BP191" s="666"/>
      <c r="BQ191" s="666"/>
      <c r="BR191" s="666"/>
      <c r="BS191" s="666"/>
      <c r="BT191" s="666"/>
      <c r="BU191" s="666"/>
      <c r="BV191" s="666"/>
      <c r="BW191" s="662"/>
      <c r="CA191" s="1352">
        <v>65</v>
      </c>
      <c r="CB191" s="1352" t="s">
        <v>632</v>
      </c>
      <c r="CC191" s="1352">
        <v>21</v>
      </c>
      <c r="CD191" s="1352">
        <v>18</v>
      </c>
      <c r="CE191" s="1352">
        <v>18</v>
      </c>
      <c r="CF191" s="1352"/>
      <c r="CG191" s="1352">
        <v>19</v>
      </c>
      <c r="CH191" s="1352"/>
      <c r="CI191" s="1352">
        <v>3</v>
      </c>
      <c r="CJ191" s="1352">
        <v>3</v>
      </c>
      <c r="CK191" s="1353">
        <v>8122</v>
      </c>
      <c r="CL191" s="1353">
        <v>2653</v>
      </c>
      <c r="CM191" s="1354">
        <v>311</v>
      </c>
      <c r="CN191" s="1354">
        <v>240</v>
      </c>
      <c r="CO191" s="1354"/>
      <c r="CP191" s="1354"/>
      <c r="CQ191" s="1354">
        <v>1.1000000000000001</v>
      </c>
      <c r="CR191" s="1354">
        <v>72</v>
      </c>
      <c r="CS191" s="1354">
        <v>73</v>
      </c>
      <c r="CT191" s="1353">
        <v>3131</v>
      </c>
      <c r="CU191" s="1353">
        <v>4069</v>
      </c>
      <c r="CV191" s="1353">
        <v>207</v>
      </c>
      <c r="CW191" s="1353"/>
      <c r="CX191" s="1353">
        <v>24.900000000000034</v>
      </c>
      <c r="CY191" s="1353">
        <v>306.90000000000003</v>
      </c>
      <c r="CZ191" s="1353">
        <v>295</v>
      </c>
      <c r="DA191" s="1353">
        <v>320</v>
      </c>
      <c r="DB191" s="1353">
        <v>3956</v>
      </c>
      <c r="DC191" s="1353">
        <v>1035</v>
      </c>
      <c r="DD191" s="1353"/>
      <c r="DE191" s="1353"/>
      <c r="DF191" s="1353"/>
      <c r="DG191" s="1353"/>
      <c r="DH191" s="1353"/>
      <c r="DI191" s="1353"/>
      <c r="DJ191" s="1353"/>
      <c r="DK191" s="1353"/>
      <c r="DT191" s="659">
        <v>65</v>
      </c>
      <c r="DU191" s="660" t="s">
        <v>632</v>
      </c>
      <c r="DV191" s="777">
        <f t="shared" si="361"/>
        <v>-3</v>
      </c>
      <c r="DW191" s="777">
        <f t="shared" si="361"/>
        <v>0</v>
      </c>
      <c r="DX191" s="777">
        <f t="shared" si="361"/>
        <v>0</v>
      </c>
      <c r="DY191" s="777">
        <f t="shared" si="361"/>
        <v>0</v>
      </c>
      <c r="DZ191" s="777">
        <f t="shared" si="361"/>
        <v>0</v>
      </c>
      <c r="EA191" s="777">
        <f t="shared" si="361"/>
        <v>0</v>
      </c>
      <c r="EB191" s="777">
        <f t="shared" si="361"/>
        <v>0</v>
      </c>
      <c r="EC191" s="777">
        <f t="shared" si="361"/>
        <v>0</v>
      </c>
      <c r="ED191" s="777">
        <f t="shared" si="361"/>
        <v>0</v>
      </c>
      <c r="EE191" s="777">
        <f t="shared" si="361"/>
        <v>0</v>
      </c>
      <c r="EF191" s="777">
        <f t="shared" si="361"/>
        <v>0</v>
      </c>
      <c r="EG191" s="777">
        <f t="shared" si="361"/>
        <v>0</v>
      </c>
      <c r="EH191" s="777">
        <f t="shared" si="361"/>
        <v>0</v>
      </c>
      <c r="EI191" s="777">
        <f t="shared" si="361"/>
        <v>3.5</v>
      </c>
      <c r="EJ191" s="777">
        <f t="shared" si="361"/>
        <v>3.5</v>
      </c>
      <c r="EK191" s="777">
        <f t="shared" si="361"/>
        <v>0</v>
      </c>
      <c r="EL191" s="777">
        <f t="shared" si="362"/>
        <v>3</v>
      </c>
      <c r="EM191" s="777">
        <f t="shared" si="362"/>
        <v>-3</v>
      </c>
      <c r="EN191" s="777">
        <f t="shared" si="362"/>
        <v>0</v>
      </c>
      <c r="EO191" s="777">
        <f t="shared" si="362"/>
        <v>0</v>
      </c>
      <c r="EP191" s="777">
        <f t="shared" si="362"/>
        <v>0</v>
      </c>
      <c r="EQ191" s="777">
        <f t="shared" si="362"/>
        <v>0</v>
      </c>
      <c r="ER191" s="777">
        <f t="shared" si="362"/>
        <v>0</v>
      </c>
      <c r="ES191" s="777">
        <f t="shared" si="362"/>
        <v>0</v>
      </c>
      <c r="ET191" s="777">
        <f t="shared" si="362"/>
        <v>0</v>
      </c>
      <c r="EU191" s="777">
        <f t="shared" si="362"/>
        <v>0</v>
      </c>
      <c r="EV191" s="777">
        <f t="shared" si="362"/>
        <v>0</v>
      </c>
    </row>
    <row r="192" spans="1:152" ht="40.5" customHeight="1">
      <c r="A192" s="659"/>
      <c r="B192" s="683" t="s">
        <v>529</v>
      </c>
      <c r="C192" s="684">
        <f t="shared" si="355"/>
        <v>0</v>
      </c>
      <c r="D192" s="684">
        <f t="shared" si="356"/>
        <v>0</v>
      </c>
      <c r="E192" s="684"/>
      <c r="F192" s="684"/>
      <c r="G192" s="684"/>
      <c r="H192" s="684"/>
      <c r="I192" s="684"/>
      <c r="J192" s="684"/>
      <c r="K192" s="646">
        <f t="shared" si="272"/>
        <v>121</v>
      </c>
      <c r="L192" s="692">
        <f t="shared" si="357"/>
        <v>121</v>
      </c>
      <c r="M192" s="685"/>
      <c r="N192" s="685"/>
      <c r="O192" s="685"/>
      <c r="P192" s="685"/>
      <c r="Q192" s="685"/>
      <c r="R192" s="685"/>
      <c r="S192" s="685"/>
      <c r="T192" s="666">
        <f t="shared" si="358"/>
        <v>0</v>
      </c>
      <c r="U192" s="685">
        <f>(M192+N192+O192+P192)-S192</f>
        <v>0</v>
      </c>
      <c r="V192" s="685">
        <v>121</v>
      </c>
      <c r="W192" s="685"/>
      <c r="X192" s="685"/>
      <c r="Y192" s="685"/>
      <c r="Z192" s="685"/>
      <c r="AA192" s="685"/>
      <c r="AB192" s="685"/>
      <c r="AC192" s="685">
        <f>(V192+W192)-AA192</f>
        <v>121</v>
      </c>
      <c r="AD192" s="685"/>
      <c r="AE192" s="685"/>
      <c r="AF192" s="685"/>
      <c r="AG192" s="685"/>
      <c r="AH192" s="685"/>
      <c r="AI192" s="685"/>
      <c r="AJ192" s="685"/>
      <c r="AK192" s="685"/>
      <c r="AL192" s="688"/>
      <c r="AN192" s="610"/>
      <c r="AO192" s="659"/>
      <c r="AP192" s="660"/>
      <c r="AQ192" s="661"/>
      <c r="AR192" s="661"/>
      <c r="AS192" s="661"/>
      <c r="AT192" s="661"/>
      <c r="AU192" s="661"/>
      <c r="AV192" s="661"/>
      <c r="AW192" s="661"/>
      <c r="AX192" s="661"/>
      <c r="AY192" s="666"/>
      <c r="AZ192" s="670"/>
      <c r="BA192" s="666"/>
      <c r="BB192" s="666"/>
      <c r="BC192" s="666"/>
      <c r="BD192" s="666"/>
      <c r="BE192" s="666"/>
      <c r="BF192" s="667"/>
      <c r="BG192" s="666"/>
      <c r="BH192" s="666"/>
      <c r="BI192" s="666"/>
      <c r="BJ192" s="666"/>
      <c r="BK192" s="666"/>
      <c r="BL192" s="666"/>
      <c r="BM192" s="667"/>
      <c r="BN192" s="666"/>
      <c r="BO192" s="666"/>
      <c r="BP192" s="666"/>
      <c r="BQ192" s="666"/>
      <c r="BR192" s="666"/>
      <c r="BS192" s="666"/>
      <c r="BT192" s="666"/>
      <c r="BU192" s="666"/>
      <c r="BV192" s="666"/>
      <c r="BW192" s="662"/>
      <c r="CA192" s="1352"/>
      <c r="CB192" s="1352" t="s">
        <v>529</v>
      </c>
      <c r="CC192" s="1352">
        <v>0</v>
      </c>
      <c r="CD192" s="1352">
        <v>0</v>
      </c>
      <c r="CE192" s="1352"/>
      <c r="CF192" s="1352"/>
      <c r="CG192" s="1352"/>
      <c r="CH192" s="1352"/>
      <c r="CI192" s="1352"/>
      <c r="CJ192" s="1352"/>
      <c r="CK192" s="1353">
        <v>121</v>
      </c>
      <c r="CL192" s="1353"/>
      <c r="CM192" s="1354"/>
      <c r="CN192" s="1354"/>
      <c r="CO192" s="1354"/>
      <c r="CP192" s="1354"/>
      <c r="CQ192" s="1354"/>
      <c r="CR192" s="1354"/>
      <c r="CS192" s="1354">
        <v>0</v>
      </c>
      <c r="CT192" s="1353">
        <v>0</v>
      </c>
      <c r="CU192" s="1353">
        <v>121</v>
      </c>
      <c r="CV192" s="1353"/>
      <c r="CW192" s="1353"/>
      <c r="CX192" s="1353"/>
      <c r="CY192" s="1353"/>
      <c r="CZ192" s="1353"/>
      <c r="DA192" s="1353"/>
      <c r="DB192" s="1353">
        <v>121</v>
      </c>
      <c r="DC192" s="1353"/>
      <c r="DD192" s="1353"/>
      <c r="DE192" s="1353"/>
      <c r="DF192" s="1353"/>
      <c r="DG192" s="1353"/>
      <c r="DH192" s="1353"/>
      <c r="DI192" s="1353"/>
      <c r="DJ192" s="1353"/>
      <c r="DK192" s="1353"/>
      <c r="DT192" s="659"/>
      <c r="DU192" s="683" t="s">
        <v>529</v>
      </c>
      <c r="DV192" s="777">
        <f t="shared" si="361"/>
        <v>0</v>
      </c>
      <c r="DW192" s="777">
        <f t="shared" si="361"/>
        <v>0</v>
      </c>
      <c r="DX192" s="777">
        <f t="shared" si="361"/>
        <v>0</v>
      </c>
      <c r="DY192" s="777">
        <f t="shared" si="361"/>
        <v>0</v>
      </c>
      <c r="DZ192" s="777">
        <f t="shared" si="361"/>
        <v>0</v>
      </c>
      <c r="EA192" s="777">
        <f t="shared" si="361"/>
        <v>0</v>
      </c>
      <c r="EB192" s="777">
        <f t="shared" si="361"/>
        <v>0</v>
      </c>
      <c r="EC192" s="777">
        <f t="shared" si="361"/>
        <v>0</v>
      </c>
      <c r="ED192" s="777">
        <f t="shared" si="361"/>
        <v>0</v>
      </c>
      <c r="EE192" s="777">
        <f t="shared" si="361"/>
        <v>0</v>
      </c>
      <c r="EF192" s="777">
        <f t="shared" si="361"/>
        <v>0</v>
      </c>
      <c r="EG192" s="777">
        <f t="shared" si="361"/>
        <v>0</v>
      </c>
      <c r="EH192" s="777">
        <f t="shared" si="361"/>
        <v>0</v>
      </c>
      <c r="EI192" s="777">
        <f t="shared" si="361"/>
        <v>0</v>
      </c>
      <c r="EJ192" s="777">
        <f t="shared" si="361"/>
        <v>0</v>
      </c>
      <c r="EK192" s="777">
        <f t="shared" si="361"/>
        <v>0</v>
      </c>
      <c r="EL192" s="777">
        <f t="shared" si="362"/>
        <v>0</v>
      </c>
      <c r="EM192" s="777">
        <f t="shared" si="362"/>
        <v>0</v>
      </c>
      <c r="EN192" s="777">
        <f t="shared" si="362"/>
        <v>0</v>
      </c>
      <c r="EO192" s="777">
        <f t="shared" si="362"/>
        <v>0</v>
      </c>
      <c r="EP192" s="777">
        <f t="shared" si="362"/>
        <v>0</v>
      </c>
      <c r="EQ192" s="777">
        <f t="shared" si="362"/>
        <v>0</v>
      </c>
      <c r="ER192" s="777">
        <f t="shared" si="362"/>
        <v>0</v>
      </c>
      <c r="ES192" s="777">
        <f t="shared" si="362"/>
        <v>0</v>
      </c>
      <c r="ET192" s="777">
        <f t="shared" si="362"/>
        <v>0</v>
      </c>
      <c r="EU192" s="777">
        <f t="shared" si="362"/>
        <v>0</v>
      </c>
      <c r="EV192" s="777">
        <f t="shared" si="362"/>
        <v>0</v>
      </c>
    </row>
    <row r="193" spans="1:152" ht="32.25" customHeight="1">
      <c r="A193" s="659">
        <v>64</v>
      </c>
      <c r="B193" s="660" t="s">
        <v>633</v>
      </c>
      <c r="C193" s="661">
        <f t="shared" si="355"/>
        <v>18</v>
      </c>
      <c r="D193" s="661">
        <f t="shared" si="356"/>
        <v>16</v>
      </c>
      <c r="E193" s="661">
        <v>16</v>
      </c>
      <c r="F193" s="661"/>
      <c r="G193" s="661">
        <v>16</v>
      </c>
      <c r="H193" s="661"/>
      <c r="I193" s="661">
        <v>2</v>
      </c>
      <c r="J193" s="661">
        <v>2</v>
      </c>
      <c r="K193" s="646">
        <f t="shared" si="272"/>
        <v>4351</v>
      </c>
      <c r="L193" s="662">
        <f t="shared" si="357"/>
        <v>4748</v>
      </c>
      <c r="M193" s="666">
        <v>2347</v>
      </c>
      <c r="N193" s="666">
        <v>337</v>
      </c>
      <c r="O193" s="666">
        <f>127</f>
        <v>127</v>
      </c>
      <c r="P193" s="666"/>
      <c r="Q193" s="666"/>
      <c r="R193" s="666"/>
      <c r="S193" s="666">
        <v>65</v>
      </c>
      <c r="T193" s="666">
        <f t="shared" si="358"/>
        <v>65</v>
      </c>
      <c r="U193" s="666">
        <f>(M193+N193+O193+P193)-S193</f>
        <v>2746</v>
      </c>
      <c r="V193" s="666">
        <f>1436+137</f>
        <v>1573</v>
      </c>
      <c r="W193" s="666">
        <v>109</v>
      </c>
      <c r="X193" s="666"/>
      <c r="Y193" s="666"/>
      <c r="Z193" s="666">
        <f>(V193-1000)*10%</f>
        <v>57.300000000000004</v>
      </c>
      <c r="AA193" s="666">
        <v>77</v>
      </c>
      <c r="AB193" s="666">
        <f>ROUND((Y193+AA193+X193),0)</f>
        <v>77</v>
      </c>
      <c r="AC193" s="666">
        <f t="shared" si="359"/>
        <v>1605</v>
      </c>
      <c r="AD193" s="666">
        <v>397</v>
      </c>
      <c r="AE193" s="666"/>
      <c r="AF193" s="666"/>
      <c r="AG193" s="666"/>
      <c r="AH193" s="666"/>
      <c r="AI193" s="666"/>
      <c r="AJ193" s="666"/>
      <c r="AK193" s="666">
        <v>207</v>
      </c>
      <c r="AL193" s="664"/>
      <c r="AM193" s="772" t="e">
        <f>#REF!</f>
        <v>#REF!</v>
      </c>
      <c r="AN193" s="610"/>
      <c r="AO193" s="659">
        <v>69</v>
      </c>
      <c r="AP193" s="660" t="s">
        <v>633</v>
      </c>
      <c r="AQ193" s="661">
        <f>AR193+AW193</f>
        <v>19</v>
      </c>
      <c r="AR193" s="661">
        <f>AS193+AT193</f>
        <v>17</v>
      </c>
      <c r="AS193" s="661">
        <v>17</v>
      </c>
      <c r="AT193" s="661"/>
      <c r="AU193" s="661">
        <v>17</v>
      </c>
      <c r="AV193" s="661"/>
      <c r="AW193" s="661">
        <v>2</v>
      </c>
      <c r="AX193" s="661">
        <v>2</v>
      </c>
      <c r="AY193" s="666">
        <f t="shared" si="360"/>
        <v>5450</v>
      </c>
      <c r="AZ193" s="670">
        <f>1205+271+5+663+73+17+40</f>
        <v>2274</v>
      </c>
      <c r="BA193" s="666">
        <v>366</v>
      </c>
      <c r="BB193" s="666">
        <f>127</f>
        <v>127</v>
      </c>
      <c r="BC193" s="666"/>
      <c r="BD193" s="666"/>
      <c r="BE193" s="666">
        <v>49</v>
      </c>
      <c r="BF193" s="667">
        <f>ROUND(BE193,0)</f>
        <v>49</v>
      </c>
      <c r="BG193" s="666">
        <f>(AZ193+BA193+BB193+BC193)-BF193</f>
        <v>2718</v>
      </c>
      <c r="BH193" s="666">
        <f>1161-90+1000+10+35</f>
        <v>2116</v>
      </c>
      <c r="BI193" s="666"/>
      <c r="BJ193" s="666">
        <v>245</v>
      </c>
      <c r="BK193" s="666"/>
      <c r="BL193" s="666">
        <v>112</v>
      </c>
      <c r="BM193" s="667">
        <f>ROUND(BL193,0)</f>
        <v>112</v>
      </c>
      <c r="BN193" s="666">
        <f>(BH193+BI193+BJ193)-BM193</f>
        <v>2249</v>
      </c>
      <c r="BO193" s="666">
        <v>483</v>
      </c>
      <c r="BP193" s="666"/>
      <c r="BQ193" s="666"/>
      <c r="BR193" s="666"/>
      <c r="BS193" s="666"/>
      <c r="BT193" s="666"/>
      <c r="BU193" s="666"/>
      <c r="BV193" s="666"/>
      <c r="BW193" s="662"/>
      <c r="CA193" s="1352">
        <v>66</v>
      </c>
      <c r="CB193" s="1352" t="s">
        <v>633</v>
      </c>
      <c r="CC193" s="1352">
        <v>18</v>
      </c>
      <c r="CD193" s="1352">
        <v>16</v>
      </c>
      <c r="CE193" s="1352">
        <v>16</v>
      </c>
      <c r="CF193" s="1352"/>
      <c r="CG193" s="1352">
        <v>16</v>
      </c>
      <c r="CH193" s="1352"/>
      <c r="CI193" s="1352">
        <v>2</v>
      </c>
      <c r="CJ193" s="1352">
        <v>2</v>
      </c>
      <c r="CK193" s="1353">
        <v>4748</v>
      </c>
      <c r="CL193" s="1353">
        <v>2347</v>
      </c>
      <c r="CM193" s="1354">
        <v>337</v>
      </c>
      <c r="CN193" s="1354">
        <v>127</v>
      </c>
      <c r="CO193" s="1354"/>
      <c r="CP193" s="1354"/>
      <c r="CQ193" s="1354"/>
      <c r="CR193" s="1354">
        <v>65</v>
      </c>
      <c r="CS193" s="1354">
        <v>65</v>
      </c>
      <c r="CT193" s="1353">
        <v>2746</v>
      </c>
      <c r="CU193" s="1353">
        <v>1573</v>
      </c>
      <c r="CV193" s="1353">
        <v>109</v>
      </c>
      <c r="CW193" s="1353"/>
      <c r="CX193" s="1353"/>
      <c r="CY193" s="1353">
        <v>57.300000000000004</v>
      </c>
      <c r="CZ193" s="1353">
        <v>77</v>
      </c>
      <c r="DA193" s="1353">
        <v>77</v>
      </c>
      <c r="DB193" s="1353">
        <v>1605</v>
      </c>
      <c r="DC193" s="1353">
        <v>397</v>
      </c>
      <c r="DD193" s="1353"/>
      <c r="DE193" s="1353"/>
      <c r="DF193" s="1353"/>
      <c r="DG193" s="1353"/>
      <c r="DH193" s="1353"/>
      <c r="DI193" s="1353"/>
      <c r="DJ193" s="1353"/>
      <c r="DK193" s="1353"/>
      <c r="DT193" s="659">
        <v>66</v>
      </c>
      <c r="DU193" s="660" t="s">
        <v>633</v>
      </c>
      <c r="DV193" s="777">
        <f t="shared" si="361"/>
        <v>0</v>
      </c>
      <c r="DW193" s="777">
        <f t="shared" si="361"/>
        <v>0</v>
      </c>
      <c r="DX193" s="777">
        <f t="shared" si="361"/>
        <v>0</v>
      </c>
      <c r="DY193" s="777">
        <f t="shared" si="361"/>
        <v>0</v>
      </c>
      <c r="DZ193" s="777">
        <f t="shared" si="361"/>
        <v>0</v>
      </c>
      <c r="EA193" s="777">
        <f t="shared" si="361"/>
        <v>0</v>
      </c>
      <c r="EB193" s="777">
        <f t="shared" si="361"/>
        <v>0</v>
      </c>
      <c r="EC193" s="777">
        <f t="shared" si="361"/>
        <v>0</v>
      </c>
      <c r="ED193" s="777">
        <f t="shared" si="361"/>
        <v>0</v>
      </c>
      <c r="EE193" s="777">
        <f t="shared" si="361"/>
        <v>0</v>
      </c>
      <c r="EF193" s="777">
        <f t="shared" si="361"/>
        <v>0</v>
      </c>
      <c r="EG193" s="777">
        <f t="shared" si="361"/>
        <v>0</v>
      </c>
      <c r="EH193" s="777">
        <f t="shared" si="361"/>
        <v>0</v>
      </c>
      <c r="EI193" s="777">
        <f t="shared" si="361"/>
        <v>0</v>
      </c>
      <c r="EJ193" s="777">
        <f t="shared" si="361"/>
        <v>0</v>
      </c>
      <c r="EK193" s="777">
        <f t="shared" si="361"/>
        <v>0</v>
      </c>
      <c r="EL193" s="777">
        <f t="shared" si="362"/>
        <v>0</v>
      </c>
      <c r="EM193" s="777">
        <f t="shared" si="362"/>
        <v>0</v>
      </c>
      <c r="EN193" s="777">
        <f t="shared" si="362"/>
        <v>0</v>
      </c>
      <c r="EO193" s="777">
        <f t="shared" si="362"/>
        <v>0</v>
      </c>
      <c r="EP193" s="777">
        <f t="shared" si="362"/>
        <v>0</v>
      </c>
      <c r="EQ193" s="777">
        <f t="shared" si="362"/>
        <v>0</v>
      </c>
      <c r="ER193" s="777">
        <f t="shared" si="362"/>
        <v>0</v>
      </c>
      <c r="ES193" s="777">
        <f t="shared" si="362"/>
        <v>0</v>
      </c>
      <c r="ET193" s="777">
        <f t="shared" si="362"/>
        <v>0</v>
      </c>
      <c r="EU193" s="777">
        <f t="shared" si="362"/>
        <v>207</v>
      </c>
      <c r="EV193" s="777">
        <f t="shared" si="362"/>
        <v>0</v>
      </c>
    </row>
    <row r="194" spans="1:152" s="693" customFormat="1" ht="25.5" customHeight="1">
      <c r="A194" s="682"/>
      <c r="B194" s="683" t="s">
        <v>634</v>
      </c>
      <c r="C194" s="684"/>
      <c r="D194" s="684"/>
      <c r="E194" s="684"/>
      <c r="F194" s="684"/>
      <c r="G194" s="684"/>
      <c r="H194" s="684"/>
      <c r="I194" s="684"/>
      <c r="J194" s="684"/>
      <c r="K194" s="646">
        <f t="shared" si="272"/>
        <v>1000</v>
      </c>
      <c r="L194" s="692">
        <f t="shared" si="357"/>
        <v>1000</v>
      </c>
      <c r="M194" s="685"/>
      <c r="N194" s="685"/>
      <c r="O194" s="685"/>
      <c r="P194" s="685"/>
      <c r="Q194" s="685"/>
      <c r="R194" s="685"/>
      <c r="S194" s="685"/>
      <c r="T194" s="666">
        <f t="shared" si="358"/>
        <v>0</v>
      </c>
      <c r="U194" s="685">
        <f>(M194+N194+O194+P194)-R194</f>
        <v>0</v>
      </c>
      <c r="V194" s="685">
        <v>1000</v>
      </c>
      <c r="W194" s="685"/>
      <c r="X194" s="685"/>
      <c r="Y194" s="666"/>
      <c r="Z194" s="666"/>
      <c r="AA194" s="685"/>
      <c r="AB194" s="685"/>
      <c r="AC194" s="666">
        <f>(V194+W194)-AA194</f>
        <v>1000</v>
      </c>
      <c r="AD194" s="685"/>
      <c r="AE194" s="685"/>
      <c r="AF194" s="685"/>
      <c r="AG194" s="685"/>
      <c r="AH194" s="685"/>
      <c r="AI194" s="685"/>
      <c r="AJ194" s="685"/>
      <c r="AK194" s="685"/>
      <c r="AL194" s="688"/>
      <c r="AM194" s="689"/>
      <c r="AN194" s="610"/>
      <c r="AO194" s="682"/>
      <c r="AP194" s="683" t="s">
        <v>635</v>
      </c>
      <c r="AQ194" s="684"/>
      <c r="AR194" s="684"/>
      <c r="AS194" s="684"/>
      <c r="AT194" s="684"/>
      <c r="AU194" s="684"/>
      <c r="AV194" s="684"/>
      <c r="AW194" s="684"/>
      <c r="AX194" s="684"/>
      <c r="AY194" s="685">
        <f t="shared" si="360"/>
        <v>1000</v>
      </c>
      <c r="AZ194" s="691"/>
      <c r="BA194" s="685"/>
      <c r="BB194" s="685"/>
      <c r="BC194" s="685"/>
      <c r="BD194" s="685"/>
      <c r="BE194" s="685"/>
      <c r="BF194" s="686"/>
      <c r="BG194" s="685">
        <f>(AZ194+BA194+BB194+BC194)-BE194</f>
        <v>0</v>
      </c>
      <c r="BH194" s="685">
        <v>1000</v>
      </c>
      <c r="BI194" s="685"/>
      <c r="BJ194" s="685"/>
      <c r="BK194" s="685"/>
      <c r="BL194" s="666"/>
      <c r="BM194" s="686"/>
      <c r="BN194" s="685">
        <f>(BH194+BI194+BJ194)-BL194</f>
        <v>1000</v>
      </c>
      <c r="BO194" s="685"/>
      <c r="BP194" s="685"/>
      <c r="BQ194" s="685"/>
      <c r="BR194" s="685"/>
      <c r="BS194" s="685"/>
      <c r="BT194" s="685"/>
      <c r="BU194" s="685"/>
      <c r="BV194" s="685"/>
      <c r="BW194" s="692"/>
      <c r="BY194" s="1355"/>
      <c r="BZ194" s="1355"/>
      <c r="CA194" s="1356"/>
      <c r="CB194" s="1356" t="s">
        <v>634</v>
      </c>
      <c r="CC194" s="1356"/>
      <c r="CD194" s="1356"/>
      <c r="CE194" s="1356"/>
      <c r="CF194" s="1356"/>
      <c r="CG194" s="1356"/>
      <c r="CH194" s="1356"/>
      <c r="CI194" s="1356"/>
      <c r="CJ194" s="1356"/>
      <c r="CK194" s="1357">
        <v>1000</v>
      </c>
      <c r="CL194" s="1357"/>
      <c r="CM194" s="1358"/>
      <c r="CN194" s="1358"/>
      <c r="CO194" s="1358"/>
      <c r="CP194" s="1358"/>
      <c r="CQ194" s="1358"/>
      <c r="CR194" s="1358"/>
      <c r="CS194" s="1358">
        <v>0</v>
      </c>
      <c r="CT194" s="1357">
        <v>0</v>
      </c>
      <c r="CU194" s="1357">
        <v>1000</v>
      </c>
      <c r="CV194" s="1357"/>
      <c r="CW194" s="1357"/>
      <c r="CX194" s="1357"/>
      <c r="CY194" s="1357"/>
      <c r="CZ194" s="1357"/>
      <c r="DA194" s="1357"/>
      <c r="DB194" s="1357">
        <v>1000</v>
      </c>
      <c r="DC194" s="1357"/>
      <c r="DD194" s="1357"/>
      <c r="DE194" s="1357"/>
      <c r="DF194" s="1357"/>
      <c r="DG194" s="1357"/>
      <c r="DH194" s="1357"/>
      <c r="DI194" s="1357"/>
      <c r="DJ194" s="1357"/>
      <c r="DK194" s="1357"/>
      <c r="DT194" s="682"/>
      <c r="DU194" s="683" t="s">
        <v>634</v>
      </c>
      <c r="DV194" s="777">
        <f t="shared" si="361"/>
        <v>0</v>
      </c>
      <c r="DW194" s="777">
        <f t="shared" si="361"/>
        <v>0</v>
      </c>
      <c r="DX194" s="777">
        <f t="shared" si="361"/>
        <v>0</v>
      </c>
      <c r="DY194" s="777">
        <f t="shared" si="361"/>
        <v>0</v>
      </c>
      <c r="DZ194" s="777">
        <f t="shared" si="361"/>
        <v>0</v>
      </c>
      <c r="EA194" s="777">
        <f t="shared" si="361"/>
        <v>0</v>
      </c>
      <c r="EB194" s="777">
        <f t="shared" si="361"/>
        <v>0</v>
      </c>
      <c r="EC194" s="777">
        <f t="shared" si="361"/>
        <v>0</v>
      </c>
      <c r="ED194" s="777">
        <f t="shared" si="361"/>
        <v>0</v>
      </c>
      <c r="EE194" s="777">
        <f t="shared" si="361"/>
        <v>0</v>
      </c>
      <c r="EF194" s="777">
        <f t="shared" si="361"/>
        <v>0</v>
      </c>
      <c r="EG194" s="777">
        <f t="shared" si="361"/>
        <v>0</v>
      </c>
      <c r="EH194" s="777">
        <f t="shared" si="361"/>
        <v>0</v>
      </c>
      <c r="EI194" s="777">
        <f t="shared" si="361"/>
        <v>0</v>
      </c>
      <c r="EJ194" s="777">
        <f t="shared" si="361"/>
        <v>0</v>
      </c>
      <c r="EK194" s="777">
        <f t="shared" si="361"/>
        <v>0</v>
      </c>
      <c r="EL194" s="777">
        <f t="shared" si="362"/>
        <v>0</v>
      </c>
      <c r="EM194" s="777">
        <f t="shared" si="362"/>
        <v>0</v>
      </c>
      <c r="EN194" s="777">
        <f t="shared" si="362"/>
        <v>0</v>
      </c>
      <c r="EO194" s="777">
        <f t="shared" si="362"/>
        <v>0</v>
      </c>
      <c r="EP194" s="777">
        <f t="shared" si="362"/>
        <v>0</v>
      </c>
      <c r="EQ194" s="777">
        <f t="shared" si="362"/>
        <v>0</v>
      </c>
      <c r="ER194" s="777">
        <f t="shared" si="362"/>
        <v>0</v>
      </c>
      <c r="ES194" s="777">
        <f t="shared" si="362"/>
        <v>0</v>
      </c>
      <c r="ET194" s="777">
        <f t="shared" si="362"/>
        <v>0</v>
      </c>
      <c r="EU194" s="777">
        <f t="shared" si="362"/>
        <v>0</v>
      </c>
      <c r="EV194" s="777">
        <f t="shared" si="362"/>
        <v>0</v>
      </c>
    </row>
    <row r="195" spans="1:152" s="693" customFormat="1" ht="36.75" customHeight="1">
      <c r="A195" s="682"/>
      <c r="B195" s="683" t="s">
        <v>636</v>
      </c>
      <c r="C195" s="684"/>
      <c r="D195" s="684"/>
      <c r="E195" s="684"/>
      <c r="F195" s="684"/>
      <c r="G195" s="684"/>
      <c r="H195" s="684"/>
      <c r="I195" s="684"/>
      <c r="J195" s="684"/>
      <c r="K195" s="646">
        <f t="shared" si="272"/>
        <v>137</v>
      </c>
      <c r="L195" s="692">
        <f t="shared" si="357"/>
        <v>137</v>
      </c>
      <c r="M195" s="685"/>
      <c r="N195" s="685"/>
      <c r="O195" s="685"/>
      <c r="P195" s="685"/>
      <c r="Q195" s="685"/>
      <c r="R195" s="685"/>
      <c r="S195" s="685"/>
      <c r="T195" s="666">
        <f t="shared" si="358"/>
        <v>0</v>
      </c>
      <c r="U195" s="685"/>
      <c r="V195" s="685">
        <v>137</v>
      </c>
      <c r="W195" s="685"/>
      <c r="X195" s="685"/>
      <c r="Y195" s="666"/>
      <c r="Z195" s="666"/>
      <c r="AA195" s="685"/>
      <c r="AB195" s="685"/>
      <c r="AC195" s="666">
        <f>(V195+W195)-AA195</f>
        <v>137</v>
      </c>
      <c r="AD195" s="685"/>
      <c r="AE195" s="685"/>
      <c r="AF195" s="685"/>
      <c r="AG195" s="685"/>
      <c r="AH195" s="685"/>
      <c r="AI195" s="685"/>
      <c r="AJ195" s="685"/>
      <c r="AK195" s="685"/>
      <c r="AL195" s="688"/>
      <c r="AM195" s="689"/>
      <c r="AN195" s="610"/>
      <c r="AO195" s="682"/>
      <c r="AP195" s="683"/>
      <c r="AQ195" s="684"/>
      <c r="AR195" s="684"/>
      <c r="AS195" s="684"/>
      <c r="AT195" s="684"/>
      <c r="AU195" s="684"/>
      <c r="AV195" s="684"/>
      <c r="AW195" s="684"/>
      <c r="AX195" s="684"/>
      <c r="AY195" s="685"/>
      <c r="AZ195" s="691"/>
      <c r="BA195" s="685"/>
      <c r="BB195" s="685"/>
      <c r="BC195" s="685"/>
      <c r="BD195" s="685"/>
      <c r="BE195" s="685"/>
      <c r="BF195" s="686"/>
      <c r="BG195" s="685"/>
      <c r="BH195" s="685"/>
      <c r="BI195" s="685"/>
      <c r="BJ195" s="685"/>
      <c r="BK195" s="685"/>
      <c r="BL195" s="666"/>
      <c r="BM195" s="686"/>
      <c r="BN195" s="685"/>
      <c r="BO195" s="685"/>
      <c r="BP195" s="685"/>
      <c r="BQ195" s="685"/>
      <c r="BR195" s="685"/>
      <c r="BS195" s="685"/>
      <c r="BT195" s="685"/>
      <c r="BU195" s="685"/>
      <c r="BV195" s="685"/>
      <c r="BW195" s="692"/>
      <c r="BY195" s="1355"/>
      <c r="BZ195" s="1355"/>
      <c r="CA195" s="1356"/>
      <c r="CB195" s="1356" t="s">
        <v>636</v>
      </c>
      <c r="CC195" s="1356"/>
      <c r="CD195" s="1356"/>
      <c r="CE195" s="1356"/>
      <c r="CF195" s="1356"/>
      <c r="CG195" s="1356"/>
      <c r="CH195" s="1356"/>
      <c r="CI195" s="1356"/>
      <c r="CJ195" s="1356"/>
      <c r="CK195" s="1357">
        <v>137</v>
      </c>
      <c r="CL195" s="1357"/>
      <c r="CM195" s="1358"/>
      <c r="CN195" s="1358"/>
      <c r="CO195" s="1358"/>
      <c r="CP195" s="1358"/>
      <c r="CQ195" s="1358"/>
      <c r="CR195" s="1358"/>
      <c r="CS195" s="1358">
        <v>0</v>
      </c>
      <c r="CT195" s="1357"/>
      <c r="CU195" s="1357">
        <v>137</v>
      </c>
      <c r="CV195" s="1357"/>
      <c r="CW195" s="1357"/>
      <c r="CX195" s="1357"/>
      <c r="CY195" s="1357"/>
      <c r="CZ195" s="1357"/>
      <c r="DA195" s="1357"/>
      <c r="DB195" s="1357">
        <v>137</v>
      </c>
      <c r="DC195" s="1357"/>
      <c r="DD195" s="1357"/>
      <c r="DE195" s="1357"/>
      <c r="DF195" s="1357"/>
      <c r="DG195" s="1357"/>
      <c r="DH195" s="1357"/>
      <c r="DI195" s="1357"/>
      <c r="DJ195" s="1357"/>
      <c r="DK195" s="1357"/>
      <c r="DT195" s="682"/>
      <c r="DU195" s="683" t="s">
        <v>636</v>
      </c>
      <c r="DV195" s="777">
        <f t="shared" si="361"/>
        <v>0</v>
      </c>
      <c r="DW195" s="777">
        <f t="shared" si="361"/>
        <v>0</v>
      </c>
      <c r="DX195" s="777">
        <f t="shared" si="361"/>
        <v>0</v>
      </c>
      <c r="DY195" s="777">
        <f t="shared" si="361"/>
        <v>0</v>
      </c>
      <c r="DZ195" s="777">
        <f t="shared" si="361"/>
        <v>0</v>
      </c>
      <c r="EA195" s="777">
        <f t="shared" si="361"/>
        <v>0</v>
      </c>
      <c r="EB195" s="777">
        <f t="shared" si="361"/>
        <v>0</v>
      </c>
      <c r="EC195" s="777">
        <f t="shared" si="361"/>
        <v>0</v>
      </c>
      <c r="ED195" s="777">
        <f t="shared" si="361"/>
        <v>0</v>
      </c>
      <c r="EE195" s="777">
        <f t="shared" si="361"/>
        <v>0</v>
      </c>
      <c r="EF195" s="777">
        <f t="shared" si="361"/>
        <v>0</v>
      </c>
      <c r="EG195" s="777">
        <f t="shared" si="361"/>
        <v>0</v>
      </c>
      <c r="EH195" s="777">
        <f t="shared" si="361"/>
        <v>0</v>
      </c>
      <c r="EI195" s="777">
        <f t="shared" si="361"/>
        <v>0</v>
      </c>
      <c r="EJ195" s="777">
        <f t="shared" si="361"/>
        <v>0</v>
      </c>
      <c r="EK195" s="777">
        <f t="shared" si="361"/>
        <v>0</v>
      </c>
      <c r="EL195" s="777">
        <f t="shared" si="362"/>
        <v>0</v>
      </c>
      <c r="EM195" s="777">
        <f t="shared" si="362"/>
        <v>0</v>
      </c>
      <c r="EN195" s="777">
        <f t="shared" si="362"/>
        <v>0</v>
      </c>
      <c r="EO195" s="777">
        <f t="shared" si="362"/>
        <v>0</v>
      </c>
      <c r="EP195" s="777">
        <f t="shared" si="362"/>
        <v>0</v>
      </c>
      <c r="EQ195" s="777">
        <f t="shared" si="362"/>
        <v>0</v>
      </c>
      <c r="ER195" s="777">
        <f t="shared" si="362"/>
        <v>0</v>
      </c>
      <c r="ES195" s="777">
        <f t="shared" si="362"/>
        <v>0</v>
      </c>
      <c r="ET195" s="777">
        <f t="shared" si="362"/>
        <v>0</v>
      </c>
      <c r="EU195" s="777">
        <f t="shared" si="362"/>
        <v>0</v>
      </c>
      <c r="EV195" s="777">
        <f t="shared" si="362"/>
        <v>0</v>
      </c>
    </row>
    <row r="196" spans="1:152" ht="33.75" customHeight="1">
      <c r="A196" s="659">
        <v>65</v>
      </c>
      <c r="B196" s="660" t="s">
        <v>637</v>
      </c>
      <c r="C196" s="661">
        <f t="shared" ref="C196:C203" si="363">D196+I196</f>
        <v>20</v>
      </c>
      <c r="D196" s="661">
        <f t="shared" ref="D196:D201" si="364">E196+F196</f>
        <v>17</v>
      </c>
      <c r="E196" s="661">
        <v>17</v>
      </c>
      <c r="F196" s="661"/>
      <c r="G196" s="661">
        <v>17</v>
      </c>
      <c r="H196" s="661"/>
      <c r="I196" s="661">
        <v>3</v>
      </c>
      <c r="J196" s="661">
        <v>3</v>
      </c>
      <c r="K196" s="646">
        <f t="shared" si="272"/>
        <v>4583</v>
      </c>
      <c r="L196" s="662">
        <f t="shared" si="357"/>
        <v>5021</v>
      </c>
      <c r="M196" s="666">
        <v>2332</v>
      </c>
      <c r="N196" s="666">
        <v>349</v>
      </c>
      <c r="O196" s="666">
        <f>144</f>
        <v>144</v>
      </c>
      <c r="P196" s="666"/>
      <c r="Q196" s="666"/>
      <c r="R196" s="666"/>
      <c r="S196" s="666">
        <v>62</v>
      </c>
      <c r="T196" s="666">
        <f t="shared" si="358"/>
        <v>62</v>
      </c>
      <c r="U196" s="666">
        <f>(M196+N196+O196+P196)-T196</f>
        <v>2763</v>
      </c>
      <c r="V196" s="666">
        <f>1065+247</f>
        <v>1312</v>
      </c>
      <c r="W196" s="666">
        <v>640</v>
      </c>
      <c r="X196" s="666"/>
      <c r="Y196" s="666">
        <f>Z196-BM196</f>
        <v>78.200000000000017</v>
      </c>
      <c r="Z196" s="666">
        <f>(V196)*10%</f>
        <v>131.20000000000002</v>
      </c>
      <c r="AA196" s="666">
        <v>54</v>
      </c>
      <c r="AB196" s="666">
        <f>ROUND((Y196+AA196+X196),0)</f>
        <v>132</v>
      </c>
      <c r="AC196" s="666">
        <f>(V196+W196)-AB196</f>
        <v>1820</v>
      </c>
      <c r="AD196" s="666">
        <v>438</v>
      </c>
      <c r="AE196" s="666"/>
      <c r="AF196" s="666"/>
      <c r="AG196" s="666"/>
      <c r="AH196" s="666"/>
      <c r="AI196" s="666"/>
      <c r="AJ196" s="666"/>
      <c r="AK196" s="666">
        <f>657+480</f>
        <v>1137</v>
      </c>
      <c r="AL196" s="664"/>
      <c r="AN196" s="610"/>
      <c r="AO196" s="659">
        <v>70</v>
      </c>
      <c r="AP196" s="660" t="s">
        <v>637</v>
      </c>
      <c r="AQ196" s="661">
        <f t="shared" ref="AQ196:AQ203" si="365">AR196+AW196</f>
        <v>22</v>
      </c>
      <c r="AR196" s="661">
        <f>AS196+AT196</f>
        <v>19</v>
      </c>
      <c r="AS196" s="661">
        <v>19</v>
      </c>
      <c r="AT196" s="661"/>
      <c r="AU196" s="661">
        <v>18</v>
      </c>
      <c r="AV196" s="661"/>
      <c r="AW196" s="661">
        <v>3</v>
      </c>
      <c r="AX196" s="661">
        <v>3</v>
      </c>
      <c r="AY196" s="666">
        <f t="shared" si="360"/>
        <v>3745</v>
      </c>
      <c r="AZ196" s="670">
        <f>1133+37+11+263+644+43+175</f>
        <v>2306</v>
      </c>
      <c r="BA196" s="666">
        <v>407</v>
      </c>
      <c r="BB196" s="666">
        <f>144</f>
        <v>144</v>
      </c>
      <c r="BC196" s="666"/>
      <c r="BD196" s="666"/>
      <c r="BE196" s="666">
        <v>55</v>
      </c>
      <c r="BF196" s="667">
        <f>ROUND(BE196,0)</f>
        <v>55</v>
      </c>
      <c r="BG196" s="666">
        <f>(AZ196+BA196+BB196+BC196)-BF196</f>
        <v>2802</v>
      </c>
      <c r="BH196" s="666">
        <f>474+15+40</f>
        <v>529</v>
      </c>
      <c r="BI196" s="666"/>
      <c r="BJ196" s="666">
        <v>62</v>
      </c>
      <c r="BK196" s="666"/>
      <c r="BL196" s="666">
        <v>53</v>
      </c>
      <c r="BM196" s="667">
        <f>ROUND(BL196,0)</f>
        <v>53</v>
      </c>
      <c r="BN196" s="666">
        <f>(BH196+BI196+BJ196)-BM196</f>
        <v>538</v>
      </c>
      <c r="BO196" s="666">
        <v>405</v>
      </c>
      <c r="BP196" s="666"/>
      <c r="BQ196" s="666"/>
      <c r="BR196" s="666"/>
      <c r="BS196" s="666"/>
      <c r="BT196" s="666"/>
      <c r="BU196" s="666"/>
      <c r="BV196" s="666"/>
      <c r="BW196" s="662"/>
      <c r="CA196" s="1352">
        <v>67</v>
      </c>
      <c r="CB196" s="1352" t="s">
        <v>637</v>
      </c>
      <c r="CC196" s="1352">
        <v>20</v>
      </c>
      <c r="CD196" s="1352">
        <v>17</v>
      </c>
      <c r="CE196" s="1352">
        <v>17</v>
      </c>
      <c r="CF196" s="1352"/>
      <c r="CG196" s="1352">
        <v>17</v>
      </c>
      <c r="CH196" s="1352"/>
      <c r="CI196" s="1352">
        <v>3</v>
      </c>
      <c r="CJ196" s="1352">
        <v>3</v>
      </c>
      <c r="CK196" s="1353">
        <v>5021</v>
      </c>
      <c r="CL196" s="1353">
        <v>2332</v>
      </c>
      <c r="CM196" s="1354">
        <v>349</v>
      </c>
      <c r="CN196" s="1354">
        <v>144</v>
      </c>
      <c r="CO196" s="1354"/>
      <c r="CP196" s="1354"/>
      <c r="CQ196" s="1354"/>
      <c r="CR196" s="1354">
        <v>62</v>
      </c>
      <c r="CS196" s="1354">
        <v>62</v>
      </c>
      <c r="CT196" s="1353">
        <v>2763</v>
      </c>
      <c r="CU196" s="1353">
        <v>1312</v>
      </c>
      <c r="CV196" s="1353">
        <v>640</v>
      </c>
      <c r="CW196" s="1353"/>
      <c r="CX196" s="1353">
        <v>78.200000000000017</v>
      </c>
      <c r="CY196" s="1353">
        <v>131.20000000000002</v>
      </c>
      <c r="CZ196" s="1353">
        <v>54</v>
      </c>
      <c r="DA196" s="1353">
        <v>132</v>
      </c>
      <c r="DB196" s="1353">
        <v>1820</v>
      </c>
      <c r="DC196" s="1353">
        <v>438</v>
      </c>
      <c r="DD196" s="1353"/>
      <c r="DE196" s="1353"/>
      <c r="DF196" s="1353"/>
      <c r="DG196" s="1353"/>
      <c r="DH196" s="1353"/>
      <c r="DI196" s="1353"/>
      <c r="DJ196" s="1353"/>
      <c r="DK196" s="1353"/>
      <c r="DT196" s="659">
        <v>67</v>
      </c>
      <c r="DU196" s="660" t="s">
        <v>637</v>
      </c>
      <c r="DV196" s="777">
        <f t="shared" si="361"/>
        <v>0</v>
      </c>
      <c r="DW196" s="777">
        <f t="shared" si="361"/>
        <v>0</v>
      </c>
      <c r="DX196" s="777">
        <f t="shared" si="361"/>
        <v>0</v>
      </c>
      <c r="DY196" s="777">
        <f t="shared" si="361"/>
        <v>0</v>
      </c>
      <c r="DZ196" s="777">
        <f t="shared" si="361"/>
        <v>0</v>
      </c>
      <c r="EA196" s="777">
        <f t="shared" si="361"/>
        <v>0</v>
      </c>
      <c r="EB196" s="777">
        <f t="shared" si="361"/>
        <v>0</v>
      </c>
      <c r="EC196" s="777">
        <f t="shared" si="361"/>
        <v>0</v>
      </c>
      <c r="ED196" s="777">
        <f t="shared" si="361"/>
        <v>0</v>
      </c>
      <c r="EE196" s="777">
        <f t="shared" si="361"/>
        <v>0</v>
      </c>
      <c r="EF196" s="777">
        <f t="shared" si="361"/>
        <v>0</v>
      </c>
      <c r="EG196" s="777">
        <f t="shared" si="361"/>
        <v>0</v>
      </c>
      <c r="EH196" s="777">
        <f t="shared" si="361"/>
        <v>0</v>
      </c>
      <c r="EI196" s="777">
        <f t="shared" si="361"/>
        <v>0</v>
      </c>
      <c r="EJ196" s="777">
        <f t="shared" si="361"/>
        <v>0</v>
      </c>
      <c r="EK196" s="777">
        <f t="shared" si="361"/>
        <v>0</v>
      </c>
      <c r="EL196" s="777">
        <f t="shared" si="362"/>
        <v>0</v>
      </c>
      <c r="EM196" s="777">
        <f t="shared" si="362"/>
        <v>0</v>
      </c>
      <c r="EN196" s="777">
        <f t="shared" si="362"/>
        <v>0</v>
      </c>
      <c r="EO196" s="777">
        <f t="shared" si="362"/>
        <v>0</v>
      </c>
      <c r="EP196" s="777">
        <f t="shared" si="362"/>
        <v>0</v>
      </c>
      <c r="EQ196" s="777">
        <f t="shared" si="362"/>
        <v>0</v>
      </c>
      <c r="ER196" s="777">
        <f t="shared" si="362"/>
        <v>0</v>
      </c>
      <c r="ES196" s="777">
        <f t="shared" si="362"/>
        <v>0</v>
      </c>
      <c r="ET196" s="777">
        <f t="shared" si="362"/>
        <v>0</v>
      </c>
      <c r="EU196" s="777">
        <f t="shared" si="362"/>
        <v>1137</v>
      </c>
      <c r="EV196" s="777">
        <f t="shared" si="362"/>
        <v>0</v>
      </c>
    </row>
    <row r="197" spans="1:152" ht="40.5" customHeight="1">
      <c r="A197" s="659"/>
      <c r="B197" s="683" t="s">
        <v>1000</v>
      </c>
      <c r="C197" s="684">
        <f t="shared" si="363"/>
        <v>0</v>
      </c>
      <c r="D197" s="684">
        <f t="shared" si="364"/>
        <v>0</v>
      </c>
      <c r="E197" s="684"/>
      <c r="F197" s="684"/>
      <c r="G197" s="684"/>
      <c r="H197" s="684"/>
      <c r="I197" s="684"/>
      <c r="J197" s="684"/>
      <c r="K197" s="646">
        <f t="shared" si="272"/>
        <v>247</v>
      </c>
      <c r="L197" s="692">
        <f t="shared" si="357"/>
        <v>247</v>
      </c>
      <c r="M197" s="685"/>
      <c r="N197" s="685"/>
      <c r="O197" s="685"/>
      <c r="P197" s="685"/>
      <c r="Q197" s="685"/>
      <c r="R197" s="685"/>
      <c r="S197" s="685"/>
      <c r="T197" s="666">
        <f t="shared" si="358"/>
        <v>0</v>
      </c>
      <c r="U197" s="685">
        <f>(M197+N197+O197+P197)-S197</f>
        <v>0</v>
      </c>
      <c r="V197" s="685">
        <v>247</v>
      </c>
      <c r="W197" s="685"/>
      <c r="X197" s="685"/>
      <c r="Y197" s="685"/>
      <c r="Z197" s="685"/>
      <c r="AA197" s="685"/>
      <c r="AB197" s="685"/>
      <c r="AC197" s="685">
        <f>(V197+W197)-AA197</f>
        <v>247</v>
      </c>
      <c r="AD197" s="685"/>
      <c r="AE197" s="685"/>
      <c r="AF197" s="685"/>
      <c r="AG197" s="685"/>
      <c r="AH197" s="685"/>
      <c r="AI197" s="685"/>
      <c r="AJ197" s="685"/>
      <c r="AK197" s="685"/>
      <c r="AL197" s="688"/>
      <c r="AN197" s="610"/>
      <c r="AO197" s="659"/>
      <c r="AP197" s="660"/>
      <c r="AQ197" s="661"/>
      <c r="AR197" s="661"/>
      <c r="AS197" s="661"/>
      <c r="AT197" s="661"/>
      <c r="AU197" s="661"/>
      <c r="AV197" s="661"/>
      <c r="AW197" s="661"/>
      <c r="AX197" s="661"/>
      <c r="AY197" s="666"/>
      <c r="AZ197" s="670"/>
      <c r="BA197" s="666"/>
      <c r="BB197" s="666"/>
      <c r="BC197" s="666"/>
      <c r="BD197" s="666"/>
      <c r="BE197" s="666"/>
      <c r="BF197" s="667"/>
      <c r="BG197" s="666"/>
      <c r="BH197" s="666"/>
      <c r="BI197" s="666"/>
      <c r="BJ197" s="666"/>
      <c r="BK197" s="666"/>
      <c r="BL197" s="666"/>
      <c r="BM197" s="667"/>
      <c r="BN197" s="666"/>
      <c r="BO197" s="666"/>
      <c r="BP197" s="666"/>
      <c r="BQ197" s="666"/>
      <c r="BR197" s="666"/>
      <c r="BS197" s="666"/>
      <c r="BT197" s="666"/>
      <c r="BU197" s="666"/>
      <c r="BV197" s="666"/>
      <c r="BW197" s="662"/>
      <c r="CA197" s="1352"/>
      <c r="CB197" s="1352" t="s">
        <v>529</v>
      </c>
      <c r="CC197" s="1352">
        <v>0</v>
      </c>
      <c r="CD197" s="1352">
        <v>0</v>
      </c>
      <c r="CE197" s="1352"/>
      <c r="CF197" s="1352"/>
      <c r="CG197" s="1352"/>
      <c r="CH197" s="1352"/>
      <c r="CI197" s="1352"/>
      <c r="CJ197" s="1352"/>
      <c r="CK197" s="1353">
        <v>247</v>
      </c>
      <c r="CL197" s="1353"/>
      <c r="CM197" s="1354"/>
      <c r="CN197" s="1354"/>
      <c r="CO197" s="1354"/>
      <c r="CP197" s="1354"/>
      <c r="CQ197" s="1354"/>
      <c r="CR197" s="1354"/>
      <c r="CS197" s="1354">
        <v>0</v>
      </c>
      <c r="CT197" s="1353">
        <v>0</v>
      </c>
      <c r="CU197" s="1353">
        <v>247</v>
      </c>
      <c r="CV197" s="1353"/>
      <c r="CW197" s="1353"/>
      <c r="CX197" s="1353"/>
      <c r="CY197" s="1353"/>
      <c r="CZ197" s="1353"/>
      <c r="DA197" s="1353"/>
      <c r="DB197" s="1353">
        <v>247</v>
      </c>
      <c r="DC197" s="1353"/>
      <c r="DD197" s="1353"/>
      <c r="DE197" s="1353"/>
      <c r="DF197" s="1353"/>
      <c r="DG197" s="1353"/>
      <c r="DH197" s="1353"/>
      <c r="DI197" s="1353"/>
      <c r="DJ197" s="1353"/>
      <c r="DK197" s="1353"/>
      <c r="DT197" s="659"/>
      <c r="DU197" s="683" t="s">
        <v>529</v>
      </c>
      <c r="DV197" s="777">
        <f t="shared" si="361"/>
        <v>0</v>
      </c>
      <c r="DW197" s="777">
        <f t="shared" si="361"/>
        <v>0</v>
      </c>
      <c r="DX197" s="777">
        <f t="shared" si="361"/>
        <v>0</v>
      </c>
      <c r="DY197" s="777">
        <f t="shared" si="361"/>
        <v>0</v>
      </c>
      <c r="DZ197" s="777">
        <f t="shared" si="361"/>
        <v>0</v>
      </c>
      <c r="EA197" s="777">
        <f t="shared" si="361"/>
        <v>0</v>
      </c>
      <c r="EB197" s="777">
        <f t="shared" si="361"/>
        <v>0</v>
      </c>
      <c r="EC197" s="777">
        <f t="shared" si="361"/>
        <v>0</v>
      </c>
      <c r="ED197" s="777">
        <f t="shared" si="361"/>
        <v>0</v>
      </c>
      <c r="EE197" s="777">
        <f t="shared" si="361"/>
        <v>0</v>
      </c>
      <c r="EF197" s="777">
        <f t="shared" si="361"/>
        <v>0</v>
      </c>
      <c r="EG197" s="777">
        <f t="shared" si="361"/>
        <v>0</v>
      </c>
      <c r="EH197" s="777">
        <f t="shared" si="361"/>
        <v>0</v>
      </c>
      <c r="EI197" s="777">
        <f t="shared" si="361"/>
        <v>0</v>
      </c>
      <c r="EJ197" s="777">
        <f t="shared" si="361"/>
        <v>0</v>
      </c>
      <c r="EK197" s="777">
        <f t="shared" si="361"/>
        <v>0</v>
      </c>
      <c r="EL197" s="777">
        <f t="shared" si="362"/>
        <v>0</v>
      </c>
      <c r="EM197" s="777">
        <f t="shared" si="362"/>
        <v>0</v>
      </c>
      <c r="EN197" s="777">
        <f t="shared" si="362"/>
        <v>0</v>
      </c>
      <c r="EO197" s="777">
        <f t="shared" si="362"/>
        <v>0</v>
      </c>
      <c r="EP197" s="777">
        <f t="shared" si="362"/>
        <v>0</v>
      </c>
      <c r="EQ197" s="777">
        <f t="shared" si="362"/>
        <v>0</v>
      </c>
      <c r="ER197" s="777">
        <f t="shared" si="362"/>
        <v>0</v>
      </c>
      <c r="ES197" s="777">
        <f t="shared" si="362"/>
        <v>0</v>
      </c>
      <c r="ET197" s="777">
        <f t="shared" si="362"/>
        <v>0</v>
      </c>
      <c r="EU197" s="777">
        <f t="shared" si="362"/>
        <v>0</v>
      </c>
      <c r="EV197" s="777">
        <f t="shared" si="362"/>
        <v>0</v>
      </c>
    </row>
    <row r="198" spans="1:152" ht="39.6" customHeight="1">
      <c r="A198" s="659">
        <v>66</v>
      </c>
      <c r="B198" s="660" t="s">
        <v>638</v>
      </c>
      <c r="C198" s="661">
        <f t="shared" si="363"/>
        <v>9</v>
      </c>
      <c r="D198" s="661">
        <f t="shared" si="364"/>
        <v>8</v>
      </c>
      <c r="E198" s="661">
        <v>8</v>
      </c>
      <c r="F198" s="661"/>
      <c r="G198" s="661">
        <v>9</v>
      </c>
      <c r="H198" s="661"/>
      <c r="I198" s="661">
        <v>1</v>
      </c>
      <c r="J198" s="661"/>
      <c r="K198" s="646">
        <f t="shared" si="272"/>
        <v>3037</v>
      </c>
      <c r="L198" s="662">
        <f t="shared" si="357"/>
        <v>3129</v>
      </c>
      <c r="M198" s="666">
        <v>1092</v>
      </c>
      <c r="N198" s="666">
        <v>215</v>
      </c>
      <c r="O198" s="666">
        <v>46</v>
      </c>
      <c r="P198" s="666"/>
      <c r="Q198" s="666"/>
      <c r="R198" s="666">
        <f>((N198+O198)-(BA198+BB198))*10%</f>
        <v>0</v>
      </c>
      <c r="S198" s="666">
        <v>31</v>
      </c>
      <c r="T198" s="666">
        <f t="shared" si="358"/>
        <v>31</v>
      </c>
      <c r="U198" s="666">
        <f>(M198+N198+O198+P198)-T198</f>
        <v>1322</v>
      </c>
      <c r="V198" s="666">
        <v>1865</v>
      </c>
      <c r="W198" s="666">
        <v>50</v>
      </c>
      <c r="X198" s="666"/>
      <c r="Y198" s="666">
        <f>Z198-BM198</f>
        <v>177.5</v>
      </c>
      <c r="Z198" s="666">
        <f>(V198)*10%</f>
        <v>186.5</v>
      </c>
      <c r="AA198" s="666">
        <v>22</v>
      </c>
      <c r="AB198" s="666">
        <f>ROUND((Y198+AA198+X198),0)</f>
        <v>200</v>
      </c>
      <c r="AC198" s="666">
        <f>(V198+W198)-AB198</f>
        <v>1715</v>
      </c>
      <c r="AD198" s="666">
        <v>92</v>
      </c>
      <c r="AE198" s="666"/>
      <c r="AF198" s="666"/>
      <c r="AG198" s="666"/>
      <c r="AH198" s="666"/>
      <c r="AI198" s="666"/>
      <c r="AJ198" s="666"/>
      <c r="AK198" s="666"/>
      <c r="AL198" s="664"/>
      <c r="AN198" s="610"/>
      <c r="AO198" s="659">
        <v>71</v>
      </c>
      <c r="AP198" s="660" t="s">
        <v>638</v>
      </c>
      <c r="AQ198" s="661">
        <f t="shared" si="365"/>
        <v>10</v>
      </c>
      <c r="AR198" s="661">
        <f>AS198+AT198</f>
        <v>9</v>
      </c>
      <c r="AS198" s="661">
        <v>9</v>
      </c>
      <c r="AT198" s="661"/>
      <c r="AU198" s="661">
        <v>9</v>
      </c>
      <c r="AV198" s="661"/>
      <c r="AW198" s="661">
        <v>1</v>
      </c>
      <c r="AX198" s="661">
        <v>1</v>
      </c>
      <c r="AY198" s="666">
        <f t="shared" si="360"/>
        <v>2954</v>
      </c>
      <c r="AZ198" s="670">
        <f>578+133+318+46+11+25</f>
        <v>1111</v>
      </c>
      <c r="BA198" s="666">
        <v>215</v>
      </c>
      <c r="BB198" s="666">
        <v>46</v>
      </c>
      <c r="BC198" s="666"/>
      <c r="BD198" s="666"/>
      <c r="BE198" s="666">
        <v>26</v>
      </c>
      <c r="BF198" s="667">
        <f>ROUND(BE198,0)</f>
        <v>26</v>
      </c>
      <c r="BG198" s="666">
        <f>(AZ198+BA198+BB198+BC198)-BF198</f>
        <v>1346</v>
      </c>
      <c r="BH198" s="666">
        <f>1440+30+20+12+23</f>
        <v>1525</v>
      </c>
      <c r="BI198" s="666"/>
      <c r="BJ198" s="666"/>
      <c r="BK198" s="666"/>
      <c r="BL198" s="666">
        <v>9</v>
      </c>
      <c r="BM198" s="667">
        <f>ROUND(BL198,0)</f>
        <v>9</v>
      </c>
      <c r="BN198" s="666">
        <f>(BH198+BI198+BJ198)-BM198</f>
        <v>1516</v>
      </c>
      <c r="BO198" s="666">
        <f>80+12</f>
        <v>92</v>
      </c>
      <c r="BP198" s="666"/>
      <c r="BQ198" s="666"/>
      <c r="BR198" s="666"/>
      <c r="BS198" s="666"/>
      <c r="BT198" s="666"/>
      <c r="BU198" s="666"/>
      <c r="BV198" s="666"/>
      <c r="BW198" s="662"/>
      <c r="CA198" s="1352">
        <v>68</v>
      </c>
      <c r="CB198" s="1352" t="s">
        <v>638</v>
      </c>
      <c r="CC198" s="1352">
        <v>9</v>
      </c>
      <c r="CD198" s="1352">
        <v>8</v>
      </c>
      <c r="CE198" s="1352">
        <v>8</v>
      </c>
      <c r="CF198" s="1352"/>
      <c r="CG198" s="1352">
        <v>9</v>
      </c>
      <c r="CH198" s="1352"/>
      <c r="CI198" s="1352">
        <v>1</v>
      </c>
      <c r="CJ198" s="1352"/>
      <c r="CK198" s="1353">
        <v>3273</v>
      </c>
      <c r="CL198" s="1353">
        <v>1092</v>
      </c>
      <c r="CM198" s="1354">
        <v>215</v>
      </c>
      <c r="CN198" s="1354">
        <v>46</v>
      </c>
      <c r="CO198" s="1354"/>
      <c r="CP198" s="1354"/>
      <c r="CQ198" s="1354">
        <v>0</v>
      </c>
      <c r="CR198" s="1354">
        <v>31</v>
      </c>
      <c r="CS198" s="1354">
        <v>31</v>
      </c>
      <c r="CT198" s="1353">
        <v>1322</v>
      </c>
      <c r="CU198" s="1353">
        <v>1865</v>
      </c>
      <c r="CV198" s="1353">
        <v>50</v>
      </c>
      <c r="CW198" s="1353"/>
      <c r="CX198" s="1353">
        <v>33.5</v>
      </c>
      <c r="CY198" s="1353">
        <v>42.5</v>
      </c>
      <c r="CZ198" s="1353">
        <v>22</v>
      </c>
      <c r="DA198" s="1353">
        <v>56</v>
      </c>
      <c r="DB198" s="1353">
        <v>1859</v>
      </c>
      <c r="DC198" s="1353">
        <v>92</v>
      </c>
      <c r="DD198" s="1353"/>
      <c r="DE198" s="1353"/>
      <c r="DF198" s="1353"/>
      <c r="DG198" s="1353"/>
      <c r="DH198" s="1353"/>
      <c r="DI198" s="1353"/>
      <c r="DJ198" s="1353"/>
      <c r="DK198" s="1353"/>
      <c r="DT198" s="659">
        <v>68</v>
      </c>
      <c r="DU198" s="660" t="s">
        <v>638</v>
      </c>
      <c r="DV198" s="777">
        <f t="shared" si="361"/>
        <v>-144</v>
      </c>
      <c r="DW198" s="777">
        <f t="shared" si="361"/>
        <v>0</v>
      </c>
      <c r="DX198" s="777">
        <f t="shared" si="361"/>
        <v>0</v>
      </c>
      <c r="DY198" s="777">
        <f t="shared" si="361"/>
        <v>0</v>
      </c>
      <c r="DZ198" s="777">
        <f t="shared" si="361"/>
        <v>0</v>
      </c>
      <c r="EA198" s="777">
        <f t="shared" si="361"/>
        <v>0</v>
      </c>
      <c r="EB198" s="777">
        <f t="shared" si="361"/>
        <v>0</v>
      </c>
      <c r="EC198" s="777">
        <f t="shared" si="361"/>
        <v>0</v>
      </c>
      <c r="ED198" s="777">
        <f t="shared" si="361"/>
        <v>0</v>
      </c>
      <c r="EE198" s="777">
        <f t="shared" si="361"/>
        <v>0</v>
      </c>
      <c r="EF198" s="777">
        <f t="shared" si="361"/>
        <v>0</v>
      </c>
      <c r="EG198" s="777">
        <f t="shared" si="361"/>
        <v>0</v>
      </c>
      <c r="EH198" s="777">
        <f t="shared" si="361"/>
        <v>0</v>
      </c>
      <c r="EI198" s="777">
        <f t="shared" si="361"/>
        <v>144</v>
      </c>
      <c r="EJ198" s="777">
        <f t="shared" si="361"/>
        <v>144</v>
      </c>
      <c r="EK198" s="777">
        <f t="shared" si="361"/>
        <v>0</v>
      </c>
      <c r="EL198" s="777">
        <f t="shared" si="362"/>
        <v>144</v>
      </c>
      <c r="EM198" s="777">
        <f t="shared" si="362"/>
        <v>-144</v>
      </c>
      <c r="EN198" s="777">
        <f t="shared" si="362"/>
        <v>0</v>
      </c>
      <c r="EO198" s="777">
        <f t="shared" si="362"/>
        <v>0</v>
      </c>
      <c r="EP198" s="777">
        <f t="shared" si="362"/>
        <v>0</v>
      </c>
      <c r="EQ198" s="777">
        <f t="shared" si="362"/>
        <v>0</v>
      </c>
      <c r="ER198" s="777">
        <f t="shared" si="362"/>
        <v>0</v>
      </c>
      <c r="ES198" s="777">
        <f t="shared" si="362"/>
        <v>0</v>
      </c>
      <c r="ET198" s="777">
        <f t="shared" si="362"/>
        <v>0</v>
      </c>
      <c r="EU198" s="777">
        <f t="shared" si="362"/>
        <v>0</v>
      </c>
      <c r="EV198" s="777">
        <f t="shared" si="362"/>
        <v>0</v>
      </c>
    </row>
    <row r="199" spans="1:152" ht="33" customHeight="1">
      <c r="A199" s="1429" t="s">
        <v>639</v>
      </c>
      <c r="B199" s="651" t="s">
        <v>640</v>
      </c>
      <c r="C199" s="1430">
        <f t="shared" si="363"/>
        <v>222</v>
      </c>
      <c r="D199" s="1430">
        <f t="shared" si="364"/>
        <v>208</v>
      </c>
      <c r="E199" s="1430">
        <f t="shared" ref="E199:AK199" si="366">SUM(E200:E201)</f>
        <v>208</v>
      </c>
      <c r="F199" s="1430">
        <f t="shared" si="366"/>
        <v>0</v>
      </c>
      <c r="G199" s="1430">
        <f t="shared" si="366"/>
        <v>210</v>
      </c>
      <c r="H199" s="1430">
        <f t="shared" si="366"/>
        <v>0</v>
      </c>
      <c r="I199" s="1430">
        <f t="shared" si="366"/>
        <v>14</v>
      </c>
      <c r="J199" s="1430">
        <f t="shared" si="366"/>
        <v>14</v>
      </c>
      <c r="K199" s="1548">
        <f t="shared" si="272"/>
        <v>72545</v>
      </c>
      <c r="L199" s="820">
        <f t="shared" si="366"/>
        <v>75859</v>
      </c>
      <c r="M199" s="653">
        <f t="shared" si="366"/>
        <v>28341</v>
      </c>
      <c r="N199" s="653">
        <f t="shared" si="366"/>
        <v>4745</v>
      </c>
      <c r="O199" s="653">
        <f t="shared" si="366"/>
        <v>905</v>
      </c>
      <c r="P199" s="653">
        <f>SUM(P200:P201)</f>
        <v>1130</v>
      </c>
      <c r="Q199" s="653">
        <f t="shared" si="366"/>
        <v>0</v>
      </c>
      <c r="R199" s="653">
        <f t="shared" si="366"/>
        <v>0</v>
      </c>
      <c r="S199" s="653">
        <f t="shared" si="366"/>
        <v>895</v>
      </c>
      <c r="T199" s="653">
        <f t="shared" si="366"/>
        <v>895</v>
      </c>
      <c r="U199" s="653">
        <f t="shared" si="366"/>
        <v>34226</v>
      </c>
      <c r="V199" s="653">
        <f t="shared" si="366"/>
        <v>37419</v>
      </c>
      <c r="W199" s="653">
        <f t="shared" si="366"/>
        <v>3547</v>
      </c>
      <c r="X199" s="653">
        <f t="shared" si="366"/>
        <v>0</v>
      </c>
      <c r="Y199" s="653">
        <f t="shared" si="366"/>
        <v>63</v>
      </c>
      <c r="Z199" s="653">
        <f t="shared" si="366"/>
        <v>3167</v>
      </c>
      <c r="AA199" s="653">
        <f t="shared" si="366"/>
        <v>2584</v>
      </c>
      <c r="AB199" s="653">
        <f t="shared" si="366"/>
        <v>2647</v>
      </c>
      <c r="AC199" s="653">
        <f t="shared" si="366"/>
        <v>38319</v>
      </c>
      <c r="AD199" s="653">
        <f t="shared" si="366"/>
        <v>3314</v>
      </c>
      <c r="AE199" s="653">
        <f t="shared" si="366"/>
        <v>0</v>
      </c>
      <c r="AF199" s="653">
        <f t="shared" si="366"/>
        <v>0</v>
      </c>
      <c r="AG199" s="653">
        <f>SUM(AG200:AG201)</f>
        <v>0</v>
      </c>
      <c r="AH199" s="653">
        <f>SUM(AH200:AH201)</f>
        <v>0</v>
      </c>
      <c r="AI199" s="653">
        <f t="shared" si="366"/>
        <v>0</v>
      </c>
      <c r="AJ199" s="653">
        <f t="shared" si="366"/>
        <v>0</v>
      </c>
      <c r="AK199" s="653">
        <f t="shared" si="366"/>
        <v>0</v>
      </c>
      <c r="AL199" s="656"/>
      <c r="AN199" s="610"/>
      <c r="AO199" s="1323" t="s">
        <v>639</v>
      </c>
      <c r="AP199" s="651" t="s">
        <v>640</v>
      </c>
      <c r="AQ199" s="1320">
        <f t="shared" si="365"/>
        <v>281</v>
      </c>
      <c r="AR199" s="1320">
        <f>AS199+AT199</f>
        <v>250</v>
      </c>
      <c r="AS199" s="1320">
        <f t="shared" ref="AS199:BV199" si="367">SUM(AS200:AS201)</f>
        <v>250</v>
      </c>
      <c r="AT199" s="1320">
        <f t="shared" si="367"/>
        <v>0</v>
      </c>
      <c r="AU199" s="1320">
        <f t="shared" si="367"/>
        <v>225</v>
      </c>
      <c r="AV199" s="1320">
        <f t="shared" si="367"/>
        <v>0</v>
      </c>
      <c r="AW199" s="1320">
        <f t="shared" si="367"/>
        <v>31</v>
      </c>
      <c r="AX199" s="1320">
        <f t="shared" si="367"/>
        <v>0</v>
      </c>
      <c r="AY199" s="653">
        <f t="shared" si="367"/>
        <v>81336</v>
      </c>
      <c r="AZ199" s="658">
        <f t="shared" si="367"/>
        <v>30846</v>
      </c>
      <c r="BA199" s="653">
        <f t="shared" si="367"/>
        <v>5751</v>
      </c>
      <c r="BB199" s="653">
        <f t="shared" si="367"/>
        <v>1037</v>
      </c>
      <c r="BC199" s="653">
        <f>SUM(BC200:BC201)</f>
        <v>1357</v>
      </c>
      <c r="BD199" s="653">
        <f t="shared" si="367"/>
        <v>0</v>
      </c>
      <c r="BE199" s="653">
        <f t="shared" si="367"/>
        <v>678.80000000000007</v>
      </c>
      <c r="BF199" s="655">
        <f t="shared" si="367"/>
        <v>679</v>
      </c>
      <c r="BG199" s="653">
        <f t="shared" si="367"/>
        <v>38312</v>
      </c>
      <c r="BH199" s="653">
        <f t="shared" si="367"/>
        <v>37466</v>
      </c>
      <c r="BI199" s="653">
        <f t="shared" si="367"/>
        <v>1400</v>
      </c>
      <c r="BJ199" s="653">
        <f t="shared" si="367"/>
        <v>3547</v>
      </c>
      <c r="BK199" s="653">
        <f t="shared" si="367"/>
        <v>0</v>
      </c>
      <c r="BL199" s="653">
        <f t="shared" si="367"/>
        <v>3211.3</v>
      </c>
      <c r="BM199" s="655">
        <f t="shared" si="367"/>
        <v>3211</v>
      </c>
      <c r="BN199" s="653">
        <f t="shared" si="367"/>
        <v>39202</v>
      </c>
      <c r="BO199" s="653">
        <f t="shared" si="367"/>
        <v>3822</v>
      </c>
      <c r="BP199" s="653">
        <f t="shared" si="367"/>
        <v>0</v>
      </c>
      <c r="BQ199" s="653">
        <f t="shared" si="367"/>
        <v>0</v>
      </c>
      <c r="BR199" s="653">
        <f>SUM(BR200:BR201)</f>
        <v>0</v>
      </c>
      <c r="BS199" s="653">
        <f>SUM(BS200:BS201)</f>
        <v>0</v>
      </c>
      <c r="BT199" s="653">
        <f t="shared" si="367"/>
        <v>0</v>
      </c>
      <c r="BU199" s="653">
        <f t="shared" si="367"/>
        <v>0</v>
      </c>
      <c r="BV199" s="653">
        <f t="shared" si="367"/>
        <v>0</v>
      </c>
      <c r="BW199" s="653"/>
      <c r="CA199" s="1352" t="s">
        <v>639</v>
      </c>
      <c r="CB199" s="1352" t="s">
        <v>640</v>
      </c>
      <c r="CC199" s="1352">
        <v>222</v>
      </c>
      <c r="CD199" s="1352">
        <v>208</v>
      </c>
      <c r="CE199" s="1352">
        <v>208</v>
      </c>
      <c r="CF199" s="1352">
        <v>0</v>
      </c>
      <c r="CG199" s="1352">
        <v>210</v>
      </c>
      <c r="CH199" s="1352">
        <v>0</v>
      </c>
      <c r="CI199" s="1352">
        <v>14</v>
      </c>
      <c r="CJ199" s="1352">
        <v>14</v>
      </c>
      <c r="CK199" s="1353">
        <v>74520</v>
      </c>
      <c r="CL199" s="1353">
        <v>28341</v>
      </c>
      <c r="CM199" s="1354">
        <v>4745</v>
      </c>
      <c r="CN199" s="1354">
        <v>905</v>
      </c>
      <c r="CO199" s="1354">
        <v>1130</v>
      </c>
      <c r="CP199" s="1354">
        <v>0</v>
      </c>
      <c r="CQ199" s="1354">
        <v>0</v>
      </c>
      <c r="CR199" s="1354">
        <v>895</v>
      </c>
      <c r="CS199" s="1354">
        <v>895</v>
      </c>
      <c r="CT199" s="1353">
        <v>34226</v>
      </c>
      <c r="CU199" s="1353">
        <v>37419</v>
      </c>
      <c r="CV199" s="1353">
        <v>3547</v>
      </c>
      <c r="CW199" s="1353">
        <v>0</v>
      </c>
      <c r="CX199" s="1353">
        <v>87.900000000000091</v>
      </c>
      <c r="CY199" s="1353">
        <v>3191.9</v>
      </c>
      <c r="CZ199" s="1353">
        <v>2584</v>
      </c>
      <c r="DA199" s="1353">
        <v>2672</v>
      </c>
      <c r="DB199" s="1353">
        <v>38294</v>
      </c>
      <c r="DC199" s="1353">
        <v>2000</v>
      </c>
      <c r="DD199" s="1353">
        <v>0</v>
      </c>
      <c r="DE199" s="1353">
        <v>0</v>
      </c>
      <c r="DF199" s="1353">
        <v>0</v>
      </c>
      <c r="DG199" s="1353">
        <v>0</v>
      </c>
      <c r="DH199" s="1353">
        <v>0</v>
      </c>
      <c r="DI199" s="1353">
        <v>0</v>
      </c>
      <c r="DJ199" s="1353">
        <v>0</v>
      </c>
      <c r="DK199" s="1353"/>
      <c r="DT199" s="1323" t="s">
        <v>639</v>
      </c>
      <c r="DU199" s="651" t="s">
        <v>640</v>
      </c>
      <c r="DV199" s="1363">
        <f>DV200+DV201</f>
        <v>1339</v>
      </c>
      <c r="DW199" s="1363">
        <f t="shared" ref="DW199:EV199" si="368">DW200+DW201</f>
        <v>0</v>
      </c>
      <c r="DX199" s="1363">
        <f t="shared" si="368"/>
        <v>0</v>
      </c>
      <c r="DY199" s="1363">
        <f t="shared" si="368"/>
        <v>0</v>
      </c>
      <c r="DZ199" s="1363">
        <f t="shared" si="368"/>
        <v>0</v>
      </c>
      <c r="EA199" s="1363">
        <f t="shared" si="368"/>
        <v>0</v>
      </c>
      <c r="EB199" s="1363">
        <f t="shared" si="368"/>
        <v>0</v>
      </c>
      <c r="EC199" s="1363">
        <f t="shared" si="368"/>
        <v>0</v>
      </c>
      <c r="ED199" s="1363">
        <f t="shared" si="368"/>
        <v>0</v>
      </c>
      <c r="EE199" s="1363">
        <f t="shared" si="368"/>
        <v>0</v>
      </c>
      <c r="EF199" s="1363">
        <f t="shared" si="368"/>
        <v>0</v>
      </c>
      <c r="EG199" s="1363">
        <f t="shared" si="368"/>
        <v>0</v>
      </c>
      <c r="EH199" s="1363">
        <f t="shared" si="368"/>
        <v>0</v>
      </c>
      <c r="EI199" s="1363">
        <f t="shared" si="368"/>
        <v>-24.900000000000091</v>
      </c>
      <c r="EJ199" s="1363">
        <f t="shared" si="368"/>
        <v>-24.900000000000091</v>
      </c>
      <c r="EK199" s="1363">
        <f t="shared" si="368"/>
        <v>0</v>
      </c>
      <c r="EL199" s="1363">
        <f t="shared" si="368"/>
        <v>-25</v>
      </c>
      <c r="EM199" s="1363">
        <f t="shared" si="368"/>
        <v>25</v>
      </c>
      <c r="EN199" s="1363">
        <f t="shared" si="368"/>
        <v>1314</v>
      </c>
      <c r="EO199" s="1363">
        <f t="shared" si="368"/>
        <v>0</v>
      </c>
      <c r="EP199" s="1363">
        <f t="shared" si="368"/>
        <v>0</v>
      </c>
      <c r="EQ199" s="1363">
        <f t="shared" si="368"/>
        <v>0</v>
      </c>
      <c r="ER199" s="1363">
        <f t="shared" si="368"/>
        <v>0</v>
      </c>
      <c r="ES199" s="1363">
        <f t="shared" si="368"/>
        <v>0</v>
      </c>
      <c r="ET199" s="1363">
        <f t="shared" si="368"/>
        <v>0</v>
      </c>
      <c r="EU199" s="1363">
        <f t="shared" si="368"/>
        <v>0</v>
      </c>
      <c r="EV199" s="1363">
        <f t="shared" si="368"/>
        <v>0</v>
      </c>
    </row>
    <row r="200" spans="1:152" s="698" customFormat="1" ht="33" customHeight="1">
      <c r="A200" s="659">
        <v>67</v>
      </c>
      <c r="B200" s="660" t="s">
        <v>641</v>
      </c>
      <c r="C200" s="661">
        <f t="shared" si="363"/>
        <v>222</v>
      </c>
      <c r="D200" s="661">
        <f t="shared" si="364"/>
        <v>208</v>
      </c>
      <c r="E200" s="661">
        <f>222-14</f>
        <v>208</v>
      </c>
      <c r="F200" s="661"/>
      <c r="G200" s="661">
        <f>224-14</f>
        <v>210</v>
      </c>
      <c r="H200" s="661"/>
      <c r="I200" s="661">
        <v>14</v>
      </c>
      <c r="J200" s="661">
        <v>14</v>
      </c>
      <c r="K200" s="646">
        <f t="shared" si="272"/>
        <v>72545</v>
      </c>
      <c r="L200" s="662">
        <f>U200+AC200+AD200+AE200</f>
        <v>75859</v>
      </c>
      <c r="M200" s="1379">
        <v>28341</v>
      </c>
      <c r="N200" s="666">
        <f>5650-905</f>
        <v>4745</v>
      </c>
      <c r="O200" s="666">
        <f>905</f>
        <v>905</v>
      </c>
      <c r="P200" s="1498">
        <v>1130</v>
      </c>
      <c r="Q200" s="666"/>
      <c r="R200" s="666"/>
      <c r="S200" s="666">
        <f>816+79</f>
        <v>895</v>
      </c>
      <c r="T200" s="666">
        <f>ROUND((Q200+R200+S200),0)</f>
        <v>895</v>
      </c>
      <c r="U200" s="666">
        <f>(M200+N200+O200+P200)-T200</f>
        <v>34226</v>
      </c>
      <c r="V200" s="666">
        <v>37419</v>
      </c>
      <c r="W200" s="666">
        <v>3547</v>
      </c>
      <c r="X200" s="666"/>
      <c r="Y200" s="666">
        <f>Z200-BM200</f>
        <v>63</v>
      </c>
      <c r="Z200" s="666">
        <f>(V200-5749)*10%</f>
        <v>3167</v>
      </c>
      <c r="AA200" s="666">
        <f>2477+107</f>
        <v>2584</v>
      </c>
      <c r="AB200" s="666">
        <f>ROUND((Y200+AA200+X200),0)</f>
        <v>2647</v>
      </c>
      <c r="AC200" s="666">
        <f>(V200+W200)-AB200</f>
        <v>38319</v>
      </c>
      <c r="AD200" s="666">
        <f>2000+1314</f>
        <v>3314</v>
      </c>
      <c r="AE200" s="666"/>
      <c r="AF200" s="666"/>
      <c r="AG200" s="666"/>
      <c r="AH200" s="666"/>
      <c r="AI200" s="666"/>
      <c r="AJ200" s="666"/>
      <c r="AK200" s="666"/>
      <c r="AL200" s="697"/>
      <c r="AM200" s="624"/>
      <c r="AN200" s="610"/>
      <c r="AO200" s="694">
        <v>72</v>
      </c>
      <c r="AP200" s="695" t="s">
        <v>641</v>
      </c>
      <c r="AQ200" s="696">
        <f t="shared" si="365"/>
        <v>259</v>
      </c>
      <c r="AR200" s="696">
        <f>AS200+AT200</f>
        <v>231</v>
      </c>
      <c r="AS200" s="696">
        <v>231</v>
      </c>
      <c r="AT200" s="696"/>
      <c r="AU200" s="696">
        <v>206</v>
      </c>
      <c r="AV200" s="696"/>
      <c r="AW200" s="696">
        <v>28</v>
      </c>
      <c r="AX200" s="696"/>
      <c r="AY200" s="668">
        <f>BG200+BN200+BO200+BP200</f>
        <v>74941</v>
      </c>
      <c r="AZ200" s="668">
        <f>28014</f>
        <v>28014</v>
      </c>
      <c r="BA200" s="668">
        <f>5332</f>
        <v>5332</v>
      </c>
      <c r="BB200" s="668">
        <f>905</f>
        <v>905</v>
      </c>
      <c r="BC200" s="668">
        <v>1247</v>
      </c>
      <c r="BD200" s="668"/>
      <c r="BE200" s="666">
        <f>(BA200+BB200)*10%</f>
        <v>623.70000000000005</v>
      </c>
      <c r="BF200" s="668">
        <f>ROUND(BE200,0)</f>
        <v>624</v>
      </c>
      <c r="BG200" s="668">
        <f>(AZ200+BA200+BB200+BC200)-BF200</f>
        <v>34874</v>
      </c>
      <c r="BH200" s="668">
        <f>36366+10+20</f>
        <v>36396</v>
      </c>
      <c r="BI200" s="668">
        <f>700+700</f>
        <v>1400</v>
      </c>
      <c r="BJ200" s="668">
        <f>4075-700</f>
        <v>3375</v>
      </c>
      <c r="BK200" s="668"/>
      <c r="BL200" s="666">
        <f>(BH200-5353)*10%</f>
        <v>3104.3</v>
      </c>
      <c r="BM200" s="668">
        <f>ROUND(BL200,0)</f>
        <v>3104</v>
      </c>
      <c r="BN200" s="668">
        <f>(BH200+BI200+BJ200)-BM200</f>
        <v>38067</v>
      </c>
      <c r="BO200" s="668">
        <f>2000</f>
        <v>2000</v>
      </c>
      <c r="BP200" s="668"/>
      <c r="BQ200" s="668"/>
      <c r="BR200" s="668"/>
      <c r="BS200" s="668"/>
      <c r="BT200" s="668"/>
      <c r="BU200" s="668"/>
      <c r="BV200" s="668"/>
      <c r="BW200" s="697"/>
      <c r="BY200" s="891"/>
      <c r="BZ200" s="891"/>
      <c r="CA200" s="1352">
        <v>69</v>
      </c>
      <c r="CB200" s="1352" t="s">
        <v>641</v>
      </c>
      <c r="CC200" s="1352">
        <v>222</v>
      </c>
      <c r="CD200" s="1352">
        <v>208</v>
      </c>
      <c r="CE200" s="1352">
        <v>208</v>
      </c>
      <c r="CF200" s="1352"/>
      <c r="CG200" s="1352">
        <v>210</v>
      </c>
      <c r="CH200" s="1352"/>
      <c r="CI200" s="1352">
        <v>14</v>
      </c>
      <c r="CJ200" s="1352">
        <v>14</v>
      </c>
      <c r="CK200" s="1353">
        <v>74520</v>
      </c>
      <c r="CL200" s="1353">
        <v>28341</v>
      </c>
      <c r="CM200" s="1354">
        <v>4745</v>
      </c>
      <c r="CN200" s="1354">
        <v>905</v>
      </c>
      <c r="CO200" s="1354">
        <v>1130</v>
      </c>
      <c r="CP200" s="1354"/>
      <c r="CQ200" s="1354"/>
      <c r="CR200" s="1354">
        <v>895</v>
      </c>
      <c r="CS200" s="1354">
        <v>895</v>
      </c>
      <c r="CT200" s="1353">
        <v>34226</v>
      </c>
      <c r="CU200" s="1353">
        <v>37419</v>
      </c>
      <c r="CV200" s="1353">
        <v>3547</v>
      </c>
      <c r="CW200" s="1353"/>
      <c r="CX200" s="1353">
        <v>87.900000000000091</v>
      </c>
      <c r="CY200" s="1353">
        <v>3191.9</v>
      </c>
      <c r="CZ200" s="1353">
        <v>2584</v>
      </c>
      <c r="DA200" s="1353">
        <v>2672</v>
      </c>
      <c r="DB200" s="1353">
        <v>38294</v>
      </c>
      <c r="DC200" s="1353">
        <v>2000</v>
      </c>
      <c r="DD200" s="1353"/>
      <c r="DE200" s="1353"/>
      <c r="DF200" s="1353"/>
      <c r="DG200" s="1353"/>
      <c r="DH200" s="1353"/>
      <c r="DI200" s="1353"/>
      <c r="DJ200" s="1353"/>
      <c r="DK200" s="1353"/>
      <c r="DT200" s="694">
        <v>69</v>
      </c>
      <c r="DU200" s="695" t="s">
        <v>641</v>
      </c>
      <c r="DV200" s="777">
        <f t="shared" ref="DV200:EK201" si="369">L200-CK200</f>
        <v>1339</v>
      </c>
      <c r="DW200" s="777">
        <f t="shared" si="369"/>
        <v>0</v>
      </c>
      <c r="DX200" s="777">
        <f t="shared" si="369"/>
        <v>0</v>
      </c>
      <c r="DY200" s="777">
        <f t="shared" si="369"/>
        <v>0</v>
      </c>
      <c r="DZ200" s="777">
        <f t="shared" si="369"/>
        <v>0</v>
      </c>
      <c r="EA200" s="777">
        <f t="shared" si="369"/>
        <v>0</v>
      </c>
      <c r="EB200" s="777">
        <f t="shared" si="369"/>
        <v>0</v>
      </c>
      <c r="EC200" s="777">
        <f t="shared" si="369"/>
        <v>0</v>
      </c>
      <c r="ED200" s="777">
        <f t="shared" si="369"/>
        <v>0</v>
      </c>
      <c r="EE200" s="777">
        <f t="shared" si="369"/>
        <v>0</v>
      </c>
      <c r="EF200" s="777">
        <f t="shared" si="369"/>
        <v>0</v>
      </c>
      <c r="EG200" s="777">
        <f t="shared" si="369"/>
        <v>0</v>
      </c>
      <c r="EH200" s="777">
        <f t="shared" si="369"/>
        <v>0</v>
      </c>
      <c r="EI200" s="777">
        <f t="shared" si="369"/>
        <v>-24.900000000000091</v>
      </c>
      <c r="EJ200" s="777">
        <f t="shared" si="369"/>
        <v>-24.900000000000091</v>
      </c>
      <c r="EK200" s="777">
        <f t="shared" si="369"/>
        <v>0</v>
      </c>
      <c r="EL200" s="777">
        <f t="shared" ref="EL200:EV201" si="370">AB200-DA200</f>
        <v>-25</v>
      </c>
      <c r="EM200" s="777">
        <f t="shared" si="370"/>
        <v>25</v>
      </c>
      <c r="EN200" s="777">
        <f t="shared" si="370"/>
        <v>1314</v>
      </c>
      <c r="EO200" s="777">
        <f t="shared" si="370"/>
        <v>0</v>
      </c>
      <c r="EP200" s="777">
        <f t="shared" si="370"/>
        <v>0</v>
      </c>
      <c r="EQ200" s="777">
        <f t="shared" si="370"/>
        <v>0</v>
      </c>
      <c r="ER200" s="777">
        <f t="shared" si="370"/>
        <v>0</v>
      </c>
      <c r="ES200" s="777">
        <f t="shared" si="370"/>
        <v>0</v>
      </c>
      <c r="ET200" s="777">
        <f t="shared" si="370"/>
        <v>0</v>
      </c>
      <c r="EU200" s="777">
        <f t="shared" si="370"/>
        <v>0</v>
      </c>
      <c r="EV200" s="777">
        <f t="shared" si="370"/>
        <v>0</v>
      </c>
    </row>
    <row r="201" spans="1:152" ht="33" hidden="1" customHeight="1">
      <c r="A201" s="659">
        <v>73</v>
      </c>
      <c r="B201" s="660" t="s">
        <v>642</v>
      </c>
      <c r="C201" s="661">
        <f t="shared" si="363"/>
        <v>0</v>
      </c>
      <c r="D201" s="661">
        <f t="shared" si="364"/>
        <v>0</v>
      </c>
      <c r="E201" s="661"/>
      <c r="F201" s="661"/>
      <c r="G201" s="661"/>
      <c r="H201" s="661"/>
      <c r="I201" s="661"/>
      <c r="J201" s="661"/>
      <c r="K201" s="646">
        <f t="shared" si="272"/>
        <v>0</v>
      </c>
      <c r="L201" s="662">
        <f>U201+AC201+AD201+AE201</f>
        <v>0</v>
      </c>
      <c r="M201" s="666"/>
      <c r="N201" s="666"/>
      <c r="O201" s="666"/>
      <c r="P201" s="666"/>
      <c r="Q201" s="666"/>
      <c r="R201" s="666"/>
      <c r="S201" s="666"/>
      <c r="T201" s="666">
        <f>ROUND((Q201+R201+S201),0)</f>
        <v>0</v>
      </c>
      <c r="U201" s="666">
        <f>(M201+N201+O201+P201)-T201</f>
        <v>0</v>
      </c>
      <c r="V201" s="666"/>
      <c r="W201" s="666"/>
      <c r="X201" s="666"/>
      <c r="Y201" s="666"/>
      <c r="Z201" s="666">
        <f>V201*10%</f>
        <v>0</v>
      </c>
      <c r="AA201" s="666"/>
      <c r="AB201" s="666">
        <f>ROUND((Y201+AA201+X201),0)</f>
        <v>0</v>
      </c>
      <c r="AC201" s="666">
        <f>(V201+W201)-AB201</f>
        <v>0</v>
      </c>
      <c r="AD201" s="666"/>
      <c r="AE201" s="666"/>
      <c r="AF201" s="666"/>
      <c r="AG201" s="666"/>
      <c r="AH201" s="666"/>
      <c r="AI201" s="666"/>
      <c r="AJ201" s="666"/>
      <c r="AK201" s="666"/>
      <c r="AL201" s="664"/>
      <c r="AN201" s="610"/>
      <c r="AO201" s="659">
        <v>73</v>
      </c>
      <c r="AP201" s="660" t="s">
        <v>642</v>
      </c>
      <c r="AQ201" s="661">
        <f t="shared" si="365"/>
        <v>22</v>
      </c>
      <c r="AR201" s="661">
        <f>AS201+AT201</f>
        <v>19</v>
      </c>
      <c r="AS201" s="661">
        <v>19</v>
      </c>
      <c r="AT201" s="661"/>
      <c r="AU201" s="661">
        <v>19</v>
      </c>
      <c r="AV201" s="661"/>
      <c r="AW201" s="661">
        <v>3</v>
      </c>
      <c r="AX201" s="661"/>
      <c r="AY201" s="666">
        <f>BG201+BN201+BO201+BP201</f>
        <v>6395</v>
      </c>
      <c r="AZ201" s="670">
        <f>1407+317+861+247</f>
        <v>2832</v>
      </c>
      <c r="BA201" s="666">
        <v>419</v>
      </c>
      <c r="BB201" s="666">
        <f>132</f>
        <v>132</v>
      </c>
      <c r="BC201" s="666">
        <v>110</v>
      </c>
      <c r="BD201" s="666"/>
      <c r="BE201" s="666">
        <f>(BA201+BB201)*10%</f>
        <v>55.1</v>
      </c>
      <c r="BF201" s="667">
        <f>ROUND(BE201,0)</f>
        <v>55</v>
      </c>
      <c r="BG201" s="666">
        <f>(AZ201+BA201+BB201+BC201)-BF201</f>
        <v>3438</v>
      </c>
      <c r="BH201" s="666">
        <v>1070</v>
      </c>
      <c r="BI201" s="666"/>
      <c r="BJ201" s="666">
        <v>172</v>
      </c>
      <c r="BK201" s="666"/>
      <c r="BL201" s="666">
        <f>BH201*10%</f>
        <v>107</v>
      </c>
      <c r="BM201" s="667">
        <f>ROUND(BL201,0)</f>
        <v>107</v>
      </c>
      <c r="BN201" s="666">
        <f>(BH201+BI201+BJ201)-BM201</f>
        <v>1135</v>
      </c>
      <c r="BO201" s="666">
        <v>1822</v>
      </c>
      <c r="BP201" s="666"/>
      <c r="BQ201" s="666"/>
      <c r="BR201" s="666"/>
      <c r="BS201" s="666"/>
      <c r="BT201" s="666"/>
      <c r="BU201" s="666"/>
      <c r="BV201" s="666"/>
      <c r="BW201" s="662"/>
      <c r="CA201" s="1352">
        <v>73</v>
      </c>
      <c r="CB201" s="1352" t="s">
        <v>642</v>
      </c>
      <c r="CC201" s="1352">
        <v>0</v>
      </c>
      <c r="CD201" s="1352">
        <v>0</v>
      </c>
      <c r="CE201" s="1352"/>
      <c r="CF201" s="1352"/>
      <c r="CG201" s="1352"/>
      <c r="CH201" s="1352"/>
      <c r="CI201" s="1352"/>
      <c r="CJ201" s="1352"/>
      <c r="CK201" s="1353">
        <v>0</v>
      </c>
      <c r="CL201" s="1353"/>
      <c r="CM201" s="1354"/>
      <c r="CN201" s="1354"/>
      <c r="CO201" s="1354"/>
      <c r="CP201" s="1354"/>
      <c r="CQ201" s="1354"/>
      <c r="CR201" s="1354"/>
      <c r="CS201" s="1354">
        <v>0</v>
      </c>
      <c r="CT201" s="1353">
        <v>0</v>
      </c>
      <c r="CU201" s="1353"/>
      <c r="CV201" s="1353"/>
      <c r="CW201" s="1353"/>
      <c r="CX201" s="1353"/>
      <c r="CY201" s="1353">
        <v>0</v>
      </c>
      <c r="CZ201" s="1353"/>
      <c r="DA201" s="1353">
        <v>0</v>
      </c>
      <c r="DB201" s="1353">
        <v>0</v>
      </c>
      <c r="DC201" s="1353"/>
      <c r="DD201" s="1353"/>
      <c r="DE201" s="1353"/>
      <c r="DF201" s="1353"/>
      <c r="DG201" s="1353"/>
      <c r="DH201" s="1353"/>
      <c r="DI201" s="1353"/>
      <c r="DJ201" s="1353"/>
      <c r="DK201" s="1353"/>
      <c r="DT201" s="659">
        <v>73</v>
      </c>
      <c r="DU201" s="660" t="s">
        <v>642</v>
      </c>
      <c r="DV201" s="777">
        <f t="shared" si="369"/>
        <v>0</v>
      </c>
      <c r="DW201" s="777">
        <f t="shared" si="369"/>
        <v>0</v>
      </c>
      <c r="DX201" s="777">
        <f t="shared" si="369"/>
        <v>0</v>
      </c>
      <c r="DY201" s="777">
        <f t="shared" si="369"/>
        <v>0</v>
      </c>
      <c r="DZ201" s="777">
        <f t="shared" si="369"/>
        <v>0</v>
      </c>
      <c r="EA201" s="777">
        <f t="shared" si="369"/>
        <v>0</v>
      </c>
      <c r="EB201" s="777">
        <f t="shared" si="369"/>
        <v>0</v>
      </c>
      <c r="EC201" s="777">
        <f t="shared" si="369"/>
        <v>0</v>
      </c>
      <c r="ED201" s="777">
        <f t="shared" si="369"/>
        <v>0</v>
      </c>
      <c r="EE201" s="777">
        <f t="shared" si="369"/>
        <v>0</v>
      </c>
      <c r="EF201" s="777">
        <f t="shared" si="369"/>
        <v>0</v>
      </c>
      <c r="EG201" s="777">
        <f t="shared" si="369"/>
        <v>0</v>
      </c>
      <c r="EH201" s="777">
        <f t="shared" si="369"/>
        <v>0</v>
      </c>
      <c r="EI201" s="777">
        <f t="shared" si="369"/>
        <v>0</v>
      </c>
      <c r="EJ201" s="777">
        <f t="shared" si="369"/>
        <v>0</v>
      </c>
      <c r="EK201" s="777">
        <f t="shared" si="369"/>
        <v>0</v>
      </c>
      <c r="EL201" s="777">
        <f t="shared" si="370"/>
        <v>0</v>
      </c>
      <c r="EM201" s="777">
        <f t="shared" si="370"/>
        <v>0</v>
      </c>
      <c r="EN201" s="777">
        <f t="shared" si="370"/>
        <v>0</v>
      </c>
      <c r="EO201" s="777">
        <f t="shared" si="370"/>
        <v>0</v>
      </c>
      <c r="EP201" s="777">
        <f t="shared" si="370"/>
        <v>0</v>
      </c>
      <c r="EQ201" s="777">
        <f t="shared" si="370"/>
        <v>0</v>
      </c>
      <c r="ER201" s="777">
        <f t="shared" si="370"/>
        <v>0</v>
      </c>
      <c r="ES201" s="777">
        <f t="shared" si="370"/>
        <v>0</v>
      </c>
      <c r="ET201" s="777">
        <f t="shared" si="370"/>
        <v>0</v>
      </c>
      <c r="EU201" s="777">
        <f t="shared" si="370"/>
        <v>0</v>
      </c>
      <c r="EV201" s="777">
        <f t="shared" si="370"/>
        <v>0</v>
      </c>
    </row>
    <row r="202" spans="1:152" ht="43.5" customHeight="1">
      <c r="A202" s="1429" t="s">
        <v>643</v>
      </c>
      <c r="B202" s="651" t="s">
        <v>644</v>
      </c>
      <c r="C202" s="1430">
        <f t="shared" si="363"/>
        <v>89</v>
      </c>
      <c r="D202" s="1430">
        <f t="shared" ref="D202:J202" si="371">SUM(D203:D219)</f>
        <v>82</v>
      </c>
      <c r="E202" s="1430">
        <f t="shared" si="371"/>
        <v>0</v>
      </c>
      <c r="F202" s="1430">
        <f t="shared" si="371"/>
        <v>82</v>
      </c>
      <c r="G202" s="1430">
        <f t="shared" si="371"/>
        <v>0</v>
      </c>
      <c r="H202" s="1430">
        <f t="shared" si="371"/>
        <v>72</v>
      </c>
      <c r="I202" s="1430">
        <f t="shared" si="371"/>
        <v>7</v>
      </c>
      <c r="J202" s="1430">
        <f t="shared" si="371"/>
        <v>7</v>
      </c>
      <c r="K202" s="1548">
        <f t="shared" si="272"/>
        <v>14938</v>
      </c>
      <c r="L202" s="820">
        <f>SUM(L203,L205:L219)</f>
        <v>16342</v>
      </c>
      <c r="M202" s="653">
        <f t="shared" ref="M202:AM202" si="372">SUM(M203,M205:M219)</f>
        <v>7836</v>
      </c>
      <c r="N202" s="653">
        <f t="shared" si="372"/>
        <v>1760</v>
      </c>
      <c r="O202" s="653">
        <f t="shared" si="372"/>
        <v>378</v>
      </c>
      <c r="P202" s="653">
        <f t="shared" si="372"/>
        <v>0</v>
      </c>
      <c r="Q202" s="653">
        <f t="shared" si="372"/>
        <v>0</v>
      </c>
      <c r="R202" s="653">
        <f t="shared" si="372"/>
        <v>2.6</v>
      </c>
      <c r="S202" s="653">
        <f t="shared" si="372"/>
        <v>247</v>
      </c>
      <c r="T202" s="653">
        <f t="shared" si="372"/>
        <v>250</v>
      </c>
      <c r="U202" s="653">
        <f t="shared" si="372"/>
        <v>9724</v>
      </c>
      <c r="V202" s="653">
        <f>SUM(V203,V205:V219)</f>
        <v>5459</v>
      </c>
      <c r="W202" s="653">
        <f t="shared" si="372"/>
        <v>371</v>
      </c>
      <c r="X202" s="653">
        <f t="shared" si="372"/>
        <v>0</v>
      </c>
      <c r="Y202" s="653">
        <f t="shared" si="372"/>
        <v>210.40000000000003</v>
      </c>
      <c r="Z202" s="653">
        <f t="shared" si="372"/>
        <v>533.5</v>
      </c>
      <c r="AA202" s="653">
        <f t="shared" si="372"/>
        <v>404</v>
      </c>
      <c r="AB202" s="653">
        <f t="shared" si="372"/>
        <v>616</v>
      </c>
      <c r="AC202" s="653">
        <f t="shared" si="372"/>
        <v>5214</v>
      </c>
      <c r="AD202" s="653">
        <f t="shared" si="372"/>
        <v>1404</v>
      </c>
      <c r="AE202" s="653">
        <f t="shared" si="372"/>
        <v>0</v>
      </c>
      <c r="AF202" s="653">
        <f t="shared" si="372"/>
        <v>0</v>
      </c>
      <c r="AG202" s="653">
        <f>SUM(AG203,AG205:AG219)</f>
        <v>0</v>
      </c>
      <c r="AH202" s="653">
        <f>SUM(AH203,AH205:AH219)</f>
        <v>0</v>
      </c>
      <c r="AI202" s="653">
        <f t="shared" si="372"/>
        <v>0</v>
      </c>
      <c r="AJ202" s="653">
        <f t="shared" si="372"/>
        <v>605</v>
      </c>
      <c r="AK202" s="653">
        <f t="shared" si="372"/>
        <v>53</v>
      </c>
      <c r="AL202" s="656">
        <f t="shared" si="372"/>
        <v>0</v>
      </c>
      <c r="AM202" s="657">
        <f t="shared" si="372"/>
        <v>0</v>
      </c>
      <c r="AN202" s="610"/>
      <c r="AO202" s="1323" t="s">
        <v>643</v>
      </c>
      <c r="AP202" s="651" t="s">
        <v>644</v>
      </c>
      <c r="AQ202" s="1320">
        <f t="shared" si="365"/>
        <v>101</v>
      </c>
      <c r="AR202" s="1320">
        <f t="shared" ref="AR202:AX202" si="373">SUM(AR203:AR219)</f>
        <v>94</v>
      </c>
      <c r="AS202" s="1320">
        <f t="shared" si="373"/>
        <v>0</v>
      </c>
      <c r="AT202" s="1320">
        <f t="shared" si="373"/>
        <v>94</v>
      </c>
      <c r="AU202" s="1320">
        <f t="shared" si="373"/>
        <v>0</v>
      </c>
      <c r="AV202" s="1320">
        <f t="shared" si="373"/>
        <v>78</v>
      </c>
      <c r="AW202" s="1320">
        <f t="shared" si="373"/>
        <v>7</v>
      </c>
      <c r="AX202" s="1320">
        <f t="shared" si="373"/>
        <v>7</v>
      </c>
      <c r="AY202" s="653">
        <f>SUM(AY203,AY205:AY219)</f>
        <v>15326</v>
      </c>
      <c r="AZ202" s="658">
        <f t="shared" ref="AZ202:BW202" si="374">SUM(AZ203,AZ205:AZ219)</f>
        <v>7920</v>
      </c>
      <c r="BA202" s="653">
        <f t="shared" si="374"/>
        <v>1883</v>
      </c>
      <c r="BB202" s="653">
        <f t="shared" si="374"/>
        <v>357</v>
      </c>
      <c r="BC202" s="653">
        <f t="shared" si="374"/>
        <v>0</v>
      </c>
      <c r="BD202" s="653">
        <f t="shared" si="374"/>
        <v>0</v>
      </c>
      <c r="BE202" s="653">
        <f t="shared" si="374"/>
        <v>224.00000000000003</v>
      </c>
      <c r="BF202" s="655">
        <f t="shared" si="374"/>
        <v>225</v>
      </c>
      <c r="BG202" s="653">
        <f t="shared" si="374"/>
        <v>9935</v>
      </c>
      <c r="BH202" s="653">
        <f>SUM(BH203,BH205:BH219)</f>
        <v>3495</v>
      </c>
      <c r="BI202" s="653">
        <f t="shared" si="374"/>
        <v>500</v>
      </c>
      <c r="BJ202" s="653">
        <f t="shared" si="374"/>
        <v>450</v>
      </c>
      <c r="BK202" s="653">
        <f t="shared" si="374"/>
        <v>0</v>
      </c>
      <c r="BL202" s="653">
        <f t="shared" si="374"/>
        <v>337.09999999999997</v>
      </c>
      <c r="BM202" s="655">
        <f t="shared" si="374"/>
        <v>339</v>
      </c>
      <c r="BN202" s="653">
        <f t="shared" si="374"/>
        <v>4106</v>
      </c>
      <c r="BO202" s="653">
        <f t="shared" si="374"/>
        <v>1285</v>
      </c>
      <c r="BP202" s="653">
        <f t="shared" si="374"/>
        <v>0</v>
      </c>
      <c r="BQ202" s="653">
        <f t="shared" si="374"/>
        <v>0</v>
      </c>
      <c r="BR202" s="653">
        <f>SUM(BR203,BR205:BR219)</f>
        <v>0</v>
      </c>
      <c r="BS202" s="653">
        <f>SUM(BS203,BS205:BS219)</f>
        <v>0</v>
      </c>
      <c r="BT202" s="653">
        <f t="shared" si="374"/>
        <v>0</v>
      </c>
      <c r="BU202" s="653">
        <f t="shared" si="374"/>
        <v>605</v>
      </c>
      <c r="BV202" s="653">
        <f t="shared" si="374"/>
        <v>0</v>
      </c>
      <c r="BW202" s="653">
        <f t="shared" si="374"/>
        <v>0</v>
      </c>
      <c r="CA202" s="1352" t="s">
        <v>643</v>
      </c>
      <c r="CB202" s="1352" t="s">
        <v>644</v>
      </c>
      <c r="CC202" s="1352">
        <v>89</v>
      </c>
      <c r="CD202" s="1352">
        <v>82</v>
      </c>
      <c r="CE202" s="1352">
        <v>0</v>
      </c>
      <c r="CF202" s="1352">
        <v>82</v>
      </c>
      <c r="CG202" s="1352">
        <v>0</v>
      </c>
      <c r="CH202" s="1352">
        <v>72</v>
      </c>
      <c r="CI202" s="1352">
        <v>7</v>
      </c>
      <c r="CJ202" s="1352">
        <v>7</v>
      </c>
      <c r="CK202" s="1353">
        <v>16331</v>
      </c>
      <c r="CL202" s="1353">
        <v>7836</v>
      </c>
      <c r="CM202" s="1354">
        <v>1760</v>
      </c>
      <c r="CN202" s="1354">
        <v>378</v>
      </c>
      <c r="CO202" s="1354">
        <v>0</v>
      </c>
      <c r="CP202" s="1354">
        <v>0</v>
      </c>
      <c r="CQ202" s="1354">
        <v>13.1</v>
      </c>
      <c r="CR202" s="1354">
        <v>247</v>
      </c>
      <c r="CS202" s="1354">
        <v>261</v>
      </c>
      <c r="CT202" s="1353">
        <v>9713</v>
      </c>
      <c r="CU202" s="1353">
        <v>5459</v>
      </c>
      <c r="CV202" s="1353">
        <v>371</v>
      </c>
      <c r="CW202" s="1353">
        <v>0</v>
      </c>
      <c r="CX202" s="1353">
        <v>210.40000000000003</v>
      </c>
      <c r="CY202" s="1353">
        <v>533.5</v>
      </c>
      <c r="CZ202" s="1353">
        <v>404</v>
      </c>
      <c r="DA202" s="1353">
        <v>616</v>
      </c>
      <c r="DB202" s="1353">
        <v>5214</v>
      </c>
      <c r="DC202" s="1353">
        <v>1404</v>
      </c>
      <c r="DD202" s="1353">
        <v>0</v>
      </c>
      <c r="DE202" s="1353">
        <v>0</v>
      </c>
      <c r="DF202" s="1353">
        <v>0</v>
      </c>
      <c r="DG202" s="1353">
        <v>0</v>
      </c>
      <c r="DH202" s="1353">
        <v>0</v>
      </c>
      <c r="DI202" s="1353">
        <v>0</v>
      </c>
      <c r="DJ202" s="1353">
        <v>0</v>
      </c>
      <c r="DK202" s="1353">
        <v>0</v>
      </c>
      <c r="DT202" s="1323" t="s">
        <v>643</v>
      </c>
      <c r="DU202" s="651" t="s">
        <v>644</v>
      </c>
      <c r="DV202" s="1363">
        <f>SUM(DV203,DV205:DV219)</f>
        <v>11</v>
      </c>
      <c r="DW202" s="1363">
        <f t="shared" ref="DW202:EV202" si="375">SUM(DW203,DW205:DW219)</f>
        <v>0</v>
      </c>
      <c r="DX202" s="1363">
        <f t="shared" si="375"/>
        <v>0</v>
      </c>
      <c r="DY202" s="1363">
        <f t="shared" si="375"/>
        <v>0</v>
      </c>
      <c r="DZ202" s="1363">
        <f t="shared" si="375"/>
        <v>0</v>
      </c>
      <c r="EA202" s="1363">
        <f t="shared" si="375"/>
        <v>0</v>
      </c>
      <c r="EB202" s="1363">
        <f t="shared" si="375"/>
        <v>-10.5</v>
      </c>
      <c r="EC202" s="1363">
        <f t="shared" si="375"/>
        <v>0</v>
      </c>
      <c r="ED202" s="1363">
        <f t="shared" si="375"/>
        <v>-11</v>
      </c>
      <c r="EE202" s="1363">
        <f t="shared" si="375"/>
        <v>11</v>
      </c>
      <c r="EF202" s="1363">
        <f t="shared" si="375"/>
        <v>0</v>
      </c>
      <c r="EG202" s="1363">
        <f t="shared" si="375"/>
        <v>0</v>
      </c>
      <c r="EH202" s="1363">
        <f t="shared" si="375"/>
        <v>0</v>
      </c>
      <c r="EI202" s="1363">
        <f t="shared" si="375"/>
        <v>0</v>
      </c>
      <c r="EJ202" s="1363">
        <f t="shared" si="375"/>
        <v>0</v>
      </c>
      <c r="EK202" s="1363">
        <f t="shared" si="375"/>
        <v>0</v>
      </c>
      <c r="EL202" s="1363">
        <f t="shared" si="375"/>
        <v>0</v>
      </c>
      <c r="EM202" s="1363">
        <f t="shared" si="375"/>
        <v>0</v>
      </c>
      <c r="EN202" s="1363">
        <f t="shared" si="375"/>
        <v>0</v>
      </c>
      <c r="EO202" s="1363">
        <f t="shared" si="375"/>
        <v>0</v>
      </c>
      <c r="EP202" s="1363">
        <f t="shared" si="375"/>
        <v>0</v>
      </c>
      <c r="EQ202" s="1363">
        <f t="shared" si="375"/>
        <v>0</v>
      </c>
      <c r="ER202" s="1363">
        <f t="shared" si="375"/>
        <v>0</v>
      </c>
      <c r="ES202" s="1363">
        <f t="shared" si="375"/>
        <v>0</v>
      </c>
      <c r="ET202" s="1363">
        <f t="shared" si="375"/>
        <v>605</v>
      </c>
      <c r="EU202" s="1363">
        <f t="shared" si="375"/>
        <v>53</v>
      </c>
      <c r="EV202" s="1363">
        <f t="shared" si="375"/>
        <v>0</v>
      </c>
    </row>
    <row r="203" spans="1:152" ht="33.75" customHeight="1">
      <c r="A203" s="659">
        <v>68</v>
      </c>
      <c r="B203" s="660" t="s">
        <v>645</v>
      </c>
      <c r="C203" s="661">
        <f t="shared" si="363"/>
        <v>16</v>
      </c>
      <c r="D203" s="661">
        <f>E203+F203</f>
        <v>15</v>
      </c>
      <c r="E203" s="661"/>
      <c r="F203" s="661">
        <v>15</v>
      </c>
      <c r="G203" s="661"/>
      <c r="H203" s="661">
        <v>13</v>
      </c>
      <c r="I203" s="661">
        <v>1</v>
      </c>
      <c r="J203" s="661">
        <v>1</v>
      </c>
      <c r="K203" s="646">
        <f t="shared" si="272"/>
        <v>2048</v>
      </c>
      <c r="L203" s="662">
        <f>U203+AC203+AD203+AE203</f>
        <v>2565</v>
      </c>
      <c r="M203" s="666">
        <v>1290</v>
      </c>
      <c r="N203" s="666">
        <v>335</v>
      </c>
      <c r="O203" s="666">
        <v>57</v>
      </c>
      <c r="P203" s="666"/>
      <c r="Q203" s="666"/>
      <c r="R203" s="666"/>
      <c r="S203" s="666">
        <v>42</v>
      </c>
      <c r="T203" s="666">
        <f t="shared" ref="T203:T219" si="376">ROUND((Q203+R203+S203),0)</f>
        <v>42</v>
      </c>
      <c r="U203" s="666">
        <f t="shared" ref="U203:U219" si="377">(M203+N203+O203+P203)-T203</f>
        <v>1640</v>
      </c>
      <c r="V203" s="666">
        <v>334</v>
      </c>
      <c r="W203" s="666">
        <f>275-150</f>
        <v>125</v>
      </c>
      <c r="X203" s="666"/>
      <c r="Y203" s="666">
        <f>Z203-BM203</f>
        <v>18.399999999999999</v>
      </c>
      <c r="Z203" s="666">
        <f t="shared" ref="Z203:Z219" si="378">V203*10%</f>
        <v>33.4</v>
      </c>
      <c r="AA203" s="666">
        <v>33</v>
      </c>
      <c r="AB203" s="666">
        <f t="shared" ref="AB203:AB219" si="379">ROUND((Y203+AA203+X203),0)</f>
        <v>51</v>
      </c>
      <c r="AC203" s="666">
        <f t="shared" ref="AC203:AC219" si="380">(V203+W203)-AB203</f>
        <v>408</v>
      </c>
      <c r="AD203" s="666">
        <v>517</v>
      </c>
      <c r="AE203" s="666"/>
      <c r="AF203" s="666"/>
      <c r="AG203" s="666"/>
      <c r="AH203" s="666"/>
      <c r="AI203" s="666"/>
      <c r="AJ203" s="666"/>
      <c r="AK203" s="666"/>
      <c r="AL203" s="664"/>
      <c r="AN203" s="610"/>
      <c r="AO203" s="659">
        <v>74</v>
      </c>
      <c r="AP203" s="660" t="s">
        <v>645</v>
      </c>
      <c r="AQ203" s="661">
        <f t="shared" si="365"/>
        <v>17</v>
      </c>
      <c r="AR203" s="661">
        <f>AS203+AT203</f>
        <v>16</v>
      </c>
      <c r="AS203" s="661"/>
      <c r="AT203" s="661">
        <v>16</v>
      </c>
      <c r="AU203" s="661"/>
      <c r="AV203" s="661">
        <v>15</v>
      </c>
      <c r="AW203" s="661">
        <v>1</v>
      </c>
      <c r="AX203" s="661">
        <v>1</v>
      </c>
      <c r="AY203" s="666">
        <f>BG203+BN203+BO203+BP203</f>
        <v>2391</v>
      </c>
      <c r="AZ203" s="670">
        <f>1024+37+5+249+46+11</f>
        <v>1372</v>
      </c>
      <c r="BA203" s="666">
        <v>360</v>
      </c>
      <c r="BB203" s="666">
        <v>57</v>
      </c>
      <c r="BC203" s="666"/>
      <c r="BD203" s="666"/>
      <c r="BE203" s="666">
        <f t="shared" ref="BE203:BE219" si="381">(BA203+BB203)*10%</f>
        <v>41.7</v>
      </c>
      <c r="BF203" s="667">
        <f t="shared" ref="BF203:BF219" si="382">ROUND(BE203,0)</f>
        <v>42</v>
      </c>
      <c r="BG203" s="666">
        <f>(AZ203+BA203+BB203+BC203)-BF203</f>
        <v>1747</v>
      </c>
      <c r="BH203" s="666">
        <v>149</v>
      </c>
      <c r="BI203" s="666"/>
      <c r="BJ203" s="666"/>
      <c r="BK203" s="666"/>
      <c r="BL203" s="666">
        <f t="shared" ref="BL203:BL219" si="383">BH203*10%</f>
        <v>14.9</v>
      </c>
      <c r="BM203" s="667">
        <f>ROUND(BL203,0)</f>
        <v>15</v>
      </c>
      <c r="BN203" s="666">
        <f>(BH203+BI203+BJ203)-BM203</f>
        <v>134</v>
      </c>
      <c r="BO203" s="666">
        <v>510</v>
      </c>
      <c r="BP203" s="666"/>
      <c r="BQ203" s="666"/>
      <c r="BR203" s="666"/>
      <c r="BS203" s="666"/>
      <c r="BT203" s="666"/>
      <c r="BU203" s="666"/>
      <c r="BV203" s="666"/>
      <c r="BW203" s="662"/>
      <c r="CA203" s="1352">
        <v>70</v>
      </c>
      <c r="CB203" s="1352" t="s">
        <v>645</v>
      </c>
      <c r="CC203" s="1352">
        <v>16</v>
      </c>
      <c r="CD203" s="1352">
        <v>15</v>
      </c>
      <c r="CE203" s="1352"/>
      <c r="CF203" s="1352">
        <v>15</v>
      </c>
      <c r="CG203" s="1352"/>
      <c r="CH203" s="1352">
        <v>13</v>
      </c>
      <c r="CI203" s="1352">
        <v>1</v>
      </c>
      <c r="CJ203" s="1352">
        <v>1</v>
      </c>
      <c r="CK203" s="1353">
        <v>2565</v>
      </c>
      <c r="CL203" s="1353">
        <v>1290</v>
      </c>
      <c r="CM203" s="1354">
        <v>335</v>
      </c>
      <c r="CN203" s="1354">
        <v>57</v>
      </c>
      <c r="CO203" s="1354"/>
      <c r="CP203" s="1354"/>
      <c r="CQ203" s="1354"/>
      <c r="CR203" s="1354">
        <v>42</v>
      </c>
      <c r="CS203" s="1354">
        <v>42</v>
      </c>
      <c r="CT203" s="1353">
        <v>1640</v>
      </c>
      <c r="CU203" s="1353">
        <v>334</v>
      </c>
      <c r="CV203" s="1353">
        <v>125</v>
      </c>
      <c r="CW203" s="1353"/>
      <c r="CX203" s="1353">
        <v>18.399999999999999</v>
      </c>
      <c r="CY203" s="1353">
        <v>33.4</v>
      </c>
      <c r="CZ203" s="1353">
        <v>33</v>
      </c>
      <c r="DA203" s="1353">
        <v>51</v>
      </c>
      <c r="DB203" s="1353">
        <v>408</v>
      </c>
      <c r="DC203" s="1353">
        <v>517</v>
      </c>
      <c r="DD203" s="1353"/>
      <c r="DE203" s="1353"/>
      <c r="DF203" s="1353"/>
      <c r="DG203" s="1353"/>
      <c r="DH203" s="1353"/>
      <c r="DI203" s="1353"/>
      <c r="DJ203" s="1353"/>
      <c r="DK203" s="1353"/>
      <c r="DT203" s="659">
        <v>70</v>
      </c>
      <c r="DU203" s="660" t="s">
        <v>645</v>
      </c>
      <c r="DV203" s="777">
        <f t="shared" ref="DV203:EK218" si="384">L203-CK203</f>
        <v>0</v>
      </c>
      <c r="DW203" s="777">
        <f t="shared" si="384"/>
        <v>0</v>
      </c>
      <c r="DX203" s="777">
        <f t="shared" si="384"/>
        <v>0</v>
      </c>
      <c r="DY203" s="777">
        <f t="shared" si="384"/>
        <v>0</v>
      </c>
      <c r="DZ203" s="777">
        <f t="shared" si="384"/>
        <v>0</v>
      </c>
      <c r="EA203" s="777">
        <f t="shared" si="384"/>
        <v>0</v>
      </c>
      <c r="EB203" s="777">
        <f t="shared" si="384"/>
        <v>0</v>
      </c>
      <c r="EC203" s="777">
        <f t="shared" si="384"/>
        <v>0</v>
      </c>
      <c r="ED203" s="777">
        <f t="shared" si="384"/>
        <v>0</v>
      </c>
      <c r="EE203" s="777">
        <f t="shared" si="384"/>
        <v>0</v>
      </c>
      <c r="EF203" s="777">
        <f t="shared" si="384"/>
        <v>0</v>
      </c>
      <c r="EG203" s="777">
        <f t="shared" si="384"/>
        <v>0</v>
      </c>
      <c r="EH203" s="777">
        <f t="shared" si="384"/>
        <v>0</v>
      </c>
      <c r="EI203" s="777">
        <f t="shared" si="384"/>
        <v>0</v>
      </c>
      <c r="EJ203" s="777">
        <f t="shared" si="384"/>
        <v>0</v>
      </c>
      <c r="EK203" s="777">
        <f t="shared" si="384"/>
        <v>0</v>
      </c>
      <c r="EL203" s="777">
        <f t="shared" ref="EL203:EV219" si="385">AB203-DA203</f>
        <v>0</v>
      </c>
      <c r="EM203" s="777">
        <f t="shared" si="385"/>
        <v>0</v>
      </c>
      <c r="EN203" s="777">
        <f t="shared" si="385"/>
        <v>0</v>
      </c>
      <c r="EO203" s="777">
        <f t="shared" si="385"/>
        <v>0</v>
      </c>
      <c r="EP203" s="777">
        <f t="shared" si="385"/>
        <v>0</v>
      </c>
      <c r="EQ203" s="777">
        <f t="shared" si="385"/>
        <v>0</v>
      </c>
      <c r="ER203" s="777">
        <f t="shared" si="385"/>
        <v>0</v>
      </c>
      <c r="ES203" s="777">
        <f t="shared" si="385"/>
        <v>0</v>
      </c>
      <c r="ET203" s="777">
        <f t="shared" si="385"/>
        <v>0</v>
      </c>
      <c r="EU203" s="777">
        <f t="shared" si="385"/>
        <v>0</v>
      </c>
      <c r="EV203" s="777">
        <f t="shared" si="385"/>
        <v>0</v>
      </c>
    </row>
    <row r="204" spans="1:152" s="693" customFormat="1" ht="31.2" hidden="1">
      <c r="A204" s="659">
        <v>68</v>
      </c>
      <c r="B204" s="803" t="s">
        <v>646</v>
      </c>
      <c r="C204" s="684"/>
      <c r="D204" s="684"/>
      <c r="E204" s="684"/>
      <c r="F204" s="684"/>
      <c r="G204" s="684"/>
      <c r="H204" s="684"/>
      <c r="I204" s="684"/>
      <c r="J204" s="684"/>
      <c r="K204" s="646">
        <f t="shared" si="272"/>
        <v>0</v>
      </c>
      <c r="L204" s="662"/>
      <c r="M204" s="685"/>
      <c r="N204" s="685"/>
      <c r="O204" s="685"/>
      <c r="P204" s="685"/>
      <c r="Q204" s="685"/>
      <c r="R204" s="666"/>
      <c r="S204" s="685"/>
      <c r="T204" s="666">
        <f t="shared" si="376"/>
        <v>0</v>
      </c>
      <c r="U204" s="666">
        <f t="shared" si="377"/>
        <v>0</v>
      </c>
      <c r="V204" s="685"/>
      <c r="W204" s="685"/>
      <c r="X204" s="685"/>
      <c r="Y204" s="666">
        <f>Z204-BM204</f>
        <v>0</v>
      </c>
      <c r="Z204" s="666">
        <f t="shared" si="378"/>
        <v>0</v>
      </c>
      <c r="AA204" s="685"/>
      <c r="AB204" s="666">
        <f t="shared" si="379"/>
        <v>0</v>
      </c>
      <c r="AC204" s="666">
        <f t="shared" si="380"/>
        <v>0</v>
      </c>
      <c r="AD204" s="685"/>
      <c r="AE204" s="685"/>
      <c r="AF204" s="685"/>
      <c r="AG204" s="685"/>
      <c r="AH204" s="685"/>
      <c r="AI204" s="685"/>
      <c r="AJ204" s="685"/>
      <c r="AK204" s="685"/>
      <c r="AL204" s="688"/>
      <c r="AM204" s="689"/>
      <c r="AN204" s="610"/>
      <c r="AO204" s="682"/>
      <c r="AP204" s="803" t="s">
        <v>646</v>
      </c>
      <c r="AQ204" s="684"/>
      <c r="AR204" s="684"/>
      <c r="AS204" s="684"/>
      <c r="AT204" s="684"/>
      <c r="AU204" s="684"/>
      <c r="AV204" s="684"/>
      <c r="AW204" s="684"/>
      <c r="AX204" s="684"/>
      <c r="AY204" s="666"/>
      <c r="AZ204" s="691"/>
      <c r="BA204" s="685"/>
      <c r="BB204" s="685"/>
      <c r="BC204" s="685"/>
      <c r="BD204" s="685"/>
      <c r="BE204" s="666">
        <f t="shared" si="381"/>
        <v>0</v>
      </c>
      <c r="BF204" s="686"/>
      <c r="BG204" s="685"/>
      <c r="BH204" s="685"/>
      <c r="BI204" s="685"/>
      <c r="BJ204" s="685"/>
      <c r="BK204" s="685"/>
      <c r="BL204" s="666">
        <f t="shared" si="383"/>
        <v>0</v>
      </c>
      <c r="BM204" s="686"/>
      <c r="BN204" s="685">
        <f>(BH204+BI204+BJ204)-BL204</f>
        <v>0</v>
      </c>
      <c r="BO204" s="685" t="s">
        <v>235</v>
      </c>
      <c r="BP204" s="685"/>
      <c r="BQ204" s="685"/>
      <c r="BR204" s="685"/>
      <c r="BS204" s="685"/>
      <c r="BT204" s="685"/>
      <c r="BU204" s="685"/>
      <c r="BV204" s="685"/>
      <c r="BW204" s="692"/>
      <c r="BY204" s="1355"/>
      <c r="BZ204" s="1355"/>
      <c r="CA204" s="1356"/>
      <c r="CB204" s="1356" t="s">
        <v>646</v>
      </c>
      <c r="CC204" s="1356"/>
      <c r="CD204" s="1356"/>
      <c r="CE204" s="1356"/>
      <c r="CF204" s="1356"/>
      <c r="CG204" s="1356"/>
      <c r="CH204" s="1356"/>
      <c r="CI204" s="1356"/>
      <c r="CJ204" s="1356"/>
      <c r="CK204" s="1357"/>
      <c r="CL204" s="1357"/>
      <c r="CM204" s="1358"/>
      <c r="CN204" s="1358"/>
      <c r="CO204" s="1358"/>
      <c r="CP204" s="1358"/>
      <c r="CQ204" s="1358"/>
      <c r="CR204" s="1358"/>
      <c r="CS204" s="1358">
        <v>0</v>
      </c>
      <c r="CT204" s="1357">
        <v>0</v>
      </c>
      <c r="CU204" s="1357"/>
      <c r="CV204" s="1357"/>
      <c r="CW204" s="1357"/>
      <c r="CX204" s="1357">
        <v>0</v>
      </c>
      <c r="CY204" s="1357">
        <v>0</v>
      </c>
      <c r="CZ204" s="1357"/>
      <c r="DA204" s="1357">
        <v>0</v>
      </c>
      <c r="DB204" s="1357">
        <v>0</v>
      </c>
      <c r="DC204" s="1357"/>
      <c r="DD204" s="1357"/>
      <c r="DE204" s="1357"/>
      <c r="DF204" s="1357"/>
      <c r="DG204" s="1357"/>
      <c r="DH204" s="1357"/>
      <c r="DI204" s="1357"/>
      <c r="DJ204" s="1357"/>
      <c r="DK204" s="1357"/>
      <c r="DT204" s="682"/>
      <c r="DU204" s="803" t="s">
        <v>646</v>
      </c>
      <c r="DV204" s="777">
        <f t="shared" si="384"/>
        <v>0</v>
      </c>
      <c r="DW204" s="777">
        <f t="shared" si="384"/>
        <v>0</v>
      </c>
      <c r="DX204" s="777">
        <f t="shared" si="384"/>
        <v>0</v>
      </c>
      <c r="DY204" s="777">
        <f t="shared" si="384"/>
        <v>0</v>
      </c>
      <c r="DZ204" s="777">
        <f t="shared" si="384"/>
        <v>0</v>
      </c>
      <c r="EA204" s="777">
        <f t="shared" si="384"/>
        <v>0</v>
      </c>
      <c r="EB204" s="777">
        <f t="shared" si="384"/>
        <v>0</v>
      </c>
      <c r="EC204" s="777">
        <f t="shared" si="384"/>
        <v>0</v>
      </c>
      <c r="ED204" s="777">
        <f t="shared" si="384"/>
        <v>0</v>
      </c>
      <c r="EE204" s="777">
        <f t="shared" si="384"/>
        <v>0</v>
      </c>
      <c r="EF204" s="777">
        <f t="shared" si="384"/>
        <v>0</v>
      </c>
      <c r="EG204" s="777">
        <f t="shared" si="384"/>
        <v>0</v>
      </c>
      <c r="EH204" s="777">
        <f t="shared" si="384"/>
        <v>0</v>
      </c>
      <c r="EI204" s="777">
        <f t="shared" si="384"/>
        <v>0</v>
      </c>
      <c r="EJ204" s="777">
        <f t="shared" si="384"/>
        <v>0</v>
      </c>
      <c r="EK204" s="777">
        <f t="shared" si="384"/>
        <v>0</v>
      </c>
      <c r="EL204" s="777">
        <f t="shared" si="385"/>
        <v>0</v>
      </c>
      <c r="EM204" s="777">
        <f t="shared" si="385"/>
        <v>0</v>
      </c>
      <c r="EN204" s="777">
        <f t="shared" si="385"/>
        <v>0</v>
      </c>
      <c r="EO204" s="777">
        <f t="shared" si="385"/>
        <v>0</v>
      </c>
      <c r="EP204" s="777">
        <f t="shared" si="385"/>
        <v>0</v>
      </c>
      <c r="EQ204" s="777">
        <f t="shared" si="385"/>
        <v>0</v>
      </c>
      <c r="ER204" s="777">
        <f t="shared" si="385"/>
        <v>0</v>
      </c>
      <c r="ES204" s="777">
        <f t="shared" si="385"/>
        <v>0</v>
      </c>
      <c r="ET204" s="777">
        <f t="shared" si="385"/>
        <v>0</v>
      </c>
      <c r="EU204" s="777">
        <f t="shared" si="385"/>
        <v>0</v>
      </c>
      <c r="EV204" s="777">
        <f t="shared" si="385"/>
        <v>0</v>
      </c>
    </row>
    <row r="205" spans="1:152" ht="34.5" customHeight="1">
      <c r="A205" s="659">
        <v>69</v>
      </c>
      <c r="B205" s="660" t="s">
        <v>647</v>
      </c>
      <c r="C205" s="661">
        <f t="shared" ref="C205:C219" si="386">D205+I205</f>
        <v>2</v>
      </c>
      <c r="D205" s="661">
        <f t="shared" ref="D205:D219" si="387">E205+F205</f>
        <v>2</v>
      </c>
      <c r="E205" s="661"/>
      <c r="F205" s="661">
        <v>2</v>
      </c>
      <c r="G205" s="661"/>
      <c r="H205" s="661">
        <v>2</v>
      </c>
      <c r="I205" s="661"/>
      <c r="J205" s="661"/>
      <c r="K205" s="646">
        <f t="shared" si="272"/>
        <v>538</v>
      </c>
      <c r="L205" s="662">
        <f t="shared" ref="L205:L219" si="388">U205+AC205+AD205+AE205</f>
        <v>538</v>
      </c>
      <c r="M205" s="666">
        <v>213</v>
      </c>
      <c r="N205" s="666">
        <v>30</v>
      </c>
      <c r="O205" s="666">
        <v>22</v>
      </c>
      <c r="P205" s="666"/>
      <c r="Q205" s="666"/>
      <c r="R205" s="666">
        <f>((N205+O205)-(BA205+BB205))*10%</f>
        <v>0</v>
      </c>
      <c r="S205" s="666">
        <v>10</v>
      </c>
      <c r="T205" s="666">
        <f t="shared" si="376"/>
        <v>10</v>
      </c>
      <c r="U205" s="666">
        <f t="shared" si="377"/>
        <v>255</v>
      </c>
      <c r="V205" s="666">
        <v>309</v>
      </c>
      <c r="W205" s="666"/>
      <c r="X205" s="666"/>
      <c r="Y205" s="666">
        <f>Z205-BM205</f>
        <v>10.5</v>
      </c>
      <c r="Z205" s="666">
        <f>(V205-24)*10%</f>
        <v>28.5</v>
      </c>
      <c r="AA205" s="666">
        <v>15</v>
      </c>
      <c r="AB205" s="666">
        <f t="shared" si="379"/>
        <v>26</v>
      </c>
      <c r="AC205" s="666">
        <f t="shared" si="380"/>
        <v>283</v>
      </c>
      <c r="AD205" s="666"/>
      <c r="AE205" s="666"/>
      <c r="AF205" s="666"/>
      <c r="AG205" s="666"/>
      <c r="AH205" s="666"/>
      <c r="AI205" s="666"/>
      <c r="AJ205" s="666">
        <v>90</v>
      </c>
      <c r="AK205" s="666"/>
      <c r="AL205" s="664"/>
      <c r="AN205" s="610"/>
      <c r="AO205" s="659">
        <v>75</v>
      </c>
      <c r="AP205" s="660" t="s">
        <v>647</v>
      </c>
      <c r="AQ205" s="661">
        <f t="shared" ref="AQ205:AQ219" si="389">AR205+AW205</f>
        <v>4</v>
      </c>
      <c r="AR205" s="661">
        <f t="shared" ref="AR205:AR219" si="390">AS205+AT205</f>
        <v>4</v>
      </c>
      <c r="AS205" s="661"/>
      <c r="AT205" s="661">
        <v>4</v>
      </c>
      <c r="AU205" s="661"/>
      <c r="AV205" s="661">
        <v>2</v>
      </c>
      <c r="AW205" s="661"/>
      <c r="AX205" s="661"/>
      <c r="AY205" s="666">
        <f t="shared" ref="AY205:AY219" si="391">BG205+BN205+BO205+BP205</f>
        <v>428</v>
      </c>
      <c r="AZ205" s="670">
        <f>109+26+2+63</f>
        <v>200</v>
      </c>
      <c r="BA205" s="666">
        <v>30</v>
      </c>
      <c r="BB205" s="666">
        <v>22</v>
      </c>
      <c r="BC205" s="666"/>
      <c r="BD205" s="666"/>
      <c r="BE205" s="666">
        <f t="shared" si="381"/>
        <v>5.2</v>
      </c>
      <c r="BF205" s="667">
        <f t="shared" si="382"/>
        <v>5</v>
      </c>
      <c r="BG205" s="666">
        <f t="shared" ref="BG205:BG219" si="392">(AZ205+BA205+BB205+BC205)-BF205</f>
        <v>247</v>
      </c>
      <c r="BH205" s="666">
        <f>175+15+9</f>
        <v>199</v>
      </c>
      <c r="BI205" s="666"/>
      <c r="BJ205" s="666"/>
      <c r="BK205" s="666"/>
      <c r="BL205" s="666">
        <f>(BH205-24)*10%</f>
        <v>17.5</v>
      </c>
      <c r="BM205" s="667">
        <f t="shared" ref="BM205:BM219" si="393">ROUND(BL205,0)</f>
        <v>18</v>
      </c>
      <c r="BN205" s="666">
        <f t="shared" ref="BN205:BN219" si="394">(BH205+BI205+BJ205)-BM205</f>
        <v>181</v>
      </c>
      <c r="BO205" s="666"/>
      <c r="BP205" s="666"/>
      <c r="BQ205" s="666"/>
      <c r="BR205" s="666"/>
      <c r="BS205" s="666"/>
      <c r="BT205" s="666"/>
      <c r="BU205" s="666">
        <v>90</v>
      </c>
      <c r="BV205" s="666"/>
      <c r="BW205" s="662"/>
      <c r="CA205" s="1352">
        <v>71</v>
      </c>
      <c r="CB205" s="1352" t="s">
        <v>647</v>
      </c>
      <c r="CC205" s="1352">
        <v>2</v>
      </c>
      <c r="CD205" s="1352">
        <v>2</v>
      </c>
      <c r="CE205" s="1352"/>
      <c r="CF205" s="1352">
        <v>2</v>
      </c>
      <c r="CG205" s="1352"/>
      <c r="CH205" s="1352">
        <v>2</v>
      </c>
      <c r="CI205" s="1352"/>
      <c r="CJ205" s="1352"/>
      <c r="CK205" s="1353">
        <v>538</v>
      </c>
      <c r="CL205" s="1353">
        <v>213</v>
      </c>
      <c r="CM205" s="1354">
        <v>30</v>
      </c>
      <c r="CN205" s="1354">
        <v>22</v>
      </c>
      <c r="CO205" s="1354"/>
      <c r="CP205" s="1354"/>
      <c r="CQ205" s="1354">
        <v>0</v>
      </c>
      <c r="CR205" s="1354">
        <v>10</v>
      </c>
      <c r="CS205" s="1354">
        <v>10</v>
      </c>
      <c r="CT205" s="1353">
        <v>255</v>
      </c>
      <c r="CU205" s="1353">
        <v>309</v>
      </c>
      <c r="CV205" s="1353"/>
      <c r="CW205" s="1353"/>
      <c r="CX205" s="1353">
        <v>10.5</v>
      </c>
      <c r="CY205" s="1353">
        <v>28.5</v>
      </c>
      <c r="CZ205" s="1353">
        <v>15</v>
      </c>
      <c r="DA205" s="1353">
        <v>26</v>
      </c>
      <c r="DB205" s="1353">
        <v>283</v>
      </c>
      <c r="DC205" s="1353"/>
      <c r="DD205" s="1353"/>
      <c r="DE205" s="1353"/>
      <c r="DF205" s="1353"/>
      <c r="DG205" s="1353"/>
      <c r="DH205" s="1353"/>
      <c r="DI205" s="1353"/>
      <c r="DJ205" s="1353"/>
      <c r="DK205" s="1353"/>
      <c r="DT205" s="659">
        <v>71</v>
      </c>
      <c r="DU205" s="660" t="s">
        <v>647</v>
      </c>
      <c r="DV205" s="777">
        <f t="shared" si="384"/>
        <v>0</v>
      </c>
      <c r="DW205" s="777">
        <f t="shared" si="384"/>
        <v>0</v>
      </c>
      <c r="DX205" s="777">
        <f t="shared" si="384"/>
        <v>0</v>
      </c>
      <c r="DY205" s="777">
        <f t="shared" si="384"/>
        <v>0</v>
      </c>
      <c r="DZ205" s="777">
        <f t="shared" si="384"/>
        <v>0</v>
      </c>
      <c r="EA205" s="777">
        <f t="shared" si="384"/>
        <v>0</v>
      </c>
      <c r="EB205" s="777">
        <f t="shared" si="384"/>
        <v>0</v>
      </c>
      <c r="EC205" s="777">
        <f t="shared" si="384"/>
        <v>0</v>
      </c>
      <c r="ED205" s="777">
        <f t="shared" si="384"/>
        <v>0</v>
      </c>
      <c r="EE205" s="777">
        <f t="shared" si="384"/>
        <v>0</v>
      </c>
      <c r="EF205" s="777">
        <f t="shared" si="384"/>
        <v>0</v>
      </c>
      <c r="EG205" s="777">
        <f t="shared" si="384"/>
        <v>0</v>
      </c>
      <c r="EH205" s="777">
        <f t="shared" si="384"/>
        <v>0</v>
      </c>
      <c r="EI205" s="777">
        <f t="shared" si="384"/>
        <v>0</v>
      </c>
      <c r="EJ205" s="777">
        <f t="shared" si="384"/>
        <v>0</v>
      </c>
      <c r="EK205" s="777">
        <f t="shared" si="384"/>
        <v>0</v>
      </c>
      <c r="EL205" s="777">
        <f t="shared" si="385"/>
        <v>0</v>
      </c>
      <c r="EM205" s="777">
        <f t="shared" si="385"/>
        <v>0</v>
      </c>
      <c r="EN205" s="777">
        <f t="shared" si="385"/>
        <v>0</v>
      </c>
      <c r="EO205" s="777">
        <f t="shared" si="385"/>
        <v>0</v>
      </c>
      <c r="EP205" s="777">
        <f t="shared" si="385"/>
        <v>0</v>
      </c>
      <c r="EQ205" s="777">
        <f t="shared" si="385"/>
        <v>0</v>
      </c>
      <c r="ER205" s="777">
        <f t="shared" si="385"/>
        <v>0</v>
      </c>
      <c r="ES205" s="777">
        <f t="shared" si="385"/>
        <v>0</v>
      </c>
      <c r="ET205" s="777">
        <f t="shared" si="385"/>
        <v>90</v>
      </c>
      <c r="EU205" s="777">
        <f t="shared" si="385"/>
        <v>0</v>
      </c>
      <c r="EV205" s="777">
        <f t="shared" si="385"/>
        <v>0</v>
      </c>
    </row>
    <row r="206" spans="1:152" ht="38.25" hidden="1" customHeight="1">
      <c r="A206" s="659">
        <v>70</v>
      </c>
      <c r="B206" s="660" t="s">
        <v>648</v>
      </c>
      <c r="C206" s="661">
        <f t="shared" si="386"/>
        <v>0</v>
      </c>
      <c r="D206" s="661">
        <f t="shared" si="387"/>
        <v>0</v>
      </c>
      <c r="E206" s="661"/>
      <c r="F206" s="661"/>
      <c r="G206" s="661"/>
      <c r="H206" s="661"/>
      <c r="I206" s="661"/>
      <c r="J206" s="661"/>
      <c r="K206" s="646">
        <f t="shared" si="272"/>
        <v>0</v>
      </c>
      <c r="L206" s="662">
        <f t="shared" si="388"/>
        <v>0</v>
      </c>
      <c r="M206" s="666"/>
      <c r="N206" s="666"/>
      <c r="O206" s="666"/>
      <c r="P206" s="666"/>
      <c r="Q206" s="666"/>
      <c r="R206" s="666"/>
      <c r="S206" s="666"/>
      <c r="T206" s="666">
        <f t="shared" si="376"/>
        <v>0</v>
      </c>
      <c r="U206" s="666">
        <f t="shared" si="377"/>
        <v>0</v>
      </c>
      <c r="V206" s="666"/>
      <c r="W206" s="666"/>
      <c r="X206" s="666"/>
      <c r="Y206" s="666"/>
      <c r="Z206" s="666">
        <f t="shared" si="378"/>
        <v>0</v>
      </c>
      <c r="AA206" s="666"/>
      <c r="AB206" s="666">
        <f t="shared" si="379"/>
        <v>0</v>
      </c>
      <c r="AC206" s="666">
        <f t="shared" si="380"/>
        <v>0</v>
      </c>
      <c r="AD206" s="666"/>
      <c r="AE206" s="666"/>
      <c r="AF206" s="666"/>
      <c r="AG206" s="666"/>
      <c r="AH206" s="666"/>
      <c r="AI206" s="666"/>
      <c r="AJ206" s="666"/>
      <c r="AK206" s="666"/>
      <c r="AL206" s="664"/>
      <c r="AN206" s="610"/>
      <c r="AO206" s="659">
        <v>76</v>
      </c>
      <c r="AP206" s="660" t="s">
        <v>648</v>
      </c>
      <c r="AQ206" s="661">
        <f t="shared" si="389"/>
        <v>3</v>
      </c>
      <c r="AR206" s="661">
        <f>AS206+AT206</f>
        <v>3</v>
      </c>
      <c r="AS206" s="661"/>
      <c r="AT206" s="661">
        <v>3</v>
      </c>
      <c r="AU206" s="661"/>
      <c r="AV206" s="661">
        <v>2</v>
      </c>
      <c r="AW206" s="661"/>
      <c r="AX206" s="661"/>
      <c r="AY206" s="666">
        <f t="shared" si="391"/>
        <v>289</v>
      </c>
      <c r="AZ206" s="670">
        <f>285-52</f>
        <v>233</v>
      </c>
      <c r="BA206" s="666">
        <v>52</v>
      </c>
      <c r="BB206" s="666"/>
      <c r="BC206" s="666"/>
      <c r="BD206" s="666"/>
      <c r="BE206" s="666">
        <f t="shared" si="381"/>
        <v>5.2</v>
      </c>
      <c r="BF206" s="667">
        <f t="shared" si="382"/>
        <v>5</v>
      </c>
      <c r="BG206" s="666">
        <f t="shared" si="392"/>
        <v>280</v>
      </c>
      <c r="BH206" s="666">
        <v>10</v>
      </c>
      <c r="BI206" s="666"/>
      <c r="BJ206" s="666"/>
      <c r="BK206" s="666"/>
      <c r="BL206" s="666">
        <f t="shared" si="383"/>
        <v>1</v>
      </c>
      <c r="BM206" s="667">
        <f t="shared" si="393"/>
        <v>1</v>
      </c>
      <c r="BN206" s="666">
        <f t="shared" si="394"/>
        <v>9</v>
      </c>
      <c r="BO206" s="666"/>
      <c r="BP206" s="666"/>
      <c r="BQ206" s="666"/>
      <c r="BR206" s="666"/>
      <c r="BS206" s="666"/>
      <c r="BT206" s="666"/>
      <c r="BU206" s="666"/>
      <c r="BV206" s="666"/>
      <c r="BW206" s="662"/>
      <c r="CA206" s="1352">
        <v>76</v>
      </c>
      <c r="CB206" s="1352" t="s">
        <v>648</v>
      </c>
      <c r="CC206" s="1352">
        <v>0</v>
      </c>
      <c r="CD206" s="1352">
        <v>0</v>
      </c>
      <c r="CE206" s="1352"/>
      <c r="CF206" s="1352"/>
      <c r="CG206" s="1352"/>
      <c r="CH206" s="1352"/>
      <c r="CI206" s="1352"/>
      <c r="CJ206" s="1352"/>
      <c r="CK206" s="1353">
        <v>0</v>
      </c>
      <c r="CL206" s="1353"/>
      <c r="CM206" s="1354"/>
      <c r="CN206" s="1354"/>
      <c r="CO206" s="1354"/>
      <c r="CP206" s="1354"/>
      <c r="CQ206" s="1354"/>
      <c r="CR206" s="1354"/>
      <c r="CS206" s="1354">
        <v>0</v>
      </c>
      <c r="CT206" s="1353">
        <v>0</v>
      </c>
      <c r="CU206" s="1353"/>
      <c r="CV206" s="1353"/>
      <c r="CW206" s="1353"/>
      <c r="CX206" s="1353"/>
      <c r="CY206" s="1353">
        <v>0</v>
      </c>
      <c r="CZ206" s="1353"/>
      <c r="DA206" s="1353">
        <v>0</v>
      </c>
      <c r="DB206" s="1353">
        <v>0</v>
      </c>
      <c r="DC206" s="1353"/>
      <c r="DD206" s="1353"/>
      <c r="DE206" s="1353"/>
      <c r="DF206" s="1353"/>
      <c r="DG206" s="1353"/>
      <c r="DH206" s="1353"/>
      <c r="DI206" s="1353"/>
      <c r="DJ206" s="1353"/>
      <c r="DK206" s="1353"/>
      <c r="DT206" s="659">
        <v>76</v>
      </c>
      <c r="DU206" s="660" t="s">
        <v>648</v>
      </c>
      <c r="DV206" s="777">
        <f t="shared" si="384"/>
        <v>0</v>
      </c>
      <c r="DW206" s="777">
        <f t="shared" si="384"/>
        <v>0</v>
      </c>
      <c r="DX206" s="777">
        <f t="shared" si="384"/>
        <v>0</v>
      </c>
      <c r="DY206" s="777">
        <f t="shared" si="384"/>
        <v>0</v>
      </c>
      <c r="DZ206" s="777">
        <f t="shared" si="384"/>
        <v>0</v>
      </c>
      <c r="EA206" s="777">
        <f t="shared" si="384"/>
        <v>0</v>
      </c>
      <c r="EB206" s="777">
        <f t="shared" si="384"/>
        <v>0</v>
      </c>
      <c r="EC206" s="777">
        <f t="shared" si="384"/>
        <v>0</v>
      </c>
      <c r="ED206" s="777">
        <f t="shared" si="384"/>
        <v>0</v>
      </c>
      <c r="EE206" s="777">
        <f t="shared" si="384"/>
        <v>0</v>
      </c>
      <c r="EF206" s="777">
        <f t="shared" si="384"/>
        <v>0</v>
      </c>
      <c r="EG206" s="777">
        <f t="shared" si="384"/>
        <v>0</v>
      </c>
      <c r="EH206" s="777">
        <f t="shared" si="384"/>
        <v>0</v>
      </c>
      <c r="EI206" s="777">
        <f t="shared" si="384"/>
        <v>0</v>
      </c>
      <c r="EJ206" s="777">
        <f t="shared" si="384"/>
        <v>0</v>
      </c>
      <c r="EK206" s="777">
        <f t="shared" si="384"/>
        <v>0</v>
      </c>
      <c r="EL206" s="777">
        <f t="shared" si="385"/>
        <v>0</v>
      </c>
      <c r="EM206" s="777">
        <f t="shared" si="385"/>
        <v>0</v>
      </c>
      <c r="EN206" s="777">
        <f t="shared" si="385"/>
        <v>0</v>
      </c>
      <c r="EO206" s="777">
        <f t="shared" si="385"/>
        <v>0</v>
      </c>
      <c r="EP206" s="777">
        <f t="shared" si="385"/>
        <v>0</v>
      </c>
      <c r="EQ206" s="777">
        <f t="shared" si="385"/>
        <v>0</v>
      </c>
      <c r="ER206" s="777">
        <f t="shared" si="385"/>
        <v>0</v>
      </c>
      <c r="ES206" s="777">
        <f t="shared" si="385"/>
        <v>0</v>
      </c>
      <c r="ET206" s="777">
        <f t="shared" si="385"/>
        <v>0</v>
      </c>
      <c r="EU206" s="777">
        <f t="shared" si="385"/>
        <v>0</v>
      </c>
      <c r="EV206" s="777">
        <f t="shared" si="385"/>
        <v>0</v>
      </c>
    </row>
    <row r="207" spans="1:152" ht="37.5" hidden="1" customHeight="1">
      <c r="A207" s="659">
        <v>71</v>
      </c>
      <c r="B207" s="660" t="s">
        <v>649</v>
      </c>
      <c r="C207" s="661">
        <f t="shared" si="386"/>
        <v>0</v>
      </c>
      <c r="D207" s="661">
        <f t="shared" si="387"/>
        <v>0</v>
      </c>
      <c r="E207" s="661"/>
      <c r="F207" s="661"/>
      <c r="G207" s="661"/>
      <c r="H207" s="661"/>
      <c r="I207" s="661"/>
      <c r="J207" s="661"/>
      <c r="K207" s="646">
        <f t="shared" ref="K207:K246" si="395">L207-AD207</f>
        <v>0</v>
      </c>
      <c r="L207" s="662">
        <f t="shared" si="388"/>
        <v>0</v>
      </c>
      <c r="M207" s="666"/>
      <c r="N207" s="666"/>
      <c r="O207" s="666"/>
      <c r="P207" s="666"/>
      <c r="Q207" s="666"/>
      <c r="R207" s="666"/>
      <c r="S207" s="666"/>
      <c r="T207" s="666">
        <f t="shared" si="376"/>
        <v>0</v>
      </c>
      <c r="U207" s="666">
        <f t="shared" si="377"/>
        <v>0</v>
      </c>
      <c r="V207" s="666"/>
      <c r="W207" s="666"/>
      <c r="X207" s="666"/>
      <c r="Y207" s="666"/>
      <c r="Z207" s="666">
        <f t="shared" si="378"/>
        <v>0</v>
      </c>
      <c r="AA207" s="666"/>
      <c r="AB207" s="666">
        <f t="shared" si="379"/>
        <v>0</v>
      </c>
      <c r="AC207" s="666">
        <f t="shared" si="380"/>
        <v>0</v>
      </c>
      <c r="AD207" s="666"/>
      <c r="AE207" s="666"/>
      <c r="AF207" s="666"/>
      <c r="AG207" s="666"/>
      <c r="AH207" s="666"/>
      <c r="AI207" s="666"/>
      <c r="AJ207" s="666"/>
      <c r="AK207" s="666"/>
      <c r="AL207" s="664"/>
      <c r="AN207" s="610"/>
      <c r="AO207" s="659">
        <v>77</v>
      </c>
      <c r="AP207" s="660" t="s">
        <v>649</v>
      </c>
      <c r="AQ207" s="661">
        <f t="shared" si="389"/>
        <v>3</v>
      </c>
      <c r="AR207" s="661">
        <f>AS207+AT207</f>
        <v>3</v>
      </c>
      <c r="AS207" s="661"/>
      <c r="AT207" s="661">
        <v>3</v>
      </c>
      <c r="AU207" s="661"/>
      <c r="AV207" s="661">
        <v>3</v>
      </c>
      <c r="AW207" s="661"/>
      <c r="AX207" s="661"/>
      <c r="AY207" s="666">
        <f t="shared" si="391"/>
        <v>380</v>
      </c>
      <c r="AZ207" s="670">
        <f>357-78</f>
        <v>279</v>
      </c>
      <c r="BA207" s="666">
        <v>78</v>
      </c>
      <c r="BB207" s="666"/>
      <c r="BC207" s="666"/>
      <c r="BD207" s="666"/>
      <c r="BE207" s="666">
        <f t="shared" si="381"/>
        <v>7.8000000000000007</v>
      </c>
      <c r="BF207" s="667">
        <f t="shared" si="382"/>
        <v>8</v>
      </c>
      <c r="BG207" s="666">
        <f t="shared" si="392"/>
        <v>349</v>
      </c>
      <c r="BH207" s="666">
        <v>35</v>
      </c>
      <c r="BI207" s="666"/>
      <c r="BJ207" s="666"/>
      <c r="BK207" s="666"/>
      <c r="BL207" s="666">
        <f t="shared" si="383"/>
        <v>3.5</v>
      </c>
      <c r="BM207" s="667">
        <f t="shared" si="393"/>
        <v>4</v>
      </c>
      <c r="BN207" s="666">
        <f t="shared" si="394"/>
        <v>31</v>
      </c>
      <c r="BO207" s="666"/>
      <c r="BP207" s="666"/>
      <c r="BQ207" s="666"/>
      <c r="BR207" s="666"/>
      <c r="BS207" s="666"/>
      <c r="BT207" s="666"/>
      <c r="BU207" s="666"/>
      <c r="BV207" s="666"/>
      <c r="BW207" s="662"/>
      <c r="CA207" s="1352">
        <v>77</v>
      </c>
      <c r="CB207" s="1352" t="s">
        <v>649</v>
      </c>
      <c r="CC207" s="1352">
        <v>0</v>
      </c>
      <c r="CD207" s="1352">
        <v>0</v>
      </c>
      <c r="CE207" s="1352"/>
      <c r="CF207" s="1352"/>
      <c r="CG207" s="1352"/>
      <c r="CH207" s="1352"/>
      <c r="CI207" s="1352"/>
      <c r="CJ207" s="1352"/>
      <c r="CK207" s="1353">
        <v>0</v>
      </c>
      <c r="CL207" s="1353"/>
      <c r="CM207" s="1354"/>
      <c r="CN207" s="1354"/>
      <c r="CO207" s="1354"/>
      <c r="CP207" s="1354"/>
      <c r="CQ207" s="1354"/>
      <c r="CR207" s="1354"/>
      <c r="CS207" s="1354">
        <v>0</v>
      </c>
      <c r="CT207" s="1353">
        <v>0</v>
      </c>
      <c r="CU207" s="1353"/>
      <c r="CV207" s="1353"/>
      <c r="CW207" s="1353"/>
      <c r="CX207" s="1353"/>
      <c r="CY207" s="1353">
        <v>0</v>
      </c>
      <c r="CZ207" s="1353"/>
      <c r="DA207" s="1353">
        <v>0</v>
      </c>
      <c r="DB207" s="1353">
        <v>0</v>
      </c>
      <c r="DC207" s="1353"/>
      <c r="DD207" s="1353"/>
      <c r="DE207" s="1353"/>
      <c r="DF207" s="1353"/>
      <c r="DG207" s="1353"/>
      <c r="DH207" s="1353"/>
      <c r="DI207" s="1353"/>
      <c r="DJ207" s="1353"/>
      <c r="DK207" s="1353"/>
      <c r="DT207" s="659">
        <v>77</v>
      </c>
      <c r="DU207" s="660" t="s">
        <v>649</v>
      </c>
      <c r="DV207" s="777">
        <f t="shared" si="384"/>
        <v>0</v>
      </c>
      <c r="DW207" s="777">
        <f t="shared" si="384"/>
        <v>0</v>
      </c>
      <c r="DX207" s="777">
        <f t="shared" si="384"/>
        <v>0</v>
      </c>
      <c r="DY207" s="777">
        <f t="shared" si="384"/>
        <v>0</v>
      </c>
      <c r="DZ207" s="777">
        <f t="shared" si="384"/>
        <v>0</v>
      </c>
      <c r="EA207" s="777">
        <f t="shared" si="384"/>
        <v>0</v>
      </c>
      <c r="EB207" s="777">
        <f t="shared" si="384"/>
        <v>0</v>
      </c>
      <c r="EC207" s="777">
        <f t="shared" si="384"/>
        <v>0</v>
      </c>
      <c r="ED207" s="777">
        <f t="shared" si="384"/>
        <v>0</v>
      </c>
      <c r="EE207" s="777">
        <f t="shared" si="384"/>
        <v>0</v>
      </c>
      <c r="EF207" s="777">
        <f t="shared" si="384"/>
        <v>0</v>
      </c>
      <c r="EG207" s="777">
        <f t="shared" si="384"/>
        <v>0</v>
      </c>
      <c r="EH207" s="777">
        <f t="shared" si="384"/>
        <v>0</v>
      </c>
      <c r="EI207" s="777">
        <f t="shared" si="384"/>
        <v>0</v>
      </c>
      <c r="EJ207" s="777">
        <f t="shared" si="384"/>
        <v>0</v>
      </c>
      <c r="EK207" s="777">
        <f t="shared" si="384"/>
        <v>0</v>
      </c>
      <c r="EL207" s="777">
        <f t="shared" si="385"/>
        <v>0</v>
      </c>
      <c r="EM207" s="777">
        <f t="shared" si="385"/>
        <v>0</v>
      </c>
      <c r="EN207" s="777">
        <f t="shared" si="385"/>
        <v>0</v>
      </c>
      <c r="EO207" s="777">
        <f t="shared" si="385"/>
        <v>0</v>
      </c>
      <c r="EP207" s="777">
        <f t="shared" si="385"/>
        <v>0</v>
      </c>
      <c r="EQ207" s="777">
        <f t="shared" si="385"/>
        <v>0</v>
      </c>
      <c r="ER207" s="777">
        <f t="shared" si="385"/>
        <v>0</v>
      </c>
      <c r="ES207" s="777">
        <f t="shared" si="385"/>
        <v>0</v>
      </c>
      <c r="ET207" s="777">
        <f t="shared" si="385"/>
        <v>0</v>
      </c>
      <c r="EU207" s="777">
        <f t="shared" si="385"/>
        <v>0</v>
      </c>
      <c r="EV207" s="777">
        <f t="shared" si="385"/>
        <v>0</v>
      </c>
    </row>
    <row r="208" spans="1:152" s="698" customFormat="1" ht="46.8">
      <c r="A208" s="659">
        <v>70</v>
      </c>
      <c r="B208" s="660" t="s">
        <v>891</v>
      </c>
      <c r="C208" s="661">
        <f t="shared" si="386"/>
        <v>7</v>
      </c>
      <c r="D208" s="661">
        <f t="shared" si="387"/>
        <v>7</v>
      </c>
      <c r="E208" s="661"/>
      <c r="F208" s="661">
        <v>7</v>
      </c>
      <c r="G208" s="661"/>
      <c r="H208" s="661"/>
      <c r="I208" s="661"/>
      <c r="J208" s="661"/>
      <c r="K208" s="646">
        <f t="shared" si="395"/>
        <v>1125</v>
      </c>
      <c r="L208" s="662">
        <f t="shared" si="388"/>
        <v>1125</v>
      </c>
      <c r="M208" s="666">
        <v>558</v>
      </c>
      <c r="N208" s="666">
        <v>178</v>
      </c>
      <c r="O208" s="666">
        <v>5</v>
      </c>
      <c r="P208" s="666"/>
      <c r="Q208" s="666"/>
      <c r="R208" s="666"/>
      <c r="S208" s="666">
        <f>8+8+8</f>
        <v>24</v>
      </c>
      <c r="T208" s="666">
        <f t="shared" si="376"/>
        <v>24</v>
      </c>
      <c r="U208" s="666">
        <f t="shared" si="377"/>
        <v>717</v>
      </c>
      <c r="V208" s="666">
        <v>477</v>
      </c>
      <c r="W208" s="666"/>
      <c r="X208" s="666"/>
      <c r="Y208" s="666">
        <f>Z208-BM208</f>
        <v>27.700000000000003</v>
      </c>
      <c r="Z208" s="666">
        <f t="shared" si="378"/>
        <v>47.7</v>
      </c>
      <c r="AA208" s="666">
        <f>6+10+25</f>
        <v>41</v>
      </c>
      <c r="AB208" s="666">
        <f t="shared" si="379"/>
        <v>69</v>
      </c>
      <c r="AC208" s="666">
        <f t="shared" si="380"/>
        <v>408</v>
      </c>
      <c r="AD208" s="666"/>
      <c r="AE208" s="666"/>
      <c r="AF208" s="666"/>
      <c r="AG208" s="666"/>
      <c r="AH208" s="666"/>
      <c r="AI208" s="666"/>
      <c r="AJ208" s="666"/>
      <c r="AK208" s="666"/>
      <c r="AL208" s="697"/>
      <c r="AM208" s="624"/>
      <c r="AN208" s="610"/>
      <c r="AO208" s="694">
        <v>78</v>
      </c>
      <c r="AP208" s="695" t="s">
        <v>650</v>
      </c>
      <c r="AQ208" s="696">
        <f t="shared" si="389"/>
        <v>3</v>
      </c>
      <c r="AR208" s="696">
        <f>AS208+AT208</f>
        <v>3</v>
      </c>
      <c r="AS208" s="696"/>
      <c r="AT208" s="696">
        <v>3</v>
      </c>
      <c r="AU208" s="696"/>
      <c r="AV208" s="696">
        <v>3</v>
      </c>
      <c r="AW208" s="696"/>
      <c r="AX208" s="696"/>
      <c r="AY208" s="668">
        <f t="shared" si="391"/>
        <v>639</v>
      </c>
      <c r="AZ208" s="668">
        <v>389</v>
      </c>
      <c r="BA208" s="668">
        <v>78</v>
      </c>
      <c r="BB208" s="668"/>
      <c r="BC208" s="668"/>
      <c r="BD208" s="668"/>
      <c r="BE208" s="666">
        <f t="shared" si="381"/>
        <v>7.8000000000000007</v>
      </c>
      <c r="BF208" s="668">
        <f t="shared" si="382"/>
        <v>8</v>
      </c>
      <c r="BG208" s="668">
        <f t="shared" si="392"/>
        <v>459</v>
      </c>
      <c r="BH208" s="668">
        <v>200</v>
      </c>
      <c r="BI208" s="668"/>
      <c r="BJ208" s="668"/>
      <c r="BK208" s="668"/>
      <c r="BL208" s="666">
        <f t="shared" si="383"/>
        <v>20</v>
      </c>
      <c r="BM208" s="668">
        <f t="shared" si="393"/>
        <v>20</v>
      </c>
      <c r="BN208" s="668">
        <f t="shared" si="394"/>
        <v>180</v>
      </c>
      <c r="BO208" s="668"/>
      <c r="BP208" s="668"/>
      <c r="BQ208" s="668"/>
      <c r="BR208" s="668"/>
      <c r="BS208" s="668"/>
      <c r="BT208" s="668"/>
      <c r="BU208" s="668"/>
      <c r="BV208" s="668"/>
      <c r="BW208" s="697"/>
      <c r="BY208" s="891"/>
      <c r="BZ208" s="891"/>
      <c r="CA208" s="1352">
        <v>72</v>
      </c>
      <c r="CB208" s="1352" t="s">
        <v>650</v>
      </c>
      <c r="CC208" s="1352">
        <v>7</v>
      </c>
      <c r="CD208" s="1352">
        <v>7</v>
      </c>
      <c r="CE208" s="1352"/>
      <c r="CF208" s="1352">
        <v>7</v>
      </c>
      <c r="CG208" s="1352"/>
      <c r="CH208" s="1352"/>
      <c r="CI208" s="1352"/>
      <c r="CJ208" s="1352"/>
      <c r="CK208" s="1353">
        <v>1114</v>
      </c>
      <c r="CL208" s="1353">
        <v>558</v>
      </c>
      <c r="CM208" s="1354">
        <v>178</v>
      </c>
      <c r="CN208" s="1354">
        <v>5</v>
      </c>
      <c r="CO208" s="1354"/>
      <c r="CP208" s="1354"/>
      <c r="CQ208" s="1354">
        <v>10.5</v>
      </c>
      <c r="CR208" s="1354">
        <v>24</v>
      </c>
      <c r="CS208" s="1354">
        <v>35</v>
      </c>
      <c r="CT208" s="1353">
        <v>706</v>
      </c>
      <c r="CU208" s="1353">
        <v>477</v>
      </c>
      <c r="CV208" s="1353"/>
      <c r="CW208" s="1353"/>
      <c r="CX208" s="1353">
        <v>27.700000000000003</v>
      </c>
      <c r="CY208" s="1353">
        <v>47.7</v>
      </c>
      <c r="CZ208" s="1353">
        <v>41</v>
      </c>
      <c r="DA208" s="1353">
        <v>69</v>
      </c>
      <c r="DB208" s="1353">
        <v>408</v>
      </c>
      <c r="DC208" s="1353"/>
      <c r="DD208" s="1353"/>
      <c r="DE208" s="1353"/>
      <c r="DF208" s="1353"/>
      <c r="DG208" s="1353"/>
      <c r="DH208" s="1353"/>
      <c r="DI208" s="1353"/>
      <c r="DJ208" s="1353"/>
      <c r="DK208" s="1353"/>
      <c r="DT208" s="694">
        <v>72</v>
      </c>
      <c r="DU208" s="695" t="s">
        <v>650</v>
      </c>
      <c r="DV208" s="777">
        <f t="shared" si="384"/>
        <v>11</v>
      </c>
      <c r="DW208" s="777">
        <f t="shared" si="384"/>
        <v>0</v>
      </c>
      <c r="DX208" s="777">
        <f t="shared" si="384"/>
        <v>0</v>
      </c>
      <c r="DY208" s="777">
        <f t="shared" si="384"/>
        <v>0</v>
      </c>
      <c r="DZ208" s="777">
        <f t="shared" si="384"/>
        <v>0</v>
      </c>
      <c r="EA208" s="777">
        <f t="shared" si="384"/>
        <v>0</v>
      </c>
      <c r="EB208" s="777">
        <f t="shared" si="384"/>
        <v>-10.5</v>
      </c>
      <c r="EC208" s="777">
        <f t="shared" si="384"/>
        <v>0</v>
      </c>
      <c r="ED208" s="777">
        <f t="shared" si="384"/>
        <v>-11</v>
      </c>
      <c r="EE208" s="777">
        <f t="shared" si="384"/>
        <v>11</v>
      </c>
      <c r="EF208" s="777">
        <f t="shared" si="384"/>
        <v>0</v>
      </c>
      <c r="EG208" s="777">
        <f t="shared" si="384"/>
        <v>0</v>
      </c>
      <c r="EH208" s="777">
        <f t="shared" si="384"/>
        <v>0</v>
      </c>
      <c r="EI208" s="777">
        <f t="shared" si="384"/>
        <v>0</v>
      </c>
      <c r="EJ208" s="777">
        <f t="shared" si="384"/>
        <v>0</v>
      </c>
      <c r="EK208" s="777">
        <f t="shared" si="384"/>
        <v>0</v>
      </c>
      <c r="EL208" s="777">
        <f t="shared" si="385"/>
        <v>0</v>
      </c>
      <c r="EM208" s="777">
        <f t="shared" si="385"/>
        <v>0</v>
      </c>
      <c r="EN208" s="777">
        <f t="shared" si="385"/>
        <v>0</v>
      </c>
      <c r="EO208" s="777">
        <f t="shared" si="385"/>
        <v>0</v>
      </c>
      <c r="EP208" s="777">
        <f t="shared" si="385"/>
        <v>0</v>
      </c>
      <c r="EQ208" s="777">
        <f t="shared" si="385"/>
        <v>0</v>
      </c>
      <c r="ER208" s="777">
        <f t="shared" si="385"/>
        <v>0</v>
      </c>
      <c r="ES208" s="777">
        <f t="shared" si="385"/>
        <v>0</v>
      </c>
      <c r="ET208" s="777">
        <f t="shared" si="385"/>
        <v>0</v>
      </c>
      <c r="EU208" s="777">
        <f t="shared" si="385"/>
        <v>0</v>
      </c>
      <c r="EV208" s="777">
        <f t="shared" si="385"/>
        <v>0</v>
      </c>
    </row>
    <row r="209" spans="1:152" ht="30.75" customHeight="1">
      <c r="A209" s="659">
        <v>71</v>
      </c>
      <c r="B209" s="660" t="s">
        <v>651</v>
      </c>
      <c r="C209" s="661">
        <f t="shared" si="386"/>
        <v>4</v>
      </c>
      <c r="D209" s="661">
        <f t="shared" si="387"/>
        <v>4</v>
      </c>
      <c r="E209" s="661"/>
      <c r="F209" s="661">
        <v>4</v>
      </c>
      <c r="G209" s="661"/>
      <c r="H209" s="661">
        <v>4</v>
      </c>
      <c r="I209" s="661"/>
      <c r="J209" s="661"/>
      <c r="K209" s="646">
        <f t="shared" si="395"/>
        <v>626</v>
      </c>
      <c r="L209" s="662">
        <f t="shared" si="388"/>
        <v>702</v>
      </c>
      <c r="M209" s="666">
        <v>383</v>
      </c>
      <c r="N209" s="666">
        <v>90</v>
      </c>
      <c r="O209" s="666">
        <v>14</v>
      </c>
      <c r="P209" s="666"/>
      <c r="Q209" s="666"/>
      <c r="R209" s="666">
        <f t="shared" ref="R209:R215" si="396">((N209+O209)-(BA209+BB209))*10%</f>
        <v>2.6</v>
      </c>
      <c r="S209" s="666">
        <v>13</v>
      </c>
      <c r="T209" s="666">
        <f t="shared" si="376"/>
        <v>16</v>
      </c>
      <c r="U209" s="666">
        <f t="shared" si="377"/>
        <v>471</v>
      </c>
      <c r="V209" s="666">
        <v>191</v>
      </c>
      <c r="W209" s="666"/>
      <c r="X209" s="666"/>
      <c r="Y209" s="666"/>
      <c r="Z209" s="666">
        <f t="shared" si="378"/>
        <v>19.100000000000001</v>
      </c>
      <c r="AA209" s="666">
        <v>36</v>
      </c>
      <c r="AB209" s="666">
        <f t="shared" si="379"/>
        <v>36</v>
      </c>
      <c r="AC209" s="666">
        <f t="shared" si="380"/>
        <v>155</v>
      </c>
      <c r="AD209" s="666">
        <v>76</v>
      </c>
      <c r="AE209" s="666"/>
      <c r="AF209" s="666"/>
      <c r="AG209" s="666"/>
      <c r="AH209" s="666"/>
      <c r="AI209" s="666"/>
      <c r="AJ209" s="666"/>
      <c r="AK209" s="666"/>
      <c r="AL209" s="669"/>
      <c r="AN209" s="610"/>
      <c r="AO209" s="659">
        <v>79</v>
      </c>
      <c r="AP209" s="660" t="s">
        <v>651</v>
      </c>
      <c r="AQ209" s="661">
        <f t="shared" si="389"/>
        <v>5</v>
      </c>
      <c r="AR209" s="661">
        <f t="shared" si="390"/>
        <v>5</v>
      </c>
      <c r="AS209" s="661"/>
      <c r="AT209" s="661">
        <v>5</v>
      </c>
      <c r="AU209" s="661"/>
      <c r="AV209" s="661">
        <v>3</v>
      </c>
      <c r="AW209" s="661"/>
      <c r="AX209" s="661"/>
      <c r="AY209" s="666">
        <f t="shared" si="391"/>
        <v>604</v>
      </c>
      <c r="AZ209" s="670">
        <v>306</v>
      </c>
      <c r="BA209" s="666">
        <v>70</v>
      </c>
      <c r="BB209" s="666">
        <v>8</v>
      </c>
      <c r="BC209" s="666"/>
      <c r="BD209" s="666"/>
      <c r="BE209" s="666">
        <f t="shared" si="381"/>
        <v>7.8000000000000007</v>
      </c>
      <c r="BF209" s="667">
        <f t="shared" si="382"/>
        <v>8</v>
      </c>
      <c r="BG209" s="666">
        <f t="shared" si="392"/>
        <v>376</v>
      </c>
      <c r="BH209" s="666">
        <v>242</v>
      </c>
      <c r="BI209" s="666"/>
      <c r="BJ209" s="666"/>
      <c r="BK209" s="666"/>
      <c r="BL209" s="666">
        <f t="shared" si="383"/>
        <v>24.200000000000003</v>
      </c>
      <c r="BM209" s="667">
        <f t="shared" si="393"/>
        <v>24</v>
      </c>
      <c r="BN209" s="666">
        <f t="shared" si="394"/>
        <v>218</v>
      </c>
      <c r="BO209" s="666">
        <v>10</v>
      </c>
      <c r="BP209" s="666"/>
      <c r="BQ209" s="666"/>
      <c r="BR209" s="666"/>
      <c r="BS209" s="666"/>
      <c r="BT209" s="666"/>
      <c r="BU209" s="666"/>
      <c r="BV209" s="666"/>
      <c r="BW209" s="666"/>
      <c r="CA209" s="1352">
        <v>73</v>
      </c>
      <c r="CB209" s="1352" t="s">
        <v>651</v>
      </c>
      <c r="CC209" s="1352">
        <v>4</v>
      </c>
      <c r="CD209" s="1352">
        <v>4</v>
      </c>
      <c r="CE209" s="1352"/>
      <c r="CF209" s="1352">
        <v>4</v>
      </c>
      <c r="CG209" s="1352"/>
      <c r="CH209" s="1352">
        <v>4</v>
      </c>
      <c r="CI209" s="1352"/>
      <c r="CJ209" s="1352"/>
      <c r="CK209" s="1353">
        <v>702</v>
      </c>
      <c r="CL209" s="1353">
        <v>383</v>
      </c>
      <c r="CM209" s="1354">
        <v>90</v>
      </c>
      <c r="CN209" s="1354">
        <v>14</v>
      </c>
      <c r="CO209" s="1354"/>
      <c r="CP209" s="1354"/>
      <c r="CQ209" s="1354">
        <v>2.6</v>
      </c>
      <c r="CR209" s="1354">
        <v>13</v>
      </c>
      <c r="CS209" s="1354">
        <v>16</v>
      </c>
      <c r="CT209" s="1353">
        <v>471</v>
      </c>
      <c r="CU209" s="1353">
        <v>191</v>
      </c>
      <c r="CV209" s="1353"/>
      <c r="CW209" s="1353"/>
      <c r="CX209" s="1353"/>
      <c r="CY209" s="1353">
        <v>19.100000000000001</v>
      </c>
      <c r="CZ209" s="1353">
        <v>36</v>
      </c>
      <c r="DA209" s="1353">
        <v>36</v>
      </c>
      <c r="DB209" s="1353">
        <v>155</v>
      </c>
      <c r="DC209" s="1353">
        <v>76</v>
      </c>
      <c r="DD209" s="1353"/>
      <c r="DE209" s="1353"/>
      <c r="DF209" s="1353"/>
      <c r="DG209" s="1353"/>
      <c r="DH209" s="1353"/>
      <c r="DI209" s="1353"/>
      <c r="DJ209" s="1353"/>
      <c r="DK209" s="1353"/>
      <c r="DT209" s="659">
        <v>73</v>
      </c>
      <c r="DU209" s="660" t="s">
        <v>651</v>
      </c>
      <c r="DV209" s="777">
        <f t="shared" si="384"/>
        <v>0</v>
      </c>
      <c r="DW209" s="777">
        <f t="shared" si="384"/>
        <v>0</v>
      </c>
      <c r="DX209" s="777">
        <f t="shared" si="384"/>
        <v>0</v>
      </c>
      <c r="DY209" s="777">
        <f t="shared" si="384"/>
        <v>0</v>
      </c>
      <c r="DZ209" s="777">
        <f t="shared" si="384"/>
        <v>0</v>
      </c>
      <c r="EA209" s="777">
        <f t="shared" si="384"/>
        <v>0</v>
      </c>
      <c r="EB209" s="777">
        <f t="shared" si="384"/>
        <v>0</v>
      </c>
      <c r="EC209" s="777">
        <f t="shared" si="384"/>
        <v>0</v>
      </c>
      <c r="ED209" s="777">
        <f t="shared" si="384"/>
        <v>0</v>
      </c>
      <c r="EE209" s="777">
        <f t="shared" si="384"/>
        <v>0</v>
      </c>
      <c r="EF209" s="777">
        <f t="shared" si="384"/>
        <v>0</v>
      </c>
      <c r="EG209" s="777">
        <f t="shared" si="384"/>
        <v>0</v>
      </c>
      <c r="EH209" s="777">
        <f t="shared" si="384"/>
        <v>0</v>
      </c>
      <c r="EI209" s="777">
        <f t="shared" si="384"/>
        <v>0</v>
      </c>
      <c r="EJ209" s="777">
        <f t="shared" si="384"/>
        <v>0</v>
      </c>
      <c r="EK209" s="777">
        <f t="shared" si="384"/>
        <v>0</v>
      </c>
      <c r="EL209" s="777">
        <f t="shared" si="385"/>
        <v>0</v>
      </c>
      <c r="EM209" s="777">
        <f t="shared" si="385"/>
        <v>0</v>
      </c>
      <c r="EN209" s="777">
        <f t="shared" si="385"/>
        <v>0</v>
      </c>
      <c r="EO209" s="777">
        <f t="shared" si="385"/>
        <v>0</v>
      </c>
      <c r="EP209" s="777">
        <f t="shared" si="385"/>
        <v>0</v>
      </c>
      <c r="EQ209" s="777">
        <f t="shared" si="385"/>
        <v>0</v>
      </c>
      <c r="ER209" s="777">
        <f t="shared" si="385"/>
        <v>0</v>
      </c>
      <c r="ES209" s="777">
        <f t="shared" si="385"/>
        <v>0</v>
      </c>
      <c r="ET209" s="777">
        <f t="shared" si="385"/>
        <v>0</v>
      </c>
      <c r="EU209" s="777">
        <f t="shared" si="385"/>
        <v>0</v>
      </c>
      <c r="EV209" s="777">
        <f t="shared" si="385"/>
        <v>0</v>
      </c>
    </row>
    <row r="210" spans="1:152" ht="36" customHeight="1">
      <c r="A210" s="659">
        <v>72</v>
      </c>
      <c r="B210" s="660" t="s">
        <v>652</v>
      </c>
      <c r="C210" s="661">
        <f t="shared" si="386"/>
        <v>3</v>
      </c>
      <c r="D210" s="661">
        <f t="shared" si="387"/>
        <v>3</v>
      </c>
      <c r="E210" s="661"/>
      <c r="F210" s="661">
        <v>3</v>
      </c>
      <c r="G210" s="661"/>
      <c r="H210" s="661">
        <v>3</v>
      </c>
      <c r="I210" s="661"/>
      <c r="J210" s="661"/>
      <c r="K210" s="646">
        <f t="shared" si="395"/>
        <v>390</v>
      </c>
      <c r="L210" s="662">
        <f t="shared" si="388"/>
        <v>450</v>
      </c>
      <c r="M210" s="666">
        <v>261</v>
      </c>
      <c r="N210" s="666">
        <v>68</v>
      </c>
      <c r="O210" s="666">
        <v>10</v>
      </c>
      <c r="P210" s="666"/>
      <c r="Q210" s="666"/>
      <c r="R210" s="666">
        <f t="shared" si="396"/>
        <v>0</v>
      </c>
      <c r="S210" s="666">
        <v>8</v>
      </c>
      <c r="T210" s="666">
        <f t="shared" si="376"/>
        <v>8</v>
      </c>
      <c r="U210" s="666">
        <f t="shared" si="377"/>
        <v>331</v>
      </c>
      <c r="V210" s="666">
        <v>70</v>
      </c>
      <c r="W210" s="666"/>
      <c r="X210" s="666"/>
      <c r="Y210" s="666"/>
      <c r="Z210" s="666">
        <f t="shared" si="378"/>
        <v>7</v>
      </c>
      <c r="AA210" s="666">
        <v>11</v>
      </c>
      <c r="AB210" s="666">
        <f t="shared" si="379"/>
        <v>11</v>
      </c>
      <c r="AC210" s="666">
        <f t="shared" si="380"/>
        <v>59</v>
      </c>
      <c r="AD210" s="666">
        <v>60</v>
      </c>
      <c r="AE210" s="666"/>
      <c r="AF210" s="666"/>
      <c r="AG210" s="666"/>
      <c r="AH210" s="666"/>
      <c r="AI210" s="666"/>
      <c r="AJ210" s="666"/>
      <c r="AK210" s="666"/>
      <c r="AL210" s="669"/>
      <c r="AM210" s="662"/>
      <c r="AN210" s="610"/>
      <c r="AO210" s="659">
        <v>80</v>
      </c>
      <c r="AP210" s="660" t="s">
        <v>652</v>
      </c>
      <c r="AQ210" s="661">
        <f t="shared" si="389"/>
        <v>3</v>
      </c>
      <c r="AR210" s="661">
        <f t="shared" si="390"/>
        <v>3</v>
      </c>
      <c r="AS210" s="661"/>
      <c r="AT210" s="661">
        <v>3</v>
      </c>
      <c r="AU210" s="661"/>
      <c r="AV210" s="661">
        <v>3</v>
      </c>
      <c r="AW210" s="661"/>
      <c r="AX210" s="661"/>
      <c r="AY210" s="666">
        <f t="shared" si="391"/>
        <v>452</v>
      </c>
      <c r="AZ210" s="670">
        <f>136+32+5+71</f>
        <v>244</v>
      </c>
      <c r="BA210" s="666">
        <f>78-18</f>
        <v>60</v>
      </c>
      <c r="BB210" s="666">
        <v>18</v>
      </c>
      <c r="BC210" s="666"/>
      <c r="BD210" s="666"/>
      <c r="BE210" s="666">
        <f t="shared" si="381"/>
        <v>7.8000000000000007</v>
      </c>
      <c r="BF210" s="667">
        <f>ROUND(BE210,0)</f>
        <v>8</v>
      </c>
      <c r="BG210" s="666">
        <f t="shared" si="392"/>
        <v>314</v>
      </c>
      <c r="BH210" s="666">
        <v>98</v>
      </c>
      <c r="BI210" s="666"/>
      <c r="BJ210" s="666"/>
      <c r="BK210" s="666"/>
      <c r="BL210" s="666">
        <f t="shared" si="383"/>
        <v>9.8000000000000007</v>
      </c>
      <c r="BM210" s="667">
        <f>ROUND(BL210,0)</f>
        <v>10</v>
      </c>
      <c r="BN210" s="666">
        <f t="shared" si="394"/>
        <v>88</v>
      </c>
      <c r="BO210" s="666">
        <v>50</v>
      </c>
      <c r="BP210" s="666"/>
      <c r="BQ210" s="666"/>
      <c r="BR210" s="666"/>
      <c r="BS210" s="666"/>
      <c r="BT210" s="666"/>
      <c r="BU210" s="666"/>
      <c r="BV210" s="666"/>
      <c r="BW210" s="662"/>
      <c r="CA210" s="1352">
        <v>74</v>
      </c>
      <c r="CB210" s="1352" t="s">
        <v>652</v>
      </c>
      <c r="CC210" s="1352">
        <v>3</v>
      </c>
      <c r="CD210" s="1352">
        <v>3</v>
      </c>
      <c r="CE210" s="1352"/>
      <c r="CF210" s="1352">
        <v>3</v>
      </c>
      <c r="CG210" s="1352"/>
      <c r="CH210" s="1352">
        <v>3</v>
      </c>
      <c r="CI210" s="1352"/>
      <c r="CJ210" s="1352"/>
      <c r="CK210" s="1353">
        <v>450</v>
      </c>
      <c r="CL210" s="1353">
        <v>261</v>
      </c>
      <c r="CM210" s="1354">
        <v>68</v>
      </c>
      <c r="CN210" s="1354">
        <v>10</v>
      </c>
      <c r="CO210" s="1354"/>
      <c r="CP210" s="1354"/>
      <c r="CQ210" s="1354">
        <v>0</v>
      </c>
      <c r="CR210" s="1354">
        <v>8</v>
      </c>
      <c r="CS210" s="1354">
        <v>8</v>
      </c>
      <c r="CT210" s="1353">
        <v>331</v>
      </c>
      <c r="CU210" s="1353">
        <v>70</v>
      </c>
      <c r="CV210" s="1353"/>
      <c r="CW210" s="1353"/>
      <c r="CX210" s="1353"/>
      <c r="CY210" s="1353">
        <v>7</v>
      </c>
      <c r="CZ210" s="1353">
        <v>11</v>
      </c>
      <c r="DA210" s="1353">
        <v>11</v>
      </c>
      <c r="DB210" s="1353">
        <v>59</v>
      </c>
      <c r="DC210" s="1353">
        <v>60</v>
      </c>
      <c r="DD210" s="1353"/>
      <c r="DE210" s="1353"/>
      <c r="DF210" s="1353"/>
      <c r="DG210" s="1353"/>
      <c r="DH210" s="1353"/>
      <c r="DI210" s="1353"/>
      <c r="DJ210" s="1353"/>
      <c r="DK210" s="1353"/>
      <c r="DT210" s="659">
        <v>74</v>
      </c>
      <c r="DU210" s="660" t="s">
        <v>652</v>
      </c>
      <c r="DV210" s="777">
        <f t="shared" si="384"/>
        <v>0</v>
      </c>
      <c r="DW210" s="777">
        <f t="shared" si="384"/>
        <v>0</v>
      </c>
      <c r="DX210" s="777">
        <f t="shared" si="384"/>
        <v>0</v>
      </c>
      <c r="DY210" s="777">
        <f t="shared" si="384"/>
        <v>0</v>
      </c>
      <c r="DZ210" s="777">
        <f t="shared" si="384"/>
        <v>0</v>
      </c>
      <c r="EA210" s="777">
        <f t="shared" si="384"/>
        <v>0</v>
      </c>
      <c r="EB210" s="777">
        <f t="shared" si="384"/>
        <v>0</v>
      </c>
      <c r="EC210" s="777">
        <f t="shared" si="384"/>
        <v>0</v>
      </c>
      <c r="ED210" s="777">
        <f t="shared" si="384"/>
        <v>0</v>
      </c>
      <c r="EE210" s="777">
        <f t="shared" si="384"/>
        <v>0</v>
      </c>
      <c r="EF210" s="777">
        <f t="shared" si="384"/>
        <v>0</v>
      </c>
      <c r="EG210" s="777">
        <f t="shared" si="384"/>
        <v>0</v>
      </c>
      <c r="EH210" s="777">
        <f t="shared" si="384"/>
        <v>0</v>
      </c>
      <c r="EI210" s="777">
        <f t="shared" si="384"/>
        <v>0</v>
      </c>
      <c r="EJ210" s="777">
        <f t="shared" si="384"/>
        <v>0</v>
      </c>
      <c r="EK210" s="777">
        <f t="shared" si="384"/>
        <v>0</v>
      </c>
      <c r="EL210" s="777">
        <f t="shared" si="385"/>
        <v>0</v>
      </c>
      <c r="EM210" s="777">
        <f t="shared" si="385"/>
        <v>0</v>
      </c>
      <c r="EN210" s="777">
        <f t="shared" si="385"/>
        <v>0</v>
      </c>
      <c r="EO210" s="777">
        <f t="shared" si="385"/>
        <v>0</v>
      </c>
      <c r="EP210" s="777">
        <f t="shared" si="385"/>
        <v>0</v>
      </c>
      <c r="EQ210" s="777">
        <f t="shared" si="385"/>
        <v>0</v>
      </c>
      <c r="ER210" s="777">
        <f t="shared" si="385"/>
        <v>0</v>
      </c>
      <c r="ES210" s="777">
        <f t="shared" si="385"/>
        <v>0</v>
      </c>
      <c r="ET210" s="777">
        <f t="shared" si="385"/>
        <v>0</v>
      </c>
      <c r="EU210" s="777">
        <f t="shared" si="385"/>
        <v>0</v>
      </c>
      <c r="EV210" s="777">
        <f t="shared" si="385"/>
        <v>0</v>
      </c>
    </row>
    <row r="211" spans="1:152" ht="33.75" customHeight="1">
      <c r="A211" s="659">
        <v>73</v>
      </c>
      <c r="B211" s="660" t="s">
        <v>653</v>
      </c>
      <c r="C211" s="661">
        <f t="shared" si="386"/>
        <v>4</v>
      </c>
      <c r="D211" s="661">
        <f t="shared" si="387"/>
        <v>4</v>
      </c>
      <c r="E211" s="661"/>
      <c r="F211" s="661">
        <v>4</v>
      </c>
      <c r="G211" s="661"/>
      <c r="H211" s="661">
        <v>4</v>
      </c>
      <c r="I211" s="661"/>
      <c r="J211" s="661"/>
      <c r="K211" s="646">
        <f t="shared" si="395"/>
        <v>584</v>
      </c>
      <c r="L211" s="662">
        <f t="shared" si="388"/>
        <v>584</v>
      </c>
      <c r="M211" s="666">
        <v>428</v>
      </c>
      <c r="N211" s="666">
        <v>94</v>
      </c>
      <c r="O211" s="666">
        <v>10</v>
      </c>
      <c r="P211" s="666"/>
      <c r="Q211" s="666"/>
      <c r="R211" s="666">
        <f t="shared" si="396"/>
        <v>0</v>
      </c>
      <c r="S211" s="666">
        <v>13</v>
      </c>
      <c r="T211" s="666">
        <f t="shared" si="376"/>
        <v>13</v>
      </c>
      <c r="U211" s="666">
        <f t="shared" si="377"/>
        <v>519</v>
      </c>
      <c r="V211" s="666">
        <f>40+32</f>
        <v>72</v>
      </c>
      <c r="W211" s="666"/>
      <c r="X211" s="666"/>
      <c r="Y211" s="666">
        <f>Z211-BM211</f>
        <v>7.2</v>
      </c>
      <c r="Z211" s="666">
        <f t="shared" si="378"/>
        <v>7.2</v>
      </c>
      <c r="AA211" s="666"/>
      <c r="AB211" s="666">
        <f t="shared" si="379"/>
        <v>7</v>
      </c>
      <c r="AC211" s="666">
        <f t="shared" si="380"/>
        <v>65</v>
      </c>
      <c r="AD211" s="666"/>
      <c r="AE211" s="666"/>
      <c r="AF211" s="666"/>
      <c r="AG211" s="666"/>
      <c r="AH211" s="666"/>
      <c r="AI211" s="666"/>
      <c r="AJ211" s="666"/>
      <c r="AK211" s="666"/>
      <c r="AL211" s="669"/>
      <c r="AM211" s="662"/>
      <c r="AN211" s="610"/>
      <c r="AO211" s="659">
        <v>81</v>
      </c>
      <c r="AP211" s="660" t="s">
        <v>653</v>
      </c>
      <c r="AQ211" s="661">
        <f t="shared" si="389"/>
        <v>5</v>
      </c>
      <c r="AR211" s="661">
        <f t="shared" si="390"/>
        <v>5</v>
      </c>
      <c r="AS211" s="661"/>
      <c r="AT211" s="661">
        <v>5</v>
      </c>
      <c r="AU211" s="661"/>
      <c r="AV211" s="661">
        <v>4</v>
      </c>
      <c r="AW211" s="661"/>
      <c r="AX211" s="661"/>
      <c r="AY211" s="666">
        <f t="shared" si="391"/>
        <v>527</v>
      </c>
      <c r="AZ211" s="670">
        <f>214+51+2+71+63</f>
        <v>401</v>
      </c>
      <c r="BA211" s="666">
        <f>104-14</f>
        <v>90</v>
      </c>
      <c r="BB211" s="666">
        <v>14</v>
      </c>
      <c r="BC211" s="666"/>
      <c r="BD211" s="666"/>
      <c r="BE211" s="666">
        <f t="shared" si="381"/>
        <v>10.4</v>
      </c>
      <c r="BF211" s="667">
        <f>ROUND(BE211,0)</f>
        <v>10</v>
      </c>
      <c r="BG211" s="666">
        <f>(AZ211+BA211+BB211+BC211)-BF211</f>
        <v>495</v>
      </c>
      <c r="BH211" s="666"/>
      <c r="BI211" s="666"/>
      <c r="BJ211" s="666"/>
      <c r="BK211" s="666"/>
      <c r="BL211" s="666">
        <f t="shared" si="383"/>
        <v>0</v>
      </c>
      <c r="BM211" s="667">
        <f>ROUND(BL211,0)</f>
        <v>0</v>
      </c>
      <c r="BN211" s="666">
        <f t="shared" si="394"/>
        <v>0</v>
      </c>
      <c r="BO211" s="666">
        <v>32</v>
      </c>
      <c r="BP211" s="666"/>
      <c r="BQ211" s="666"/>
      <c r="BR211" s="666"/>
      <c r="BS211" s="666"/>
      <c r="BT211" s="666"/>
      <c r="BU211" s="666"/>
      <c r="BV211" s="666"/>
      <c r="BW211" s="662"/>
      <c r="CA211" s="1352">
        <v>75</v>
      </c>
      <c r="CB211" s="1352" t="s">
        <v>653</v>
      </c>
      <c r="CC211" s="1352">
        <v>4</v>
      </c>
      <c r="CD211" s="1352">
        <v>4</v>
      </c>
      <c r="CE211" s="1352"/>
      <c r="CF211" s="1352">
        <v>4</v>
      </c>
      <c r="CG211" s="1352"/>
      <c r="CH211" s="1352">
        <v>4</v>
      </c>
      <c r="CI211" s="1352"/>
      <c r="CJ211" s="1352"/>
      <c r="CK211" s="1353">
        <v>584</v>
      </c>
      <c r="CL211" s="1353">
        <v>428</v>
      </c>
      <c r="CM211" s="1354">
        <v>94</v>
      </c>
      <c r="CN211" s="1354">
        <v>10</v>
      </c>
      <c r="CO211" s="1354"/>
      <c r="CP211" s="1354"/>
      <c r="CQ211" s="1354">
        <v>0</v>
      </c>
      <c r="CR211" s="1354">
        <v>13</v>
      </c>
      <c r="CS211" s="1354">
        <v>13</v>
      </c>
      <c r="CT211" s="1353">
        <v>519</v>
      </c>
      <c r="CU211" s="1353">
        <v>72</v>
      </c>
      <c r="CV211" s="1353"/>
      <c r="CW211" s="1353"/>
      <c r="CX211" s="1353">
        <v>7.2</v>
      </c>
      <c r="CY211" s="1353">
        <v>7.2</v>
      </c>
      <c r="CZ211" s="1353"/>
      <c r="DA211" s="1353">
        <v>7</v>
      </c>
      <c r="DB211" s="1353">
        <v>65</v>
      </c>
      <c r="DC211" s="1353"/>
      <c r="DD211" s="1353"/>
      <c r="DE211" s="1353"/>
      <c r="DF211" s="1353"/>
      <c r="DG211" s="1353"/>
      <c r="DH211" s="1353"/>
      <c r="DI211" s="1353"/>
      <c r="DJ211" s="1353"/>
      <c r="DK211" s="1353"/>
      <c r="DT211" s="659">
        <v>75</v>
      </c>
      <c r="DU211" s="660" t="s">
        <v>653</v>
      </c>
      <c r="DV211" s="777">
        <f t="shared" si="384"/>
        <v>0</v>
      </c>
      <c r="DW211" s="777">
        <f t="shared" si="384"/>
        <v>0</v>
      </c>
      <c r="DX211" s="777">
        <f t="shared" si="384"/>
        <v>0</v>
      </c>
      <c r="DY211" s="777">
        <f t="shared" si="384"/>
        <v>0</v>
      </c>
      <c r="DZ211" s="777">
        <f t="shared" si="384"/>
        <v>0</v>
      </c>
      <c r="EA211" s="777">
        <f t="shared" si="384"/>
        <v>0</v>
      </c>
      <c r="EB211" s="777">
        <f t="shared" si="384"/>
        <v>0</v>
      </c>
      <c r="EC211" s="777">
        <f t="shared" si="384"/>
        <v>0</v>
      </c>
      <c r="ED211" s="777">
        <f t="shared" si="384"/>
        <v>0</v>
      </c>
      <c r="EE211" s="777">
        <f t="shared" si="384"/>
        <v>0</v>
      </c>
      <c r="EF211" s="777">
        <f t="shared" si="384"/>
        <v>0</v>
      </c>
      <c r="EG211" s="777">
        <f t="shared" si="384"/>
        <v>0</v>
      </c>
      <c r="EH211" s="777">
        <f t="shared" si="384"/>
        <v>0</v>
      </c>
      <c r="EI211" s="777">
        <f t="shared" si="384"/>
        <v>0</v>
      </c>
      <c r="EJ211" s="777">
        <f t="shared" si="384"/>
        <v>0</v>
      </c>
      <c r="EK211" s="777">
        <f t="shared" si="384"/>
        <v>0</v>
      </c>
      <c r="EL211" s="777">
        <f t="shared" si="385"/>
        <v>0</v>
      </c>
      <c r="EM211" s="777">
        <f t="shared" si="385"/>
        <v>0</v>
      </c>
      <c r="EN211" s="777">
        <f t="shared" si="385"/>
        <v>0</v>
      </c>
      <c r="EO211" s="777">
        <f t="shared" si="385"/>
        <v>0</v>
      </c>
      <c r="EP211" s="777">
        <f t="shared" si="385"/>
        <v>0</v>
      </c>
      <c r="EQ211" s="777">
        <f t="shared" si="385"/>
        <v>0</v>
      </c>
      <c r="ER211" s="777">
        <f t="shared" si="385"/>
        <v>0</v>
      </c>
      <c r="ES211" s="777">
        <f t="shared" si="385"/>
        <v>0</v>
      </c>
      <c r="ET211" s="777">
        <f t="shared" si="385"/>
        <v>0</v>
      </c>
      <c r="EU211" s="777">
        <f t="shared" si="385"/>
        <v>0</v>
      </c>
      <c r="EV211" s="777">
        <f t="shared" si="385"/>
        <v>0</v>
      </c>
    </row>
    <row r="212" spans="1:152" ht="38.25" customHeight="1">
      <c r="A212" s="659">
        <v>74</v>
      </c>
      <c r="B212" s="660" t="s">
        <v>654</v>
      </c>
      <c r="C212" s="661">
        <f t="shared" si="386"/>
        <v>9</v>
      </c>
      <c r="D212" s="661">
        <f t="shared" si="387"/>
        <v>8</v>
      </c>
      <c r="E212" s="661"/>
      <c r="F212" s="661">
        <v>8</v>
      </c>
      <c r="G212" s="661"/>
      <c r="H212" s="661">
        <v>8</v>
      </c>
      <c r="I212" s="661">
        <v>1</v>
      </c>
      <c r="J212" s="661">
        <v>1</v>
      </c>
      <c r="K212" s="646">
        <f t="shared" si="395"/>
        <v>2132</v>
      </c>
      <c r="L212" s="662">
        <f t="shared" si="388"/>
        <v>2132</v>
      </c>
      <c r="M212" s="662">
        <v>641</v>
      </c>
      <c r="N212" s="662">
        <v>187</v>
      </c>
      <c r="O212" s="662">
        <v>22</v>
      </c>
      <c r="P212" s="662"/>
      <c r="Q212" s="662"/>
      <c r="R212" s="666">
        <f t="shared" si="396"/>
        <v>0</v>
      </c>
      <c r="S212" s="666">
        <v>21</v>
      </c>
      <c r="T212" s="666">
        <f t="shared" si="376"/>
        <v>21</v>
      </c>
      <c r="U212" s="666">
        <f t="shared" si="377"/>
        <v>829</v>
      </c>
      <c r="V212" s="662">
        <v>1471</v>
      </c>
      <c r="W212" s="662"/>
      <c r="X212" s="662"/>
      <c r="Y212" s="666">
        <f>Z212-BM212</f>
        <v>92.1</v>
      </c>
      <c r="Z212" s="666">
        <f t="shared" si="378"/>
        <v>147.1</v>
      </c>
      <c r="AA212" s="666">
        <v>76</v>
      </c>
      <c r="AB212" s="666">
        <f t="shared" si="379"/>
        <v>168</v>
      </c>
      <c r="AC212" s="666">
        <f t="shared" si="380"/>
        <v>1303</v>
      </c>
      <c r="AD212" s="662"/>
      <c r="AE212" s="662"/>
      <c r="AF212" s="662"/>
      <c r="AG212" s="662"/>
      <c r="AH212" s="662"/>
      <c r="AI212" s="662"/>
      <c r="AJ212" s="662"/>
      <c r="AK212" s="662"/>
      <c r="AL212" s="720"/>
      <c r="AN212" s="610"/>
      <c r="AO212" s="659">
        <v>82</v>
      </c>
      <c r="AP212" s="660" t="s">
        <v>654</v>
      </c>
      <c r="AQ212" s="661">
        <f t="shared" si="389"/>
        <v>9</v>
      </c>
      <c r="AR212" s="661">
        <f>AS212+AT212</f>
        <v>8</v>
      </c>
      <c r="AS212" s="661"/>
      <c r="AT212" s="661">
        <v>8</v>
      </c>
      <c r="AU212" s="661"/>
      <c r="AV212" s="661">
        <v>8</v>
      </c>
      <c r="AW212" s="661">
        <v>1</v>
      </c>
      <c r="AX212" s="661">
        <v>1</v>
      </c>
      <c r="AY212" s="662">
        <f t="shared" si="391"/>
        <v>1299</v>
      </c>
      <c r="AZ212" s="665">
        <v>594</v>
      </c>
      <c r="BA212" s="662">
        <v>209</v>
      </c>
      <c r="BB212" s="662"/>
      <c r="BC212" s="662"/>
      <c r="BD212" s="662"/>
      <c r="BE212" s="666">
        <f t="shared" si="381"/>
        <v>20.900000000000002</v>
      </c>
      <c r="BF212" s="667">
        <f t="shared" si="382"/>
        <v>21</v>
      </c>
      <c r="BG212" s="666">
        <f t="shared" si="392"/>
        <v>782</v>
      </c>
      <c r="BH212" s="662">
        <v>552</v>
      </c>
      <c r="BI212" s="662"/>
      <c r="BJ212" s="662"/>
      <c r="BK212" s="662"/>
      <c r="BL212" s="666">
        <f t="shared" si="383"/>
        <v>55.2</v>
      </c>
      <c r="BM212" s="667">
        <f t="shared" si="393"/>
        <v>55</v>
      </c>
      <c r="BN212" s="666">
        <f t="shared" si="394"/>
        <v>497</v>
      </c>
      <c r="BO212" s="662">
        <v>20</v>
      </c>
      <c r="BP212" s="662"/>
      <c r="BQ212" s="662"/>
      <c r="BR212" s="662"/>
      <c r="BS212" s="662"/>
      <c r="BT212" s="662"/>
      <c r="BU212" s="662"/>
      <c r="BV212" s="662"/>
      <c r="BW212" s="721"/>
      <c r="CA212" s="1352">
        <v>76</v>
      </c>
      <c r="CB212" s="1352" t="s">
        <v>654</v>
      </c>
      <c r="CC212" s="1352">
        <v>9</v>
      </c>
      <c r="CD212" s="1352">
        <v>8</v>
      </c>
      <c r="CE212" s="1352"/>
      <c r="CF212" s="1352">
        <v>8</v>
      </c>
      <c r="CG212" s="1352"/>
      <c r="CH212" s="1352">
        <v>8</v>
      </c>
      <c r="CI212" s="1352">
        <v>1</v>
      </c>
      <c r="CJ212" s="1352">
        <v>1</v>
      </c>
      <c r="CK212" s="1353">
        <v>2132</v>
      </c>
      <c r="CL212" s="1353">
        <v>641</v>
      </c>
      <c r="CM212" s="1354">
        <v>187</v>
      </c>
      <c r="CN212" s="1354">
        <v>22</v>
      </c>
      <c r="CO212" s="1354"/>
      <c r="CP212" s="1354"/>
      <c r="CQ212" s="1354">
        <v>0</v>
      </c>
      <c r="CR212" s="1354">
        <v>21</v>
      </c>
      <c r="CS212" s="1354">
        <v>21</v>
      </c>
      <c r="CT212" s="1353">
        <v>829</v>
      </c>
      <c r="CU212" s="1353">
        <v>1471</v>
      </c>
      <c r="CV212" s="1353"/>
      <c r="CW212" s="1353"/>
      <c r="CX212" s="1353">
        <v>92.1</v>
      </c>
      <c r="CY212" s="1353">
        <v>147.1</v>
      </c>
      <c r="CZ212" s="1353">
        <v>76</v>
      </c>
      <c r="DA212" s="1353">
        <v>168</v>
      </c>
      <c r="DB212" s="1353">
        <v>1303</v>
      </c>
      <c r="DC212" s="1353"/>
      <c r="DD212" s="1353"/>
      <c r="DE212" s="1353"/>
      <c r="DF212" s="1353"/>
      <c r="DG212" s="1353"/>
      <c r="DH212" s="1353"/>
      <c r="DI212" s="1353"/>
      <c r="DJ212" s="1353"/>
      <c r="DK212" s="1353"/>
      <c r="DT212" s="659">
        <v>76</v>
      </c>
      <c r="DU212" s="660" t="s">
        <v>654</v>
      </c>
      <c r="DV212" s="777">
        <f t="shared" si="384"/>
        <v>0</v>
      </c>
      <c r="DW212" s="777">
        <f t="shared" si="384"/>
        <v>0</v>
      </c>
      <c r="DX212" s="777">
        <f t="shared" si="384"/>
        <v>0</v>
      </c>
      <c r="DY212" s="777">
        <f t="shared" si="384"/>
        <v>0</v>
      </c>
      <c r="DZ212" s="777">
        <f t="shared" si="384"/>
        <v>0</v>
      </c>
      <c r="EA212" s="777">
        <f t="shared" si="384"/>
        <v>0</v>
      </c>
      <c r="EB212" s="777">
        <f t="shared" si="384"/>
        <v>0</v>
      </c>
      <c r="EC212" s="777">
        <f t="shared" si="384"/>
        <v>0</v>
      </c>
      <c r="ED212" s="777">
        <f t="shared" si="384"/>
        <v>0</v>
      </c>
      <c r="EE212" s="777">
        <f t="shared" si="384"/>
        <v>0</v>
      </c>
      <c r="EF212" s="777">
        <f t="shared" si="384"/>
        <v>0</v>
      </c>
      <c r="EG212" s="777">
        <f t="shared" si="384"/>
        <v>0</v>
      </c>
      <c r="EH212" s="777">
        <f t="shared" si="384"/>
        <v>0</v>
      </c>
      <c r="EI212" s="777">
        <f t="shared" si="384"/>
        <v>0</v>
      </c>
      <c r="EJ212" s="777">
        <f t="shared" si="384"/>
        <v>0</v>
      </c>
      <c r="EK212" s="777">
        <f t="shared" si="384"/>
        <v>0</v>
      </c>
      <c r="EL212" s="777">
        <f t="shared" si="385"/>
        <v>0</v>
      </c>
      <c r="EM212" s="777">
        <f t="shared" si="385"/>
        <v>0</v>
      </c>
      <c r="EN212" s="777">
        <f t="shared" si="385"/>
        <v>0</v>
      </c>
      <c r="EO212" s="777">
        <f t="shared" si="385"/>
        <v>0</v>
      </c>
      <c r="EP212" s="777">
        <f t="shared" si="385"/>
        <v>0</v>
      </c>
      <c r="EQ212" s="777">
        <f t="shared" si="385"/>
        <v>0</v>
      </c>
      <c r="ER212" s="777">
        <f t="shared" si="385"/>
        <v>0</v>
      </c>
      <c r="ES212" s="777">
        <f t="shared" si="385"/>
        <v>0</v>
      </c>
      <c r="ET212" s="777">
        <f t="shared" si="385"/>
        <v>0</v>
      </c>
      <c r="EU212" s="777">
        <f t="shared" si="385"/>
        <v>0</v>
      </c>
      <c r="EV212" s="777">
        <f t="shared" si="385"/>
        <v>0</v>
      </c>
    </row>
    <row r="213" spans="1:152" ht="39" customHeight="1">
      <c r="A213" s="659">
        <v>75</v>
      </c>
      <c r="B213" s="660" t="s">
        <v>655</v>
      </c>
      <c r="C213" s="661">
        <f t="shared" si="386"/>
        <v>4</v>
      </c>
      <c r="D213" s="661">
        <f t="shared" si="387"/>
        <v>4</v>
      </c>
      <c r="E213" s="661"/>
      <c r="F213" s="661">
        <v>4</v>
      </c>
      <c r="G213" s="661"/>
      <c r="H213" s="661">
        <v>4</v>
      </c>
      <c r="I213" s="661"/>
      <c r="J213" s="661"/>
      <c r="K213" s="646">
        <f t="shared" si="395"/>
        <v>873</v>
      </c>
      <c r="L213" s="662">
        <f t="shared" si="388"/>
        <v>873</v>
      </c>
      <c r="M213" s="666">
        <v>410</v>
      </c>
      <c r="N213" s="666">
        <v>94</v>
      </c>
      <c r="O213" s="666">
        <v>10</v>
      </c>
      <c r="P213" s="666"/>
      <c r="Q213" s="666"/>
      <c r="R213" s="666">
        <f t="shared" si="396"/>
        <v>0</v>
      </c>
      <c r="S213" s="666">
        <v>8</v>
      </c>
      <c r="T213" s="666">
        <f t="shared" si="376"/>
        <v>8</v>
      </c>
      <c r="U213" s="666">
        <f t="shared" si="377"/>
        <v>506</v>
      </c>
      <c r="V213" s="666">
        <v>400</v>
      </c>
      <c r="W213" s="666"/>
      <c r="X213" s="666"/>
      <c r="Y213" s="666"/>
      <c r="Z213" s="666">
        <f>(V213-100)*10%</f>
        <v>30</v>
      </c>
      <c r="AA213" s="666">
        <v>33</v>
      </c>
      <c r="AB213" s="666">
        <f t="shared" si="379"/>
        <v>33</v>
      </c>
      <c r="AC213" s="666">
        <f t="shared" si="380"/>
        <v>367</v>
      </c>
      <c r="AD213" s="666"/>
      <c r="AE213" s="666"/>
      <c r="AF213" s="666"/>
      <c r="AG213" s="666"/>
      <c r="AH213" s="666"/>
      <c r="AI213" s="666"/>
      <c r="AJ213" s="666"/>
      <c r="AK213" s="666">
        <v>53</v>
      </c>
      <c r="AL213" s="664"/>
      <c r="AN213" s="610"/>
      <c r="AO213" s="659">
        <v>83</v>
      </c>
      <c r="AP213" s="660" t="s">
        <v>655</v>
      </c>
      <c r="AQ213" s="661">
        <f t="shared" si="389"/>
        <v>4</v>
      </c>
      <c r="AR213" s="661">
        <f>AS213+AT213</f>
        <v>4</v>
      </c>
      <c r="AS213" s="661"/>
      <c r="AT213" s="661">
        <v>4</v>
      </c>
      <c r="AU213" s="661"/>
      <c r="AV213" s="661">
        <v>4</v>
      </c>
      <c r="AW213" s="661"/>
      <c r="AX213" s="661"/>
      <c r="AY213" s="666">
        <f t="shared" si="391"/>
        <v>861</v>
      </c>
      <c r="AZ213" s="670">
        <v>364</v>
      </c>
      <c r="BA213" s="666">
        <f>104-10</f>
        <v>94</v>
      </c>
      <c r="BB213" s="666">
        <v>10</v>
      </c>
      <c r="BC213" s="666"/>
      <c r="BD213" s="666"/>
      <c r="BE213" s="666">
        <f t="shared" si="381"/>
        <v>10.4</v>
      </c>
      <c r="BF213" s="667">
        <f t="shared" si="382"/>
        <v>10</v>
      </c>
      <c r="BG213" s="666">
        <f>(AZ213+BA213+BB213+BC213)-BF213</f>
        <v>458</v>
      </c>
      <c r="BH213" s="666">
        <v>431</v>
      </c>
      <c r="BI213" s="666"/>
      <c r="BJ213" s="666">
        <v>5</v>
      </c>
      <c r="BK213" s="666"/>
      <c r="BL213" s="666">
        <f>(BH213-100)*10%</f>
        <v>33.1</v>
      </c>
      <c r="BM213" s="667">
        <f t="shared" si="393"/>
        <v>33</v>
      </c>
      <c r="BN213" s="666">
        <f t="shared" si="394"/>
        <v>403</v>
      </c>
      <c r="BO213" s="666"/>
      <c r="BP213" s="666"/>
      <c r="BQ213" s="666"/>
      <c r="BR213" s="666"/>
      <c r="BS213" s="666"/>
      <c r="BT213" s="666"/>
      <c r="BU213" s="666"/>
      <c r="BV213" s="666"/>
      <c r="BW213" s="662"/>
      <c r="CA213" s="1352">
        <v>77</v>
      </c>
      <c r="CB213" s="1352" t="s">
        <v>655</v>
      </c>
      <c r="CC213" s="1352">
        <v>4</v>
      </c>
      <c r="CD213" s="1352">
        <v>4</v>
      </c>
      <c r="CE213" s="1352"/>
      <c r="CF213" s="1352">
        <v>4</v>
      </c>
      <c r="CG213" s="1352"/>
      <c r="CH213" s="1352">
        <v>4</v>
      </c>
      <c r="CI213" s="1352"/>
      <c r="CJ213" s="1352"/>
      <c r="CK213" s="1353">
        <v>873</v>
      </c>
      <c r="CL213" s="1353">
        <v>410</v>
      </c>
      <c r="CM213" s="1354">
        <v>94</v>
      </c>
      <c r="CN213" s="1354">
        <v>10</v>
      </c>
      <c r="CO213" s="1354"/>
      <c r="CP213" s="1354"/>
      <c r="CQ213" s="1354">
        <v>0</v>
      </c>
      <c r="CR213" s="1354">
        <v>8</v>
      </c>
      <c r="CS213" s="1354">
        <v>8</v>
      </c>
      <c r="CT213" s="1353">
        <v>506</v>
      </c>
      <c r="CU213" s="1353">
        <v>400</v>
      </c>
      <c r="CV213" s="1353"/>
      <c r="CW213" s="1353"/>
      <c r="CX213" s="1353"/>
      <c r="CY213" s="1353">
        <v>30</v>
      </c>
      <c r="CZ213" s="1353">
        <v>33</v>
      </c>
      <c r="DA213" s="1353">
        <v>33</v>
      </c>
      <c r="DB213" s="1353">
        <v>367</v>
      </c>
      <c r="DC213" s="1353"/>
      <c r="DD213" s="1353"/>
      <c r="DE213" s="1353"/>
      <c r="DF213" s="1353"/>
      <c r="DG213" s="1353"/>
      <c r="DH213" s="1353"/>
      <c r="DI213" s="1353"/>
      <c r="DJ213" s="1353"/>
      <c r="DK213" s="1353"/>
      <c r="DT213" s="659">
        <v>77</v>
      </c>
      <c r="DU213" s="660" t="s">
        <v>655</v>
      </c>
      <c r="DV213" s="777">
        <f t="shared" si="384"/>
        <v>0</v>
      </c>
      <c r="DW213" s="777">
        <f t="shared" si="384"/>
        <v>0</v>
      </c>
      <c r="DX213" s="777">
        <f t="shared" si="384"/>
        <v>0</v>
      </c>
      <c r="DY213" s="777">
        <f t="shared" si="384"/>
        <v>0</v>
      </c>
      <c r="DZ213" s="777">
        <f t="shared" si="384"/>
        <v>0</v>
      </c>
      <c r="EA213" s="777">
        <f t="shared" si="384"/>
        <v>0</v>
      </c>
      <c r="EB213" s="777">
        <f t="shared" si="384"/>
        <v>0</v>
      </c>
      <c r="EC213" s="777">
        <f t="shared" si="384"/>
        <v>0</v>
      </c>
      <c r="ED213" s="777">
        <f t="shared" si="384"/>
        <v>0</v>
      </c>
      <c r="EE213" s="777">
        <f t="shared" si="384"/>
        <v>0</v>
      </c>
      <c r="EF213" s="777">
        <f t="shared" si="384"/>
        <v>0</v>
      </c>
      <c r="EG213" s="777">
        <f t="shared" si="384"/>
        <v>0</v>
      </c>
      <c r="EH213" s="777">
        <f t="shared" si="384"/>
        <v>0</v>
      </c>
      <c r="EI213" s="777">
        <f t="shared" si="384"/>
        <v>0</v>
      </c>
      <c r="EJ213" s="777">
        <f t="shared" si="384"/>
        <v>0</v>
      </c>
      <c r="EK213" s="777">
        <f t="shared" si="384"/>
        <v>0</v>
      </c>
      <c r="EL213" s="777">
        <f t="shared" si="385"/>
        <v>0</v>
      </c>
      <c r="EM213" s="777">
        <f t="shared" si="385"/>
        <v>0</v>
      </c>
      <c r="EN213" s="777">
        <f t="shared" si="385"/>
        <v>0</v>
      </c>
      <c r="EO213" s="777">
        <f t="shared" si="385"/>
        <v>0</v>
      </c>
      <c r="EP213" s="777">
        <f t="shared" si="385"/>
        <v>0</v>
      </c>
      <c r="EQ213" s="777">
        <f t="shared" si="385"/>
        <v>0</v>
      </c>
      <c r="ER213" s="777">
        <f t="shared" si="385"/>
        <v>0</v>
      </c>
      <c r="ES213" s="777">
        <f t="shared" si="385"/>
        <v>0</v>
      </c>
      <c r="ET213" s="777">
        <f t="shared" si="385"/>
        <v>0</v>
      </c>
      <c r="EU213" s="777">
        <f t="shared" si="385"/>
        <v>53</v>
      </c>
      <c r="EV213" s="777">
        <f t="shared" si="385"/>
        <v>0</v>
      </c>
    </row>
    <row r="214" spans="1:152" ht="38.25" customHeight="1">
      <c r="A214" s="659">
        <v>76</v>
      </c>
      <c r="B214" s="660" t="s">
        <v>656</v>
      </c>
      <c r="C214" s="661">
        <f t="shared" si="386"/>
        <v>3</v>
      </c>
      <c r="D214" s="661">
        <f t="shared" si="387"/>
        <v>3</v>
      </c>
      <c r="E214" s="661"/>
      <c r="F214" s="661">
        <v>3</v>
      </c>
      <c r="G214" s="661"/>
      <c r="H214" s="661">
        <v>3</v>
      </c>
      <c r="I214" s="661"/>
      <c r="J214" s="661"/>
      <c r="K214" s="646">
        <f t="shared" si="395"/>
        <v>879</v>
      </c>
      <c r="L214" s="662">
        <f t="shared" si="388"/>
        <v>1359</v>
      </c>
      <c r="M214" s="666">
        <v>508</v>
      </c>
      <c r="N214" s="666">
        <v>54</v>
      </c>
      <c r="O214" s="666">
        <v>24</v>
      </c>
      <c r="P214" s="666"/>
      <c r="Q214" s="666"/>
      <c r="R214" s="666">
        <f t="shared" si="396"/>
        <v>0</v>
      </c>
      <c r="S214" s="666">
        <v>8</v>
      </c>
      <c r="T214" s="666">
        <f t="shared" si="376"/>
        <v>8</v>
      </c>
      <c r="U214" s="666">
        <f t="shared" si="377"/>
        <v>578</v>
      </c>
      <c r="V214" s="666">
        <v>325</v>
      </c>
      <c r="W214" s="666"/>
      <c r="X214" s="666"/>
      <c r="Y214" s="666">
        <f t="shared" ref="Y214:Y219" si="397">Z214-BM214</f>
        <v>8.5</v>
      </c>
      <c r="Z214" s="666">
        <f t="shared" si="378"/>
        <v>32.5</v>
      </c>
      <c r="AA214" s="666">
        <v>15</v>
      </c>
      <c r="AB214" s="666">
        <f t="shared" si="379"/>
        <v>24</v>
      </c>
      <c r="AC214" s="666">
        <f t="shared" si="380"/>
        <v>301</v>
      </c>
      <c r="AD214" s="666">
        <v>480</v>
      </c>
      <c r="AE214" s="666"/>
      <c r="AF214" s="666"/>
      <c r="AG214" s="666"/>
      <c r="AH214" s="666"/>
      <c r="AI214" s="666"/>
      <c r="AJ214" s="666"/>
      <c r="AK214" s="666"/>
      <c r="AL214" s="664"/>
      <c r="AN214" s="610"/>
      <c r="AO214" s="659">
        <v>84</v>
      </c>
      <c r="AP214" s="660" t="s">
        <v>656</v>
      </c>
      <c r="AQ214" s="661">
        <f t="shared" si="389"/>
        <v>3</v>
      </c>
      <c r="AR214" s="661">
        <f t="shared" si="390"/>
        <v>3</v>
      </c>
      <c r="AS214" s="661"/>
      <c r="AT214" s="661">
        <v>3</v>
      </c>
      <c r="AU214" s="661"/>
      <c r="AV214" s="661">
        <v>3</v>
      </c>
      <c r="AW214" s="661"/>
      <c r="AX214" s="661"/>
      <c r="AY214" s="666">
        <f t="shared" si="391"/>
        <v>1183</v>
      </c>
      <c r="AZ214" s="670">
        <v>467</v>
      </c>
      <c r="BA214" s="666">
        <v>54</v>
      </c>
      <c r="BB214" s="666">
        <v>24</v>
      </c>
      <c r="BC214" s="666"/>
      <c r="BD214" s="666"/>
      <c r="BE214" s="666">
        <f t="shared" si="381"/>
        <v>7.8000000000000007</v>
      </c>
      <c r="BF214" s="667">
        <f t="shared" si="382"/>
        <v>8</v>
      </c>
      <c r="BG214" s="666">
        <f t="shared" si="392"/>
        <v>537</v>
      </c>
      <c r="BH214" s="666">
        <f>190+10-10+10+35</f>
        <v>235</v>
      </c>
      <c r="BI214" s="666"/>
      <c r="BJ214" s="666"/>
      <c r="BK214" s="666"/>
      <c r="BL214" s="666">
        <f t="shared" si="383"/>
        <v>23.5</v>
      </c>
      <c r="BM214" s="667">
        <f t="shared" si="393"/>
        <v>24</v>
      </c>
      <c r="BN214" s="666">
        <f t="shared" si="394"/>
        <v>211</v>
      </c>
      <c r="BO214" s="666">
        <v>435</v>
      </c>
      <c r="BP214" s="666"/>
      <c r="BQ214" s="666"/>
      <c r="BR214" s="666"/>
      <c r="BS214" s="666"/>
      <c r="BT214" s="666"/>
      <c r="BU214" s="666"/>
      <c r="BV214" s="666"/>
      <c r="BW214" s="662"/>
      <c r="CA214" s="1352">
        <v>78</v>
      </c>
      <c r="CB214" s="1352" t="s">
        <v>656</v>
      </c>
      <c r="CC214" s="1352">
        <v>3</v>
      </c>
      <c r="CD214" s="1352">
        <v>3</v>
      </c>
      <c r="CE214" s="1352"/>
      <c r="CF214" s="1352">
        <v>3</v>
      </c>
      <c r="CG214" s="1352"/>
      <c r="CH214" s="1352">
        <v>3</v>
      </c>
      <c r="CI214" s="1352"/>
      <c r="CJ214" s="1352"/>
      <c r="CK214" s="1353">
        <v>1359</v>
      </c>
      <c r="CL214" s="1353">
        <v>508</v>
      </c>
      <c r="CM214" s="1354">
        <v>54</v>
      </c>
      <c r="CN214" s="1354">
        <v>24</v>
      </c>
      <c r="CO214" s="1354"/>
      <c r="CP214" s="1354"/>
      <c r="CQ214" s="1354">
        <v>0</v>
      </c>
      <c r="CR214" s="1354">
        <v>8</v>
      </c>
      <c r="CS214" s="1354">
        <v>8</v>
      </c>
      <c r="CT214" s="1353">
        <v>578</v>
      </c>
      <c r="CU214" s="1353">
        <v>325</v>
      </c>
      <c r="CV214" s="1353"/>
      <c r="CW214" s="1353"/>
      <c r="CX214" s="1353">
        <v>8.5</v>
      </c>
      <c r="CY214" s="1353">
        <v>32.5</v>
      </c>
      <c r="CZ214" s="1353">
        <v>15</v>
      </c>
      <c r="DA214" s="1353">
        <v>24</v>
      </c>
      <c r="DB214" s="1353">
        <v>301</v>
      </c>
      <c r="DC214" s="1353">
        <v>480</v>
      </c>
      <c r="DD214" s="1353"/>
      <c r="DE214" s="1353"/>
      <c r="DF214" s="1353"/>
      <c r="DG214" s="1353"/>
      <c r="DH214" s="1353"/>
      <c r="DI214" s="1353"/>
      <c r="DJ214" s="1353"/>
      <c r="DK214" s="1353"/>
      <c r="DT214" s="659">
        <v>78</v>
      </c>
      <c r="DU214" s="660" t="s">
        <v>656</v>
      </c>
      <c r="DV214" s="777">
        <f t="shared" si="384"/>
        <v>0</v>
      </c>
      <c r="DW214" s="777">
        <f t="shared" si="384"/>
        <v>0</v>
      </c>
      <c r="DX214" s="777">
        <f t="shared" si="384"/>
        <v>0</v>
      </c>
      <c r="DY214" s="777">
        <f t="shared" si="384"/>
        <v>0</v>
      </c>
      <c r="DZ214" s="777">
        <f t="shared" si="384"/>
        <v>0</v>
      </c>
      <c r="EA214" s="777">
        <f t="shared" si="384"/>
        <v>0</v>
      </c>
      <c r="EB214" s="777">
        <f t="shared" si="384"/>
        <v>0</v>
      </c>
      <c r="EC214" s="777">
        <f t="shared" si="384"/>
        <v>0</v>
      </c>
      <c r="ED214" s="777">
        <f t="shared" si="384"/>
        <v>0</v>
      </c>
      <c r="EE214" s="777">
        <f t="shared" si="384"/>
        <v>0</v>
      </c>
      <c r="EF214" s="777">
        <f t="shared" si="384"/>
        <v>0</v>
      </c>
      <c r="EG214" s="777">
        <f t="shared" si="384"/>
        <v>0</v>
      </c>
      <c r="EH214" s="777">
        <f t="shared" si="384"/>
        <v>0</v>
      </c>
      <c r="EI214" s="777">
        <f t="shared" si="384"/>
        <v>0</v>
      </c>
      <c r="EJ214" s="777">
        <f t="shared" si="384"/>
        <v>0</v>
      </c>
      <c r="EK214" s="777">
        <f t="shared" si="384"/>
        <v>0</v>
      </c>
      <c r="EL214" s="777">
        <f t="shared" si="385"/>
        <v>0</v>
      </c>
      <c r="EM214" s="777">
        <f t="shared" si="385"/>
        <v>0</v>
      </c>
      <c r="EN214" s="777">
        <f t="shared" si="385"/>
        <v>0</v>
      </c>
      <c r="EO214" s="777">
        <f t="shared" si="385"/>
        <v>0</v>
      </c>
      <c r="EP214" s="777">
        <f t="shared" si="385"/>
        <v>0</v>
      </c>
      <c r="EQ214" s="777">
        <f t="shared" si="385"/>
        <v>0</v>
      </c>
      <c r="ER214" s="777">
        <f t="shared" si="385"/>
        <v>0</v>
      </c>
      <c r="ES214" s="777">
        <f t="shared" si="385"/>
        <v>0</v>
      </c>
      <c r="ET214" s="777">
        <f t="shared" si="385"/>
        <v>0</v>
      </c>
      <c r="EU214" s="777">
        <f t="shared" si="385"/>
        <v>0</v>
      </c>
      <c r="EV214" s="777">
        <f t="shared" si="385"/>
        <v>0</v>
      </c>
    </row>
    <row r="215" spans="1:152" ht="21" customHeight="1">
      <c r="A215" s="659">
        <v>77</v>
      </c>
      <c r="B215" s="660" t="s">
        <v>657</v>
      </c>
      <c r="C215" s="661">
        <f t="shared" si="386"/>
        <v>8</v>
      </c>
      <c r="D215" s="661">
        <f t="shared" si="387"/>
        <v>6</v>
      </c>
      <c r="E215" s="661"/>
      <c r="F215" s="661">
        <v>6</v>
      </c>
      <c r="G215" s="661"/>
      <c r="H215" s="661">
        <v>6</v>
      </c>
      <c r="I215" s="661">
        <v>2</v>
      </c>
      <c r="J215" s="661">
        <v>2</v>
      </c>
      <c r="K215" s="646">
        <f t="shared" si="395"/>
        <v>1580</v>
      </c>
      <c r="L215" s="662">
        <f t="shared" si="388"/>
        <v>1580</v>
      </c>
      <c r="M215" s="666">
        <v>737</v>
      </c>
      <c r="N215" s="666">
        <f>80+33</f>
        <v>113</v>
      </c>
      <c r="O215" s="666">
        <v>43</v>
      </c>
      <c r="P215" s="666"/>
      <c r="Q215" s="666"/>
      <c r="R215" s="666">
        <f t="shared" si="396"/>
        <v>0</v>
      </c>
      <c r="S215" s="666">
        <v>16</v>
      </c>
      <c r="T215" s="666">
        <f t="shared" si="376"/>
        <v>16</v>
      </c>
      <c r="U215" s="666">
        <f t="shared" si="377"/>
        <v>877</v>
      </c>
      <c r="V215" s="666">
        <v>667</v>
      </c>
      <c r="W215" s="666">
        <v>110</v>
      </c>
      <c r="X215" s="666"/>
      <c r="Y215" s="666">
        <f t="shared" si="397"/>
        <v>-0.29999999999999716</v>
      </c>
      <c r="Z215" s="666">
        <f t="shared" si="378"/>
        <v>66.7</v>
      </c>
      <c r="AA215" s="666">
        <v>74</v>
      </c>
      <c r="AB215" s="666">
        <f t="shared" si="379"/>
        <v>74</v>
      </c>
      <c r="AC215" s="666">
        <f t="shared" si="380"/>
        <v>703</v>
      </c>
      <c r="AD215" s="666"/>
      <c r="AE215" s="666"/>
      <c r="AF215" s="666"/>
      <c r="AG215" s="666"/>
      <c r="AH215" s="666"/>
      <c r="AI215" s="666"/>
      <c r="AJ215" s="666"/>
      <c r="AK215" s="666"/>
      <c r="AL215" s="664"/>
      <c r="AN215" s="610"/>
      <c r="AO215" s="659">
        <v>85</v>
      </c>
      <c r="AP215" s="660" t="s">
        <v>657</v>
      </c>
      <c r="AQ215" s="661">
        <f t="shared" si="389"/>
        <v>8</v>
      </c>
      <c r="AR215" s="661">
        <f t="shared" si="390"/>
        <v>6</v>
      </c>
      <c r="AS215" s="661"/>
      <c r="AT215" s="661">
        <v>6</v>
      </c>
      <c r="AU215" s="661"/>
      <c r="AV215" s="661">
        <v>6</v>
      </c>
      <c r="AW215" s="661">
        <v>2</v>
      </c>
      <c r="AX215" s="661">
        <v>2</v>
      </c>
      <c r="AY215" s="666">
        <f t="shared" si="391"/>
        <v>1527</v>
      </c>
      <c r="AZ215" s="670">
        <f>421+3+95+63+65+15</f>
        <v>662</v>
      </c>
      <c r="BA215" s="666">
        <f>80+33</f>
        <v>113</v>
      </c>
      <c r="BB215" s="666">
        <v>43</v>
      </c>
      <c r="BC215" s="666"/>
      <c r="BD215" s="666"/>
      <c r="BE215" s="666">
        <f t="shared" si="381"/>
        <v>15.600000000000001</v>
      </c>
      <c r="BF215" s="667">
        <f t="shared" si="382"/>
        <v>16</v>
      </c>
      <c r="BG215" s="666">
        <f t="shared" si="392"/>
        <v>802</v>
      </c>
      <c r="BH215" s="666">
        <v>667</v>
      </c>
      <c r="BI215" s="666"/>
      <c r="BJ215" s="666">
        <v>125</v>
      </c>
      <c r="BK215" s="666"/>
      <c r="BL215" s="666">
        <f t="shared" si="383"/>
        <v>66.7</v>
      </c>
      <c r="BM215" s="667">
        <f t="shared" si="393"/>
        <v>67</v>
      </c>
      <c r="BN215" s="666">
        <f t="shared" si="394"/>
        <v>725</v>
      </c>
      <c r="BO215" s="666"/>
      <c r="BP215" s="666"/>
      <c r="BQ215" s="666"/>
      <c r="BR215" s="666"/>
      <c r="BS215" s="666"/>
      <c r="BT215" s="666"/>
      <c r="BU215" s="666"/>
      <c r="BV215" s="666"/>
      <c r="BW215" s="662"/>
      <c r="CA215" s="1352">
        <v>79</v>
      </c>
      <c r="CB215" s="1352" t="s">
        <v>657</v>
      </c>
      <c r="CC215" s="1352">
        <v>8</v>
      </c>
      <c r="CD215" s="1352">
        <v>6</v>
      </c>
      <c r="CE215" s="1352"/>
      <c r="CF215" s="1352">
        <v>6</v>
      </c>
      <c r="CG215" s="1352"/>
      <c r="CH215" s="1352">
        <v>6</v>
      </c>
      <c r="CI215" s="1352">
        <v>2</v>
      </c>
      <c r="CJ215" s="1352">
        <v>2</v>
      </c>
      <c r="CK215" s="1353">
        <v>1580</v>
      </c>
      <c r="CL215" s="1353">
        <v>737</v>
      </c>
      <c r="CM215" s="1354">
        <v>113</v>
      </c>
      <c r="CN215" s="1354">
        <v>43</v>
      </c>
      <c r="CO215" s="1354"/>
      <c r="CP215" s="1354"/>
      <c r="CQ215" s="1354">
        <v>0</v>
      </c>
      <c r="CR215" s="1354">
        <v>16</v>
      </c>
      <c r="CS215" s="1354">
        <v>16</v>
      </c>
      <c r="CT215" s="1353">
        <v>877</v>
      </c>
      <c r="CU215" s="1353">
        <v>667</v>
      </c>
      <c r="CV215" s="1353">
        <v>110</v>
      </c>
      <c r="CW215" s="1353"/>
      <c r="CX215" s="1353">
        <v>-0.29999999999999716</v>
      </c>
      <c r="CY215" s="1353">
        <v>66.7</v>
      </c>
      <c r="CZ215" s="1353">
        <v>74</v>
      </c>
      <c r="DA215" s="1353">
        <v>74</v>
      </c>
      <c r="DB215" s="1353">
        <v>703</v>
      </c>
      <c r="DC215" s="1353"/>
      <c r="DD215" s="1353"/>
      <c r="DE215" s="1353"/>
      <c r="DF215" s="1353"/>
      <c r="DG215" s="1353"/>
      <c r="DH215" s="1353"/>
      <c r="DI215" s="1353"/>
      <c r="DJ215" s="1353"/>
      <c r="DK215" s="1353"/>
      <c r="DT215" s="659">
        <v>79</v>
      </c>
      <c r="DU215" s="660" t="s">
        <v>657</v>
      </c>
      <c r="DV215" s="777">
        <f t="shared" si="384"/>
        <v>0</v>
      </c>
      <c r="DW215" s="777">
        <f t="shared" si="384"/>
        <v>0</v>
      </c>
      <c r="DX215" s="777">
        <f t="shared" si="384"/>
        <v>0</v>
      </c>
      <c r="DY215" s="777">
        <f t="shared" si="384"/>
        <v>0</v>
      </c>
      <c r="DZ215" s="777">
        <f t="shared" si="384"/>
        <v>0</v>
      </c>
      <c r="EA215" s="777">
        <f t="shared" si="384"/>
        <v>0</v>
      </c>
      <c r="EB215" s="777">
        <f t="shared" si="384"/>
        <v>0</v>
      </c>
      <c r="EC215" s="777">
        <f t="shared" si="384"/>
        <v>0</v>
      </c>
      <c r="ED215" s="777">
        <f t="shared" si="384"/>
        <v>0</v>
      </c>
      <c r="EE215" s="777">
        <f t="shared" si="384"/>
        <v>0</v>
      </c>
      <c r="EF215" s="777">
        <f t="shared" si="384"/>
        <v>0</v>
      </c>
      <c r="EG215" s="777">
        <f t="shared" si="384"/>
        <v>0</v>
      </c>
      <c r="EH215" s="777">
        <f t="shared" si="384"/>
        <v>0</v>
      </c>
      <c r="EI215" s="777">
        <f t="shared" si="384"/>
        <v>0</v>
      </c>
      <c r="EJ215" s="777">
        <f t="shared" si="384"/>
        <v>0</v>
      </c>
      <c r="EK215" s="777">
        <f t="shared" si="384"/>
        <v>0</v>
      </c>
      <c r="EL215" s="777">
        <f t="shared" si="385"/>
        <v>0</v>
      </c>
      <c r="EM215" s="777">
        <f t="shared" si="385"/>
        <v>0</v>
      </c>
      <c r="EN215" s="777">
        <f t="shared" si="385"/>
        <v>0</v>
      </c>
      <c r="EO215" s="777">
        <f t="shared" si="385"/>
        <v>0</v>
      </c>
      <c r="EP215" s="777">
        <f t="shared" si="385"/>
        <v>0</v>
      </c>
      <c r="EQ215" s="777">
        <f t="shared" si="385"/>
        <v>0</v>
      </c>
      <c r="ER215" s="777">
        <f t="shared" si="385"/>
        <v>0</v>
      </c>
      <c r="ES215" s="777">
        <f t="shared" si="385"/>
        <v>0</v>
      </c>
      <c r="ET215" s="777">
        <f t="shared" si="385"/>
        <v>0</v>
      </c>
      <c r="EU215" s="777">
        <f t="shared" si="385"/>
        <v>0</v>
      </c>
      <c r="EV215" s="777">
        <f t="shared" si="385"/>
        <v>0</v>
      </c>
    </row>
    <row r="216" spans="1:152" ht="21" customHeight="1">
      <c r="A216" s="659">
        <v>78</v>
      </c>
      <c r="B216" s="660" t="s">
        <v>658</v>
      </c>
      <c r="C216" s="661">
        <f t="shared" si="386"/>
        <v>9</v>
      </c>
      <c r="D216" s="661">
        <f t="shared" si="387"/>
        <v>7</v>
      </c>
      <c r="E216" s="661"/>
      <c r="F216" s="661">
        <v>7</v>
      </c>
      <c r="G216" s="661"/>
      <c r="H216" s="661">
        <v>7</v>
      </c>
      <c r="I216" s="661">
        <v>2</v>
      </c>
      <c r="J216" s="661">
        <v>2</v>
      </c>
      <c r="K216" s="646">
        <f t="shared" si="395"/>
        <v>1576</v>
      </c>
      <c r="L216" s="662">
        <f t="shared" si="388"/>
        <v>1626</v>
      </c>
      <c r="M216" s="666">
        <v>784</v>
      </c>
      <c r="N216" s="666">
        <v>137</v>
      </c>
      <c r="O216" s="666">
        <v>46</v>
      </c>
      <c r="P216" s="666"/>
      <c r="Q216" s="666"/>
      <c r="R216" s="666"/>
      <c r="S216" s="666">
        <v>29</v>
      </c>
      <c r="T216" s="666">
        <f t="shared" si="376"/>
        <v>29</v>
      </c>
      <c r="U216" s="666">
        <f t="shared" si="377"/>
        <v>938</v>
      </c>
      <c r="V216" s="666">
        <v>595</v>
      </c>
      <c r="W216" s="666">
        <v>106</v>
      </c>
      <c r="X216" s="666"/>
      <c r="Y216" s="666">
        <f t="shared" si="397"/>
        <v>19.5</v>
      </c>
      <c r="Z216" s="666">
        <f t="shared" si="378"/>
        <v>59.5</v>
      </c>
      <c r="AA216" s="666">
        <v>43</v>
      </c>
      <c r="AB216" s="666">
        <f t="shared" si="379"/>
        <v>63</v>
      </c>
      <c r="AC216" s="666">
        <f t="shared" si="380"/>
        <v>638</v>
      </c>
      <c r="AD216" s="666">
        <v>50</v>
      </c>
      <c r="AE216" s="666"/>
      <c r="AF216" s="666"/>
      <c r="AG216" s="666"/>
      <c r="AH216" s="666"/>
      <c r="AI216" s="666"/>
      <c r="AJ216" s="666">
        <v>515</v>
      </c>
      <c r="AK216" s="666"/>
      <c r="AL216" s="664"/>
      <c r="AN216" s="621"/>
      <c r="AO216" s="659">
        <v>86</v>
      </c>
      <c r="AP216" s="660" t="s">
        <v>658</v>
      </c>
      <c r="AQ216" s="661">
        <f t="shared" si="389"/>
        <v>12</v>
      </c>
      <c r="AR216" s="661">
        <f t="shared" si="390"/>
        <v>10</v>
      </c>
      <c r="AS216" s="661"/>
      <c r="AT216" s="661">
        <v>10</v>
      </c>
      <c r="AU216" s="661"/>
      <c r="AV216" s="661">
        <v>8</v>
      </c>
      <c r="AW216" s="661">
        <v>2</v>
      </c>
      <c r="AX216" s="661">
        <v>2</v>
      </c>
      <c r="AY216" s="666">
        <f t="shared" si="391"/>
        <v>1472</v>
      </c>
      <c r="AZ216" s="670">
        <f>473+112+4+70+96+23</f>
        <v>778</v>
      </c>
      <c r="BA216" s="666">
        <v>163</v>
      </c>
      <c r="BB216" s="666">
        <v>46</v>
      </c>
      <c r="BC216" s="666"/>
      <c r="BD216" s="666"/>
      <c r="BE216" s="666">
        <f t="shared" si="381"/>
        <v>20.900000000000002</v>
      </c>
      <c r="BF216" s="667">
        <f t="shared" si="382"/>
        <v>21</v>
      </c>
      <c r="BG216" s="666">
        <f t="shared" si="392"/>
        <v>966</v>
      </c>
      <c r="BH216" s="666">
        <v>399</v>
      </c>
      <c r="BI216" s="666"/>
      <c r="BJ216" s="666">
        <v>147</v>
      </c>
      <c r="BK216" s="666"/>
      <c r="BL216" s="666">
        <f t="shared" si="383"/>
        <v>39.900000000000006</v>
      </c>
      <c r="BM216" s="667">
        <f t="shared" si="393"/>
        <v>40</v>
      </c>
      <c r="BN216" s="666">
        <f t="shared" si="394"/>
        <v>506</v>
      </c>
      <c r="BO216" s="666"/>
      <c r="BP216" s="666"/>
      <c r="BQ216" s="666"/>
      <c r="BR216" s="666"/>
      <c r="BS216" s="666"/>
      <c r="BT216" s="666"/>
      <c r="BU216" s="666">
        <v>515</v>
      </c>
      <c r="BV216" s="666"/>
      <c r="BW216" s="662"/>
      <c r="CA216" s="1352">
        <v>80</v>
      </c>
      <c r="CB216" s="1352" t="s">
        <v>658</v>
      </c>
      <c r="CC216" s="1352">
        <v>9</v>
      </c>
      <c r="CD216" s="1352">
        <v>7</v>
      </c>
      <c r="CE216" s="1352"/>
      <c r="CF216" s="1352">
        <v>7</v>
      </c>
      <c r="CG216" s="1352"/>
      <c r="CH216" s="1352">
        <v>7</v>
      </c>
      <c r="CI216" s="1352">
        <v>2</v>
      </c>
      <c r="CJ216" s="1352">
        <v>2</v>
      </c>
      <c r="CK216" s="1353">
        <v>1626</v>
      </c>
      <c r="CL216" s="1353">
        <v>784</v>
      </c>
      <c r="CM216" s="1354">
        <v>137</v>
      </c>
      <c r="CN216" s="1354">
        <v>46</v>
      </c>
      <c r="CO216" s="1354"/>
      <c r="CP216" s="1354"/>
      <c r="CQ216" s="1354"/>
      <c r="CR216" s="1354">
        <v>29</v>
      </c>
      <c r="CS216" s="1354">
        <v>29</v>
      </c>
      <c r="CT216" s="1353">
        <v>938</v>
      </c>
      <c r="CU216" s="1353">
        <v>595</v>
      </c>
      <c r="CV216" s="1353">
        <v>106</v>
      </c>
      <c r="CW216" s="1353"/>
      <c r="CX216" s="1353">
        <v>19.5</v>
      </c>
      <c r="CY216" s="1353">
        <v>59.5</v>
      </c>
      <c r="CZ216" s="1353">
        <v>43</v>
      </c>
      <c r="DA216" s="1353">
        <v>63</v>
      </c>
      <c r="DB216" s="1353">
        <v>638</v>
      </c>
      <c r="DC216" s="1353">
        <v>50</v>
      </c>
      <c r="DD216" s="1353"/>
      <c r="DE216" s="1353"/>
      <c r="DF216" s="1353"/>
      <c r="DG216" s="1353"/>
      <c r="DH216" s="1353"/>
      <c r="DI216" s="1353"/>
      <c r="DJ216" s="1353"/>
      <c r="DK216" s="1353"/>
      <c r="DT216" s="659">
        <v>80</v>
      </c>
      <c r="DU216" s="660" t="s">
        <v>658</v>
      </c>
      <c r="DV216" s="777">
        <f t="shared" si="384"/>
        <v>0</v>
      </c>
      <c r="DW216" s="777">
        <f t="shared" si="384"/>
        <v>0</v>
      </c>
      <c r="DX216" s="777">
        <f t="shared" si="384"/>
        <v>0</v>
      </c>
      <c r="DY216" s="777">
        <f t="shared" si="384"/>
        <v>0</v>
      </c>
      <c r="DZ216" s="777">
        <f t="shared" si="384"/>
        <v>0</v>
      </c>
      <c r="EA216" s="777">
        <f t="shared" si="384"/>
        <v>0</v>
      </c>
      <c r="EB216" s="777">
        <f t="shared" si="384"/>
        <v>0</v>
      </c>
      <c r="EC216" s="777">
        <f t="shared" si="384"/>
        <v>0</v>
      </c>
      <c r="ED216" s="777">
        <f t="shared" si="384"/>
        <v>0</v>
      </c>
      <c r="EE216" s="777">
        <f t="shared" si="384"/>
        <v>0</v>
      </c>
      <c r="EF216" s="777">
        <f t="shared" si="384"/>
        <v>0</v>
      </c>
      <c r="EG216" s="777">
        <f t="shared" si="384"/>
        <v>0</v>
      </c>
      <c r="EH216" s="777">
        <f t="shared" si="384"/>
        <v>0</v>
      </c>
      <c r="EI216" s="777">
        <f t="shared" si="384"/>
        <v>0</v>
      </c>
      <c r="EJ216" s="777">
        <f t="shared" si="384"/>
        <v>0</v>
      </c>
      <c r="EK216" s="777">
        <f t="shared" si="384"/>
        <v>0</v>
      </c>
      <c r="EL216" s="777">
        <f t="shared" si="385"/>
        <v>0</v>
      </c>
      <c r="EM216" s="777">
        <f t="shared" si="385"/>
        <v>0</v>
      </c>
      <c r="EN216" s="777">
        <f t="shared" si="385"/>
        <v>0</v>
      </c>
      <c r="EO216" s="777">
        <f t="shared" si="385"/>
        <v>0</v>
      </c>
      <c r="EP216" s="777">
        <f t="shared" si="385"/>
        <v>0</v>
      </c>
      <c r="EQ216" s="777">
        <f t="shared" si="385"/>
        <v>0</v>
      </c>
      <c r="ER216" s="777">
        <f t="shared" si="385"/>
        <v>0</v>
      </c>
      <c r="ES216" s="777">
        <f t="shared" si="385"/>
        <v>0</v>
      </c>
      <c r="ET216" s="777">
        <f t="shared" si="385"/>
        <v>515</v>
      </c>
      <c r="EU216" s="777">
        <f t="shared" si="385"/>
        <v>0</v>
      </c>
      <c r="EV216" s="777">
        <f t="shared" si="385"/>
        <v>0</v>
      </c>
    </row>
    <row r="217" spans="1:152" ht="21" customHeight="1">
      <c r="A217" s="659">
        <v>79</v>
      </c>
      <c r="B217" s="660" t="s">
        <v>659</v>
      </c>
      <c r="C217" s="661">
        <f t="shared" si="386"/>
        <v>5</v>
      </c>
      <c r="D217" s="661">
        <f t="shared" si="387"/>
        <v>5</v>
      </c>
      <c r="E217" s="661"/>
      <c r="F217" s="661">
        <v>5</v>
      </c>
      <c r="G217" s="661"/>
      <c r="H217" s="661">
        <v>5</v>
      </c>
      <c r="I217" s="661"/>
      <c r="J217" s="661"/>
      <c r="K217" s="646">
        <f t="shared" si="395"/>
        <v>447</v>
      </c>
      <c r="L217" s="662">
        <f t="shared" si="388"/>
        <v>447</v>
      </c>
      <c r="M217" s="666">
        <v>330</v>
      </c>
      <c r="N217" s="666">
        <v>104</v>
      </c>
      <c r="O217" s="666">
        <v>26</v>
      </c>
      <c r="P217" s="666"/>
      <c r="Q217" s="666"/>
      <c r="R217" s="666">
        <f>((N217+O217)-(BA217+BB217))*10%</f>
        <v>0</v>
      </c>
      <c r="S217" s="666">
        <v>13</v>
      </c>
      <c r="T217" s="666">
        <f t="shared" si="376"/>
        <v>13</v>
      </c>
      <c r="U217" s="666">
        <f t="shared" si="377"/>
        <v>447</v>
      </c>
      <c r="V217" s="666"/>
      <c r="W217" s="666"/>
      <c r="X217" s="666"/>
      <c r="Y217" s="666">
        <f t="shared" si="397"/>
        <v>0</v>
      </c>
      <c r="Z217" s="666">
        <f t="shared" si="378"/>
        <v>0</v>
      </c>
      <c r="AA217" s="666"/>
      <c r="AB217" s="666">
        <f t="shared" si="379"/>
        <v>0</v>
      </c>
      <c r="AC217" s="666">
        <f t="shared" si="380"/>
        <v>0</v>
      </c>
      <c r="AD217" s="666"/>
      <c r="AE217" s="666"/>
      <c r="AF217" s="666"/>
      <c r="AG217" s="666"/>
      <c r="AH217" s="666"/>
      <c r="AI217" s="666"/>
      <c r="AJ217" s="666"/>
      <c r="AK217" s="666"/>
      <c r="AL217" s="664"/>
      <c r="AN217" s="610"/>
      <c r="AO217" s="659">
        <v>87</v>
      </c>
      <c r="AP217" s="660" t="s">
        <v>659</v>
      </c>
      <c r="AQ217" s="661">
        <f t="shared" si="389"/>
        <v>5</v>
      </c>
      <c r="AR217" s="661">
        <f t="shared" si="390"/>
        <v>5</v>
      </c>
      <c r="AS217" s="661"/>
      <c r="AT217" s="661">
        <v>5</v>
      </c>
      <c r="AU217" s="661"/>
      <c r="AV217" s="661"/>
      <c r="AW217" s="661"/>
      <c r="AX217" s="661"/>
      <c r="AY217" s="666">
        <f t="shared" si="391"/>
        <v>912</v>
      </c>
      <c r="AZ217" s="670">
        <f>237+56+2</f>
        <v>295</v>
      </c>
      <c r="BA217" s="666">
        <v>104</v>
      </c>
      <c r="BB217" s="666">
        <v>26</v>
      </c>
      <c r="BC217" s="666"/>
      <c r="BD217" s="666"/>
      <c r="BE217" s="666">
        <f t="shared" si="381"/>
        <v>13</v>
      </c>
      <c r="BF217" s="667">
        <f t="shared" si="382"/>
        <v>13</v>
      </c>
      <c r="BG217" s="666">
        <f t="shared" si="392"/>
        <v>412</v>
      </c>
      <c r="BH217" s="666"/>
      <c r="BI217" s="666">
        <v>500</v>
      </c>
      <c r="BJ217" s="666"/>
      <c r="BK217" s="666"/>
      <c r="BL217" s="666">
        <f t="shared" si="383"/>
        <v>0</v>
      </c>
      <c r="BM217" s="667">
        <f t="shared" si="393"/>
        <v>0</v>
      </c>
      <c r="BN217" s="666">
        <f t="shared" si="394"/>
        <v>500</v>
      </c>
      <c r="BO217" s="666"/>
      <c r="BP217" s="666"/>
      <c r="BQ217" s="666"/>
      <c r="BR217" s="666"/>
      <c r="BS217" s="666"/>
      <c r="BT217" s="666"/>
      <c r="BU217" s="666"/>
      <c r="BV217" s="666"/>
      <c r="BW217" s="662"/>
      <c r="CA217" s="1352">
        <v>81</v>
      </c>
      <c r="CB217" s="1352" t="s">
        <v>659</v>
      </c>
      <c r="CC217" s="1352">
        <v>5</v>
      </c>
      <c r="CD217" s="1352">
        <v>5</v>
      </c>
      <c r="CE217" s="1352"/>
      <c r="CF217" s="1352">
        <v>5</v>
      </c>
      <c r="CG217" s="1352"/>
      <c r="CH217" s="1352">
        <v>5</v>
      </c>
      <c r="CI217" s="1352"/>
      <c r="CJ217" s="1352"/>
      <c r="CK217" s="1353">
        <v>447</v>
      </c>
      <c r="CL217" s="1353">
        <v>330</v>
      </c>
      <c r="CM217" s="1354">
        <v>104</v>
      </c>
      <c r="CN217" s="1354">
        <v>26</v>
      </c>
      <c r="CO217" s="1354"/>
      <c r="CP217" s="1354"/>
      <c r="CQ217" s="1354">
        <v>0</v>
      </c>
      <c r="CR217" s="1354">
        <v>13</v>
      </c>
      <c r="CS217" s="1354">
        <v>13</v>
      </c>
      <c r="CT217" s="1353">
        <v>447</v>
      </c>
      <c r="CU217" s="1353"/>
      <c r="CV217" s="1353"/>
      <c r="CW217" s="1353"/>
      <c r="CX217" s="1353">
        <v>0</v>
      </c>
      <c r="CY217" s="1353">
        <v>0</v>
      </c>
      <c r="CZ217" s="1353"/>
      <c r="DA217" s="1353">
        <v>0</v>
      </c>
      <c r="DB217" s="1353">
        <v>0</v>
      </c>
      <c r="DC217" s="1353"/>
      <c r="DD217" s="1353"/>
      <c r="DE217" s="1353"/>
      <c r="DF217" s="1353"/>
      <c r="DG217" s="1353"/>
      <c r="DH217" s="1353"/>
      <c r="DI217" s="1353"/>
      <c r="DJ217" s="1353"/>
      <c r="DK217" s="1353"/>
      <c r="DT217" s="659">
        <v>81</v>
      </c>
      <c r="DU217" s="660" t="s">
        <v>659</v>
      </c>
      <c r="DV217" s="777">
        <f t="shared" si="384"/>
        <v>0</v>
      </c>
      <c r="DW217" s="777">
        <f t="shared" si="384"/>
        <v>0</v>
      </c>
      <c r="DX217" s="777">
        <f t="shared" si="384"/>
        <v>0</v>
      </c>
      <c r="DY217" s="777">
        <f t="shared" si="384"/>
        <v>0</v>
      </c>
      <c r="DZ217" s="777">
        <f t="shared" si="384"/>
        <v>0</v>
      </c>
      <c r="EA217" s="777">
        <f t="shared" si="384"/>
        <v>0</v>
      </c>
      <c r="EB217" s="777">
        <f t="shared" si="384"/>
        <v>0</v>
      </c>
      <c r="EC217" s="777">
        <f t="shared" si="384"/>
        <v>0</v>
      </c>
      <c r="ED217" s="777">
        <f t="shared" si="384"/>
        <v>0</v>
      </c>
      <c r="EE217" s="777">
        <f t="shared" si="384"/>
        <v>0</v>
      </c>
      <c r="EF217" s="777">
        <f t="shared" si="384"/>
        <v>0</v>
      </c>
      <c r="EG217" s="777">
        <f t="shared" si="384"/>
        <v>0</v>
      </c>
      <c r="EH217" s="777">
        <f t="shared" si="384"/>
        <v>0</v>
      </c>
      <c r="EI217" s="777">
        <f t="shared" si="384"/>
        <v>0</v>
      </c>
      <c r="EJ217" s="777">
        <f t="shared" si="384"/>
        <v>0</v>
      </c>
      <c r="EK217" s="777">
        <f t="shared" si="384"/>
        <v>0</v>
      </c>
      <c r="EL217" s="777">
        <f t="shared" si="385"/>
        <v>0</v>
      </c>
      <c r="EM217" s="777">
        <f t="shared" si="385"/>
        <v>0</v>
      </c>
      <c r="EN217" s="777">
        <f t="shared" si="385"/>
        <v>0</v>
      </c>
      <c r="EO217" s="777">
        <f t="shared" si="385"/>
        <v>0</v>
      </c>
      <c r="EP217" s="777">
        <f t="shared" si="385"/>
        <v>0</v>
      </c>
      <c r="EQ217" s="777">
        <f t="shared" si="385"/>
        <v>0</v>
      </c>
      <c r="ER217" s="777">
        <f t="shared" si="385"/>
        <v>0</v>
      </c>
      <c r="ES217" s="777">
        <f t="shared" si="385"/>
        <v>0</v>
      </c>
      <c r="ET217" s="777">
        <f t="shared" si="385"/>
        <v>0</v>
      </c>
      <c r="EU217" s="777">
        <f t="shared" si="385"/>
        <v>0</v>
      </c>
      <c r="EV217" s="777">
        <f t="shared" si="385"/>
        <v>0</v>
      </c>
    </row>
    <row r="218" spans="1:152" ht="21" customHeight="1">
      <c r="A218" s="659">
        <v>80</v>
      </c>
      <c r="B218" s="660" t="s">
        <v>660</v>
      </c>
      <c r="C218" s="661">
        <f t="shared" si="386"/>
        <v>3</v>
      </c>
      <c r="D218" s="661">
        <f t="shared" si="387"/>
        <v>3</v>
      </c>
      <c r="E218" s="661"/>
      <c r="F218" s="661">
        <v>3</v>
      </c>
      <c r="G218" s="661"/>
      <c r="H218" s="661">
        <v>3</v>
      </c>
      <c r="I218" s="661"/>
      <c r="J218" s="661"/>
      <c r="K218" s="646">
        <f t="shared" si="395"/>
        <v>444</v>
      </c>
      <c r="L218" s="662">
        <f t="shared" si="388"/>
        <v>444</v>
      </c>
      <c r="M218" s="666">
        <v>289</v>
      </c>
      <c r="N218" s="666">
        <v>63</v>
      </c>
      <c r="O218" s="666">
        <v>15</v>
      </c>
      <c r="P218" s="666"/>
      <c r="Q218" s="666"/>
      <c r="R218" s="666">
        <f>((N218+O218)-(BA218+BB218))*10%</f>
        <v>0</v>
      </c>
      <c r="S218" s="666">
        <v>8</v>
      </c>
      <c r="T218" s="666">
        <f t="shared" si="376"/>
        <v>8</v>
      </c>
      <c r="U218" s="666">
        <f t="shared" si="377"/>
        <v>359</v>
      </c>
      <c r="V218" s="666">
        <v>98</v>
      </c>
      <c r="W218" s="666"/>
      <c r="X218" s="666"/>
      <c r="Y218" s="666">
        <f t="shared" si="397"/>
        <v>3.8000000000000007</v>
      </c>
      <c r="Z218" s="666">
        <f t="shared" si="378"/>
        <v>9.8000000000000007</v>
      </c>
      <c r="AA218" s="666">
        <v>9</v>
      </c>
      <c r="AB218" s="666">
        <f t="shared" si="379"/>
        <v>13</v>
      </c>
      <c r="AC218" s="666">
        <f t="shared" si="380"/>
        <v>85</v>
      </c>
      <c r="AD218" s="666"/>
      <c r="AE218" s="666"/>
      <c r="AF218" s="666"/>
      <c r="AG218" s="666"/>
      <c r="AH218" s="666"/>
      <c r="AI218" s="666"/>
      <c r="AJ218" s="666"/>
      <c r="AK218" s="666"/>
      <c r="AL218" s="664"/>
      <c r="AN218" s="610"/>
      <c r="AO218" s="659">
        <v>88</v>
      </c>
      <c r="AP218" s="660" t="s">
        <v>660</v>
      </c>
      <c r="AQ218" s="661">
        <f t="shared" si="389"/>
        <v>3</v>
      </c>
      <c r="AR218" s="661">
        <f t="shared" si="390"/>
        <v>3</v>
      </c>
      <c r="AS218" s="661"/>
      <c r="AT218" s="661">
        <v>3</v>
      </c>
      <c r="AU218" s="661"/>
      <c r="AV218" s="661">
        <v>3</v>
      </c>
      <c r="AW218" s="661"/>
      <c r="AX218" s="661"/>
      <c r="AY218" s="666">
        <f t="shared" si="391"/>
        <v>394</v>
      </c>
      <c r="AZ218" s="670">
        <f>152+36+70+10</f>
        <v>268</v>
      </c>
      <c r="BA218" s="666">
        <v>63</v>
      </c>
      <c r="BB218" s="666">
        <v>15</v>
      </c>
      <c r="BC218" s="666"/>
      <c r="BD218" s="666"/>
      <c r="BE218" s="666">
        <f t="shared" si="381"/>
        <v>7.8000000000000007</v>
      </c>
      <c r="BF218" s="667">
        <f t="shared" si="382"/>
        <v>8</v>
      </c>
      <c r="BG218" s="666">
        <f t="shared" si="392"/>
        <v>338</v>
      </c>
      <c r="BH218" s="666">
        <v>62</v>
      </c>
      <c r="BI218" s="666"/>
      <c r="BJ218" s="666"/>
      <c r="BK218" s="666"/>
      <c r="BL218" s="666">
        <f t="shared" si="383"/>
        <v>6.2</v>
      </c>
      <c r="BM218" s="667">
        <f t="shared" si="393"/>
        <v>6</v>
      </c>
      <c r="BN218" s="666">
        <f t="shared" si="394"/>
        <v>56</v>
      </c>
      <c r="BO218" s="666"/>
      <c r="BP218" s="666"/>
      <c r="BQ218" s="666"/>
      <c r="BR218" s="666"/>
      <c r="BS218" s="666"/>
      <c r="BT218" s="666"/>
      <c r="BU218" s="666"/>
      <c r="BV218" s="666"/>
      <c r="BW218" s="662"/>
      <c r="CA218" s="1352">
        <v>82</v>
      </c>
      <c r="CB218" s="1352" t="s">
        <v>660</v>
      </c>
      <c r="CC218" s="1352">
        <v>3</v>
      </c>
      <c r="CD218" s="1352">
        <v>3</v>
      </c>
      <c r="CE218" s="1352"/>
      <c r="CF218" s="1352">
        <v>3</v>
      </c>
      <c r="CG218" s="1352"/>
      <c r="CH218" s="1352">
        <v>3</v>
      </c>
      <c r="CI218" s="1352"/>
      <c r="CJ218" s="1352"/>
      <c r="CK218" s="1353">
        <v>444</v>
      </c>
      <c r="CL218" s="1353">
        <v>289</v>
      </c>
      <c r="CM218" s="1354">
        <v>63</v>
      </c>
      <c r="CN218" s="1354">
        <v>15</v>
      </c>
      <c r="CO218" s="1354"/>
      <c r="CP218" s="1354"/>
      <c r="CQ218" s="1354">
        <v>0</v>
      </c>
      <c r="CR218" s="1354">
        <v>8</v>
      </c>
      <c r="CS218" s="1354">
        <v>8</v>
      </c>
      <c r="CT218" s="1353">
        <v>359</v>
      </c>
      <c r="CU218" s="1353">
        <v>98</v>
      </c>
      <c r="CV218" s="1353"/>
      <c r="CW218" s="1353"/>
      <c r="CX218" s="1353">
        <v>3.8000000000000007</v>
      </c>
      <c r="CY218" s="1353">
        <v>9.8000000000000007</v>
      </c>
      <c r="CZ218" s="1353">
        <v>9</v>
      </c>
      <c r="DA218" s="1353">
        <v>13</v>
      </c>
      <c r="DB218" s="1353">
        <v>85</v>
      </c>
      <c r="DC218" s="1353"/>
      <c r="DD218" s="1353"/>
      <c r="DE218" s="1353"/>
      <c r="DF218" s="1353"/>
      <c r="DG218" s="1353"/>
      <c r="DH218" s="1353"/>
      <c r="DI218" s="1353"/>
      <c r="DJ218" s="1353"/>
      <c r="DK218" s="1353"/>
      <c r="DT218" s="659">
        <v>82</v>
      </c>
      <c r="DU218" s="660" t="s">
        <v>660</v>
      </c>
      <c r="DV218" s="777">
        <f t="shared" si="384"/>
        <v>0</v>
      </c>
      <c r="DW218" s="777">
        <f t="shared" si="384"/>
        <v>0</v>
      </c>
      <c r="DX218" s="777">
        <f t="shared" si="384"/>
        <v>0</v>
      </c>
      <c r="DY218" s="777">
        <f t="shared" si="384"/>
        <v>0</v>
      </c>
      <c r="DZ218" s="777">
        <f t="shared" si="384"/>
        <v>0</v>
      </c>
      <c r="EA218" s="777">
        <f t="shared" si="384"/>
        <v>0</v>
      </c>
      <c r="EB218" s="777">
        <f t="shared" si="384"/>
        <v>0</v>
      </c>
      <c r="EC218" s="777">
        <f t="shared" si="384"/>
        <v>0</v>
      </c>
      <c r="ED218" s="777">
        <f t="shared" si="384"/>
        <v>0</v>
      </c>
      <c r="EE218" s="777">
        <f t="shared" si="384"/>
        <v>0</v>
      </c>
      <c r="EF218" s="777">
        <f t="shared" si="384"/>
        <v>0</v>
      </c>
      <c r="EG218" s="777">
        <f t="shared" si="384"/>
        <v>0</v>
      </c>
      <c r="EH218" s="777">
        <f t="shared" si="384"/>
        <v>0</v>
      </c>
      <c r="EI218" s="777">
        <f t="shared" si="384"/>
        <v>0</v>
      </c>
      <c r="EJ218" s="777">
        <f t="shared" si="384"/>
        <v>0</v>
      </c>
      <c r="EK218" s="777">
        <f t="shared" ref="EK218:EK219" si="398">AA218-CZ218</f>
        <v>0</v>
      </c>
      <c r="EL218" s="777">
        <f t="shared" si="385"/>
        <v>0</v>
      </c>
      <c r="EM218" s="777">
        <f t="shared" si="385"/>
        <v>0</v>
      </c>
      <c r="EN218" s="777">
        <f t="shared" si="385"/>
        <v>0</v>
      </c>
      <c r="EO218" s="777">
        <f t="shared" si="385"/>
        <v>0</v>
      </c>
      <c r="EP218" s="777">
        <f t="shared" si="385"/>
        <v>0</v>
      </c>
      <c r="EQ218" s="777">
        <f t="shared" si="385"/>
        <v>0</v>
      </c>
      <c r="ER218" s="777">
        <f t="shared" si="385"/>
        <v>0</v>
      </c>
      <c r="ES218" s="777">
        <f t="shared" si="385"/>
        <v>0</v>
      </c>
      <c r="ET218" s="777">
        <f t="shared" si="385"/>
        <v>0</v>
      </c>
      <c r="EU218" s="777">
        <f t="shared" si="385"/>
        <v>0</v>
      </c>
      <c r="EV218" s="777">
        <f t="shared" si="385"/>
        <v>0</v>
      </c>
    </row>
    <row r="219" spans="1:152" ht="21" customHeight="1">
      <c r="A219" s="659">
        <v>81</v>
      </c>
      <c r="B219" s="660" t="s">
        <v>661</v>
      </c>
      <c r="C219" s="661">
        <f t="shared" si="386"/>
        <v>12</v>
      </c>
      <c r="D219" s="661">
        <f t="shared" si="387"/>
        <v>11</v>
      </c>
      <c r="E219" s="661"/>
      <c r="F219" s="661">
        <v>11</v>
      </c>
      <c r="G219" s="661"/>
      <c r="H219" s="661">
        <v>10</v>
      </c>
      <c r="I219" s="661">
        <v>1</v>
      </c>
      <c r="J219" s="661">
        <v>1</v>
      </c>
      <c r="K219" s="646">
        <f t="shared" si="395"/>
        <v>1696</v>
      </c>
      <c r="L219" s="662">
        <f t="shared" si="388"/>
        <v>1917</v>
      </c>
      <c r="M219" s="666">
        <v>1004</v>
      </c>
      <c r="N219" s="666">
        <v>213</v>
      </c>
      <c r="O219" s="666">
        <v>74</v>
      </c>
      <c r="P219" s="666"/>
      <c r="Q219" s="666"/>
      <c r="R219" s="666"/>
      <c r="S219" s="666">
        <v>34</v>
      </c>
      <c r="T219" s="666">
        <f t="shared" si="376"/>
        <v>34</v>
      </c>
      <c r="U219" s="666">
        <f t="shared" si="377"/>
        <v>1257</v>
      </c>
      <c r="V219" s="666">
        <v>450</v>
      </c>
      <c r="W219" s="666">
        <v>30</v>
      </c>
      <c r="X219" s="666"/>
      <c r="Y219" s="666">
        <f t="shared" si="397"/>
        <v>23</v>
      </c>
      <c r="Z219" s="666">
        <f t="shared" si="378"/>
        <v>45</v>
      </c>
      <c r="AA219" s="666">
        <v>18</v>
      </c>
      <c r="AB219" s="666">
        <f t="shared" si="379"/>
        <v>41</v>
      </c>
      <c r="AC219" s="666">
        <f t="shared" si="380"/>
        <v>439</v>
      </c>
      <c r="AD219" s="666">
        <v>221</v>
      </c>
      <c r="AE219" s="666"/>
      <c r="AF219" s="666"/>
      <c r="AG219" s="666"/>
      <c r="AH219" s="666"/>
      <c r="AI219" s="666"/>
      <c r="AJ219" s="666"/>
      <c r="AK219" s="666"/>
      <c r="AL219" s="664"/>
      <c r="AN219" s="610"/>
      <c r="AO219" s="659">
        <v>89</v>
      </c>
      <c r="AP219" s="660" t="s">
        <v>661</v>
      </c>
      <c r="AQ219" s="661">
        <f t="shared" si="389"/>
        <v>14</v>
      </c>
      <c r="AR219" s="661">
        <f t="shared" si="390"/>
        <v>13</v>
      </c>
      <c r="AS219" s="661"/>
      <c r="AT219" s="661">
        <v>13</v>
      </c>
      <c r="AU219" s="661"/>
      <c r="AV219" s="661">
        <v>11</v>
      </c>
      <c r="AW219" s="661">
        <v>1</v>
      </c>
      <c r="AX219" s="661">
        <v>1</v>
      </c>
      <c r="AY219" s="666">
        <f t="shared" si="391"/>
        <v>1968</v>
      </c>
      <c r="AZ219" s="670">
        <f>692+73+180+70+43+10</f>
        <v>1068</v>
      </c>
      <c r="BA219" s="666">
        <v>265</v>
      </c>
      <c r="BB219" s="666">
        <v>74</v>
      </c>
      <c r="BC219" s="666"/>
      <c r="BD219" s="666"/>
      <c r="BE219" s="666">
        <f t="shared" si="381"/>
        <v>33.9</v>
      </c>
      <c r="BF219" s="667">
        <f t="shared" si="382"/>
        <v>34</v>
      </c>
      <c r="BG219" s="666">
        <f t="shared" si="392"/>
        <v>1373</v>
      </c>
      <c r="BH219" s="666">
        <v>216</v>
      </c>
      <c r="BI219" s="666"/>
      <c r="BJ219" s="666">
        <v>173</v>
      </c>
      <c r="BK219" s="666"/>
      <c r="BL219" s="666">
        <f t="shared" si="383"/>
        <v>21.6</v>
      </c>
      <c r="BM219" s="667">
        <f t="shared" si="393"/>
        <v>22</v>
      </c>
      <c r="BN219" s="666">
        <f t="shared" si="394"/>
        <v>367</v>
      </c>
      <c r="BO219" s="666">
        <v>228</v>
      </c>
      <c r="BP219" s="666"/>
      <c r="BQ219" s="666"/>
      <c r="BR219" s="666"/>
      <c r="BS219" s="666"/>
      <c r="BT219" s="666"/>
      <c r="BU219" s="666"/>
      <c r="BV219" s="666"/>
      <c r="BW219" s="662"/>
      <c r="CA219" s="1352">
        <v>83</v>
      </c>
      <c r="CB219" s="1352" t="s">
        <v>661</v>
      </c>
      <c r="CC219" s="1352">
        <v>12</v>
      </c>
      <c r="CD219" s="1352">
        <v>11</v>
      </c>
      <c r="CE219" s="1352"/>
      <c r="CF219" s="1352">
        <v>11</v>
      </c>
      <c r="CG219" s="1352"/>
      <c r="CH219" s="1352">
        <v>10</v>
      </c>
      <c r="CI219" s="1352">
        <v>1</v>
      </c>
      <c r="CJ219" s="1352">
        <v>1</v>
      </c>
      <c r="CK219" s="1353">
        <v>1917</v>
      </c>
      <c r="CL219" s="1353">
        <v>1004</v>
      </c>
      <c r="CM219" s="1354">
        <v>213</v>
      </c>
      <c r="CN219" s="1354">
        <v>74</v>
      </c>
      <c r="CO219" s="1354"/>
      <c r="CP219" s="1354"/>
      <c r="CQ219" s="1354"/>
      <c r="CR219" s="1354">
        <v>34</v>
      </c>
      <c r="CS219" s="1354">
        <v>34</v>
      </c>
      <c r="CT219" s="1353">
        <v>1257</v>
      </c>
      <c r="CU219" s="1353">
        <v>450</v>
      </c>
      <c r="CV219" s="1353">
        <v>30</v>
      </c>
      <c r="CW219" s="1353"/>
      <c r="CX219" s="1353">
        <v>23</v>
      </c>
      <c r="CY219" s="1353">
        <v>45</v>
      </c>
      <c r="CZ219" s="1353">
        <v>18</v>
      </c>
      <c r="DA219" s="1353">
        <v>41</v>
      </c>
      <c r="DB219" s="1353">
        <v>439</v>
      </c>
      <c r="DC219" s="1353">
        <v>221</v>
      </c>
      <c r="DD219" s="1353"/>
      <c r="DE219" s="1353"/>
      <c r="DF219" s="1353"/>
      <c r="DG219" s="1353"/>
      <c r="DH219" s="1353"/>
      <c r="DI219" s="1353"/>
      <c r="DJ219" s="1353"/>
      <c r="DK219" s="1353"/>
      <c r="DT219" s="659">
        <v>83</v>
      </c>
      <c r="DU219" s="660" t="s">
        <v>661</v>
      </c>
      <c r="DV219" s="777">
        <f t="shared" ref="DV219:EJ219" si="399">L219-CK219</f>
        <v>0</v>
      </c>
      <c r="DW219" s="777">
        <f t="shared" si="399"/>
        <v>0</v>
      </c>
      <c r="DX219" s="777">
        <f t="shared" si="399"/>
        <v>0</v>
      </c>
      <c r="DY219" s="777">
        <f t="shared" si="399"/>
        <v>0</v>
      </c>
      <c r="DZ219" s="777">
        <f t="shared" si="399"/>
        <v>0</v>
      </c>
      <c r="EA219" s="777">
        <f t="shared" si="399"/>
        <v>0</v>
      </c>
      <c r="EB219" s="777">
        <f t="shared" si="399"/>
        <v>0</v>
      </c>
      <c r="EC219" s="777">
        <f t="shared" si="399"/>
        <v>0</v>
      </c>
      <c r="ED219" s="777">
        <f t="shared" si="399"/>
        <v>0</v>
      </c>
      <c r="EE219" s="777">
        <f t="shared" si="399"/>
        <v>0</v>
      </c>
      <c r="EF219" s="777">
        <f t="shared" si="399"/>
        <v>0</v>
      </c>
      <c r="EG219" s="777">
        <f t="shared" si="399"/>
        <v>0</v>
      </c>
      <c r="EH219" s="777">
        <f t="shared" si="399"/>
        <v>0</v>
      </c>
      <c r="EI219" s="777">
        <f t="shared" si="399"/>
        <v>0</v>
      </c>
      <c r="EJ219" s="777">
        <f t="shared" si="399"/>
        <v>0</v>
      </c>
      <c r="EK219" s="777">
        <f t="shared" si="398"/>
        <v>0</v>
      </c>
      <c r="EL219" s="777">
        <f t="shared" si="385"/>
        <v>0</v>
      </c>
      <c r="EM219" s="777">
        <f t="shared" si="385"/>
        <v>0</v>
      </c>
      <c r="EN219" s="777">
        <f t="shared" si="385"/>
        <v>0</v>
      </c>
      <c r="EO219" s="777">
        <f t="shared" si="385"/>
        <v>0</v>
      </c>
      <c r="EP219" s="777">
        <f t="shared" si="385"/>
        <v>0</v>
      </c>
      <c r="EQ219" s="777">
        <f t="shared" si="385"/>
        <v>0</v>
      </c>
      <c r="ER219" s="777">
        <f t="shared" si="385"/>
        <v>0</v>
      </c>
      <c r="ES219" s="777">
        <f t="shared" si="385"/>
        <v>0</v>
      </c>
      <c r="ET219" s="777">
        <f t="shared" si="385"/>
        <v>0</v>
      </c>
      <c r="EU219" s="777">
        <f t="shared" si="385"/>
        <v>0</v>
      </c>
      <c r="EV219" s="777">
        <f t="shared" si="385"/>
        <v>0</v>
      </c>
    </row>
    <row r="220" spans="1:152" s="614" customFormat="1" ht="40.5" customHeight="1">
      <c r="A220" s="1429" t="s">
        <v>662</v>
      </c>
      <c r="B220" s="651" t="s">
        <v>663</v>
      </c>
      <c r="C220" s="1430">
        <f>SUM(C221)</f>
        <v>0</v>
      </c>
      <c r="D220" s="1430"/>
      <c r="E220" s="1430"/>
      <c r="F220" s="1430"/>
      <c r="G220" s="1430">
        <f>SUM(G221)</f>
        <v>0</v>
      </c>
      <c r="H220" s="1430">
        <f>SUM(H221)</f>
        <v>0</v>
      </c>
      <c r="I220" s="1430"/>
      <c r="J220" s="1430"/>
      <c r="K220" s="646">
        <f t="shared" si="395"/>
        <v>45807</v>
      </c>
      <c r="L220" s="653">
        <f t="shared" ref="L220:R220" si="400">L221+L231+L232+L233</f>
        <v>45807</v>
      </c>
      <c r="M220" s="653">
        <f t="shared" si="400"/>
        <v>0</v>
      </c>
      <c r="N220" s="653">
        <f t="shared" si="400"/>
        <v>0</v>
      </c>
      <c r="O220" s="653">
        <f t="shared" si="400"/>
        <v>0</v>
      </c>
      <c r="P220" s="653">
        <f t="shared" si="400"/>
        <v>0</v>
      </c>
      <c r="Q220" s="653">
        <f t="shared" si="400"/>
        <v>0</v>
      </c>
      <c r="R220" s="653">
        <f t="shared" si="400"/>
        <v>0</v>
      </c>
      <c r="S220" s="653"/>
      <c r="T220" s="653"/>
      <c r="U220" s="653">
        <f>U221+U231+U232+U233</f>
        <v>0</v>
      </c>
      <c r="V220" s="653">
        <f>V221+V231+V232+V233</f>
        <v>45807</v>
      </c>
      <c r="W220" s="653">
        <f>W221+W231+W232+W233</f>
        <v>0</v>
      </c>
      <c r="X220" s="653">
        <f>X221+X231+X232+X233</f>
        <v>0</v>
      </c>
      <c r="Y220" s="653">
        <f>Y221+Y231+Y232+Y233</f>
        <v>0</v>
      </c>
      <c r="Z220" s="653"/>
      <c r="AA220" s="653"/>
      <c r="AB220" s="653"/>
      <c r="AC220" s="653">
        <f t="shared" ref="AC220:AM220" si="401">AC221+AC231+AC232+AC233</f>
        <v>45807</v>
      </c>
      <c r="AD220" s="653">
        <f t="shared" si="401"/>
        <v>0</v>
      </c>
      <c r="AE220" s="653">
        <f t="shared" si="401"/>
        <v>0</v>
      </c>
      <c r="AF220" s="653">
        <f t="shared" si="401"/>
        <v>0</v>
      </c>
      <c r="AG220" s="653">
        <f t="shared" si="401"/>
        <v>0</v>
      </c>
      <c r="AH220" s="653">
        <f t="shared" si="401"/>
        <v>0</v>
      </c>
      <c r="AI220" s="653">
        <f t="shared" si="401"/>
        <v>0</v>
      </c>
      <c r="AJ220" s="653">
        <f t="shared" si="401"/>
        <v>2400</v>
      </c>
      <c r="AK220" s="653">
        <f t="shared" si="401"/>
        <v>73131</v>
      </c>
      <c r="AL220" s="656">
        <f t="shared" si="401"/>
        <v>0</v>
      </c>
      <c r="AM220" s="657">
        <f t="shared" si="401"/>
        <v>0</v>
      </c>
      <c r="AN220" s="610">
        <v>0</v>
      </c>
      <c r="AO220" s="1323" t="s">
        <v>662</v>
      </c>
      <c r="AP220" s="651" t="s">
        <v>663</v>
      </c>
      <c r="AQ220" s="1320">
        <f>SUM(AQ221)</f>
        <v>0</v>
      </c>
      <c r="AR220" s="1320"/>
      <c r="AS220" s="1320"/>
      <c r="AT220" s="1320"/>
      <c r="AU220" s="1320">
        <f>SUM(AU221)</f>
        <v>0</v>
      </c>
      <c r="AV220" s="1320">
        <f>SUM(AV221)</f>
        <v>0</v>
      </c>
      <c r="AW220" s="1320"/>
      <c r="AX220" s="1320"/>
      <c r="AY220" s="653">
        <f t="shared" ref="AY220:BE220" si="402">AY221+AY231+AY232+AY233</f>
        <v>27067</v>
      </c>
      <c r="AZ220" s="658">
        <f t="shared" si="402"/>
        <v>0</v>
      </c>
      <c r="BA220" s="653">
        <f t="shared" si="402"/>
        <v>0</v>
      </c>
      <c r="BB220" s="653">
        <f t="shared" si="402"/>
        <v>0</v>
      </c>
      <c r="BC220" s="653">
        <f t="shared" si="402"/>
        <v>0</v>
      </c>
      <c r="BD220" s="653">
        <f t="shared" si="402"/>
        <v>0</v>
      </c>
      <c r="BE220" s="653">
        <f t="shared" si="402"/>
        <v>0</v>
      </c>
      <c r="BF220" s="655"/>
      <c r="BG220" s="653">
        <f t="shared" ref="BG220:BL220" si="403">BG221+BG231+BG232+BG233</f>
        <v>0</v>
      </c>
      <c r="BH220" s="653">
        <f t="shared" si="403"/>
        <v>27067</v>
      </c>
      <c r="BI220" s="653">
        <f t="shared" si="403"/>
        <v>0</v>
      </c>
      <c r="BJ220" s="653">
        <f t="shared" si="403"/>
        <v>0</v>
      </c>
      <c r="BK220" s="653">
        <f t="shared" si="403"/>
        <v>0</v>
      </c>
      <c r="BL220" s="653">
        <f t="shared" si="403"/>
        <v>0</v>
      </c>
      <c r="BM220" s="655"/>
      <c r="BN220" s="653">
        <f t="shared" ref="BN220:BW220" si="404">BN221+BN231+BN232+BN233</f>
        <v>27067</v>
      </c>
      <c r="BO220" s="653">
        <f t="shared" si="404"/>
        <v>0</v>
      </c>
      <c r="BP220" s="653">
        <f t="shared" si="404"/>
        <v>0</v>
      </c>
      <c r="BQ220" s="653">
        <f t="shared" si="404"/>
        <v>0</v>
      </c>
      <c r="BR220" s="653">
        <f t="shared" si="404"/>
        <v>0</v>
      </c>
      <c r="BS220" s="653">
        <f t="shared" si="404"/>
        <v>0</v>
      </c>
      <c r="BT220" s="653">
        <f t="shared" si="404"/>
        <v>0</v>
      </c>
      <c r="BU220" s="653">
        <f t="shared" si="404"/>
        <v>0</v>
      </c>
      <c r="BV220" s="653">
        <f t="shared" si="404"/>
        <v>0</v>
      </c>
      <c r="BW220" s="653">
        <f t="shared" si="404"/>
        <v>0</v>
      </c>
      <c r="BY220" s="732"/>
      <c r="BZ220" s="732"/>
      <c r="CA220" s="1348" t="s">
        <v>662</v>
      </c>
      <c r="CB220" s="1348" t="s">
        <v>663</v>
      </c>
      <c r="CC220" s="1348">
        <v>0</v>
      </c>
      <c r="CD220" s="1348"/>
      <c r="CE220" s="1348"/>
      <c r="CF220" s="1348"/>
      <c r="CG220" s="1348">
        <v>0</v>
      </c>
      <c r="CH220" s="1348">
        <v>0</v>
      </c>
      <c r="CI220" s="1348"/>
      <c r="CJ220" s="1348"/>
      <c r="CK220" s="1349">
        <v>9400</v>
      </c>
      <c r="CL220" s="1349">
        <v>0</v>
      </c>
      <c r="CM220" s="1350">
        <v>0</v>
      </c>
      <c r="CN220" s="1350">
        <v>0</v>
      </c>
      <c r="CO220" s="1350">
        <v>0</v>
      </c>
      <c r="CP220" s="1350">
        <v>0</v>
      </c>
      <c r="CQ220" s="1350">
        <v>0</v>
      </c>
      <c r="CR220" s="1350"/>
      <c r="CS220" s="1350"/>
      <c r="CT220" s="1349">
        <v>0</v>
      </c>
      <c r="CU220" s="1349">
        <v>9400</v>
      </c>
      <c r="CV220" s="1349">
        <v>0</v>
      </c>
      <c r="CW220" s="1349">
        <v>0</v>
      </c>
      <c r="CX220" s="1349">
        <v>0</v>
      </c>
      <c r="CY220" s="1349"/>
      <c r="CZ220" s="1349"/>
      <c r="DA220" s="1349"/>
      <c r="DB220" s="1349">
        <v>9400</v>
      </c>
      <c r="DC220" s="1349">
        <v>0</v>
      </c>
      <c r="DD220" s="1349">
        <v>0</v>
      </c>
      <c r="DE220" s="1349">
        <v>0</v>
      </c>
      <c r="DF220" s="1349">
        <v>0</v>
      </c>
      <c r="DG220" s="1349">
        <v>0</v>
      </c>
      <c r="DH220" s="1349">
        <v>0</v>
      </c>
      <c r="DI220" s="1349">
        <v>0</v>
      </c>
      <c r="DJ220" s="1349">
        <v>0</v>
      </c>
      <c r="DK220" s="1349">
        <v>0</v>
      </c>
      <c r="DT220" s="1323" t="s">
        <v>662</v>
      </c>
      <c r="DU220" s="651" t="s">
        <v>663</v>
      </c>
      <c r="DV220" s="1376"/>
      <c r="DW220" s="1376"/>
      <c r="DX220" s="1376"/>
      <c r="DY220" s="1376"/>
      <c r="DZ220" s="1376"/>
      <c r="EA220" s="1376"/>
      <c r="EB220" s="1376"/>
      <c r="EC220" s="1376"/>
      <c r="ED220" s="1376"/>
      <c r="EE220" s="1376"/>
      <c r="EF220" s="1376"/>
      <c r="EG220" s="1376"/>
      <c r="EH220" s="1376"/>
      <c r="EI220" s="1376"/>
      <c r="EJ220" s="1376"/>
      <c r="EK220" s="1376"/>
      <c r="EL220" s="1376"/>
      <c r="EM220" s="1376"/>
      <c r="EN220" s="1376"/>
      <c r="EO220" s="1376"/>
      <c r="EP220" s="1376"/>
      <c r="EQ220" s="1376"/>
      <c r="ER220" s="1376"/>
      <c r="ES220" s="1376"/>
      <c r="ET220" s="1376"/>
      <c r="EU220" s="1376"/>
      <c r="EV220" s="1376"/>
    </row>
    <row r="221" spans="1:152" ht="21" customHeight="1">
      <c r="A221" s="659">
        <v>82</v>
      </c>
      <c r="B221" s="718" t="s">
        <v>664</v>
      </c>
      <c r="C221" s="661">
        <f>SUM(C222:C233)</f>
        <v>0</v>
      </c>
      <c r="D221" s="661"/>
      <c r="E221" s="661"/>
      <c r="F221" s="661"/>
      <c r="G221" s="661">
        <f>SUM(G222:G233)</f>
        <v>0</v>
      </c>
      <c r="H221" s="661">
        <f>SUM(H222:H233)</f>
        <v>0</v>
      </c>
      <c r="I221" s="661"/>
      <c r="J221" s="661"/>
      <c r="K221" s="646">
        <f t="shared" si="395"/>
        <v>7913</v>
      </c>
      <c r="L221" s="662">
        <f t="shared" ref="L221:S221" si="405">SUM(L222,L223,L230)</f>
        <v>7913</v>
      </c>
      <c r="M221" s="662">
        <f t="shared" si="405"/>
        <v>0</v>
      </c>
      <c r="N221" s="662">
        <f t="shared" si="405"/>
        <v>0</v>
      </c>
      <c r="O221" s="662">
        <f t="shared" si="405"/>
        <v>0</v>
      </c>
      <c r="P221" s="662">
        <f t="shared" si="405"/>
        <v>0</v>
      </c>
      <c r="Q221" s="662">
        <f t="shared" si="405"/>
        <v>0</v>
      </c>
      <c r="R221" s="662">
        <f t="shared" si="405"/>
        <v>0</v>
      </c>
      <c r="S221" s="662">
        <f t="shared" si="405"/>
        <v>0</v>
      </c>
      <c r="T221" s="662"/>
      <c r="U221" s="662">
        <f>SUM(U222,U223,U230)</f>
        <v>0</v>
      </c>
      <c r="V221" s="662">
        <f>SUM(V222,V223,V230)</f>
        <v>7913</v>
      </c>
      <c r="W221" s="662">
        <f>SUM(W222,W223,W230)</f>
        <v>0</v>
      </c>
      <c r="X221" s="662">
        <f>SUM(X222,X223,X230)</f>
        <v>0</v>
      </c>
      <c r="Y221" s="662">
        <f>SUM(Y222,Y223,Y230)</f>
        <v>0</v>
      </c>
      <c r="Z221" s="662"/>
      <c r="AA221" s="662">
        <f>SUM(AA222,AA223,AA230)</f>
        <v>0</v>
      </c>
      <c r="AB221" s="662"/>
      <c r="AC221" s="662">
        <f t="shared" ref="AC221:AM221" si="406">SUM(AC222,AC223,AC230)</f>
        <v>7913</v>
      </c>
      <c r="AD221" s="662">
        <f t="shared" si="406"/>
        <v>0</v>
      </c>
      <c r="AE221" s="662">
        <f t="shared" si="406"/>
        <v>0</v>
      </c>
      <c r="AF221" s="662">
        <f t="shared" si="406"/>
        <v>0</v>
      </c>
      <c r="AG221" s="662">
        <f t="shared" si="406"/>
        <v>0</v>
      </c>
      <c r="AH221" s="662">
        <f t="shared" si="406"/>
        <v>0</v>
      </c>
      <c r="AI221" s="662">
        <f t="shared" si="406"/>
        <v>0</v>
      </c>
      <c r="AJ221" s="662">
        <f t="shared" si="406"/>
        <v>0</v>
      </c>
      <c r="AK221" s="662">
        <f t="shared" si="406"/>
        <v>73131</v>
      </c>
      <c r="AL221" s="664">
        <f t="shared" si="406"/>
        <v>0</v>
      </c>
      <c r="AM221" s="772">
        <f t="shared" si="406"/>
        <v>0</v>
      </c>
      <c r="AN221" s="610"/>
      <c r="AO221" s="659">
        <v>90</v>
      </c>
      <c r="AP221" s="718" t="s">
        <v>664</v>
      </c>
      <c r="AQ221" s="661">
        <f>SUM(AQ222:AQ233)</f>
        <v>0</v>
      </c>
      <c r="AR221" s="661"/>
      <c r="AS221" s="661"/>
      <c r="AT221" s="661"/>
      <c r="AU221" s="661">
        <f>SUM(AU222:AU233)</f>
        <v>0</v>
      </c>
      <c r="AV221" s="661">
        <f>SUM(AV222:AV233)</f>
        <v>0</v>
      </c>
      <c r="AW221" s="661"/>
      <c r="AX221" s="661"/>
      <c r="AY221" s="662">
        <f t="shared" ref="AY221:BW221" si="407">SUM(AY222,AY223,AY230)</f>
        <v>8780</v>
      </c>
      <c r="AZ221" s="665">
        <f t="shared" si="407"/>
        <v>0</v>
      </c>
      <c r="BA221" s="662">
        <f t="shared" si="407"/>
        <v>0</v>
      </c>
      <c r="BB221" s="662">
        <f t="shared" si="407"/>
        <v>0</v>
      </c>
      <c r="BC221" s="662">
        <f t="shared" si="407"/>
        <v>0</v>
      </c>
      <c r="BD221" s="662">
        <f t="shared" si="407"/>
        <v>0</v>
      </c>
      <c r="BE221" s="662">
        <f t="shared" si="407"/>
        <v>0</v>
      </c>
      <c r="BF221" s="663">
        <f t="shared" si="407"/>
        <v>0</v>
      </c>
      <c r="BG221" s="662">
        <f t="shared" si="407"/>
        <v>0</v>
      </c>
      <c r="BH221" s="662">
        <f t="shared" si="407"/>
        <v>8780</v>
      </c>
      <c r="BI221" s="662">
        <f t="shared" si="407"/>
        <v>0</v>
      </c>
      <c r="BJ221" s="662">
        <f t="shared" si="407"/>
        <v>0</v>
      </c>
      <c r="BK221" s="662">
        <f t="shared" si="407"/>
        <v>0</v>
      </c>
      <c r="BL221" s="662">
        <f t="shared" si="407"/>
        <v>0</v>
      </c>
      <c r="BM221" s="663">
        <f t="shared" si="407"/>
        <v>0</v>
      </c>
      <c r="BN221" s="662">
        <f t="shared" si="407"/>
        <v>8780</v>
      </c>
      <c r="BO221" s="662">
        <f t="shared" si="407"/>
        <v>0</v>
      </c>
      <c r="BP221" s="662">
        <f t="shared" si="407"/>
        <v>0</v>
      </c>
      <c r="BQ221" s="662">
        <f t="shared" si="407"/>
        <v>0</v>
      </c>
      <c r="BR221" s="662">
        <f t="shared" si="407"/>
        <v>0</v>
      </c>
      <c r="BS221" s="662">
        <f t="shared" si="407"/>
        <v>0</v>
      </c>
      <c r="BT221" s="662">
        <f t="shared" si="407"/>
        <v>0</v>
      </c>
      <c r="BU221" s="662">
        <f t="shared" si="407"/>
        <v>0</v>
      </c>
      <c r="BV221" s="662">
        <f t="shared" si="407"/>
        <v>0</v>
      </c>
      <c r="BW221" s="662">
        <f t="shared" si="407"/>
        <v>0</v>
      </c>
      <c r="CA221" s="1352">
        <v>84</v>
      </c>
      <c r="CB221" s="1352" t="s">
        <v>664</v>
      </c>
      <c r="CC221" s="1352">
        <v>0</v>
      </c>
      <c r="CD221" s="1352"/>
      <c r="CE221" s="1352"/>
      <c r="CF221" s="1352"/>
      <c r="CG221" s="1352">
        <v>0</v>
      </c>
      <c r="CH221" s="1352">
        <v>0</v>
      </c>
      <c r="CI221" s="1352"/>
      <c r="CJ221" s="1352"/>
      <c r="CK221" s="1353">
        <v>9400</v>
      </c>
      <c r="CL221" s="1353">
        <v>0</v>
      </c>
      <c r="CM221" s="1354">
        <v>0</v>
      </c>
      <c r="CN221" s="1354">
        <v>0</v>
      </c>
      <c r="CO221" s="1354">
        <v>0</v>
      </c>
      <c r="CP221" s="1354">
        <v>0</v>
      </c>
      <c r="CQ221" s="1354">
        <v>0</v>
      </c>
      <c r="CR221" s="1354">
        <v>0</v>
      </c>
      <c r="CS221" s="1354"/>
      <c r="CT221" s="1353">
        <v>0</v>
      </c>
      <c r="CU221" s="1353">
        <v>9400</v>
      </c>
      <c r="CV221" s="1353">
        <v>0</v>
      </c>
      <c r="CW221" s="1353">
        <v>0</v>
      </c>
      <c r="CX221" s="1353">
        <v>0</v>
      </c>
      <c r="CY221" s="1353"/>
      <c r="CZ221" s="1353">
        <v>0</v>
      </c>
      <c r="DA221" s="1353"/>
      <c r="DB221" s="1353">
        <v>9400</v>
      </c>
      <c r="DC221" s="1353">
        <v>0</v>
      </c>
      <c r="DD221" s="1353">
        <v>0</v>
      </c>
      <c r="DE221" s="1353">
        <v>0</v>
      </c>
      <c r="DF221" s="1353">
        <v>0</v>
      </c>
      <c r="DG221" s="1353">
        <v>0</v>
      </c>
      <c r="DH221" s="1353">
        <v>0</v>
      </c>
      <c r="DI221" s="1353">
        <v>0</v>
      </c>
      <c r="DJ221" s="1353">
        <v>0</v>
      </c>
      <c r="DK221" s="1353">
        <v>0</v>
      </c>
      <c r="DT221" s="659">
        <v>84</v>
      </c>
      <c r="DU221" s="718" t="s">
        <v>664</v>
      </c>
      <c r="DV221" s="775"/>
      <c r="DW221" s="775"/>
      <c r="DX221" s="775"/>
      <c r="DY221" s="775"/>
      <c r="DZ221" s="775"/>
      <c r="EA221" s="775"/>
      <c r="EB221" s="775"/>
      <c r="EC221" s="775"/>
      <c r="ED221" s="775"/>
      <c r="EE221" s="775"/>
      <c r="EF221" s="775"/>
      <c r="EG221" s="775"/>
      <c r="EH221" s="775"/>
      <c r="EI221" s="775"/>
      <c r="EJ221" s="775"/>
      <c r="EK221" s="775"/>
      <c r="EL221" s="775"/>
      <c r="EM221" s="775"/>
      <c r="EN221" s="775"/>
      <c r="EO221" s="775"/>
      <c r="EP221" s="775"/>
      <c r="EQ221" s="775"/>
      <c r="ER221" s="775"/>
      <c r="ES221" s="775"/>
      <c r="ET221" s="775"/>
      <c r="EU221" s="775"/>
      <c r="EV221" s="775"/>
    </row>
    <row r="222" spans="1:152" ht="51" customHeight="1">
      <c r="A222" s="659"/>
      <c r="B222" s="660" t="s">
        <v>665</v>
      </c>
      <c r="C222" s="661">
        <f>D222+I222</f>
        <v>0</v>
      </c>
      <c r="D222" s="661">
        <f>E222+F222</f>
        <v>0</v>
      </c>
      <c r="E222" s="661"/>
      <c r="F222" s="661"/>
      <c r="G222" s="661"/>
      <c r="H222" s="661"/>
      <c r="I222" s="661"/>
      <c r="J222" s="661"/>
      <c r="K222" s="646">
        <f t="shared" si="395"/>
        <v>577</v>
      </c>
      <c r="L222" s="662">
        <f t="shared" ref="L222:L235" si="408">U222+AC222+AD222+AE222</f>
        <v>577</v>
      </c>
      <c r="M222" s="666"/>
      <c r="N222" s="666"/>
      <c r="O222" s="666"/>
      <c r="P222" s="666"/>
      <c r="Q222" s="666"/>
      <c r="R222" s="666"/>
      <c r="S222" s="666"/>
      <c r="T222" s="666"/>
      <c r="U222" s="666">
        <f t="shared" ref="U222:U233" si="409">(M222+N222+O222+P222)-S222</f>
        <v>0</v>
      </c>
      <c r="V222" s="666">
        <f>1980-1403</f>
        <v>577</v>
      </c>
      <c r="W222" s="666"/>
      <c r="X222" s="666"/>
      <c r="Y222" s="666"/>
      <c r="Z222" s="666"/>
      <c r="AA222" s="666"/>
      <c r="AB222" s="666">
        <f t="shared" ref="AB222:AB235" si="410">ROUND((Y222+AA222+X222),0)</f>
        <v>0</v>
      </c>
      <c r="AC222" s="666">
        <f t="shared" ref="AC222:AC235" si="411">(V222+W222)-AA222</f>
        <v>577</v>
      </c>
      <c r="AD222" s="666"/>
      <c r="AE222" s="666"/>
      <c r="AF222" s="666"/>
      <c r="AG222" s="666"/>
      <c r="AH222" s="666"/>
      <c r="AI222" s="666"/>
      <c r="AJ222" s="666"/>
      <c r="AK222" s="666">
        <v>54190</v>
      </c>
      <c r="AL222" s="664"/>
      <c r="AN222" s="610"/>
      <c r="AO222" s="659"/>
      <c r="AP222" s="660" t="s">
        <v>665</v>
      </c>
      <c r="AQ222" s="661">
        <f>AR222+AW222</f>
        <v>0</v>
      </c>
      <c r="AR222" s="661">
        <f>AS222+AT222</f>
        <v>0</v>
      </c>
      <c r="AS222" s="661"/>
      <c r="AT222" s="661"/>
      <c r="AU222" s="661"/>
      <c r="AV222" s="661"/>
      <c r="AW222" s="661"/>
      <c r="AX222" s="661"/>
      <c r="AY222" s="666">
        <f t="shared" ref="AY222:AY235" si="412">BG222+BN222+BO222+BP222</f>
        <v>1980</v>
      </c>
      <c r="AZ222" s="670"/>
      <c r="BA222" s="666"/>
      <c r="BB222" s="666"/>
      <c r="BC222" s="666"/>
      <c r="BD222" s="666"/>
      <c r="BE222" s="666"/>
      <c r="BF222" s="667"/>
      <c r="BG222" s="666">
        <f t="shared" ref="BG222:BG233" si="413">(AZ222+BA222+BB222+BC222)-BF222</f>
        <v>0</v>
      </c>
      <c r="BH222" s="666">
        <v>1980</v>
      </c>
      <c r="BI222" s="666"/>
      <c r="BJ222" s="666"/>
      <c r="BK222" s="666"/>
      <c r="BL222" s="666"/>
      <c r="BM222" s="667"/>
      <c r="BN222" s="666">
        <f>(BH222+BI222+BJ222)-BM222</f>
        <v>1980</v>
      </c>
      <c r="BO222" s="666"/>
      <c r="BP222" s="666"/>
      <c r="BQ222" s="666"/>
      <c r="BR222" s="666"/>
      <c r="BS222" s="666"/>
      <c r="BT222" s="666"/>
      <c r="BU222" s="666"/>
      <c r="BV222" s="666"/>
      <c r="BW222" s="662"/>
      <c r="CA222" s="1352"/>
      <c r="CB222" s="1352" t="s">
        <v>665</v>
      </c>
      <c r="CC222" s="1352">
        <v>0</v>
      </c>
      <c r="CD222" s="1352">
        <v>0</v>
      </c>
      <c r="CE222" s="1352"/>
      <c r="CF222" s="1352"/>
      <c r="CG222" s="1352"/>
      <c r="CH222" s="1352"/>
      <c r="CI222" s="1352"/>
      <c r="CJ222" s="1352"/>
      <c r="CK222" s="1353">
        <v>1980</v>
      </c>
      <c r="CL222" s="1353"/>
      <c r="CM222" s="1354"/>
      <c r="CN222" s="1354"/>
      <c r="CO222" s="1354"/>
      <c r="CP222" s="1354"/>
      <c r="CQ222" s="1354"/>
      <c r="CR222" s="1354"/>
      <c r="CS222" s="1354"/>
      <c r="CT222" s="1353">
        <v>0</v>
      </c>
      <c r="CU222" s="1353">
        <v>1980</v>
      </c>
      <c r="CV222" s="1353"/>
      <c r="CW222" s="1353"/>
      <c r="CX222" s="1353"/>
      <c r="CY222" s="1353"/>
      <c r="CZ222" s="1353"/>
      <c r="DA222" s="1353">
        <v>0</v>
      </c>
      <c r="DB222" s="1353">
        <v>1980</v>
      </c>
      <c r="DC222" s="1353"/>
      <c r="DD222" s="1353"/>
      <c r="DE222" s="1353"/>
      <c r="DF222" s="1353"/>
      <c r="DG222" s="1353"/>
      <c r="DH222" s="1353"/>
      <c r="DI222" s="1353"/>
      <c r="DJ222" s="1353"/>
      <c r="DK222" s="1353"/>
      <c r="DT222" s="659"/>
      <c r="DU222" s="660" t="s">
        <v>665</v>
      </c>
      <c r="DV222" s="777">
        <f t="shared" ref="DV222:EK233" si="414">L222-CK222</f>
        <v>-1403</v>
      </c>
      <c r="DW222" s="777">
        <f t="shared" si="414"/>
        <v>0</v>
      </c>
      <c r="DX222" s="777">
        <f t="shared" si="414"/>
        <v>0</v>
      </c>
      <c r="DY222" s="777">
        <f t="shared" si="414"/>
        <v>0</v>
      </c>
      <c r="DZ222" s="777">
        <f t="shared" si="414"/>
        <v>0</v>
      </c>
      <c r="EA222" s="777">
        <f t="shared" si="414"/>
        <v>0</v>
      </c>
      <c r="EB222" s="777">
        <f t="shared" si="414"/>
        <v>0</v>
      </c>
      <c r="EC222" s="777">
        <f t="shared" si="414"/>
        <v>0</v>
      </c>
      <c r="ED222" s="777">
        <f t="shared" si="414"/>
        <v>0</v>
      </c>
      <c r="EE222" s="777">
        <f t="shared" si="414"/>
        <v>0</v>
      </c>
      <c r="EF222" s="777">
        <f t="shared" si="414"/>
        <v>-1403</v>
      </c>
      <c r="EG222" s="777">
        <f t="shared" si="414"/>
        <v>0</v>
      </c>
      <c r="EH222" s="777">
        <f t="shared" si="414"/>
        <v>0</v>
      </c>
      <c r="EI222" s="777">
        <f t="shared" si="414"/>
        <v>0</v>
      </c>
      <c r="EJ222" s="777">
        <f t="shared" si="414"/>
        <v>0</v>
      </c>
      <c r="EK222" s="777">
        <f t="shared" si="414"/>
        <v>0</v>
      </c>
      <c r="EL222" s="777">
        <f t="shared" ref="EL222:EV233" si="415">AB222-DA222</f>
        <v>0</v>
      </c>
      <c r="EM222" s="777">
        <f t="shared" si="415"/>
        <v>-1403</v>
      </c>
      <c r="EN222" s="777">
        <f t="shared" si="415"/>
        <v>0</v>
      </c>
      <c r="EO222" s="777">
        <f t="shared" si="415"/>
        <v>0</v>
      </c>
      <c r="EP222" s="777">
        <f t="shared" si="415"/>
        <v>0</v>
      </c>
      <c r="EQ222" s="777">
        <f t="shared" si="415"/>
        <v>0</v>
      </c>
      <c r="ER222" s="777">
        <f t="shared" si="415"/>
        <v>0</v>
      </c>
      <c r="ES222" s="777">
        <f t="shared" si="415"/>
        <v>0</v>
      </c>
      <c r="ET222" s="777">
        <f t="shared" si="415"/>
        <v>0</v>
      </c>
      <c r="EU222" s="777">
        <f t="shared" si="415"/>
        <v>54190</v>
      </c>
      <c r="EV222" s="777">
        <f t="shared" si="415"/>
        <v>0</v>
      </c>
    </row>
    <row r="223" spans="1:152" ht="31.2">
      <c r="A223" s="659"/>
      <c r="B223" s="821" t="s">
        <v>1049</v>
      </c>
      <c r="C223" s="661"/>
      <c r="D223" s="661"/>
      <c r="E223" s="661"/>
      <c r="F223" s="661"/>
      <c r="G223" s="661"/>
      <c r="H223" s="661"/>
      <c r="I223" s="661"/>
      <c r="J223" s="661"/>
      <c r="K223" s="646">
        <f t="shared" si="395"/>
        <v>6736</v>
      </c>
      <c r="L223" s="662">
        <f>SUM(L224:L229)</f>
        <v>6736</v>
      </c>
      <c r="M223" s="662">
        <f t="shared" ref="M223:AL223" si="416">SUM(M224:M229)</f>
        <v>0</v>
      </c>
      <c r="N223" s="662">
        <f t="shared" si="416"/>
        <v>0</v>
      </c>
      <c r="O223" s="662">
        <f t="shared" si="416"/>
        <v>0</v>
      </c>
      <c r="P223" s="662">
        <f t="shared" si="416"/>
        <v>0</v>
      </c>
      <c r="Q223" s="662">
        <f t="shared" si="416"/>
        <v>0</v>
      </c>
      <c r="R223" s="662">
        <f t="shared" si="416"/>
        <v>0</v>
      </c>
      <c r="S223" s="662">
        <f t="shared" si="416"/>
        <v>0</v>
      </c>
      <c r="T223" s="662">
        <f t="shared" si="416"/>
        <v>0</v>
      </c>
      <c r="U223" s="662">
        <f t="shared" si="416"/>
        <v>0</v>
      </c>
      <c r="V223" s="662">
        <f t="shared" si="416"/>
        <v>6736</v>
      </c>
      <c r="W223" s="662">
        <f t="shared" si="416"/>
        <v>0</v>
      </c>
      <c r="X223" s="662">
        <f t="shared" si="416"/>
        <v>0</v>
      </c>
      <c r="Y223" s="662">
        <f t="shared" si="416"/>
        <v>0</v>
      </c>
      <c r="Z223" s="662">
        <f t="shared" si="416"/>
        <v>0</v>
      </c>
      <c r="AA223" s="662">
        <f t="shared" si="416"/>
        <v>0</v>
      </c>
      <c r="AB223" s="662">
        <f t="shared" si="416"/>
        <v>0</v>
      </c>
      <c r="AC223" s="662">
        <f t="shared" si="416"/>
        <v>6736</v>
      </c>
      <c r="AD223" s="662">
        <f t="shared" si="416"/>
        <v>0</v>
      </c>
      <c r="AE223" s="662">
        <f t="shared" si="416"/>
        <v>0</v>
      </c>
      <c r="AF223" s="662">
        <f t="shared" si="416"/>
        <v>0</v>
      </c>
      <c r="AG223" s="662">
        <f t="shared" si="416"/>
        <v>0</v>
      </c>
      <c r="AH223" s="662">
        <f t="shared" si="416"/>
        <v>0</v>
      </c>
      <c r="AI223" s="662">
        <f t="shared" si="416"/>
        <v>0</v>
      </c>
      <c r="AJ223" s="662">
        <f t="shared" si="416"/>
        <v>0</v>
      </c>
      <c r="AK223" s="662">
        <f t="shared" si="416"/>
        <v>18941</v>
      </c>
      <c r="AL223" s="662">
        <f t="shared" si="416"/>
        <v>0</v>
      </c>
      <c r="AN223" s="610"/>
      <c r="AO223" s="659"/>
      <c r="AP223" s="821" t="s">
        <v>666</v>
      </c>
      <c r="AQ223" s="661"/>
      <c r="AR223" s="661"/>
      <c r="AS223" s="661"/>
      <c r="AT223" s="661"/>
      <c r="AU223" s="661"/>
      <c r="AV223" s="661"/>
      <c r="AW223" s="661"/>
      <c r="AX223" s="661"/>
      <c r="AY223" s="662">
        <f t="shared" si="412"/>
        <v>6200</v>
      </c>
      <c r="AZ223" s="665"/>
      <c r="BA223" s="662"/>
      <c r="BB223" s="662"/>
      <c r="BC223" s="662"/>
      <c r="BD223" s="662"/>
      <c r="BE223" s="662"/>
      <c r="BF223" s="663"/>
      <c r="BG223" s="666">
        <f t="shared" si="413"/>
        <v>0</v>
      </c>
      <c r="BH223" s="662">
        <v>6200</v>
      </c>
      <c r="BI223" s="662"/>
      <c r="BJ223" s="662"/>
      <c r="BK223" s="662"/>
      <c r="BL223" s="662"/>
      <c r="BM223" s="663"/>
      <c r="BN223" s="666">
        <f>(BH223+BI223+BJ223)-BM223</f>
        <v>6200</v>
      </c>
      <c r="BO223" s="662"/>
      <c r="BP223" s="662"/>
      <c r="BQ223" s="662"/>
      <c r="BR223" s="662"/>
      <c r="BS223" s="662"/>
      <c r="BT223" s="662"/>
      <c r="BU223" s="662"/>
      <c r="BV223" s="662"/>
      <c r="BW223" s="662"/>
      <c r="CA223" s="1352"/>
      <c r="CB223" s="1352" t="s">
        <v>666</v>
      </c>
      <c r="CC223" s="1352"/>
      <c r="CD223" s="1352"/>
      <c r="CE223" s="1352"/>
      <c r="CF223" s="1352"/>
      <c r="CG223" s="1352"/>
      <c r="CH223" s="1352"/>
      <c r="CI223" s="1352"/>
      <c r="CJ223" s="1352"/>
      <c r="CK223" s="1353">
        <v>6820</v>
      </c>
      <c r="CL223" s="1353"/>
      <c r="CM223" s="1354"/>
      <c r="CN223" s="1354"/>
      <c r="CO223" s="1354"/>
      <c r="CP223" s="1354"/>
      <c r="CQ223" s="1354"/>
      <c r="CR223" s="1354"/>
      <c r="CS223" s="1354"/>
      <c r="CT223" s="1353">
        <v>0</v>
      </c>
      <c r="CU223" s="1353">
        <v>6820</v>
      </c>
      <c r="CV223" s="1353"/>
      <c r="CW223" s="1353"/>
      <c r="CX223" s="1353"/>
      <c r="CY223" s="1353"/>
      <c r="CZ223" s="1353"/>
      <c r="DA223" s="1353">
        <v>0</v>
      </c>
      <c r="DB223" s="1353">
        <v>6820</v>
      </c>
      <c r="DC223" s="1353"/>
      <c r="DD223" s="1353"/>
      <c r="DE223" s="1353"/>
      <c r="DF223" s="1353"/>
      <c r="DG223" s="1353"/>
      <c r="DH223" s="1353"/>
      <c r="DI223" s="1353"/>
      <c r="DJ223" s="1353"/>
      <c r="DK223" s="1353"/>
      <c r="DT223" s="659"/>
      <c r="DU223" s="821" t="s">
        <v>666</v>
      </c>
      <c r="DV223" s="777">
        <f t="shared" si="414"/>
        <v>-84</v>
      </c>
      <c r="DW223" s="777">
        <f t="shared" si="414"/>
        <v>0</v>
      </c>
      <c r="DX223" s="777">
        <f t="shared" si="414"/>
        <v>0</v>
      </c>
      <c r="DY223" s="777">
        <f t="shared" si="414"/>
        <v>0</v>
      </c>
      <c r="DZ223" s="777">
        <f t="shared" si="414"/>
        <v>0</v>
      </c>
      <c r="EA223" s="777">
        <f t="shared" si="414"/>
        <v>0</v>
      </c>
      <c r="EB223" s="777">
        <f t="shared" si="414"/>
        <v>0</v>
      </c>
      <c r="EC223" s="777">
        <f t="shared" si="414"/>
        <v>0</v>
      </c>
      <c r="ED223" s="777">
        <f t="shared" si="414"/>
        <v>0</v>
      </c>
      <c r="EE223" s="777">
        <f t="shared" si="414"/>
        <v>0</v>
      </c>
      <c r="EF223" s="777">
        <f t="shared" si="414"/>
        <v>-84</v>
      </c>
      <c r="EG223" s="777">
        <f t="shared" si="414"/>
        <v>0</v>
      </c>
      <c r="EH223" s="777">
        <f t="shared" si="414"/>
        <v>0</v>
      </c>
      <c r="EI223" s="777">
        <f t="shared" si="414"/>
        <v>0</v>
      </c>
      <c r="EJ223" s="777">
        <f t="shared" si="414"/>
        <v>0</v>
      </c>
      <c r="EK223" s="777">
        <f t="shared" si="414"/>
        <v>0</v>
      </c>
      <c r="EL223" s="777">
        <f t="shared" si="415"/>
        <v>0</v>
      </c>
      <c r="EM223" s="777">
        <f t="shared" si="415"/>
        <v>-84</v>
      </c>
      <c r="EN223" s="777">
        <f t="shared" si="415"/>
        <v>0</v>
      </c>
      <c r="EO223" s="777">
        <f t="shared" si="415"/>
        <v>0</v>
      </c>
      <c r="EP223" s="777">
        <f t="shared" si="415"/>
        <v>0</v>
      </c>
      <c r="EQ223" s="777">
        <f t="shared" si="415"/>
        <v>0</v>
      </c>
      <c r="ER223" s="777">
        <f t="shared" si="415"/>
        <v>0</v>
      </c>
      <c r="ES223" s="777">
        <f t="shared" si="415"/>
        <v>0</v>
      </c>
      <c r="ET223" s="777">
        <f t="shared" si="415"/>
        <v>0</v>
      </c>
      <c r="EU223" s="777">
        <f t="shared" si="415"/>
        <v>18941</v>
      </c>
      <c r="EV223" s="777">
        <f t="shared" si="415"/>
        <v>0</v>
      </c>
    </row>
    <row r="224" spans="1:152" ht="37.200000000000003" customHeight="1">
      <c r="A224" s="659"/>
      <c r="B224" s="821" t="s">
        <v>1047</v>
      </c>
      <c r="C224" s="661"/>
      <c r="D224" s="661"/>
      <c r="E224" s="661"/>
      <c r="F224" s="661"/>
      <c r="G224" s="661"/>
      <c r="H224" s="661"/>
      <c r="I224" s="661"/>
      <c r="J224" s="661"/>
      <c r="K224" s="646"/>
      <c r="L224" s="662">
        <f t="shared" ref="L224:L227" si="417">U224+AC224+AD224+AE224</f>
        <v>5202</v>
      </c>
      <c r="M224" s="662"/>
      <c r="N224" s="662"/>
      <c r="O224" s="662"/>
      <c r="P224" s="662"/>
      <c r="Q224" s="662"/>
      <c r="R224" s="662"/>
      <c r="S224" s="662"/>
      <c r="T224" s="662"/>
      <c r="U224" s="666">
        <f t="shared" ref="U224:U227" si="418">(M224+N224+O224+P224)-S224</f>
        <v>0</v>
      </c>
      <c r="V224" s="662">
        <f>6820-1618</f>
        <v>5202</v>
      </c>
      <c r="W224" s="662"/>
      <c r="X224" s="662"/>
      <c r="Y224" s="662"/>
      <c r="Z224" s="662"/>
      <c r="AA224" s="662"/>
      <c r="AB224" s="666">
        <f t="shared" ref="AB224:AB227" si="419">ROUND((Y224+AA224+X224),0)</f>
        <v>0</v>
      </c>
      <c r="AC224" s="666">
        <f t="shared" ref="AC224:AC227" si="420">(V224+W224)-AA224</f>
        <v>5202</v>
      </c>
      <c r="AD224" s="662"/>
      <c r="AE224" s="662"/>
      <c r="AF224" s="662"/>
      <c r="AG224" s="662"/>
      <c r="AH224" s="662"/>
      <c r="AI224" s="662"/>
      <c r="AJ224" s="662"/>
      <c r="AK224" s="662">
        <v>18941</v>
      </c>
      <c r="AL224" s="664"/>
      <c r="AN224" s="610"/>
      <c r="AO224" s="659"/>
      <c r="AP224" s="821"/>
      <c r="AQ224" s="661"/>
      <c r="AR224" s="661"/>
      <c r="AS224" s="661"/>
      <c r="AT224" s="661"/>
      <c r="AU224" s="661"/>
      <c r="AV224" s="661"/>
      <c r="AW224" s="661"/>
      <c r="AX224" s="661"/>
      <c r="AY224" s="662"/>
      <c r="AZ224" s="665"/>
      <c r="BA224" s="662"/>
      <c r="BB224" s="662"/>
      <c r="BC224" s="662"/>
      <c r="BD224" s="662"/>
      <c r="BE224" s="662"/>
      <c r="BF224" s="663"/>
      <c r="BG224" s="666"/>
      <c r="BH224" s="662"/>
      <c r="BI224" s="662"/>
      <c r="BJ224" s="662"/>
      <c r="BK224" s="662"/>
      <c r="BL224" s="662"/>
      <c r="BM224" s="663"/>
      <c r="BN224" s="666"/>
      <c r="BO224" s="662"/>
      <c r="BP224" s="662"/>
      <c r="BQ224" s="662"/>
      <c r="BR224" s="662"/>
      <c r="BS224" s="662"/>
      <c r="BT224" s="662"/>
      <c r="BU224" s="662"/>
      <c r="BV224" s="662"/>
      <c r="BW224" s="662"/>
      <c r="CA224" s="1352"/>
      <c r="CB224" s="1352"/>
      <c r="CC224" s="1352"/>
      <c r="CD224" s="1352"/>
      <c r="CE224" s="1352"/>
      <c r="CF224" s="1352"/>
      <c r="CG224" s="1352"/>
      <c r="CH224" s="1352"/>
      <c r="CI224" s="1352"/>
      <c r="CJ224" s="1352"/>
      <c r="CK224" s="1353"/>
      <c r="CL224" s="1353"/>
      <c r="CM224" s="1354"/>
      <c r="CN224" s="1354"/>
      <c r="CO224" s="1354"/>
      <c r="CP224" s="1354"/>
      <c r="CQ224" s="1354"/>
      <c r="CR224" s="1354"/>
      <c r="CS224" s="1354"/>
      <c r="CT224" s="1353"/>
      <c r="CU224" s="1353"/>
      <c r="CV224" s="1353"/>
      <c r="CW224" s="1353"/>
      <c r="CX224" s="1353"/>
      <c r="CY224" s="1353"/>
      <c r="CZ224" s="1353"/>
      <c r="DA224" s="1353"/>
      <c r="DB224" s="1353"/>
      <c r="DC224" s="1353"/>
      <c r="DD224" s="1353"/>
      <c r="DE224" s="1353"/>
      <c r="DF224" s="1353"/>
      <c r="DG224" s="1353"/>
      <c r="DH224" s="1353"/>
      <c r="DI224" s="1353"/>
      <c r="DJ224" s="1353"/>
      <c r="DK224" s="1353"/>
      <c r="DT224" s="659"/>
      <c r="DU224" s="821"/>
      <c r="DV224" s="777"/>
      <c r="DW224" s="777"/>
      <c r="DX224" s="777"/>
      <c r="DY224" s="777"/>
      <c r="DZ224" s="777"/>
      <c r="EA224" s="777"/>
      <c r="EB224" s="777"/>
      <c r="EC224" s="777"/>
      <c r="ED224" s="777"/>
      <c r="EE224" s="777"/>
      <c r="EF224" s="777"/>
      <c r="EG224" s="777"/>
      <c r="EH224" s="777"/>
      <c r="EI224" s="777"/>
      <c r="EJ224" s="777"/>
      <c r="EK224" s="777"/>
      <c r="EL224" s="777"/>
      <c r="EM224" s="777"/>
      <c r="EN224" s="777"/>
      <c r="EO224" s="777"/>
      <c r="EP224" s="777"/>
      <c r="EQ224" s="777"/>
      <c r="ER224" s="777"/>
      <c r="ES224" s="777"/>
      <c r="ET224" s="777"/>
      <c r="EU224" s="777"/>
      <c r="EV224" s="777"/>
    </row>
    <row r="225" spans="1:152" ht="31.2">
      <c r="A225" s="659"/>
      <c r="B225" s="821" t="s">
        <v>1048</v>
      </c>
      <c r="C225" s="661"/>
      <c r="D225" s="661"/>
      <c r="E225" s="661"/>
      <c r="F225" s="661"/>
      <c r="G225" s="661"/>
      <c r="H225" s="661"/>
      <c r="I225" s="661"/>
      <c r="J225" s="661"/>
      <c r="K225" s="646"/>
      <c r="L225" s="662">
        <f t="shared" si="417"/>
        <v>23</v>
      </c>
      <c r="M225" s="662"/>
      <c r="N225" s="662"/>
      <c r="O225" s="662"/>
      <c r="P225" s="662"/>
      <c r="Q225" s="662"/>
      <c r="R225" s="662"/>
      <c r="S225" s="662"/>
      <c r="T225" s="662"/>
      <c r="U225" s="666">
        <f t="shared" si="418"/>
        <v>0</v>
      </c>
      <c r="V225" s="662">
        <v>23</v>
      </c>
      <c r="W225" s="662"/>
      <c r="X225" s="662"/>
      <c r="Y225" s="662"/>
      <c r="Z225" s="662"/>
      <c r="AA225" s="662"/>
      <c r="AB225" s="666">
        <f t="shared" si="419"/>
        <v>0</v>
      </c>
      <c r="AC225" s="666">
        <f t="shared" si="420"/>
        <v>23</v>
      </c>
      <c r="AD225" s="662"/>
      <c r="AE225" s="662"/>
      <c r="AF225" s="662"/>
      <c r="AG225" s="662"/>
      <c r="AH225" s="662"/>
      <c r="AI225" s="662"/>
      <c r="AJ225" s="662"/>
      <c r="AK225" s="662"/>
      <c r="AL225" s="664"/>
      <c r="AN225" s="610"/>
      <c r="AO225" s="659"/>
      <c r="AP225" s="821"/>
      <c r="AQ225" s="661"/>
      <c r="AR225" s="661"/>
      <c r="AS225" s="661"/>
      <c r="AT225" s="661"/>
      <c r="AU225" s="661"/>
      <c r="AV225" s="661"/>
      <c r="AW225" s="661"/>
      <c r="AX225" s="661"/>
      <c r="AY225" s="662"/>
      <c r="AZ225" s="665"/>
      <c r="BA225" s="662"/>
      <c r="BB225" s="662"/>
      <c r="BC225" s="662"/>
      <c r="BD225" s="662"/>
      <c r="BE225" s="662"/>
      <c r="BF225" s="663"/>
      <c r="BG225" s="666"/>
      <c r="BH225" s="662"/>
      <c r="BI225" s="662"/>
      <c r="BJ225" s="662"/>
      <c r="BK225" s="662"/>
      <c r="BL225" s="662"/>
      <c r="BM225" s="663"/>
      <c r="BN225" s="666"/>
      <c r="BO225" s="662"/>
      <c r="BP225" s="662"/>
      <c r="BQ225" s="662"/>
      <c r="BR225" s="662"/>
      <c r="BS225" s="662"/>
      <c r="BT225" s="662"/>
      <c r="BU225" s="662"/>
      <c r="BV225" s="662"/>
      <c r="BW225" s="662"/>
      <c r="CA225" s="1352"/>
      <c r="CB225" s="1352"/>
      <c r="CC225" s="1352"/>
      <c r="CD225" s="1352"/>
      <c r="CE225" s="1352"/>
      <c r="CF225" s="1352"/>
      <c r="CG225" s="1352"/>
      <c r="CH225" s="1352"/>
      <c r="CI225" s="1352"/>
      <c r="CJ225" s="1352"/>
      <c r="CK225" s="1353"/>
      <c r="CL225" s="1353"/>
      <c r="CM225" s="1354"/>
      <c r="CN225" s="1354"/>
      <c r="CO225" s="1354"/>
      <c r="CP225" s="1354"/>
      <c r="CQ225" s="1354"/>
      <c r="CR225" s="1354"/>
      <c r="CS225" s="1354"/>
      <c r="CT225" s="1353"/>
      <c r="CU225" s="1353"/>
      <c r="CV225" s="1353"/>
      <c r="CW225" s="1353"/>
      <c r="CX225" s="1353"/>
      <c r="CY225" s="1353"/>
      <c r="CZ225" s="1353"/>
      <c r="DA225" s="1353"/>
      <c r="DB225" s="1353"/>
      <c r="DC225" s="1353"/>
      <c r="DD225" s="1353"/>
      <c r="DE225" s="1353"/>
      <c r="DF225" s="1353"/>
      <c r="DG225" s="1353"/>
      <c r="DH225" s="1353"/>
      <c r="DI225" s="1353"/>
      <c r="DJ225" s="1353"/>
      <c r="DK225" s="1353"/>
      <c r="DT225" s="659"/>
      <c r="DU225" s="821"/>
      <c r="DV225" s="777"/>
      <c r="DW225" s="777"/>
      <c r="DX225" s="777"/>
      <c r="DY225" s="777"/>
      <c r="DZ225" s="777"/>
      <c r="EA225" s="777"/>
      <c r="EB225" s="777"/>
      <c r="EC225" s="777"/>
      <c r="ED225" s="777"/>
      <c r="EE225" s="777"/>
      <c r="EF225" s="777"/>
      <c r="EG225" s="777"/>
      <c r="EH225" s="777"/>
      <c r="EI225" s="777"/>
      <c r="EJ225" s="777"/>
      <c r="EK225" s="777"/>
      <c r="EL225" s="777"/>
      <c r="EM225" s="777"/>
      <c r="EN225" s="777"/>
      <c r="EO225" s="777"/>
      <c r="EP225" s="777"/>
      <c r="EQ225" s="777"/>
      <c r="ER225" s="777"/>
      <c r="ES225" s="777"/>
      <c r="ET225" s="777"/>
      <c r="EU225" s="777"/>
      <c r="EV225" s="777"/>
    </row>
    <row r="226" spans="1:152" ht="31.2">
      <c r="A226" s="659"/>
      <c r="B226" s="821" t="s">
        <v>1050</v>
      </c>
      <c r="C226" s="661"/>
      <c r="D226" s="661"/>
      <c r="E226" s="661"/>
      <c r="F226" s="661"/>
      <c r="G226" s="661"/>
      <c r="H226" s="661"/>
      <c r="I226" s="661"/>
      <c r="J226" s="661"/>
      <c r="K226" s="646"/>
      <c r="L226" s="662">
        <f t="shared" si="417"/>
        <v>380</v>
      </c>
      <c r="M226" s="662"/>
      <c r="N226" s="662"/>
      <c r="O226" s="662"/>
      <c r="P226" s="662"/>
      <c r="Q226" s="662"/>
      <c r="R226" s="662"/>
      <c r="S226" s="662"/>
      <c r="T226" s="662"/>
      <c r="U226" s="666">
        <f t="shared" si="418"/>
        <v>0</v>
      </c>
      <c r="V226" s="662">
        <v>380</v>
      </c>
      <c r="W226" s="662"/>
      <c r="X226" s="662"/>
      <c r="Y226" s="662"/>
      <c r="Z226" s="662"/>
      <c r="AA226" s="662"/>
      <c r="AB226" s="666">
        <f t="shared" si="419"/>
        <v>0</v>
      </c>
      <c r="AC226" s="666">
        <f t="shared" si="420"/>
        <v>380</v>
      </c>
      <c r="AD226" s="662"/>
      <c r="AE226" s="662"/>
      <c r="AF226" s="662"/>
      <c r="AG226" s="662"/>
      <c r="AH226" s="662"/>
      <c r="AI226" s="662"/>
      <c r="AJ226" s="662"/>
      <c r="AK226" s="662"/>
      <c r="AL226" s="664"/>
      <c r="AN226" s="610"/>
      <c r="AO226" s="659"/>
      <c r="AP226" s="821"/>
      <c r="AQ226" s="661"/>
      <c r="AR226" s="661"/>
      <c r="AS226" s="661"/>
      <c r="AT226" s="661"/>
      <c r="AU226" s="661"/>
      <c r="AV226" s="661"/>
      <c r="AW226" s="661"/>
      <c r="AX226" s="661"/>
      <c r="AY226" s="662"/>
      <c r="AZ226" s="665"/>
      <c r="BA226" s="662"/>
      <c r="BB226" s="662"/>
      <c r="BC226" s="662"/>
      <c r="BD226" s="662"/>
      <c r="BE226" s="662"/>
      <c r="BF226" s="663"/>
      <c r="BG226" s="666"/>
      <c r="BH226" s="662"/>
      <c r="BI226" s="662"/>
      <c r="BJ226" s="662"/>
      <c r="BK226" s="662"/>
      <c r="BL226" s="662"/>
      <c r="BM226" s="663"/>
      <c r="BN226" s="666"/>
      <c r="BO226" s="662"/>
      <c r="BP226" s="662"/>
      <c r="BQ226" s="662"/>
      <c r="BR226" s="662"/>
      <c r="BS226" s="662"/>
      <c r="BT226" s="662"/>
      <c r="BU226" s="662"/>
      <c r="BV226" s="662"/>
      <c r="BW226" s="662"/>
      <c r="CA226" s="1352"/>
      <c r="CB226" s="1352"/>
      <c r="CC226" s="1352"/>
      <c r="CD226" s="1352"/>
      <c r="CE226" s="1352"/>
      <c r="CF226" s="1352"/>
      <c r="CG226" s="1352"/>
      <c r="CH226" s="1352"/>
      <c r="CI226" s="1352"/>
      <c r="CJ226" s="1352"/>
      <c r="CK226" s="1353"/>
      <c r="CL226" s="1353"/>
      <c r="CM226" s="1354"/>
      <c r="CN226" s="1354"/>
      <c r="CO226" s="1354"/>
      <c r="CP226" s="1354"/>
      <c r="CQ226" s="1354"/>
      <c r="CR226" s="1354"/>
      <c r="CS226" s="1354"/>
      <c r="CT226" s="1353"/>
      <c r="CU226" s="1353"/>
      <c r="CV226" s="1353"/>
      <c r="CW226" s="1353"/>
      <c r="CX226" s="1353"/>
      <c r="CY226" s="1353"/>
      <c r="CZ226" s="1353"/>
      <c r="DA226" s="1353"/>
      <c r="DB226" s="1353"/>
      <c r="DC226" s="1353"/>
      <c r="DD226" s="1353"/>
      <c r="DE226" s="1353"/>
      <c r="DF226" s="1353"/>
      <c r="DG226" s="1353"/>
      <c r="DH226" s="1353"/>
      <c r="DI226" s="1353"/>
      <c r="DJ226" s="1353"/>
      <c r="DK226" s="1353"/>
      <c r="DT226" s="659"/>
      <c r="DU226" s="821"/>
      <c r="DV226" s="777"/>
      <c r="DW226" s="777"/>
      <c r="DX226" s="777"/>
      <c r="DY226" s="777"/>
      <c r="DZ226" s="777"/>
      <c r="EA226" s="777"/>
      <c r="EB226" s="777"/>
      <c r="EC226" s="777"/>
      <c r="ED226" s="777"/>
      <c r="EE226" s="777"/>
      <c r="EF226" s="777"/>
      <c r="EG226" s="777"/>
      <c r="EH226" s="777"/>
      <c r="EI226" s="777"/>
      <c r="EJ226" s="777"/>
      <c r="EK226" s="777"/>
      <c r="EL226" s="777"/>
      <c r="EM226" s="777"/>
      <c r="EN226" s="777"/>
      <c r="EO226" s="777"/>
      <c r="EP226" s="777"/>
      <c r="EQ226" s="777"/>
      <c r="ER226" s="777"/>
      <c r="ES226" s="777"/>
      <c r="ET226" s="777"/>
      <c r="EU226" s="777"/>
      <c r="EV226" s="777"/>
    </row>
    <row r="227" spans="1:152" ht="31.2">
      <c r="A227" s="659"/>
      <c r="B227" s="821" t="s">
        <v>1051</v>
      </c>
      <c r="C227" s="661"/>
      <c r="D227" s="661"/>
      <c r="E227" s="661"/>
      <c r="F227" s="661"/>
      <c r="G227" s="661"/>
      <c r="H227" s="661"/>
      <c r="I227" s="661"/>
      <c r="J227" s="661"/>
      <c r="K227" s="646"/>
      <c r="L227" s="662">
        <f t="shared" si="417"/>
        <v>900</v>
      </c>
      <c r="M227" s="662"/>
      <c r="N227" s="662"/>
      <c r="O227" s="662"/>
      <c r="P227" s="662"/>
      <c r="Q227" s="662"/>
      <c r="R227" s="662"/>
      <c r="S227" s="662"/>
      <c r="T227" s="662"/>
      <c r="U227" s="666">
        <f t="shared" si="418"/>
        <v>0</v>
      </c>
      <c r="V227" s="662">
        <v>900</v>
      </c>
      <c r="W227" s="662"/>
      <c r="X227" s="662"/>
      <c r="Y227" s="662"/>
      <c r="Z227" s="662"/>
      <c r="AA227" s="662"/>
      <c r="AB227" s="666">
        <f t="shared" si="419"/>
        <v>0</v>
      </c>
      <c r="AC227" s="666">
        <f t="shared" si="420"/>
        <v>900</v>
      </c>
      <c r="AD227" s="662"/>
      <c r="AE227" s="662"/>
      <c r="AF227" s="662"/>
      <c r="AG227" s="662"/>
      <c r="AH227" s="662"/>
      <c r="AI227" s="662"/>
      <c r="AJ227" s="662"/>
      <c r="AK227" s="662"/>
      <c r="AL227" s="664"/>
      <c r="AN227" s="610"/>
      <c r="AO227" s="659"/>
      <c r="AP227" s="821"/>
      <c r="AQ227" s="661"/>
      <c r="AR227" s="661"/>
      <c r="AS227" s="661"/>
      <c r="AT227" s="661"/>
      <c r="AU227" s="661"/>
      <c r="AV227" s="661"/>
      <c r="AW227" s="661"/>
      <c r="AX227" s="661"/>
      <c r="AY227" s="662"/>
      <c r="AZ227" s="665"/>
      <c r="BA227" s="662"/>
      <c r="BB227" s="662"/>
      <c r="BC227" s="662"/>
      <c r="BD227" s="662"/>
      <c r="BE227" s="662"/>
      <c r="BF227" s="663"/>
      <c r="BG227" s="666"/>
      <c r="BH227" s="662"/>
      <c r="BI227" s="662"/>
      <c r="BJ227" s="662"/>
      <c r="BK227" s="662"/>
      <c r="BL227" s="662"/>
      <c r="BM227" s="663"/>
      <c r="BN227" s="666"/>
      <c r="BO227" s="662"/>
      <c r="BP227" s="662"/>
      <c r="BQ227" s="662"/>
      <c r="BR227" s="662"/>
      <c r="BS227" s="662"/>
      <c r="BT227" s="662"/>
      <c r="BU227" s="662"/>
      <c r="BV227" s="662"/>
      <c r="BW227" s="662"/>
      <c r="CA227" s="1352"/>
      <c r="CB227" s="1352"/>
      <c r="CC227" s="1352"/>
      <c r="CD227" s="1352"/>
      <c r="CE227" s="1352"/>
      <c r="CF227" s="1352"/>
      <c r="CG227" s="1352"/>
      <c r="CH227" s="1352"/>
      <c r="CI227" s="1352"/>
      <c r="CJ227" s="1352"/>
      <c r="CK227" s="1353"/>
      <c r="CL227" s="1353"/>
      <c r="CM227" s="1354"/>
      <c r="CN227" s="1354"/>
      <c r="CO227" s="1354"/>
      <c r="CP227" s="1354"/>
      <c r="CQ227" s="1354"/>
      <c r="CR227" s="1354"/>
      <c r="CS227" s="1354"/>
      <c r="CT227" s="1353"/>
      <c r="CU227" s="1353"/>
      <c r="CV227" s="1353"/>
      <c r="CW227" s="1353"/>
      <c r="CX227" s="1353"/>
      <c r="CY227" s="1353"/>
      <c r="CZ227" s="1353"/>
      <c r="DA227" s="1353"/>
      <c r="DB227" s="1353"/>
      <c r="DC227" s="1353"/>
      <c r="DD227" s="1353"/>
      <c r="DE227" s="1353"/>
      <c r="DF227" s="1353"/>
      <c r="DG227" s="1353"/>
      <c r="DH227" s="1353"/>
      <c r="DI227" s="1353"/>
      <c r="DJ227" s="1353"/>
      <c r="DK227" s="1353"/>
      <c r="DT227" s="659"/>
      <c r="DU227" s="821"/>
      <c r="DV227" s="777"/>
      <c r="DW227" s="777"/>
      <c r="DX227" s="777"/>
      <c r="DY227" s="777"/>
      <c r="DZ227" s="777"/>
      <c r="EA227" s="777"/>
      <c r="EB227" s="777"/>
      <c r="EC227" s="777"/>
      <c r="ED227" s="777"/>
      <c r="EE227" s="777"/>
      <c r="EF227" s="777"/>
      <c r="EG227" s="777"/>
      <c r="EH227" s="777"/>
      <c r="EI227" s="777"/>
      <c r="EJ227" s="777"/>
      <c r="EK227" s="777"/>
      <c r="EL227" s="777"/>
      <c r="EM227" s="777"/>
      <c r="EN227" s="777"/>
      <c r="EO227" s="777"/>
      <c r="EP227" s="777"/>
      <c r="EQ227" s="777"/>
      <c r="ER227" s="777"/>
      <c r="ES227" s="777"/>
      <c r="ET227" s="777"/>
      <c r="EU227" s="777"/>
      <c r="EV227" s="777"/>
    </row>
    <row r="228" spans="1:152" ht="31.2">
      <c r="A228" s="659"/>
      <c r="B228" s="821" t="s">
        <v>1052</v>
      </c>
      <c r="C228" s="661"/>
      <c r="D228" s="661"/>
      <c r="E228" s="661"/>
      <c r="F228" s="661"/>
      <c r="G228" s="661"/>
      <c r="H228" s="661"/>
      <c r="I228" s="661"/>
      <c r="J228" s="661"/>
      <c r="K228" s="646"/>
      <c r="L228" s="662">
        <f t="shared" ref="L228" si="421">U228+AC228+AD228+AE228</f>
        <v>188</v>
      </c>
      <c r="M228" s="662"/>
      <c r="N228" s="662"/>
      <c r="O228" s="662"/>
      <c r="P228" s="662"/>
      <c r="Q228" s="662"/>
      <c r="R228" s="662"/>
      <c r="S228" s="662"/>
      <c r="T228" s="662"/>
      <c r="U228" s="666">
        <f t="shared" ref="U228" si="422">(M228+N228+O228+P228)-S228</f>
        <v>0</v>
      </c>
      <c r="V228" s="662">
        <v>188</v>
      </c>
      <c r="W228" s="662"/>
      <c r="X228" s="662"/>
      <c r="Y228" s="662"/>
      <c r="Z228" s="662"/>
      <c r="AA228" s="662"/>
      <c r="AB228" s="666">
        <f t="shared" ref="AB228" si="423">ROUND((Y228+AA228+X228),0)</f>
        <v>0</v>
      </c>
      <c r="AC228" s="666">
        <f t="shared" ref="AC228" si="424">(V228+W228)-AA228</f>
        <v>188</v>
      </c>
      <c r="AD228" s="662"/>
      <c r="AE228" s="662"/>
      <c r="AF228" s="662"/>
      <c r="AG228" s="662"/>
      <c r="AH228" s="662"/>
      <c r="AI228" s="662"/>
      <c r="AJ228" s="662"/>
      <c r="AK228" s="662"/>
      <c r="AL228" s="664"/>
      <c r="AN228" s="610"/>
      <c r="AO228" s="659"/>
      <c r="AP228" s="821"/>
      <c r="AQ228" s="661"/>
      <c r="AR228" s="661"/>
      <c r="AS228" s="661"/>
      <c r="AT228" s="661"/>
      <c r="AU228" s="661"/>
      <c r="AV228" s="661"/>
      <c r="AW228" s="661"/>
      <c r="AX228" s="661"/>
      <c r="AY228" s="662"/>
      <c r="AZ228" s="665"/>
      <c r="BA228" s="662"/>
      <c r="BB228" s="662"/>
      <c r="BC228" s="662"/>
      <c r="BD228" s="662"/>
      <c r="BE228" s="662"/>
      <c r="BF228" s="663"/>
      <c r="BG228" s="666"/>
      <c r="BH228" s="662"/>
      <c r="BI228" s="662"/>
      <c r="BJ228" s="662"/>
      <c r="BK228" s="662"/>
      <c r="BL228" s="662"/>
      <c r="BM228" s="663"/>
      <c r="BN228" s="666"/>
      <c r="BO228" s="662"/>
      <c r="BP228" s="662"/>
      <c r="BQ228" s="662"/>
      <c r="BR228" s="662"/>
      <c r="BS228" s="662"/>
      <c r="BT228" s="662"/>
      <c r="BU228" s="662"/>
      <c r="BV228" s="662"/>
      <c r="BW228" s="662"/>
      <c r="CA228" s="1352"/>
      <c r="CB228" s="1352"/>
      <c r="CC228" s="1352"/>
      <c r="CD228" s="1352"/>
      <c r="CE228" s="1352"/>
      <c r="CF228" s="1352"/>
      <c r="CG228" s="1352"/>
      <c r="CH228" s="1352"/>
      <c r="CI228" s="1352"/>
      <c r="CJ228" s="1352"/>
      <c r="CK228" s="1353"/>
      <c r="CL228" s="1353"/>
      <c r="CM228" s="1354"/>
      <c r="CN228" s="1354"/>
      <c r="CO228" s="1354"/>
      <c r="CP228" s="1354"/>
      <c r="CQ228" s="1354"/>
      <c r="CR228" s="1354"/>
      <c r="CS228" s="1354"/>
      <c r="CT228" s="1353"/>
      <c r="CU228" s="1353"/>
      <c r="CV228" s="1353"/>
      <c r="CW228" s="1353"/>
      <c r="CX228" s="1353"/>
      <c r="CY228" s="1353"/>
      <c r="CZ228" s="1353"/>
      <c r="DA228" s="1353"/>
      <c r="DB228" s="1353"/>
      <c r="DC228" s="1353"/>
      <c r="DD228" s="1353"/>
      <c r="DE228" s="1353"/>
      <c r="DF228" s="1353"/>
      <c r="DG228" s="1353"/>
      <c r="DH228" s="1353"/>
      <c r="DI228" s="1353"/>
      <c r="DJ228" s="1353"/>
      <c r="DK228" s="1353"/>
      <c r="DT228" s="659"/>
      <c r="DU228" s="821"/>
      <c r="DV228" s="777"/>
      <c r="DW228" s="777"/>
      <c r="DX228" s="777"/>
      <c r="DY228" s="777"/>
      <c r="DZ228" s="777"/>
      <c r="EA228" s="777"/>
      <c r="EB228" s="777"/>
      <c r="EC228" s="777"/>
      <c r="ED228" s="777"/>
      <c r="EE228" s="777"/>
      <c r="EF228" s="777"/>
      <c r="EG228" s="777"/>
      <c r="EH228" s="777"/>
      <c r="EI228" s="777"/>
      <c r="EJ228" s="777"/>
      <c r="EK228" s="777"/>
      <c r="EL228" s="777"/>
      <c r="EM228" s="777"/>
      <c r="EN228" s="777"/>
      <c r="EO228" s="777"/>
      <c r="EP228" s="777"/>
      <c r="EQ228" s="777"/>
      <c r="ER228" s="777"/>
      <c r="ES228" s="777"/>
      <c r="ET228" s="777"/>
      <c r="EU228" s="777"/>
      <c r="EV228" s="777"/>
    </row>
    <row r="229" spans="1:152" ht="27.6" customHeight="1">
      <c r="A229" s="659"/>
      <c r="B229" s="821" t="s">
        <v>1053</v>
      </c>
      <c r="C229" s="661"/>
      <c r="D229" s="661"/>
      <c r="E229" s="661"/>
      <c r="F229" s="661"/>
      <c r="G229" s="661"/>
      <c r="H229" s="661"/>
      <c r="I229" s="661"/>
      <c r="J229" s="661"/>
      <c r="K229" s="646"/>
      <c r="L229" s="662">
        <f t="shared" ref="L229" si="425">U229+AC229+AD229+AE229</f>
        <v>43</v>
      </c>
      <c r="M229" s="662"/>
      <c r="N229" s="662"/>
      <c r="O229" s="662"/>
      <c r="P229" s="662"/>
      <c r="Q229" s="662"/>
      <c r="R229" s="662"/>
      <c r="S229" s="662"/>
      <c r="T229" s="662"/>
      <c r="U229" s="666">
        <f t="shared" ref="U229" si="426">(M229+N229+O229+P229)-S229</f>
        <v>0</v>
      </c>
      <c r="V229" s="662">
        <v>43</v>
      </c>
      <c r="W229" s="662"/>
      <c r="X229" s="662"/>
      <c r="Y229" s="662"/>
      <c r="Z229" s="662"/>
      <c r="AA229" s="662"/>
      <c r="AB229" s="666">
        <f t="shared" ref="AB229" si="427">ROUND((Y229+AA229+X229),0)</f>
        <v>0</v>
      </c>
      <c r="AC229" s="666">
        <f t="shared" ref="AC229" si="428">(V229+W229)-AA229</f>
        <v>43</v>
      </c>
      <c r="AD229" s="662"/>
      <c r="AE229" s="662"/>
      <c r="AF229" s="662"/>
      <c r="AG229" s="662"/>
      <c r="AH229" s="662"/>
      <c r="AI229" s="662"/>
      <c r="AJ229" s="662"/>
      <c r="AK229" s="662"/>
      <c r="AL229" s="664"/>
      <c r="AN229" s="610"/>
      <c r="AO229" s="659"/>
      <c r="AP229" s="821"/>
      <c r="AQ229" s="661"/>
      <c r="AR229" s="661"/>
      <c r="AS229" s="661"/>
      <c r="AT229" s="661"/>
      <c r="AU229" s="661"/>
      <c r="AV229" s="661"/>
      <c r="AW229" s="661"/>
      <c r="AX229" s="661"/>
      <c r="AY229" s="662"/>
      <c r="AZ229" s="665"/>
      <c r="BA229" s="662"/>
      <c r="BB229" s="662"/>
      <c r="BC229" s="662"/>
      <c r="BD229" s="662"/>
      <c r="BE229" s="662"/>
      <c r="BF229" s="663"/>
      <c r="BG229" s="666"/>
      <c r="BH229" s="662"/>
      <c r="BI229" s="662"/>
      <c r="BJ229" s="662"/>
      <c r="BK229" s="662"/>
      <c r="BL229" s="662"/>
      <c r="BM229" s="663"/>
      <c r="BN229" s="666"/>
      <c r="BO229" s="662"/>
      <c r="BP229" s="662"/>
      <c r="BQ229" s="662"/>
      <c r="BR229" s="662"/>
      <c r="BS229" s="662"/>
      <c r="BT229" s="662"/>
      <c r="BU229" s="662"/>
      <c r="BV229" s="662"/>
      <c r="BW229" s="662"/>
      <c r="CA229" s="1352"/>
      <c r="CB229" s="1352"/>
      <c r="CC229" s="1352"/>
      <c r="CD229" s="1352"/>
      <c r="CE229" s="1352"/>
      <c r="CF229" s="1352"/>
      <c r="CG229" s="1352"/>
      <c r="CH229" s="1352"/>
      <c r="CI229" s="1352"/>
      <c r="CJ229" s="1352"/>
      <c r="CK229" s="1353"/>
      <c r="CL229" s="1353"/>
      <c r="CM229" s="1354"/>
      <c r="CN229" s="1354"/>
      <c r="CO229" s="1354"/>
      <c r="CP229" s="1354"/>
      <c r="CQ229" s="1354"/>
      <c r="CR229" s="1354"/>
      <c r="CS229" s="1354"/>
      <c r="CT229" s="1353"/>
      <c r="CU229" s="1353"/>
      <c r="CV229" s="1353"/>
      <c r="CW229" s="1353"/>
      <c r="CX229" s="1353"/>
      <c r="CY229" s="1353"/>
      <c r="CZ229" s="1353"/>
      <c r="DA229" s="1353"/>
      <c r="DB229" s="1353"/>
      <c r="DC229" s="1353"/>
      <c r="DD229" s="1353"/>
      <c r="DE229" s="1353"/>
      <c r="DF229" s="1353"/>
      <c r="DG229" s="1353"/>
      <c r="DH229" s="1353"/>
      <c r="DI229" s="1353"/>
      <c r="DJ229" s="1353"/>
      <c r="DK229" s="1353"/>
      <c r="DT229" s="659"/>
      <c r="DU229" s="821"/>
      <c r="DV229" s="777"/>
      <c r="DW229" s="777"/>
      <c r="DX229" s="777"/>
      <c r="DY229" s="777"/>
      <c r="DZ229" s="777"/>
      <c r="EA229" s="777"/>
      <c r="EB229" s="777"/>
      <c r="EC229" s="777"/>
      <c r="ED229" s="777"/>
      <c r="EE229" s="777"/>
      <c r="EF229" s="777"/>
      <c r="EG229" s="777"/>
      <c r="EH229" s="777"/>
      <c r="EI229" s="777"/>
      <c r="EJ229" s="777"/>
      <c r="EK229" s="777"/>
      <c r="EL229" s="777"/>
      <c r="EM229" s="777"/>
      <c r="EN229" s="777"/>
      <c r="EO229" s="777"/>
      <c r="EP229" s="777"/>
      <c r="EQ229" s="777"/>
      <c r="ER229" s="777"/>
      <c r="ES229" s="777"/>
      <c r="ET229" s="777"/>
      <c r="EU229" s="777"/>
      <c r="EV229" s="777"/>
    </row>
    <row r="230" spans="1:152" ht="52.8" customHeight="1">
      <c r="A230" s="659"/>
      <c r="B230" s="821" t="s">
        <v>667</v>
      </c>
      <c r="C230" s="661"/>
      <c r="D230" s="661"/>
      <c r="E230" s="661"/>
      <c r="F230" s="661"/>
      <c r="G230" s="661"/>
      <c r="H230" s="661"/>
      <c r="I230" s="661"/>
      <c r="J230" s="661"/>
      <c r="K230" s="646">
        <f t="shared" si="395"/>
        <v>600</v>
      </c>
      <c r="L230" s="662">
        <f t="shared" si="408"/>
        <v>600</v>
      </c>
      <c r="M230" s="666"/>
      <c r="N230" s="666"/>
      <c r="O230" s="666"/>
      <c r="P230" s="666"/>
      <c r="Q230" s="666"/>
      <c r="R230" s="666"/>
      <c r="S230" s="666"/>
      <c r="T230" s="666"/>
      <c r="U230" s="666">
        <f t="shared" si="409"/>
        <v>0</v>
      </c>
      <c r="V230" s="666">
        <v>600</v>
      </c>
      <c r="W230" s="666"/>
      <c r="X230" s="666"/>
      <c r="Y230" s="666"/>
      <c r="Z230" s="666"/>
      <c r="AA230" s="666"/>
      <c r="AB230" s="666">
        <f t="shared" si="410"/>
        <v>0</v>
      </c>
      <c r="AC230" s="666">
        <f t="shared" si="411"/>
        <v>600</v>
      </c>
      <c r="AD230" s="666"/>
      <c r="AE230" s="666"/>
      <c r="AF230" s="666"/>
      <c r="AG230" s="666"/>
      <c r="AH230" s="666"/>
      <c r="AI230" s="666"/>
      <c r="AJ230" s="666"/>
      <c r="AK230" s="666"/>
      <c r="AL230" s="664"/>
      <c r="AN230" s="610"/>
      <c r="AO230" s="659"/>
      <c r="AP230" s="821" t="s">
        <v>667</v>
      </c>
      <c r="AQ230" s="661"/>
      <c r="AR230" s="661"/>
      <c r="AS230" s="661"/>
      <c r="AT230" s="661"/>
      <c r="AU230" s="661"/>
      <c r="AV230" s="661"/>
      <c r="AW230" s="661"/>
      <c r="AX230" s="661"/>
      <c r="AY230" s="666">
        <f t="shared" si="412"/>
        <v>600</v>
      </c>
      <c r="AZ230" s="670"/>
      <c r="BA230" s="666"/>
      <c r="BB230" s="666"/>
      <c r="BC230" s="666"/>
      <c r="BD230" s="666"/>
      <c r="BE230" s="666"/>
      <c r="BF230" s="667"/>
      <c r="BG230" s="666">
        <f t="shared" si="413"/>
        <v>0</v>
      </c>
      <c r="BH230" s="666">
        <v>600</v>
      </c>
      <c r="BI230" s="666"/>
      <c r="BJ230" s="666"/>
      <c r="BK230" s="666"/>
      <c r="BL230" s="666"/>
      <c r="BM230" s="667"/>
      <c r="BN230" s="666">
        <f>(BH230+BI230+BJ230)-BM230</f>
        <v>600</v>
      </c>
      <c r="BO230" s="666"/>
      <c r="BP230" s="666"/>
      <c r="BQ230" s="666"/>
      <c r="BR230" s="666"/>
      <c r="BS230" s="666"/>
      <c r="BT230" s="666"/>
      <c r="BU230" s="666"/>
      <c r="BV230" s="666"/>
      <c r="BW230" s="662"/>
      <c r="CA230" s="1352"/>
      <c r="CB230" s="1352" t="s">
        <v>667</v>
      </c>
      <c r="CC230" s="1352"/>
      <c r="CD230" s="1352"/>
      <c r="CE230" s="1352"/>
      <c r="CF230" s="1352"/>
      <c r="CG230" s="1352"/>
      <c r="CH230" s="1352"/>
      <c r="CI230" s="1352"/>
      <c r="CJ230" s="1352"/>
      <c r="CK230" s="1353">
        <v>600</v>
      </c>
      <c r="CL230" s="1353"/>
      <c r="CM230" s="1354"/>
      <c r="CN230" s="1354"/>
      <c r="CO230" s="1354"/>
      <c r="CP230" s="1354"/>
      <c r="CQ230" s="1354"/>
      <c r="CR230" s="1354"/>
      <c r="CS230" s="1354"/>
      <c r="CT230" s="1353">
        <v>0</v>
      </c>
      <c r="CU230" s="1353">
        <v>600</v>
      </c>
      <c r="CV230" s="1353"/>
      <c r="CW230" s="1353"/>
      <c r="CX230" s="1353"/>
      <c r="CY230" s="1353"/>
      <c r="CZ230" s="1353"/>
      <c r="DA230" s="1353">
        <v>0</v>
      </c>
      <c r="DB230" s="1353">
        <v>600</v>
      </c>
      <c r="DC230" s="1353"/>
      <c r="DD230" s="1353"/>
      <c r="DE230" s="1353"/>
      <c r="DF230" s="1353"/>
      <c r="DG230" s="1353"/>
      <c r="DH230" s="1353"/>
      <c r="DI230" s="1353"/>
      <c r="DJ230" s="1353"/>
      <c r="DK230" s="1353"/>
      <c r="DT230" s="659"/>
      <c r="DU230" s="821" t="s">
        <v>667</v>
      </c>
      <c r="DV230" s="777">
        <f t="shared" si="414"/>
        <v>0</v>
      </c>
      <c r="DW230" s="777">
        <f t="shared" si="414"/>
        <v>0</v>
      </c>
      <c r="DX230" s="777">
        <f t="shared" si="414"/>
        <v>0</v>
      </c>
      <c r="DY230" s="777">
        <f t="shared" si="414"/>
        <v>0</v>
      </c>
      <c r="DZ230" s="777">
        <f t="shared" si="414"/>
        <v>0</v>
      </c>
      <c r="EA230" s="777">
        <f t="shared" si="414"/>
        <v>0</v>
      </c>
      <c r="EB230" s="777">
        <f t="shared" si="414"/>
        <v>0</v>
      </c>
      <c r="EC230" s="777">
        <f t="shared" si="414"/>
        <v>0</v>
      </c>
      <c r="ED230" s="777">
        <f t="shared" si="414"/>
        <v>0</v>
      </c>
      <c r="EE230" s="777">
        <f t="shared" si="414"/>
        <v>0</v>
      </c>
      <c r="EF230" s="777">
        <f t="shared" si="414"/>
        <v>0</v>
      </c>
      <c r="EG230" s="777">
        <f t="shared" si="414"/>
        <v>0</v>
      </c>
      <c r="EH230" s="777">
        <f t="shared" si="414"/>
        <v>0</v>
      </c>
      <c r="EI230" s="777">
        <f t="shared" si="414"/>
        <v>0</v>
      </c>
      <c r="EJ230" s="777">
        <f t="shared" si="414"/>
        <v>0</v>
      </c>
      <c r="EK230" s="777">
        <f t="shared" si="414"/>
        <v>0</v>
      </c>
      <c r="EL230" s="777">
        <f t="shared" si="415"/>
        <v>0</v>
      </c>
      <c r="EM230" s="777">
        <f t="shared" si="415"/>
        <v>0</v>
      </c>
      <c r="EN230" s="777">
        <f t="shared" si="415"/>
        <v>0</v>
      </c>
      <c r="EO230" s="777">
        <f t="shared" si="415"/>
        <v>0</v>
      </c>
      <c r="EP230" s="777">
        <f t="shared" si="415"/>
        <v>0</v>
      </c>
      <c r="EQ230" s="777">
        <f t="shared" si="415"/>
        <v>0</v>
      </c>
      <c r="ER230" s="777">
        <f t="shared" si="415"/>
        <v>0</v>
      </c>
      <c r="ES230" s="777">
        <f t="shared" si="415"/>
        <v>0</v>
      </c>
      <c r="ET230" s="777">
        <f t="shared" si="415"/>
        <v>0</v>
      </c>
      <c r="EU230" s="777">
        <f t="shared" si="415"/>
        <v>0</v>
      </c>
      <c r="EV230" s="777">
        <f t="shared" si="415"/>
        <v>0</v>
      </c>
    </row>
    <row r="231" spans="1:152" ht="21" customHeight="1">
      <c r="A231" s="659">
        <v>83</v>
      </c>
      <c r="B231" s="822" t="s">
        <v>668</v>
      </c>
      <c r="C231" s="661"/>
      <c r="D231" s="661"/>
      <c r="E231" s="661"/>
      <c r="F231" s="661"/>
      <c r="G231" s="661"/>
      <c r="H231" s="661"/>
      <c r="I231" s="661"/>
      <c r="J231" s="661"/>
      <c r="K231" s="646">
        <f t="shared" si="395"/>
        <v>0</v>
      </c>
      <c r="L231" s="662">
        <f t="shared" si="408"/>
        <v>0</v>
      </c>
      <c r="M231" s="662"/>
      <c r="N231" s="662"/>
      <c r="O231" s="662"/>
      <c r="P231" s="662"/>
      <c r="Q231" s="662"/>
      <c r="R231" s="662"/>
      <c r="S231" s="662"/>
      <c r="T231" s="662"/>
      <c r="U231" s="666">
        <f t="shared" si="409"/>
        <v>0</v>
      </c>
      <c r="V231" s="662"/>
      <c r="W231" s="662"/>
      <c r="X231" s="662"/>
      <c r="Y231" s="662"/>
      <c r="Z231" s="662"/>
      <c r="AA231" s="662"/>
      <c r="AB231" s="666">
        <f t="shared" si="410"/>
        <v>0</v>
      </c>
      <c r="AC231" s="666">
        <f t="shared" si="411"/>
        <v>0</v>
      </c>
      <c r="AD231" s="662"/>
      <c r="AE231" s="662"/>
      <c r="AF231" s="662"/>
      <c r="AG231" s="662"/>
      <c r="AH231" s="662"/>
      <c r="AI231" s="662"/>
      <c r="AJ231" s="662"/>
      <c r="AK231" s="662"/>
      <c r="AL231" s="664"/>
      <c r="AN231" s="610"/>
      <c r="AO231" s="659">
        <v>91</v>
      </c>
      <c r="AP231" s="822" t="s">
        <v>668</v>
      </c>
      <c r="AQ231" s="661"/>
      <c r="AR231" s="661"/>
      <c r="AS231" s="661"/>
      <c r="AT231" s="661"/>
      <c r="AU231" s="661"/>
      <c r="AV231" s="661"/>
      <c r="AW231" s="661"/>
      <c r="AX231" s="661"/>
      <c r="AY231" s="662">
        <f t="shared" si="412"/>
        <v>0</v>
      </c>
      <c r="AZ231" s="665"/>
      <c r="BA231" s="662"/>
      <c r="BB231" s="662"/>
      <c r="BC231" s="662"/>
      <c r="BD231" s="662"/>
      <c r="BE231" s="662"/>
      <c r="BF231" s="663"/>
      <c r="BG231" s="666">
        <f t="shared" si="413"/>
        <v>0</v>
      </c>
      <c r="BH231" s="662"/>
      <c r="BI231" s="662"/>
      <c r="BJ231" s="662"/>
      <c r="BK231" s="662"/>
      <c r="BL231" s="662"/>
      <c r="BM231" s="663"/>
      <c r="BN231" s="662">
        <f>BH231+BI231+BJ231-BK231-BL231</f>
        <v>0</v>
      </c>
      <c r="BO231" s="662"/>
      <c r="BP231" s="662"/>
      <c r="BQ231" s="662"/>
      <c r="BR231" s="662"/>
      <c r="BS231" s="662"/>
      <c r="BT231" s="662"/>
      <c r="BU231" s="662"/>
      <c r="BV231" s="662"/>
      <c r="BW231" s="662"/>
      <c r="CA231" s="1352">
        <v>85</v>
      </c>
      <c r="CB231" s="1352" t="s">
        <v>668</v>
      </c>
      <c r="CC231" s="1352"/>
      <c r="CD231" s="1352"/>
      <c r="CE231" s="1352"/>
      <c r="CF231" s="1352"/>
      <c r="CG231" s="1352"/>
      <c r="CH231" s="1352"/>
      <c r="CI231" s="1352"/>
      <c r="CJ231" s="1352"/>
      <c r="CK231" s="1353">
        <v>0</v>
      </c>
      <c r="CL231" s="1353"/>
      <c r="CM231" s="1354"/>
      <c r="CN231" s="1354"/>
      <c r="CO231" s="1354"/>
      <c r="CP231" s="1354"/>
      <c r="CQ231" s="1354"/>
      <c r="CR231" s="1354"/>
      <c r="CS231" s="1354"/>
      <c r="CT231" s="1353">
        <v>0</v>
      </c>
      <c r="CU231" s="1353"/>
      <c r="CV231" s="1353"/>
      <c r="CW231" s="1353"/>
      <c r="CX231" s="1353"/>
      <c r="CY231" s="1353"/>
      <c r="CZ231" s="1353"/>
      <c r="DA231" s="1353">
        <v>0</v>
      </c>
      <c r="DB231" s="1353">
        <v>0</v>
      </c>
      <c r="DC231" s="1353"/>
      <c r="DD231" s="1353"/>
      <c r="DE231" s="1353"/>
      <c r="DF231" s="1353"/>
      <c r="DG231" s="1353"/>
      <c r="DH231" s="1353"/>
      <c r="DI231" s="1353"/>
      <c r="DJ231" s="1353"/>
      <c r="DK231" s="1353"/>
      <c r="DT231" s="659">
        <v>85</v>
      </c>
      <c r="DU231" s="822" t="s">
        <v>668</v>
      </c>
      <c r="DV231" s="777">
        <f t="shared" si="414"/>
        <v>0</v>
      </c>
      <c r="DW231" s="777">
        <f t="shared" si="414"/>
        <v>0</v>
      </c>
      <c r="DX231" s="777">
        <f t="shared" si="414"/>
        <v>0</v>
      </c>
      <c r="DY231" s="777">
        <f t="shared" si="414"/>
        <v>0</v>
      </c>
      <c r="DZ231" s="777">
        <f t="shared" si="414"/>
        <v>0</v>
      </c>
      <c r="EA231" s="777">
        <f t="shared" si="414"/>
        <v>0</v>
      </c>
      <c r="EB231" s="777">
        <f t="shared" si="414"/>
        <v>0</v>
      </c>
      <c r="EC231" s="777">
        <f t="shared" si="414"/>
        <v>0</v>
      </c>
      <c r="ED231" s="777">
        <f t="shared" si="414"/>
        <v>0</v>
      </c>
      <c r="EE231" s="777">
        <f t="shared" si="414"/>
        <v>0</v>
      </c>
      <c r="EF231" s="777">
        <f t="shared" si="414"/>
        <v>0</v>
      </c>
      <c r="EG231" s="777">
        <f t="shared" si="414"/>
        <v>0</v>
      </c>
      <c r="EH231" s="777">
        <f t="shared" si="414"/>
        <v>0</v>
      </c>
      <c r="EI231" s="777">
        <f t="shared" si="414"/>
        <v>0</v>
      </c>
      <c r="EJ231" s="777">
        <f t="shared" si="414"/>
        <v>0</v>
      </c>
      <c r="EK231" s="777">
        <f t="shared" si="414"/>
        <v>0</v>
      </c>
      <c r="EL231" s="777">
        <f t="shared" si="415"/>
        <v>0</v>
      </c>
      <c r="EM231" s="777">
        <f t="shared" si="415"/>
        <v>0</v>
      </c>
      <c r="EN231" s="777">
        <f t="shared" si="415"/>
        <v>0</v>
      </c>
      <c r="EO231" s="777">
        <f t="shared" si="415"/>
        <v>0</v>
      </c>
      <c r="EP231" s="777">
        <f t="shared" si="415"/>
        <v>0</v>
      </c>
      <c r="EQ231" s="777">
        <f t="shared" si="415"/>
        <v>0</v>
      </c>
      <c r="ER231" s="777">
        <f t="shared" si="415"/>
        <v>0</v>
      </c>
      <c r="ES231" s="777">
        <f t="shared" si="415"/>
        <v>0</v>
      </c>
      <c r="ET231" s="777">
        <f t="shared" si="415"/>
        <v>0</v>
      </c>
      <c r="EU231" s="777">
        <f t="shared" si="415"/>
        <v>0</v>
      </c>
      <c r="EV231" s="777">
        <f t="shared" si="415"/>
        <v>0</v>
      </c>
    </row>
    <row r="232" spans="1:152" ht="21" customHeight="1">
      <c r="A232" s="659">
        <v>84</v>
      </c>
      <c r="B232" s="822" t="s">
        <v>669</v>
      </c>
      <c r="C232" s="661"/>
      <c r="D232" s="661"/>
      <c r="E232" s="661"/>
      <c r="F232" s="661"/>
      <c r="G232" s="661"/>
      <c r="H232" s="661"/>
      <c r="I232" s="661"/>
      <c r="J232" s="661"/>
      <c r="K232" s="646">
        <f t="shared" si="395"/>
        <v>0</v>
      </c>
      <c r="L232" s="662">
        <f t="shared" si="408"/>
        <v>0</v>
      </c>
      <c r="M232" s="662"/>
      <c r="N232" s="662"/>
      <c r="O232" s="662"/>
      <c r="P232" s="662"/>
      <c r="Q232" s="662"/>
      <c r="R232" s="662"/>
      <c r="S232" s="662"/>
      <c r="T232" s="662"/>
      <c r="U232" s="666">
        <f t="shared" si="409"/>
        <v>0</v>
      </c>
      <c r="V232" s="662"/>
      <c r="W232" s="662"/>
      <c r="X232" s="662"/>
      <c r="Y232" s="662"/>
      <c r="Z232" s="662"/>
      <c r="AA232" s="662"/>
      <c r="AB232" s="666">
        <f t="shared" si="410"/>
        <v>0</v>
      </c>
      <c r="AC232" s="666">
        <f t="shared" si="411"/>
        <v>0</v>
      </c>
      <c r="AD232" s="662"/>
      <c r="AE232" s="662"/>
      <c r="AF232" s="662"/>
      <c r="AG232" s="662"/>
      <c r="AH232" s="662"/>
      <c r="AI232" s="662"/>
      <c r="AJ232" s="662"/>
      <c r="AK232" s="662"/>
      <c r="AL232" s="664"/>
      <c r="AN232" s="610"/>
      <c r="AO232" s="659">
        <v>92</v>
      </c>
      <c r="AP232" s="822" t="s">
        <v>669</v>
      </c>
      <c r="AQ232" s="661"/>
      <c r="AR232" s="661"/>
      <c r="AS232" s="661"/>
      <c r="AT232" s="661"/>
      <c r="AU232" s="661"/>
      <c r="AV232" s="661"/>
      <c r="AW232" s="661"/>
      <c r="AX232" s="661"/>
      <c r="AY232" s="662">
        <f t="shared" si="412"/>
        <v>0</v>
      </c>
      <c r="AZ232" s="665"/>
      <c r="BA232" s="662"/>
      <c r="BB232" s="662"/>
      <c r="BC232" s="662"/>
      <c r="BD232" s="662"/>
      <c r="BE232" s="662"/>
      <c r="BF232" s="663"/>
      <c r="BG232" s="666">
        <f t="shared" si="413"/>
        <v>0</v>
      </c>
      <c r="BH232" s="662"/>
      <c r="BI232" s="662"/>
      <c r="BJ232" s="662"/>
      <c r="BK232" s="662"/>
      <c r="BL232" s="662"/>
      <c r="BM232" s="663"/>
      <c r="BN232" s="662">
        <f>BH232+BI232+BJ232-BK232-BL232</f>
        <v>0</v>
      </c>
      <c r="BO232" s="662"/>
      <c r="BP232" s="662"/>
      <c r="BQ232" s="662"/>
      <c r="BR232" s="662"/>
      <c r="BS232" s="662"/>
      <c r="BT232" s="662"/>
      <c r="BU232" s="662"/>
      <c r="BV232" s="662"/>
      <c r="BW232" s="662"/>
      <c r="CA232" s="1352">
        <v>86</v>
      </c>
      <c r="CB232" s="1352" t="s">
        <v>669</v>
      </c>
      <c r="CC232" s="1352"/>
      <c r="CD232" s="1352"/>
      <c r="CE232" s="1352"/>
      <c r="CF232" s="1352"/>
      <c r="CG232" s="1352"/>
      <c r="CH232" s="1352"/>
      <c r="CI232" s="1352"/>
      <c r="CJ232" s="1352"/>
      <c r="CK232" s="1353">
        <v>0</v>
      </c>
      <c r="CL232" s="1353"/>
      <c r="CM232" s="1354"/>
      <c r="CN232" s="1354"/>
      <c r="CO232" s="1354"/>
      <c r="CP232" s="1354"/>
      <c r="CQ232" s="1354"/>
      <c r="CR232" s="1354"/>
      <c r="CS232" s="1354"/>
      <c r="CT232" s="1353">
        <v>0</v>
      </c>
      <c r="CU232" s="1353"/>
      <c r="CV232" s="1353"/>
      <c r="CW232" s="1353"/>
      <c r="CX232" s="1353"/>
      <c r="CY232" s="1353"/>
      <c r="CZ232" s="1353"/>
      <c r="DA232" s="1353">
        <v>0</v>
      </c>
      <c r="DB232" s="1353">
        <v>0</v>
      </c>
      <c r="DC232" s="1353"/>
      <c r="DD232" s="1353"/>
      <c r="DE232" s="1353"/>
      <c r="DF232" s="1353"/>
      <c r="DG232" s="1353"/>
      <c r="DH232" s="1353"/>
      <c r="DI232" s="1353"/>
      <c r="DJ232" s="1353"/>
      <c r="DK232" s="1353"/>
      <c r="DT232" s="659">
        <v>86</v>
      </c>
      <c r="DU232" s="822" t="s">
        <v>669</v>
      </c>
      <c r="DV232" s="777">
        <f t="shared" si="414"/>
        <v>0</v>
      </c>
      <c r="DW232" s="777">
        <f t="shared" si="414"/>
        <v>0</v>
      </c>
      <c r="DX232" s="777">
        <f t="shared" si="414"/>
        <v>0</v>
      </c>
      <c r="DY232" s="777">
        <f t="shared" si="414"/>
        <v>0</v>
      </c>
      <c r="DZ232" s="777">
        <f t="shared" si="414"/>
        <v>0</v>
      </c>
      <c r="EA232" s="777">
        <f t="shared" si="414"/>
        <v>0</v>
      </c>
      <c r="EB232" s="777">
        <f t="shared" si="414"/>
        <v>0</v>
      </c>
      <c r="EC232" s="777">
        <f t="shared" si="414"/>
        <v>0</v>
      </c>
      <c r="ED232" s="777">
        <f t="shared" si="414"/>
        <v>0</v>
      </c>
      <c r="EE232" s="777">
        <f t="shared" si="414"/>
        <v>0</v>
      </c>
      <c r="EF232" s="777">
        <f t="shared" si="414"/>
        <v>0</v>
      </c>
      <c r="EG232" s="777">
        <f t="shared" si="414"/>
        <v>0</v>
      </c>
      <c r="EH232" s="777">
        <f t="shared" si="414"/>
        <v>0</v>
      </c>
      <c r="EI232" s="777">
        <f t="shared" si="414"/>
        <v>0</v>
      </c>
      <c r="EJ232" s="777">
        <f t="shared" si="414"/>
        <v>0</v>
      </c>
      <c r="EK232" s="777">
        <f t="shared" si="414"/>
        <v>0</v>
      </c>
      <c r="EL232" s="777">
        <f t="shared" si="415"/>
        <v>0</v>
      </c>
      <c r="EM232" s="777">
        <f t="shared" si="415"/>
        <v>0</v>
      </c>
      <c r="EN232" s="777">
        <f t="shared" si="415"/>
        <v>0</v>
      </c>
      <c r="EO232" s="777">
        <f t="shared" si="415"/>
        <v>0</v>
      </c>
      <c r="EP232" s="777">
        <f t="shared" si="415"/>
        <v>0</v>
      </c>
      <c r="EQ232" s="777">
        <f t="shared" si="415"/>
        <v>0</v>
      </c>
      <c r="ER232" s="777">
        <f t="shared" si="415"/>
        <v>0</v>
      </c>
      <c r="ES232" s="777">
        <f t="shared" si="415"/>
        <v>0</v>
      </c>
      <c r="ET232" s="777">
        <f t="shared" si="415"/>
        <v>0</v>
      </c>
      <c r="EU232" s="777">
        <f t="shared" si="415"/>
        <v>0</v>
      </c>
      <c r="EV232" s="777">
        <f t="shared" si="415"/>
        <v>0</v>
      </c>
    </row>
    <row r="233" spans="1:152" ht="21" customHeight="1">
      <c r="A233" s="659">
        <v>85</v>
      </c>
      <c r="B233" s="822" t="s">
        <v>670</v>
      </c>
      <c r="C233" s="661"/>
      <c r="D233" s="661"/>
      <c r="E233" s="661"/>
      <c r="F233" s="661"/>
      <c r="G233" s="661"/>
      <c r="H233" s="661"/>
      <c r="I233" s="661"/>
      <c r="J233" s="661"/>
      <c r="K233" s="646">
        <f t="shared" si="395"/>
        <v>37894</v>
      </c>
      <c r="L233" s="662">
        <f t="shared" si="408"/>
        <v>37894</v>
      </c>
      <c r="M233" s="662"/>
      <c r="N233" s="662"/>
      <c r="O233" s="662"/>
      <c r="P233" s="662"/>
      <c r="Q233" s="662"/>
      <c r="R233" s="662"/>
      <c r="S233" s="662"/>
      <c r="T233" s="662"/>
      <c r="U233" s="666">
        <f t="shared" si="409"/>
        <v>0</v>
      </c>
      <c r="V233" s="662">
        <f>28065+616+7167+2014-30+62</f>
        <v>37894</v>
      </c>
      <c r="W233" s="662"/>
      <c r="X233" s="662"/>
      <c r="Y233" s="662"/>
      <c r="Z233" s="662"/>
      <c r="AA233" s="662"/>
      <c r="AB233" s="666">
        <f t="shared" si="410"/>
        <v>0</v>
      </c>
      <c r="AC233" s="666">
        <f t="shared" si="411"/>
        <v>37894</v>
      </c>
      <c r="AD233" s="662"/>
      <c r="AE233" s="662"/>
      <c r="AF233" s="662"/>
      <c r="AG233" s="662"/>
      <c r="AH233" s="662"/>
      <c r="AI233" s="662"/>
      <c r="AJ233" s="662">
        <v>2400</v>
      </c>
      <c r="AK233" s="662"/>
      <c r="AL233" s="664"/>
      <c r="AN233" s="610"/>
      <c r="AO233" s="659">
        <v>93</v>
      </c>
      <c r="AP233" s="822" t="s">
        <v>670</v>
      </c>
      <c r="AQ233" s="661"/>
      <c r="AR233" s="661"/>
      <c r="AS233" s="661"/>
      <c r="AT233" s="661"/>
      <c r="AU233" s="661"/>
      <c r="AV233" s="661"/>
      <c r="AW233" s="661"/>
      <c r="AX233" s="661"/>
      <c r="AY233" s="662">
        <f t="shared" si="412"/>
        <v>18287</v>
      </c>
      <c r="AZ233" s="665"/>
      <c r="BA233" s="662"/>
      <c r="BB233" s="662"/>
      <c r="BC233" s="662"/>
      <c r="BD233" s="662"/>
      <c r="BE233" s="662"/>
      <c r="BF233" s="663"/>
      <c r="BG233" s="666">
        <f t="shared" si="413"/>
        <v>0</v>
      </c>
      <c r="BH233" s="662">
        <f>17321+1542+723-1299</f>
        <v>18287</v>
      </c>
      <c r="BI233" s="662"/>
      <c r="BJ233" s="662"/>
      <c r="BK233" s="662"/>
      <c r="BL233" s="662"/>
      <c r="BM233" s="663"/>
      <c r="BN233" s="666">
        <f>(BH233+BI233+BJ233)-BM233</f>
        <v>18287</v>
      </c>
      <c r="BO233" s="662"/>
      <c r="BP233" s="662"/>
      <c r="BQ233" s="662"/>
      <c r="BR233" s="662"/>
      <c r="BS233" s="662"/>
      <c r="BT233" s="662"/>
      <c r="BU233" s="662"/>
      <c r="BV233" s="662"/>
      <c r="BW233" s="662"/>
      <c r="CA233" s="1352">
        <v>87</v>
      </c>
      <c r="CB233" s="1352" t="s">
        <v>670</v>
      </c>
      <c r="CC233" s="1352"/>
      <c r="CD233" s="1352"/>
      <c r="CE233" s="1352"/>
      <c r="CF233" s="1352"/>
      <c r="CG233" s="1352"/>
      <c r="CH233" s="1352"/>
      <c r="CI233" s="1352"/>
      <c r="CJ233" s="1352"/>
      <c r="CK233" s="1353">
        <v>0</v>
      </c>
      <c r="CL233" s="1353"/>
      <c r="CM233" s="1354"/>
      <c r="CN233" s="1354"/>
      <c r="CO233" s="1354"/>
      <c r="CP233" s="1354"/>
      <c r="CQ233" s="1354"/>
      <c r="CR233" s="1354"/>
      <c r="CS233" s="1354"/>
      <c r="CT233" s="1353">
        <v>0</v>
      </c>
      <c r="CU233" s="1353"/>
      <c r="CV233" s="1353"/>
      <c r="CW233" s="1353"/>
      <c r="CX233" s="1353"/>
      <c r="CY233" s="1353"/>
      <c r="CZ233" s="1353"/>
      <c r="DA233" s="1353">
        <v>0</v>
      </c>
      <c r="DB233" s="1353">
        <v>0</v>
      </c>
      <c r="DC233" s="1353"/>
      <c r="DD233" s="1353"/>
      <c r="DE233" s="1353"/>
      <c r="DF233" s="1353"/>
      <c r="DG233" s="1353"/>
      <c r="DH233" s="1353"/>
      <c r="DI233" s="1353"/>
      <c r="DJ233" s="1353"/>
      <c r="DK233" s="1353"/>
      <c r="DT233" s="659">
        <v>87</v>
      </c>
      <c r="DU233" s="822" t="s">
        <v>670</v>
      </c>
      <c r="DV233" s="777">
        <f t="shared" si="414"/>
        <v>37894</v>
      </c>
      <c r="DW233" s="777">
        <f t="shared" si="414"/>
        <v>0</v>
      </c>
      <c r="DX233" s="777">
        <f t="shared" si="414"/>
        <v>0</v>
      </c>
      <c r="DY233" s="777">
        <f t="shared" si="414"/>
        <v>0</v>
      </c>
      <c r="DZ233" s="777">
        <f t="shared" si="414"/>
        <v>0</v>
      </c>
      <c r="EA233" s="777">
        <f t="shared" si="414"/>
        <v>0</v>
      </c>
      <c r="EB233" s="777">
        <f t="shared" si="414"/>
        <v>0</v>
      </c>
      <c r="EC233" s="777">
        <f t="shared" si="414"/>
        <v>0</v>
      </c>
      <c r="ED233" s="777">
        <f t="shared" si="414"/>
        <v>0</v>
      </c>
      <c r="EE233" s="777">
        <f t="shared" si="414"/>
        <v>0</v>
      </c>
      <c r="EF233" s="777">
        <f t="shared" si="414"/>
        <v>37894</v>
      </c>
      <c r="EG233" s="777">
        <f t="shared" si="414"/>
        <v>0</v>
      </c>
      <c r="EH233" s="777">
        <f t="shared" si="414"/>
        <v>0</v>
      </c>
      <c r="EI233" s="777">
        <f t="shared" si="414"/>
        <v>0</v>
      </c>
      <c r="EJ233" s="777">
        <f t="shared" si="414"/>
        <v>0</v>
      </c>
      <c r="EK233" s="777">
        <f t="shared" si="414"/>
        <v>0</v>
      </c>
      <c r="EL233" s="777">
        <f t="shared" si="415"/>
        <v>0</v>
      </c>
      <c r="EM233" s="777">
        <f t="shared" si="415"/>
        <v>37894</v>
      </c>
      <c r="EN233" s="777">
        <f t="shared" si="415"/>
        <v>0</v>
      </c>
      <c r="EO233" s="777">
        <f t="shared" si="415"/>
        <v>0</v>
      </c>
      <c r="EP233" s="777">
        <f t="shared" si="415"/>
        <v>0</v>
      </c>
      <c r="EQ233" s="777">
        <f t="shared" si="415"/>
        <v>0</v>
      </c>
      <c r="ER233" s="777">
        <f t="shared" si="415"/>
        <v>0</v>
      </c>
      <c r="ES233" s="777">
        <f t="shared" si="415"/>
        <v>0</v>
      </c>
      <c r="ET233" s="777">
        <f t="shared" si="415"/>
        <v>2400</v>
      </c>
      <c r="EU233" s="777">
        <f t="shared" si="415"/>
        <v>0</v>
      </c>
      <c r="EV233" s="777">
        <f t="shared" si="415"/>
        <v>0</v>
      </c>
    </row>
    <row r="234" spans="1:152" s="614" customFormat="1" ht="49.2" customHeight="1">
      <c r="A234" s="1429" t="s">
        <v>662</v>
      </c>
      <c r="B234" s="823" t="s">
        <v>671</v>
      </c>
      <c r="C234" s="1430"/>
      <c r="D234" s="1430"/>
      <c r="E234" s="1430"/>
      <c r="F234" s="1430"/>
      <c r="G234" s="1430"/>
      <c r="H234" s="1430"/>
      <c r="I234" s="1430"/>
      <c r="J234" s="1430"/>
      <c r="K234" s="646">
        <f t="shared" si="395"/>
        <v>30630</v>
      </c>
      <c r="L234" s="662">
        <f t="shared" si="408"/>
        <v>30630</v>
      </c>
      <c r="M234" s="653"/>
      <c r="N234" s="653"/>
      <c r="O234" s="653"/>
      <c r="P234" s="653"/>
      <c r="Q234" s="653"/>
      <c r="R234" s="653"/>
      <c r="S234" s="653"/>
      <c r="T234" s="653"/>
      <c r="U234" s="662">
        <f>M234+N234+O234+P234-Q234-R234</f>
        <v>0</v>
      </c>
      <c r="V234" s="653">
        <v>30630</v>
      </c>
      <c r="W234" s="653"/>
      <c r="X234" s="653"/>
      <c r="Y234" s="653"/>
      <c r="Z234" s="653"/>
      <c r="AA234" s="653"/>
      <c r="AB234" s="666">
        <f t="shared" si="410"/>
        <v>0</v>
      </c>
      <c r="AC234" s="666">
        <f t="shared" si="411"/>
        <v>30630</v>
      </c>
      <c r="AD234" s="653"/>
      <c r="AE234" s="653"/>
      <c r="AF234" s="653"/>
      <c r="AG234" s="653"/>
      <c r="AH234" s="653"/>
      <c r="AI234" s="653"/>
      <c r="AJ234" s="653"/>
      <c r="AK234" s="653"/>
      <c r="AL234" s="656"/>
      <c r="AM234" s="612"/>
      <c r="AN234" s="610"/>
      <c r="AO234" s="1323" t="s">
        <v>662</v>
      </c>
      <c r="AP234" s="823" t="s">
        <v>671</v>
      </c>
      <c r="AQ234" s="1320"/>
      <c r="AR234" s="1320"/>
      <c r="AS234" s="1320"/>
      <c r="AT234" s="1320"/>
      <c r="AU234" s="1320"/>
      <c r="AV234" s="1320"/>
      <c r="AW234" s="1320"/>
      <c r="AX234" s="1320"/>
      <c r="AY234" s="662">
        <f t="shared" si="412"/>
        <v>0</v>
      </c>
      <c r="AZ234" s="658"/>
      <c r="BA234" s="653"/>
      <c r="BB234" s="653"/>
      <c r="BC234" s="653"/>
      <c r="BD234" s="653"/>
      <c r="BE234" s="653"/>
      <c r="BF234" s="655"/>
      <c r="BG234" s="662">
        <f>AZ234+BA234+BB234+BC234-BD234-BE234</f>
        <v>0</v>
      </c>
      <c r="BH234" s="653"/>
      <c r="BI234" s="653"/>
      <c r="BJ234" s="653"/>
      <c r="BK234" s="653"/>
      <c r="BL234" s="653"/>
      <c r="BM234" s="655"/>
      <c r="BN234" s="662">
        <f>BH234+BI234+BJ234-BK234-BL234</f>
        <v>0</v>
      </c>
      <c r="BO234" s="653"/>
      <c r="BP234" s="653"/>
      <c r="BQ234" s="653"/>
      <c r="BR234" s="653"/>
      <c r="BS234" s="653"/>
      <c r="BT234" s="653"/>
      <c r="BU234" s="653"/>
      <c r="BV234" s="653"/>
      <c r="BW234" s="653"/>
      <c r="BY234" s="732"/>
      <c r="BZ234" s="732"/>
      <c r="CA234" s="1348" t="s">
        <v>662</v>
      </c>
      <c r="CB234" s="1348" t="s">
        <v>671</v>
      </c>
      <c r="CC234" s="1348"/>
      <c r="CD234" s="1348"/>
      <c r="CE234" s="1348"/>
      <c r="CF234" s="1348"/>
      <c r="CG234" s="1348"/>
      <c r="CH234" s="1348"/>
      <c r="CI234" s="1348"/>
      <c r="CJ234" s="1348"/>
      <c r="CK234" s="1349">
        <v>0</v>
      </c>
      <c r="CL234" s="1349"/>
      <c r="CM234" s="1350"/>
      <c r="CN234" s="1350"/>
      <c r="CO234" s="1350"/>
      <c r="CP234" s="1350"/>
      <c r="CQ234" s="1350"/>
      <c r="CR234" s="1350"/>
      <c r="CS234" s="1350"/>
      <c r="CT234" s="1349">
        <v>0</v>
      </c>
      <c r="CU234" s="1349"/>
      <c r="CV234" s="1349"/>
      <c r="CW234" s="1349"/>
      <c r="CX234" s="1349"/>
      <c r="CY234" s="1349"/>
      <c r="CZ234" s="1349"/>
      <c r="DA234" s="1349">
        <v>0</v>
      </c>
      <c r="DB234" s="1349">
        <v>0</v>
      </c>
      <c r="DC234" s="1349"/>
      <c r="DD234" s="1349"/>
      <c r="DE234" s="1349"/>
      <c r="DF234" s="1349"/>
      <c r="DG234" s="1349"/>
      <c r="DH234" s="1349"/>
      <c r="DI234" s="1349"/>
      <c r="DJ234" s="1349"/>
      <c r="DK234" s="1349"/>
      <c r="DT234" s="1323" t="s">
        <v>662</v>
      </c>
      <c r="DU234" s="823" t="s">
        <v>671</v>
      </c>
      <c r="DV234" s="1376"/>
      <c r="DW234" s="1376"/>
      <c r="DX234" s="1376"/>
      <c r="DY234" s="1376"/>
      <c r="DZ234" s="1376"/>
      <c r="EA234" s="1376"/>
      <c r="EB234" s="1376"/>
      <c r="EC234" s="1376"/>
      <c r="ED234" s="1376"/>
      <c r="EE234" s="1376"/>
      <c r="EF234" s="1376"/>
      <c r="EG234" s="1376"/>
      <c r="EH234" s="1376"/>
      <c r="EI234" s="1376"/>
      <c r="EJ234" s="1376"/>
      <c r="EK234" s="1376"/>
      <c r="EL234" s="1376"/>
      <c r="EM234" s="1376"/>
      <c r="EN234" s="1376"/>
      <c r="EO234" s="1376"/>
      <c r="EP234" s="1376"/>
      <c r="EQ234" s="1376"/>
      <c r="ER234" s="1376"/>
      <c r="ES234" s="1376"/>
      <c r="ET234" s="1376"/>
      <c r="EU234" s="1376"/>
      <c r="EV234" s="1376"/>
    </row>
    <row r="235" spans="1:152" s="614" customFormat="1" ht="51.6" customHeight="1">
      <c r="A235" s="1429" t="s">
        <v>672</v>
      </c>
      <c r="B235" s="823" t="s">
        <v>996</v>
      </c>
      <c r="C235" s="1430"/>
      <c r="D235" s="1430"/>
      <c r="E235" s="1430"/>
      <c r="F235" s="1430"/>
      <c r="G235" s="1430"/>
      <c r="H235" s="1430"/>
      <c r="I235" s="1430"/>
      <c r="J235" s="1430"/>
      <c r="K235" s="646">
        <f t="shared" si="395"/>
        <v>70148</v>
      </c>
      <c r="L235" s="662">
        <f t="shared" si="408"/>
        <v>70148</v>
      </c>
      <c r="M235" s="653"/>
      <c r="N235" s="653"/>
      <c r="O235" s="653"/>
      <c r="P235" s="653"/>
      <c r="Q235" s="653"/>
      <c r="R235" s="653"/>
      <c r="S235" s="653"/>
      <c r="T235" s="653"/>
      <c r="U235" s="662">
        <f>M235+N235+O235+P235-Q235-R235</f>
        <v>0</v>
      </c>
      <c r="V235" s="653">
        <v>70148</v>
      </c>
      <c r="W235" s="653"/>
      <c r="X235" s="653"/>
      <c r="Y235" s="653"/>
      <c r="Z235" s="653"/>
      <c r="AA235" s="653"/>
      <c r="AB235" s="666">
        <f t="shared" si="410"/>
        <v>0</v>
      </c>
      <c r="AC235" s="666">
        <f t="shared" si="411"/>
        <v>70148</v>
      </c>
      <c r="AD235" s="653"/>
      <c r="AE235" s="653"/>
      <c r="AF235" s="653"/>
      <c r="AG235" s="653"/>
      <c r="AH235" s="653"/>
      <c r="AI235" s="653"/>
      <c r="AJ235" s="653"/>
      <c r="AK235" s="653"/>
      <c r="AL235" s="656"/>
      <c r="AM235" s="612"/>
      <c r="AN235" s="610"/>
      <c r="AO235" s="1323" t="s">
        <v>672</v>
      </c>
      <c r="AP235" s="823" t="s">
        <v>673</v>
      </c>
      <c r="AQ235" s="1320"/>
      <c r="AR235" s="1320"/>
      <c r="AS235" s="1320"/>
      <c r="AT235" s="1320"/>
      <c r="AU235" s="1320"/>
      <c r="AV235" s="1320"/>
      <c r="AW235" s="1320"/>
      <c r="AX235" s="1320"/>
      <c r="AY235" s="662">
        <f t="shared" si="412"/>
        <v>0</v>
      </c>
      <c r="AZ235" s="658"/>
      <c r="BA235" s="653"/>
      <c r="BB235" s="653"/>
      <c r="BC235" s="653"/>
      <c r="BD235" s="653"/>
      <c r="BE235" s="653"/>
      <c r="BF235" s="655"/>
      <c r="BG235" s="662">
        <f>AZ235+BA235+BB235+BC235-BD235-BE235</f>
        <v>0</v>
      </c>
      <c r="BH235" s="653"/>
      <c r="BI235" s="653"/>
      <c r="BJ235" s="653"/>
      <c r="BK235" s="653"/>
      <c r="BL235" s="653"/>
      <c r="BM235" s="655"/>
      <c r="BN235" s="662">
        <f>BH235+BI235+BJ235-BK235-BL235</f>
        <v>0</v>
      </c>
      <c r="BO235" s="653"/>
      <c r="BP235" s="653"/>
      <c r="BQ235" s="653"/>
      <c r="BR235" s="653"/>
      <c r="BS235" s="653"/>
      <c r="BT235" s="653"/>
      <c r="BU235" s="653"/>
      <c r="BV235" s="653"/>
      <c r="BW235" s="653"/>
      <c r="BY235" s="732"/>
      <c r="BZ235" s="732"/>
      <c r="CA235" s="1348" t="s">
        <v>672</v>
      </c>
      <c r="CB235" s="1348" t="s">
        <v>673</v>
      </c>
      <c r="CC235" s="1348"/>
      <c r="CD235" s="1348"/>
      <c r="CE235" s="1348"/>
      <c r="CF235" s="1348"/>
      <c r="CG235" s="1348"/>
      <c r="CH235" s="1348"/>
      <c r="CI235" s="1348"/>
      <c r="CJ235" s="1348"/>
      <c r="CK235" s="1349">
        <v>0</v>
      </c>
      <c r="CL235" s="1349"/>
      <c r="CM235" s="1350"/>
      <c r="CN235" s="1350"/>
      <c r="CO235" s="1350"/>
      <c r="CP235" s="1350"/>
      <c r="CQ235" s="1350"/>
      <c r="CR235" s="1350"/>
      <c r="CS235" s="1350"/>
      <c r="CT235" s="1349">
        <v>0</v>
      </c>
      <c r="CU235" s="1349"/>
      <c r="CV235" s="1349"/>
      <c r="CW235" s="1349"/>
      <c r="CX235" s="1349"/>
      <c r="CY235" s="1349"/>
      <c r="CZ235" s="1349"/>
      <c r="DA235" s="1349">
        <v>0</v>
      </c>
      <c r="DB235" s="1349">
        <v>0</v>
      </c>
      <c r="DC235" s="1349"/>
      <c r="DD235" s="1349"/>
      <c r="DE235" s="1349"/>
      <c r="DF235" s="1349"/>
      <c r="DG235" s="1349"/>
      <c r="DH235" s="1349"/>
      <c r="DI235" s="1349"/>
      <c r="DJ235" s="1349"/>
      <c r="DK235" s="1349"/>
      <c r="DT235" s="1323" t="s">
        <v>672</v>
      </c>
      <c r="DU235" s="823" t="s">
        <v>673</v>
      </c>
      <c r="DV235" s="1376"/>
      <c r="DW235" s="1376"/>
      <c r="DX235" s="1376"/>
      <c r="DY235" s="1376"/>
      <c r="DZ235" s="1376"/>
      <c r="EA235" s="1376"/>
      <c r="EB235" s="1376"/>
      <c r="EC235" s="1376"/>
      <c r="ED235" s="1376"/>
      <c r="EE235" s="1376"/>
      <c r="EF235" s="1376"/>
      <c r="EG235" s="1376"/>
      <c r="EH235" s="1376"/>
      <c r="EI235" s="1376"/>
      <c r="EJ235" s="1376"/>
      <c r="EK235" s="1376"/>
      <c r="EL235" s="1376"/>
      <c r="EM235" s="1376"/>
      <c r="EN235" s="1376"/>
      <c r="EO235" s="1376"/>
      <c r="EP235" s="1376"/>
      <c r="EQ235" s="1376"/>
      <c r="ER235" s="1376"/>
      <c r="ES235" s="1376"/>
      <c r="ET235" s="1376"/>
      <c r="EU235" s="1376"/>
      <c r="EV235" s="1376"/>
    </row>
    <row r="236" spans="1:152" s="614" customFormat="1" ht="37.5" customHeight="1">
      <c r="A236" s="1429" t="s">
        <v>674</v>
      </c>
      <c r="B236" s="823" t="s">
        <v>675</v>
      </c>
      <c r="C236" s="1430">
        <f t="shared" ref="C236:J236" si="429">C237+C238</f>
        <v>0</v>
      </c>
      <c r="D236" s="1430">
        <f t="shared" si="429"/>
        <v>0</v>
      </c>
      <c r="E236" s="1430">
        <f t="shared" si="429"/>
        <v>0</v>
      </c>
      <c r="F236" s="1430">
        <f t="shared" si="429"/>
        <v>0</v>
      </c>
      <c r="G236" s="1430">
        <f t="shared" si="429"/>
        <v>0</v>
      </c>
      <c r="H236" s="1430">
        <f t="shared" si="429"/>
        <v>0</v>
      </c>
      <c r="I236" s="1430">
        <f t="shared" si="429"/>
        <v>0</v>
      </c>
      <c r="J236" s="1430">
        <f t="shared" si="429"/>
        <v>0</v>
      </c>
      <c r="K236" s="646">
        <f t="shared" si="395"/>
        <v>2211</v>
      </c>
      <c r="L236" s="653">
        <f>L237+L238</f>
        <v>2400</v>
      </c>
      <c r="M236" s="653">
        <f t="shared" ref="M236:AL236" si="430">M237+M238</f>
        <v>1403</v>
      </c>
      <c r="N236" s="653">
        <f t="shared" si="430"/>
        <v>0</v>
      </c>
      <c r="O236" s="653">
        <f t="shared" si="430"/>
        <v>104</v>
      </c>
      <c r="P236" s="653">
        <f t="shared" si="430"/>
        <v>0</v>
      </c>
      <c r="Q236" s="653">
        <f t="shared" si="430"/>
        <v>0</v>
      </c>
      <c r="R236" s="653">
        <f t="shared" si="430"/>
        <v>0</v>
      </c>
      <c r="S236" s="653"/>
      <c r="T236" s="653"/>
      <c r="U236" s="653">
        <f t="shared" si="430"/>
        <v>1507</v>
      </c>
      <c r="V236" s="653">
        <f t="shared" si="430"/>
        <v>574</v>
      </c>
      <c r="W236" s="653">
        <f t="shared" si="430"/>
        <v>130</v>
      </c>
      <c r="X236" s="653">
        <f t="shared" si="430"/>
        <v>0</v>
      </c>
      <c r="Y236" s="653">
        <f t="shared" si="430"/>
        <v>0</v>
      </c>
      <c r="Z236" s="653"/>
      <c r="AA236" s="653"/>
      <c r="AB236" s="653"/>
      <c r="AC236" s="653">
        <f t="shared" si="430"/>
        <v>704</v>
      </c>
      <c r="AD236" s="653">
        <f t="shared" si="430"/>
        <v>189</v>
      </c>
      <c r="AE236" s="653">
        <f t="shared" si="430"/>
        <v>0</v>
      </c>
      <c r="AF236" s="653">
        <f t="shared" si="430"/>
        <v>0</v>
      </c>
      <c r="AG236" s="653">
        <f>AG237+AG238</f>
        <v>0</v>
      </c>
      <c r="AH236" s="653">
        <f>AH237+AH238</f>
        <v>0</v>
      </c>
      <c r="AI236" s="653">
        <f t="shared" si="430"/>
        <v>0</v>
      </c>
      <c r="AJ236" s="653">
        <f t="shared" si="430"/>
        <v>0</v>
      </c>
      <c r="AK236" s="653">
        <f t="shared" si="430"/>
        <v>0</v>
      </c>
      <c r="AL236" s="656">
        <f t="shared" si="430"/>
        <v>0</v>
      </c>
      <c r="AM236" s="612"/>
      <c r="AN236" s="610">
        <v>560</v>
      </c>
      <c r="AO236" s="1323" t="s">
        <v>674</v>
      </c>
      <c r="AP236" s="823" t="s">
        <v>675</v>
      </c>
      <c r="AQ236" s="1320">
        <f t="shared" ref="AQ236:AX236" si="431">AQ237+AQ238</f>
        <v>0</v>
      </c>
      <c r="AR236" s="1320">
        <f t="shared" si="431"/>
        <v>0</v>
      </c>
      <c r="AS236" s="1320">
        <f t="shared" si="431"/>
        <v>0</v>
      </c>
      <c r="AT236" s="1320">
        <f t="shared" si="431"/>
        <v>0</v>
      </c>
      <c r="AU236" s="1320">
        <f t="shared" si="431"/>
        <v>0</v>
      </c>
      <c r="AV236" s="1320">
        <f t="shared" si="431"/>
        <v>0</v>
      </c>
      <c r="AW236" s="1320">
        <f t="shared" si="431"/>
        <v>0</v>
      </c>
      <c r="AX236" s="1320">
        <f t="shared" si="431"/>
        <v>0</v>
      </c>
      <c r="AY236" s="653">
        <f>AY237+AY238</f>
        <v>1300</v>
      </c>
      <c r="AZ236" s="658">
        <f t="shared" ref="AZ236:BW236" si="432">AZ237+AZ238</f>
        <v>907</v>
      </c>
      <c r="BA236" s="653">
        <f t="shared" si="432"/>
        <v>0</v>
      </c>
      <c r="BB236" s="653">
        <f t="shared" si="432"/>
        <v>103</v>
      </c>
      <c r="BC236" s="653">
        <f t="shared" si="432"/>
        <v>0</v>
      </c>
      <c r="BD236" s="653">
        <f t="shared" si="432"/>
        <v>0</v>
      </c>
      <c r="BE236" s="653">
        <f t="shared" si="432"/>
        <v>0</v>
      </c>
      <c r="BF236" s="655"/>
      <c r="BG236" s="653">
        <f t="shared" si="432"/>
        <v>1010</v>
      </c>
      <c r="BH236" s="653">
        <f t="shared" si="432"/>
        <v>223</v>
      </c>
      <c r="BI236" s="653">
        <f t="shared" si="432"/>
        <v>0</v>
      </c>
      <c r="BJ236" s="653">
        <f t="shared" si="432"/>
        <v>40</v>
      </c>
      <c r="BK236" s="653">
        <f t="shared" si="432"/>
        <v>0</v>
      </c>
      <c r="BL236" s="653">
        <f t="shared" si="432"/>
        <v>0</v>
      </c>
      <c r="BM236" s="655"/>
      <c r="BN236" s="653">
        <f t="shared" si="432"/>
        <v>263</v>
      </c>
      <c r="BO236" s="653">
        <f t="shared" si="432"/>
        <v>27</v>
      </c>
      <c r="BP236" s="653">
        <f t="shared" si="432"/>
        <v>0</v>
      </c>
      <c r="BQ236" s="653">
        <f t="shared" si="432"/>
        <v>0</v>
      </c>
      <c r="BR236" s="653">
        <f>BR237+BR238</f>
        <v>0</v>
      </c>
      <c r="BS236" s="653">
        <f>BS237+BS238</f>
        <v>0</v>
      </c>
      <c r="BT236" s="653">
        <f t="shared" si="432"/>
        <v>0</v>
      </c>
      <c r="BU236" s="653">
        <f t="shared" si="432"/>
        <v>0</v>
      </c>
      <c r="BV236" s="653">
        <f t="shared" si="432"/>
        <v>0</v>
      </c>
      <c r="BW236" s="653">
        <f t="shared" si="432"/>
        <v>0</v>
      </c>
      <c r="BY236" s="732"/>
      <c r="BZ236" s="732"/>
      <c r="CA236" s="1348" t="s">
        <v>674</v>
      </c>
      <c r="CB236" s="1348" t="s">
        <v>675</v>
      </c>
      <c r="CC236" s="1348">
        <v>0</v>
      </c>
      <c r="CD236" s="1348">
        <v>0</v>
      </c>
      <c r="CE236" s="1348">
        <v>0</v>
      </c>
      <c r="CF236" s="1348">
        <v>0</v>
      </c>
      <c r="CG236" s="1348">
        <v>0</v>
      </c>
      <c r="CH236" s="1348">
        <v>0</v>
      </c>
      <c r="CI236" s="1348">
        <v>0</v>
      </c>
      <c r="CJ236" s="1348">
        <v>0</v>
      </c>
      <c r="CK236" s="1349">
        <v>2400</v>
      </c>
      <c r="CL236" s="1349">
        <v>1403</v>
      </c>
      <c r="CM236" s="1350">
        <v>0</v>
      </c>
      <c r="CN236" s="1350">
        <v>104</v>
      </c>
      <c r="CO236" s="1350">
        <v>0</v>
      </c>
      <c r="CP236" s="1350">
        <v>0</v>
      </c>
      <c r="CQ236" s="1350">
        <v>0</v>
      </c>
      <c r="CR236" s="1350"/>
      <c r="CS236" s="1350"/>
      <c r="CT236" s="1349">
        <v>1507</v>
      </c>
      <c r="CU236" s="1349">
        <v>574</v>
      </c>
      <c r="CV236" s="1349">
        <v>130</v>
      </c>
      <c r="CW236" s="1349">
        <v>0</v>
      </c>
      <c r="CX236" s="1349">
        <v>0</v>
      </c>
      <c r="CY236" s="1349"/>
      <c r="CZ236" s="1349"/>
      <c r="DA236" s="1349"/>
      <c r="DB236" s="1349">
        <v>704</v>
      </c>
      <c r="DC236" s="1349">
        <v>189</v>
      </c>
      <c r="DD236" s="1349">
        <v>0</v>
      </c>
      <c r="DE236" s="1349">
        <v>0</v>
      </c>
      <c r="DF236" s="1349">
        <v>0</v>
      </c>
      <c r="DG236" s="1349">
        <v>0</v>
      </c>
      <c r="DH236" s="1349">
        <v>0</v>
      </c>
      <c r="DI236" s="1349">
        <v>0</v>
      </c>
      <c r="DJ236" s="1349">
        <v>0</v>
      </c>
      <c r="DK236" s="1349">
        <v>0</v>
      </c>
      <c r="DT236" s="1323" t="s">
        <v>674</v>
      </c>
      <c r="DU236" s="823" t="s">
        <v>675</v>
      </c>
      <c r="DV236" s="1376"/>
      <c r="DW236" s="1376"/>
      <c r="DX236" s="1376"/>
      <c r="DY236" s="1376"/>
      <c r="DZ236" s="1376"/>
      <c r="EA236" s="1376"/>
      <c r="EB236" s="1376"/>
      <c r="EC236" s="1376"/>
      <c r="ED236" s="1376"/>
      <c r="EE236" s="1376"/>
      <c r="EF236" s="1376"/>
      <c r="EG236" s="1376"/>
      <c r="EH236" s="1376"/>
      <c r="EI236" s="1376"/>
      <c r="EJ236" s="1376"/>
      <c r="EK236" s="1376"/>
      <c r="EL236" s="1376"/>
      <c r="EM236" s="1376"/>
      <c r="EN236" s="1376"/>
      <c r="EO236" s="1376"/>
      <c r="EP236" s="1376"/>
      <c r="EQ236" s="1376"/>
      <c r="ER236" s="1376"/>
      <c r="ES236" s="1376"/>
      <c r="ET236" s="1376"/>
      <c r="EU236" s="1376"/>
      <c r="EV236" s="1376"/>
    </row>
    <row r="237" spans="1:152" ht="21" customHeight="1">
      <c r="A237" s="659">
        <v>86</v>
      </c>
      <c r="B237" s="821" t="s">
        <v>676</v>
      </c>
      <c r="C237" s="661">
        <f>D237+I237</f>
        <v>0</v>
      </c>
      <c r="D237" s="661">
        <f>E237+F237</f>
        <v>0</v>
      </c>
      <c r="E237" s="661"/>
      <c r="F237" s="661"/>
      <c r="G237" s="661"/>
      <c r="H237" s="661"/>
      <c r="I237" s="661"/>
      <c r="J237" s="661"/>
      <c r="K237" s="646">
        <f t="shared" si="395"/>
        <v>1811</v>
      </c>
      <c r="L237" s="662">
        <f>U237+AC237+AD237+AE237</f>
        <v>2000</v>
      </c>
      <c r="M237" s="666">
        <v>1143</v>
      </c>
      <c r="N237" s="666"/>
      <c r="O237" s="666">
        <v>84</v>
      </c>
      <c r="P237" s="666"/>
      <c r="Q237" s="666"/>
      <c r="R237" s="666"/>
      <c r="S237" s="666"/>
      <c r="T237" s="666"/>
      <c r="U237" s="666">
        <f>(M237+N237+O237+P237)-S237</f>
        <v>1227</v>
      </c>
      <c r="V237" s="666">
        <v>494</v>
      </c>
      <c r="W237" s="666">
        <v>90</v>
      </c>
      <c r="X237" s="666"/>
      <c r="Y237" s="666"/>
      <c r="Z237" s="666"/>
      <c r="AA237" s="666"/>
      <c r="AB237" s="666">
        <f>ROUND((Y237+AA237+X237),0)</f>
        <v>0</v>
      </c>
      <c r="AC237" s="666">
        <f>(V237+W237)-AA237</f>
        <v>584</v>
      </c>
      <c r="AD237" s="666">
        <v>189</v>
      </c>
      <c r="AE237" s="666"/>
      <c r="AF237" s="666"/>
      <c r="AG237" s="666"/>
      <c r="AH237" s="666"/>
      <c r="AI237" s="666"/>
      <c r="AJ237" s="666"/>
      <c r="AK237" s="666"/>
      <c r="AL237" s="664"/>
      <c r="AN237" s="610"/>
      <c r="AO237" s="659">
        <v>94</v>
      </c>
      <c r="AP237" s="821" t="s">
        <v>676</v>
      </c>
      <c r="AQ237" s="661">
        <f>AR237+AW237</f>
        <v>0</v>
      </c>
      <c r="AR237" s="661">
        <f>AS237+AT237</f>
        <v>0</v>
      </c>
      <c r="AS237" s="661"/>
      <c r="AT237" s="661"/>
      <c r="AU237" s="661"/>
      <c r="AV237" s="661"/>
      <c r="AW237" s="661"/>
      <c r="AX237" s="661"/>
      <c r="AY237" s="666">
        <f>BG237+BN237+BO237+BP237</f>
        <v>900</v>
      </c>
      <c r="AZ237" s="670">
        <f>730-83</f>
        <v>647</v>
      </c>
      <c r="BA237" s="666"/>
      <c r="BB237" s="666">
        <v>83</v>
      </c>
      <c r="BC237" s="666"/>
      <c r="BD237" s="666"/>
      <c r="BE237" s="666"/>
      <c r="BF237" s="667"/>
      <c r="BG237" s="666">
        <f>(AZ237+BA237+BB237+BC237)-BF237</f>
        <v>730</v>
      </c>
      <c r="BH237" s="666">
        <v>143</v>
      </c>
      <c r="BI237" s="666"/>
      <c r="BJ237" s="666"/>
      <c r="BK237" s="666"/>
      <c r="BL237" s="666"/>
      <c r="BM237" s="667"/>
      <c r="BN237" s="666">
        <f>(BH237+BI237+BJ237)-BM237</f>
        <v>143</v>
      </c>
      <c r="BO237" s="666">
        <v>27</v>
      </c>
      <c r="BP237" s="666"/>
      <c r="BQ237" s="666"/>
      <c r="BR237" s="666"/>
      <c r="BS237" s="666"/>
      <c r="BT237" s="666"/>
      <c r="BU237" s="666"/>
      <c r="BV237" s="666"/>
      <c r="BW237" s="662"/>
      <c r="CA237" s="1352">
        <v>88</v>
      </c>
      <c r="CB237" s="1352" t="s">
        <v>676</v>
      </c>
      <c r="CC237" s="1352">
        <v>0</v>
      </c>
      <c r="CD237" s="1352">
        <v>0</v>
      </c>
      <c r="CE237" s="1352"/>
      <c r="CF237" s="1352"/>
      <c r="CG237" s="1352"/>
      <c r="CH237" s="1352"/>
      <c r="CI237" s="1352"/>
      <c r="CJ237" s="1352"/>
      <c r="CK237" s="1353">
        <v>2000</v>
      </c>
      <c r="CL237" s="1353">
        <v>1143</v>
      </c>
      <c r="CM237" s="1354"/>
      <c r="CN237" s="1354">
        <v>84</v>
      </c>
      <c r="CO237" s="1354"/>
      <c r="CP237" s="1354"/>
      <c r="CQ237" s="1354"/>
      <c r="CR237" s="1354"/>
      <c r="CS237" s="1354"/>
      <c r="CT237" s="1353">
        <v>1227</v>
      </c>
      <c r="CU237" s="1353">
        <v>494</v>
      </c>
      <c r="CV237" s="1353">
        <v>90</v>
      </c>
      <c r="CW237" s="1353"/>
      <c r="CX237" s="1353"/>
      <c r="CY237" s="1353"/>
      <c r="CZ237" s="1353"/>
      <c r="DA237" s="1353">
        <v>0</v>
      </c>
      <c r="DB237" s="1353">
        <v>584</v>
      </c>
      <c r="DC237" s="1353">
        <v>189</v>
      </c>
      <c r="DD237" s="1353"/>
      <c r="DE237" s="1353"/>
      <c r="DF237" s="1353"/>
      <c r="DG237" s="1353"/>
      <c r="DH237" s="1353"/>
      <c r="DI237" s="1353"/>
      <c r="DJ237" s="1353"/>
      <c r="DK237" s="1353"/>
      <c r="DT237" s="659">
        <v>88</v>
      </c>
      <c r="DU237" s="821" t="s">
        <v>676</v>
      </c>
      <c r="DV237" s="777">
        <f t="shared" ref="DV237:EK238" si="433">L237-CK237</f>
        <v>0</v>
      </c>
      <c r="DW237" s="777">
        <f t="shared" si="433"/>
        <v>0</v>
      </c>
      <c r="DX237" s="777">
        <f t="shared" si="433"/>
        <v>0</v>
      </c>
      <c r="DY237" s="777">
        <f t="shared" si="433"/>
        <v>0</v>
      </c>
      <c r="DZ237" s="777">
        <f t="shared" si="433"/>
        <v>0</v>
      </c>
      <c r="EA237" s="777">
        <f t="shared" si="433"/>
        <v>0</v>
      </c>
      <c r="EB237" s="777">
        <f t="shared" si="433"/>
        <v>0</v>
      </c>
      <c r="EC237" s="777">
        <f t="shared" si="433"/>
        <v>0</v>
      </c>
      <c r="ED237" s="777">
        <f t="shared" si="433"/>
        <v>0</v>
      </c>
      <c r="EE237" s="777">
        <f t="shared" si="433"/>
        <v>0</v>
      </c>
      <c r="EF237" s="777">
        <f t="shared" si="433"/>
        <v>0</v>
      </c>
      <c r="EG237" s="777">
        <f t="shared" si="433"/>
        <v>0</v>
      </c>
      <c r="EH237" s="777">
        <f t="shared" si="433"/>
        <v>0</v>
      </c>
      <c r="EI237" s="777">
        <f t="shared" si="433"/>
        <v>0</v>
      </c>
      <c r="EJ237" s="777">
        <f t="shared" si="433"/>
        <v>0</v>
      </c>
      <c r="EK237" s="777">
        <f t="shared" si="433"/>
        <v>0</v>
      </c>
      <c r="EL237" s="777">
        <f t="shared" ref="EL237:EV238" si="434">AB237-DA237</f>
        <v>0</v>
      </c>
      <c r="EM237" s="777">
        <f t="shared" si="434"/>
        <v>0</v>
      </c>
      <c r="EN237" s="777">
        <f t="shared" si="434"/>
        <v>0</v>
      </c>
      <c r="EO237" s="777">
        <f t="shared" si="434"/>
        <v>0</v>
      </c>
      <c r="EP237" s="777">
        <f t="shared" si="434"/>
        <v>0</v>
      </c>
      <c r="EQ237" s="777">
        <f t="shared" si="434"/>
        <v>0</v>
      </c>
      <c r="ER237" s="777">
        <f t="shared" si="434"/>
        <v>0</v>
      </c>
      <c r="ES237" s="777">
        <f t="shared" si="434"/>
        <v>0</v>
      </c>
      <c r="ET237" s="777">
        <f t="shared" si="434"/>
        <v>0</v>
      </c>
      <c r="EU237" s="777">
        <f t="shared" si="434"/>
        <v>0</v>
      </c>
      <c r="EV237" s="777">
        <f t="shared" si="434"/>
        <v>0</v>
      </c>
    </row>
    <row r="238" spans="1:152" ht="21" customHeight="1">
      <c r="A238" s="659">
        <v>87</v>
      </c>
      <c r="B238" s="821" t="s">
        <v>677</v>
      </c>
      <c r="C238" s="661">
        <f>D238+I238</f>
        <v>0</v>
      </c>
      <c r="D238" s="661">
        <f>E238+F238</f>
        <v>0</v>
      </c>
      <c r="E238" s="661"/>
      <c r="F238" s="661"/>
      <c r="G238" s="661"/>
      <c r="H238" s="661"/>
      <c r="I238" s="661"/>
      <c r="J238" s="661"/>
      <c r="K238" s="646">
        <f t="shared" si="395"/>
        <v>400</v>
      </c>
      <c r="L238" s="662">
        <f>U238+AC238+AD238+AE238</f>
        <v>400</v>
      </c>
      <c r="M238" s="666">
        <v>260</v>
      </c>
      <c r="N238" s="666"/>
      <c r="O238" s="666">
        <v>20</v>
      </c>
      <c r="P238" s="666"/>
      <c r="Q238" s="666"/>
      <c r="R238" s="666"/>
      <c r="S238" s="666"/>
      <c r="T238" s="666"/>
      <c r="U238" s="666">
        <f>(M238+N238+O238+P238)-S238</f>
        <v>280</v>
      </c>
      <c r="V238" s="666">
        <v>80</v>
      </c>
      <c r="W238" s="666">
        <v>40</v>
      </c>
      <c r="X238" s="666"/>
      <c r="Y238" s="666"/>
      <c r="Z238" s="666"/>
      <c r="AA238" s="666"/>
      <c r="AB238" s="666">
        <f>ROUND((Y238+AA238+X238),0)</f>
        <v>0</v>
      </c>
      <c r="AC238" s="666">
        <f>(V238+W238)-AA238</f>
        <v>120</v>
      </c>
      <c r="AD238" s="666"/>
      <c r="AE238" s="666"/>
      <c r="AF238" s="666"/>
      <c r="AG238" s="666"/>
      <c r="AH238" s="666"/>
      <c r="AI238" s="666"/>
      <c r="AJ238" s="666"/>
      <c r="AK238" s="666"/>
      <c r="AL238" s="664"/>
      <c r="AN238" s="610"/>
      <c r="AO238" s="659">
        <v>95</v>
      </c>
      <c r="AP238" s="821" t="s">
        <v>677</v>
      </c>
      <c r="AQ238" s="661">
        <f>AR238+AW238</f>
        <v>0</v>
      </c>
      <c r="AR238" s="661">
        <f>AS238+AT238</f>
        <v>0</v>
      </c>
      <c r="AS238" s="661"/>
      <c r="AT238" s="661"/>
      <c r="AU238" s="661"/>
      <c r="AV238" s="661"/>
      <c r="AW238" s="661"/>
      <c r="AX238" s="661"/>
      <c r="AY238" s="666">
        <f>BG238+BN238+BO238+BP238</f>
        <v>400</v>
      </c>
      <c r="AZ238" s="670">
        <v>260</v>
      </c>
      <c r="BA238" s="666"/>
      <c r="BB238" s="666">
        <v>20</v>
      </c>
      <c r="BC238" s="666"/>
      <c r="BD238" s="666"/>
      <c r="BE238" s="666"/>
      <c r="BF238" s="667"/>
      <c r="BG238" s="666">
        <f>(AZ238+BA238+BB238+BC238)-BF238</f>
        <v>280</v>
      </c>
      <c r="BH238" s="666">
        <v>80</v>
      </c>
      <c r="BI238" s="666"/>
      <c r="BJ238" s="666">
        <v>40</v>
      </c>
      <c r="BK238" s="666"/>
      <c r="BL238" s="666"/>
      <c r="BM238" s="667"/>
      <c r="BN238" s="666">
        <f>(BH238+BI238+BJ238)-BM238</f>
        <v>120</v>
      </c>
      <c r="BO238" s="666"/>
      <c r="BP238" s="666"/>
      <c r="BQ238" s="666"/>
      <c r="BR238" s="666"/>
      <c r="BS238" s="666"/>
      <c r="BT238" s="666"/>
      <c r="BU238" s="666"/>
      <c r="BV238" s="666"/>
      <c r="BW238" s="662"/>
      <c r="CA238" s="1352">
        <v>89</v>
      </c>
      <c r="CB238" s="1352" t="s">
        <v>677</v>
      </c>
      <c r="CC238" s="1352">
        <v>0</v>
      </c>
      <c r="CD238" s="1352">
        <v>0</v>
      </c>
      <c r="CE238" s="1352"/>
      <c r="CF238" s="1352"/>
      <c r="CG238" s="1352"/>
      <c r="CH238" s="1352"/>
      <c r="CI238" s="1352"/>
      <c r="CJ238" s="1352"/>
      <c r="CK238" s="1353">
        <v>400</v>
      </c>
      <c r="CL238" s="1353">
        <v>260</v>
      </c>
      <c r="CM238" s="1354"/>
      <c r="CN238" s="1354">
        <v>20</v>
      </c>
      <c r="CO238" s="1354"/>
      <c r="CP238" s="1354"/>
      <c r="CQ238" s="1354"/>
      <c r="CR238" s="1354"/>
      <c r="CS238" s="1354"/>
      <c r="CT238" s="1353">
        <v>280</v>
      </c>
      <c r="CU238" s="1353">
        <v>80</v>
      </c>
      <c r="CV238" s="1353">
        <v>40</v>
      </c>
      <c r="CW238" s="1353"/>
      <c r="CX238" s="1353"/>
      <c r="CY238" s="1353"/>
      <c r="CZ238" s="1353"/>
      <c r="DA238" s="1353">
        <v>0</v>
      </c>
      <c r="DB238" s="1353">
        <v>120</v>
      </c>
      <c r="DC238" s="1353"/>
      <c r="DD238" s="1353"/>
      <c r="DE238" s="1353"/>
      <c r="DF238" s="1353"/>
      <c r="DG238" s="1353"/>
      <c r="DH238" s="1353"/>
      <c r="DI238" s="1353"/>
      <c r="DJ238" s="1353"/>
      <c r="DK238" s="1353"/>
      <c r="DT238" s="659">
        <v>89</v>
      </c>
      <c r="DU238" s="821" t="s">
        <v>677</v>
      </c>
      <c r="DV238" s="777">
        <f t="shared" si="433"/>
        <v>0</v>
      </c>
      <c r="DW238" s="777">
        <f t="shared" si="433"/>
        <v>0</v>
      </c>
      <c r="DX238" s="777">
        <f t="shared" si="433"/>
        <v>0</v>
      </c>
      <c r="DY238" s="777">
        <f t="shared" si="433"/>
        <v>0</v>
      </c>
      <c r="DZ238" s="777">
        <f t="shared" si="433"/>
        <v>0</v>
      </c>
      <c r="EA238" s="777">
        <f t="shared" si="433"/>
        <v>0</v>
      </c>
      <c r="EB238" s="777">
        <f t="shared" si="433"/>
        <v>0</v>
      </c>
      <c r="EC238" s="777">
        <f t="shared" si="433"/>
        <v>0</v>
      </c>
      <c r="ED238" s="777">
        <f t="shared" si="433"/>
        <v>0</v>
      </c>
      <c r="EE238" s="777">
        <f t="shared" si="433"/>
        <v>0</v>
      </c>
      <c r="EF238" s="777">
        <f t="shared" si="433"/>
        <v>0</v>
      </c>
      <c r="EG238" s="777">
        <f t="shared" si="433"/>
        <v>0</v>
      </c>
      <c r="EH238" s="777">
        <f t="shared" si="433"/>
        <v>0</v>
      </c>
      <c r="EI238" s="777">
        <f t="shared" si="433"/>
        <v>0</v>
      </c>
      <c r="EJ238" s="777">
        <f t="shared" si="433"/>
        <v>0</v>
      </c>
      <c r="EK238" s="777">
        <f t="shared" si="433"/>
        <v>0</v>
      </c>
      <c r="EL238" s="777">
        <f t="shared" si="434"/>
        <v>0</v>
      </c>
      <c r="EM238" s="777">
        <f t="shared" si="434"/>
        <v>0</v>
      </c>
      <c r="EN238" s="777">
        <f t="shared" si="434"/>
        <v>0</v>
      </c>
      <c r="EO238" s="777">
        <f t="shared" si="434"/>
        <v>0</v>
      </c>
      <c r="EP238" s="777">
        <f t="shared" si="434"/>
        <v>0</v>
      </c>
      <c r="EQ238" s="777">
        <f t="shared" si="434"/>
        <v>0</v>
      </c>
      <c r="ER238" s="777">
        <f t="shared" si="434"/>
        <v>0</v>
      </c>
      <c r="ES238" s="777">
        <f t="shared" si="434"/>
        <v>0</v>
      </c>
      <c r="ET238" s="777">
        <f t="shared" si="434"/>
        <v>0</v>
      </c>
      <c r="EU238" s="777">
        <f t="shared" si="434"/>
        <v>0</v>
      </c>
      <c r="EV238" s="777">
        <f t="shared" si="434"/>
        <v>0</v>
      </c>
    </row>
    <row r="239" spans="1:152" s="614" customFormat="1" ht="21" customHeight="1">
      <c r="A239" s="824" t="s">
        <v>678</v>
      </c>
      <c r="B239" s="651" t="s">
        <v>679</v>
      </c>
      <c r="C239" s="1430">
        <f t="shared" ref="C239:J239" si="435">C240+C241+C242</f>
        <v>0</v>
      </c>
      <c r="D239" s="1430">
        <f t="shared" si="435"/>
        <v>0</v>
      </c>
      <c r="E239" s="1430">
        <f t="shared" si="435"/>
        <v>0</v>
      </c>
      <c r="F239" s="1430">
        <f t="shared" si="435"/>
        <v>0</v>
      </c>
      <c r="G239" s="1430">
        <f t="shared" si="435"/>
        <v>0</v>
      </c>
      <c r="H239" s="1430">
        <f t="shared" si="435"/>
        <v>0</v>
      </c>
      <c r="I239" s="1430">
        <f t="shared" si="435"/>
        <v>0</v>
      </c>
      <c r="J239" s="1430">
        <f t="shared" si="435"/>
        <v>0</v>
      </c>
      <c r="K239" s="646">
        <f t="shared" si="395"/>
        <v>54171</v>
      </c>
      <c r="L239" s="653">
        <f>L240+L241+L242</f>
        <v>54171</v>
      </c>
      <c r="M239" s="653">
        <f t="shared" ref="M239:AL239" si="436">M240+M241+M242</f>
        <v>0</v>
      </c>
      <c r="N239" s="653">
        <f t="shared" si="436"/>
        <v>0</v>
      </c>
      <c r="O239" s="653">
        <f t="shared" si="436"/>
        <v>0</v>
      </c>
      <c r="P239" s="653">
        <f t="shared" si="436"/>
        <v>0</v>
      </c>
      <c r="Q239" s="653">
        <f t="shared" si="436"/>
        <v>0</v>
      </c>
      <c r="R239" s="653">
        <f t="shared" si="436"/>
        <v>0</v>
      </c>
      <c r="S239" s="653"/>
      <c r="T239" s="653"/>
      <c r="U239" s="653">
        <f>U240+U241+U242</f>
        <v>0</v>
      </c>
      <c r="V239" s="653">
        <f t="shared" si="436"/>
        <v>54171</v>
      </c>
      <c r="W239" s="653">
        <f t="shared" si="436"/>
        <v>0</v>
      </c>
      <c r="X239" s="653">
        <f t="shared" si="436"/>
        <v>0</v>
      </c>
      <c r="Y239" s="653">
        <f t="shared" si="436"/>
        <v>0</v>
      </c>
      <c r="Z239" s="653"/>
      <c r="AA239" s="653"/>
      <c r="AB239" s="653"/>
      <c r="AC239" s="653">
        <f t="shared" si="436"/>
        <v>54171</v>
      </c>
      <c r="AD239" s="653">
        <f t="shared" si="436"/>
        <v>0</v>
      </c>
      <c r="AE239" s="653">
        <f t="shared" si="436"/>
        <v>0</v>
      </c>
      <c r="AF239" s="653">
        <f t="shared" si="436"/>
        <v>0</v>
      </c>
      <c r="AG239" s="653">
        <f t="shared" si="436"/>
        <v>0</v>
      </c>
      <c r="AH239" s="653">
        <f>AH240+AH241+AH242</f>
        <v>0</v>
      </c>
      <c r="AI239" s="653">
        <f t="shared" si="436"/>
        <v>0</v>
      </c>
      <c r="AJ239" s="653">
        <f t="shared" si="436"/>
        <v>19879</v>
      </c>
      <c r="AK239" s="653">
        <f t="shared" si="436"/>
        <v>0</v>
      </c>
      <c r="AL239" s="656">
        <f t="shared" si="436"/>
        <v>0</v>
      </c>
      <c r="AM239" s="612"/>
      <c r="AN239" s="610"/>
      <c r="AO239" s="824" t="s">
        <v>678</v>
      </c>
      <c r="AP239" s="651" t="s">
        <v>679</v>
      </c>
      <c r="AQ239" s="1320">
        <f t="shared" ref="AQ239:AX239" si="437">AQ240+AQ241+AQ242</f>
        <v>0</v>
      </c>
      <c r="AR239" s="1320">
        <f t="shared" si="437"/>
        <v>0</v>
      </c>
      <c r="AS239" s="1320">
        <f t="shared" si="437"/>
        <v>0</v>
      </c>
      <c r="AT239" s="1320">
        <f t="shared" si="437"/>
        <v>0</v>
      </c>
      <c r="AU239" s="1320">
        <f t="shared" si="437"/>
        <v>0</v>
      </c>
      <c r="AV239" s="1320">
        <f t="shared" si="437"/>
        <v>0</v>
      </c>
      <c r="AW239" s="1320">
        <f t="shared" si="437"/>
        <v>0</v>
      </c>
      <c r="AX239" s="1320">
        <f t="shared" si="437"/>
        <v>0</v>
      </c>
      <c r="AY239" s="653">
        <f>AY240+AY241+AY242</f>
        <v>55930</v>
      </c>
      <c r="AZ239" s="658">
        <f t="shared" ref="AZ239:BW239" si="438">AZ240+AZ241+AZ242</f>
        <v>0</v>
      </c>
      <c r="BA239" s="653">
        <f t="shared" si="438"/>
        <v>0</v>
      </c>
      <c r="BB239" s="653">
        <f t="shared" si="438"/>
        <v>0</v>
      </c>
      <c r="BC239" s="653">
        <f t="shared" si="438"/>
        <v>0</v>
      </c>
      <c r="BD239" s="653">
        <f t="shared" si="438"/>
        <v>0</v>
      </c>
      <c r="BE239" s="653">
        <f t="shared" si="438"/>
        <v>0</v>
      </c>
      <c r="BF239" s="655"/>
      <c r="BG239" s="653">
        <f>BG240+BG241+BG242</f>
        <v>0</v>
      </c>
      <c r="BH239" s="653">
        <f t="shared" si="438"/>
        <v>55930</v>
      </c>
      <c r="BI239" s="653">
        <f t="shared" si="438"/>
        <v>0</v>
      </c>
      <c r="BJ239" s="653">
        <f t="shared" si="438"/>
        <v>0</v>
      </c>
      <c r="BK239" s="653">
        <f t="shared" si="438"/>
        <v>0</v>
      </c>
      <c r="BL239" s="653">
        <f t="shared" si="438"/>
        <v>0</v>
      </c>
      <c r="BM239" s="655"/>
      <c r="BN239" s="653">
        <f t="shared" si="438"/>
        <v>55930</v>
      </c>
      <c r="BO239" s="653">
        <f t="shared" si="438"/>
        <v>0</v>
      </c>
      <c r="BP239" s="653">
        <f t="shared" si="438"/>
        <v>0</v>
      </c>
      <c r="BQ239" s="653">
        <f t="shared" si="438"/>
        <v>0</v>
      </c>
      <c r="BR239" s="653">
        <f t="shared" si="438"/>
        <v>0</v>
      </c>
      <c r="BS239" s="653">
        <f>BS240+BS241+BS242</f>
        <v>0</v>
      </c>
      <c r="BT239" s="653">
        <f t="shared" si="438"/>
        <v>0</v>
      </c>
      <c r="BU239" s="653">
        <f t="shared" si="438"/>
        <v>2457</v>
      </c>
      <c r="BV239" s="653">
        <f t="shared" si="438"/>
        <v>0</v>
      </c>
      <c r="BW239" s="653">
        <f t="shared" si="438"/>
        <v>0</v>
      </c>
      <c r="BY239" s="732"/>
      <c r="BZ239" s="732"/>
      <c r="CA239" s="1348" t="s">
        <v>678</v>
      </c>
      <c r="CB239" s="1348" t="s">
        <v>679</v>
      </c>
      <c r="CC239" s="1348">
        <v>0</v>
      </c>
      <c r="CD239" s="1348">
        <v>0</v>
      </c>
      <c r="CE239" s="1348">
        <v>0</v>
      </c>
      <c r="CF239" s="1348">
        <v>0</v>
      </c>
      <c r="CG239" s="1348">
        <v>0</v>
      </c>
      <c r="CH239" s="1348">
        <v>0</v>
      </c>
      <c r="CI239" s="1348">
        <v>0</v>
      </c>
      <c r="CJ239" s="1348">
        <v>0</v>
      </c>
      <c r="CK239" s="1349">
        <v>0</v>
      </c>
      <c r="CL239" s="1349">
        <v>0</v>
      </c>
      <c r="CM239" s="1350">
        <v>0</v>
      </c>
      <c r="CN239" s="1350">
        <v>0</v>
      </c>
      <c r="CO239" s="1350">
        <v>0</v>
      </c>
      <c r="CP239" s="1350">
        <v>0</v>
      </c>
      <c r="CQ239" s="1350">
        <v>0</v>
      </c>
      <c r="CR239" s="1350"/>
      <c r="CS239" s="1350"/>
      <c r="CT239" s="1349">
        <v>0</v>
      </c>
      <c r="CU239" s="1349">
        <v>0</v>
      </c>
      <c r="CV239" s="1349">
        <v>0</v>
      </c>
      <c r="CW239" s="1349">
        <v>0</v>
      </c>
      <c r="CX239" s="1349">
        <v>0</v>
      </c>
      <c r="CY239" s="1349"/>
      <c r="CZ239" s="1349"/>
      <c r="DA239" s="1349"/>
      <c r="DB239" s="1349">
        <v>0</v>
      </c>
      <c r="DC239" s="1349">
        <v>0</v>
      </c>
      <c r="DD239" s="1349">
        <v>0</v>
      </c>
      <c r="DE239" s="1349">
        <v>0</v>
      </c>
      <c r="DF239" s="1349">
        <v>0</v>
      </c>
      <c r="DG239" s="1349">
        <v>0</v>
      </c>
      <c r="DH239" s="1349">
        <v>0</v>
      </c>
      <c r="DI239" s="1349">
        <v>0</v>
      </c>
      <c r="DJ239" s="1349">
        <v>0</v>
      </c>
      <c r="DK239" s="1349">
        <v>0</v>
      </c>
      <c r="DT239" s="824" t="s">
        <v>678</v>
      </c>
      <c r="DU239" s="651" t="s">
        <v>679</v>
      </c>
      <c r="DV239" s="1376"/>
      <c r="DW239" s="1376"/>
      <c r="DX239" s="1376"/>
      <c r="DY239" s="1376"/>
      <c r="DZ239" s="1376"/>
      <c r="EA239" s="1376"/>
      <c r="EB239" s="1376"/>
      <c r="EC239" s="1376"/>
      <c r="ED239" s="1376"/>
      <c r="EE239" s="1376"/>
      <c r="EF239" s="1376"/>
      <c r="EG239" s="1376"/>
      <c r="EH239" s="1376"/>
      <c r="EI239" s="1376"/>
      <c r="EJ239" s="1376"/>
      <c r="EK239" s="1376"/>
      <c r="EL239" s="1376"/>
      <c r="EM239" s="1376"/>
      <c r="EN239" s="1376"/>
      <c r="EO239" s="1376"/>
      <c r="EP239" s="1376"/>
      <c r="EQ239" s="1376"/>
      <c r="ER239" s="1376"/>
      <c r="ES239" s="1376"/>
      <c r="ET239" s="1376"/>
      <c r="EU239" s="1376"/>
      <c r="EV239" s="1376"/>
    </row>
    <row r="240" spans="1:152" ht="21" customHeight="1">
      <c r="A240" s="776">
        <v>88</v>
      </c>
      <c r="B240" s="660" t="s">
        <v>680</v>
      </c>
      <c r="C240" s="661"/>
      <c r="D240" s="661"/>
      <c r="E240" s="661"/>
      <c r="F240" s="661"/>
      <c r="G240" s="661"/>
      <c r="H240" s="661"/>
      <c r="I240" s="661"/>
      <c r="J240" s="661"/>
      <c r="K240" s="646">
        <f t="shared" si="395"/>
        <v>25770</v>
      </c>
      <c r="L240" s="662">
        <f t="shared" ref="L240:L246" si="439">U240+AC240+AD240+AE240</f>
        <v>25770</v>
      </c>
      <c r="M240" s="662"/>
      <c r="N240" s="662"/>
      <c r="O240" s="662"/>
      <c r="P240" s="662"/>
      <c r="Q240" s="662"/>
      <c r="R240" s="662"/>
      <c r="S240" s="662"/>
      <c r="T240" s="662"/>
      <c r="U240" s="666">
        <f t="shared" ref="U240:U246" si="440">(M240+N240+O240+P240)-S240</f>
        <v>0</v>
      </c>
      <c r="V240" s="662">
        <v>25770</v>
      </c>
      <c r="W240" s="662"/>
      <c r="X240" s="662"/>
      <c r="Y240" s="662"/>
      <c r="Z240" s="662"/>
      <c r="AA240" s="662"/>
      <c r="AB240" s="666">
        <f t="shared" ref="AB240:AB246" si="441">ROUND((Y240+AA240+X240),0)</f>
        <v>0</v>
      </c>
      <c r="AC240" s="666">
        <f t="shared" ref="AC240:AC246" si="442">(V240+W240)-AA240</f>
        <v>25770</v>
      </c>
      <c r="AD240" s="662"/>
      <c r="AE240" s="662"/>
      <c r="AF240" s="662"/>
      <c r="AG240" s="662"/>
      <c r="AH240" s="662"/>
      <c r="AI240" s="662"/>
      <c r="AJ240" s="662">
        <v>10000</v>
      </c>
      <c r="AK240" s="662"/>
      <c r="AL240" s="664"/>
      <c r="AN240" s="610"/>
      <c r="AO240" s="776">
        <v>96</v>
      </c>
      <c r="AP240" s="660" t="s">
        <v>680</v>
      </c>
      <c r="AQ240" s="661"/>
      <c r="AR240" s="661"/>
      <c r="AS240" s="661"/>
      <c r="AT240" s="661"/>
      <c r="AU240" s="661"/>
      <c r="AV240" s="661"/>
      <c r="AW240" s="661"/>
      <c r="AX240" s="661"/>
      <c r="AY240" s="666">
        <f t="shared" ref="AY240:AY246" si="443">BG240+BN240+BO240+BP240</f>
        <v>26923</v>
      </c>
      <c r="AZ240" s="665"/>
      <c r="BA240" s="662"/>
      <c r="BB240" s="662"/>
      <c r="BC240" s="662"/>
      <c r="BD240" s="662"/>
      <c r="BE240" s="662"/>
      <c r="BF240" s="663"/>
      <c r="BG240" s="666">
        <f t="shared" ref="BG240:BG246" si="444">(AZ240+BA240+BB240+BC240)-BF240</f>
        <v>0</v>
      </c>
      <c r="BH240" s="662">
        <v>26923</v>
      </c>
      <c r="BI240" s="662"/>
      <c r="BJ240" s="662"/>
      <c r="BK240" s="662"/>
      <c r="BL240" s="662"/>
      <c r="BM240" s="663"/>
      <c r="BN240" s="666">
        <f t="shared" ref="BN240:BN246" si="445">(BH240+BI240+BJ240)-BM240</f>
        <v>26923</v>
      </c>
      <c r="BO240" s="662"/>
      <c r="BP240" s="662"/>
      <c r="BQ240" s="662"/>
      <c r="BR240" s="662"/>
      <c r="BS240" s="662"/>
      <c r="BT240" s="662"/>
      <c r="BU240" s="662">
        <v>2457</v>
      </c>
      <c r="BV240" s="662"/>
      <c r="BW240" s="662"/>
      <c r="CA240" s="1352">
        <v>90</v>
      </c>
      <c r="CB240" s="1352" t="s">
        <v>680</v>
      </c>
      <c r="CC240" s="1352"/>
      <c r="CD240" s="1352"/>
      <c r="CE240" s="1352"/>
      <c r="CF240" s="1352"/>
      <c r="CG240" s="1352"/>
      <c r="CH240" s="1352"/>
      <c r="CI240" s="1352"/>
      <c r="CJ240" s="1352"/>
      <c r="CK240" s="1353">
        <v>0</v>
      </c>
      <c r="CL240" s="1353"/>
      <c r="CM240" s="1354"/>
      <c r="CN240" s="1354"/>
      <c r="CO240" s="1354"/>
      <c r="CP240" s="1354"/>
      <c r="CQ240" s="1354"/>
      <c r="CR240" s="1354"/>
      <c r="CS240" s="1354"/>
      <c r="CT240" s="1353">
        <v>0</v>
      </c>
      <c r="CU240" s="1353"/>
      <c r="CV240" s="1353"/>
      <c r="CW240" s="1353"/>
      <c r="CX240" s="1353"/>
      <c r="CY240" s="1353"/>
      <c r="CZ240" s="1353"/>
      <c r="DA240" s="1353">
        <v>0</v>
      </c>
      <c r="DB240" s="1353">
        <v>0</v>
      </c>
      <c r="DC240" s="1353"/>
      <c r="DD240" s="1353"/>
      <c r="DE240" s="1353"/>
      <c r="DF240" s="1353"/>
      <c r="DG240" s="1353"/>
      <c r="DH240" s="1353"/>
      <c r="DI240" s="1353"/>
      <c r="DJ240" s="1353"/>
      <c r="DK240" s="1353"/>
      <c r="DT240" s="776">
        <v>90</v>
      </c>
      <c r="DU240" s="660" t="s">
        <v>680</v>
      </c>
      <c r="DV240" s="777">
        <f t="shared" ref="DV240:EK246" si="446">L240-CK240</f>
        <v>25770</v>
      </c>
      <c r="DW240" s="777">
        <f t="shared" si="446"/>
        <v>0</v>
      </c>
      <c r="DX240" s="777">
        <f t="shared" si="446"/>
        <v>0</v>
      </c>
      <c r="DY240" s="777">
        <f t="shared" si="446"/>
        <v>0</v>
      </c>
      <c r="DZ240" s="777">
        <f t="shared" si="446"/>
        <v>0</v>
      </c>
      <c r="EA240" s="777">
        <f t="shared" si="446"/>
        <v>0</v>
      </c>
      <c r="EB240" s="777">
        <f t="shared" si="446"/>
        <v>0</v>
      </c>
      <c r="EC240" s="777">
        <f t="shared" si="446"/>
        <v>0</v>
      </c>
      <c r="ED240" s="777">
        <f t="shared" si="446"/>
        <v>0</v>
      </c>
      <c r="EE240" s="777">
        <f t="shared" si="446"/>
        <v>0</v>
      </c>
      <c r="EF240" s="777">
        <f t="shared" si="446"/>
        <v>25770</v>
      </c>
      <c r="EG240" s="777">
        <f t="shared" si="446"/>
        <v>0</v>
      </c>
      <c r="EH240" s="777">
        <f t="shared" si="446"/>
        <v>0</v>
      </c>
      <c r="EI240" s="777">
        <f t="shared" si="446"/>
        <v>0</v>
      </c>
      <c r="EJ240" s="777">
        <f t="shared" si="446"/>
        <v>0</v>
      </c>
      <c r="EK240" s="777">
        <f t="shared" si="446"/>
        <v>0</v>
      </c>
      <c r="EL240" s="777">
        <f t="shared" ref="EL240:EV246" si="447">AB240-DA240</f>
        <v>0</v>
      </c>
      <c r="EM240" s="777">
        <f t="shared" si="447"/>
        <v>25770</v>
      </c>
      <c r="EN240" s="777">
        <f t="shared" si="447"/>
        <v>0</v>
      </c>
      <c r="EO240" s="777">
        <f t="shared" si="447"/>
        <v>0</v>
      </c>
      <c r="EP240" s="777">
        <f t="shared" si="447"/>
        <v>0</v>
      </c>
      <c r="EQ240" s="777">
        <f t="shared" si="447"/>
        <v>0</v>
      </c>
      <c r="ER240" s="777">
        <f t="shared" si="447"/>
        <v>0</v>
      </c>
      <c r="ES240" s="777">
        <f t="shared" si="447"/>
        <v>0</v>
      </c>
      <c r="ET240" s="777">
        <f t="shared" si="447"/>
        <v>10000</v>
      </c>
      <c r="EU240" s="777">
        <f t="shared" si="447"/>
        <v>0</v>
      </c>
      <c r="EV240" s="777">
        <f t="shared" si="447"/>
        <v>0</v>
      </c>
    </row>
    <row r="241" spans="1:153" ht="21" customHeight="1">
      <c r="A241" s="776">
        <v>89</v>
      </c>
      <c r="B241" s="660" t="s">
        <v>681</v>
      </c>
      <c r="C241" s="661"/>
      <c r="D241" s="661"/>
      <c r="E241" s="661"/>
      <c r="F241" s="661"/>
      <c r="G241" s="661"/>
      <c r="H241" s="661"/>
      <c r="I241" s="661"/>
      <c r="J241" s="661"/>
      <c r="K241" s="646">
        <f t="shared" si="395"/>
        <v>21143</v>
      </c>
      <c r="L241" s="662">
        <f t="shared" si="439"/>
        <v>21143</v>
      </c>
      <c r="M241" s="662"/>
      <c r="N241" s="662"/>
      <c r="O241" s="662"/>
      <c r="P241" s="662"/>
      <c r="Q241" s="662"/>
      <c r="R241" s="662"/>
      <c r="S241" s="662"/>
      <c r="T241" s="662"/>
      <c r="U241" s="666">
        <f t="shared" si="440"/>
        <v>0</v>
      </c>
      <c r="V241" s="662">
        <v>21143</v>
      </c>
      <c r="W241" s="662"/>
      <c r="X241" s="662"/>
      <c r="Y241" s="662"/>
      <c r="Z241" s="662"/>
      <c r="AA241" s="662"/>
      <c r="AB241" s="666">
        <f t="shared" si="441"/>
        <v>0</v>
      </c>
      <c r="AC241" s="666">
        <f t="shared" si="442"/>
        <v>21143</v>
      </c>
      <c r="AD241" s="662"/>
      <c r="AE241" s="662"/>
      <c r="AF241" s="662"/>
      <c r="AG241" s="662"/>
      <c r="AH241" s="662"/>
      <c r="AI241" s="662"/>
      <c r="AJ241" s="662">
        <f>1460+8419</f>
        <v>9879</v>
      </c>
      <c r="AK241" s="662"/>
      <c r="AL241" s="664"/>
      <c r="AN241" s="610"/>
      <c r="AO241" s="776">
        <v>97</v>
      </c>
      <c r="AP241" s="660" t="s">
        <v>681</v>
      </c>
      <c r="AQ241" s="661"/>
      <c r="AR241" s="661"/>
      <c r="AS241" s="661"/>
      <c r="AT241" s="661"/>
      <c r="AU241" s="661"/>
      <c r="AV241" s="661"/>
      <c r="AW241" s="661"/>
      <c r="AX241" s="661"/>
      <c r="AY241" s="666">
        <f t="shared" si="443"/>
        <v>21749</v>
      </c>
      <c r="AZ241" s="665"/>
      <c r="BA241" s="662"/>
      <c r="BB241" s="662"/>
      <c r="BC241" s="662"/>
      <c r="BD241" s="662"/>
      <c r="BE241" s="662"/>
      <c r="BF241" s="663"/>
      <c r="BG241" s="666">
        <f t="shared" si="444"/>
        <v>0</v>
      </c>
      <c r="BH241" s="662">
        <v>21749</v>
      </c>
      <c r="BI241" s="662"/>
      <c r="BJ241" s="662"/>
      <c r="BK241" s="662"/>
      <c r="BL241" s="662"/>
      <c r="BM241" s="663"/>
      <c r="BN241" s="666">
        <f t="shared" si="445"/>
        <v>21749</v>
      </c>
      <c r="BO241" s="662"/>
      <c r="BP241" s="662"/>
      <c r="BQ241" s="662"/>
      <c r="BR241" s="662"/>
      <c r="BS241" s="662"/>
      <c r="BT241" s="662"/>
      <c r="BU241" s="662"/>
      <c r="BV241" s="662"/>
      <c r="BW241" s="662"/>
      <c r="CA241" s="1352">
        <v>91</v>
      </c>
      <c r="CB241" s="1352" t="s">
        <v>681</v>
      </c>
      <c r="CC241" s="1352"/>
      <c r="CD241" s="1352"/>
      <c r="CE241" s="1352"/>
      <c r="CF241" s="1352"/>
      <c r="CG241" s="1352"/>
      <c r="CH241" s="1352"/>
      <c r="CI241" s="1352"/>
      <c r="CJ241" s="1352"/>
      <c r="CK241" s="1353">
        <v>0</v>
      </c>
      <c r="CL241" s="1353"/>
      <c r="CM241" s="1354"/>
      <c r="CN241" s="1354"/>
      <c r="CO241" s="1354"/>
      <c r="CP241" s="1354"/>
      <c r="CQ241" s="1354"/>
      <c r="CR241" s="1354"/>
      <c r="CS241" s="1354"/>
      <c r="CT241" s="1353">
        <v>0</v>
      </c>
      <c r="CU241" s="1353"/>
      <c r="CV241" s="1353"/>
      <c r="CW241" s="1353"/>
      <c r="CX241" s="1353"/>
      <c r="CY241" s="1353"/>
      <c r="CZ241" s="1353"/>
      <c r="DA241" s="1353">
        <v>0</v>
      </c>
      <c r="DB241" s="1353">
        <v>0</v>
      </c>
      <c r="DC241" s="1353"/>
      <c r="DD241" s="1353"/>
      <c r="DE241" s="1353"/>
      <c r="DF241" s="1353"/>
      <c r="DG241" s="1353"/>
      <c r="DH241" s="1353"/>
      <c r="DI241" s="1353"/>
      <c r="DJ241" s="1353"/>
      <c r="DK241" s="1353"/>
      <c r="DT241" s="776">
        <v>91</v>
      </c>
      <c r="DU241" s="660" t="s">
        <v>681</v>
      </c>
      <c r="DV241" s="777">
        <f t="shared" si="446"/>
        <v>21143</v>
      </c>
      <c r="DW241" s="777">
        <f t="shared" si="446"/>
        <v>0</v>
      </c>
      <c r="DX241" s="777">
        <f t="shared" si="446"/>
        <v>0</v>
      </c>
      <c r="DY241" s="777">
        <f t="shared" si="446"/>
        <v>0</v>
      </c>
      <c r="DZ241" s="777">
        <f t="shared" si="446"/>
        <v>0</v>
      </c>
      <c r="EA241" s="777">
        <f t="shared" si="446"/>
        <v>0</v>
      </c>
      <c r="EB241" s="777">
        <f t="shared" si="446"/>
        <v>0</v>
      </c>
      <c r="EC241" s="777">
        <f t="shared" si="446"/>
        <v>0</v>
      </c>
      <c r="ED241" s="777">
        <f t="shared" si="446"/>
        <v>0</v>
      </c>
      <c r="EE241" s="777">
        <f t="shared" si="446"/>
        <v>0</v>
      </c>
      <c r="EF241" s="777">
        <f t="shared" si="446"/>
        <v>21143</v>
      </c>
      <c r="EG241" s="777">
        <f t="shared" si="446"/>
        <v>0</v>
      </c>
      <c r="EH241" s="777">
        <f t="shared" si="446"/>
        <v>0</v>
      </c>
      <c r="EI241" s="777">
        <f t="shared" si="446"/>
        <v>0</v>
      </c>
      <c r="EJ241" s="777">
        <f t="shared" si="446"/>
        <v>0</v>
      </c>
      <c r="EK241" s="777">
        <f t="shared" si="446"/>
        <v>0</v>
      </c>
      <c r="EL241" s="777">
        <f t="shared" si="447"/>
        <v>0</v>
      </c>
      <c r="EM241" s="777">
        <f t="shared" si="447"/>
        <v>21143</v>
      </c>
      <c r="EN241" s="777">
        <f t="shared" si="447"/>
        <v>0</v>
      </c>
      <c r="EO241" s="777">
        <f t="shared" si="447"/>
        <v>0</v>
      </c>
      <c r="EP241" s="777">
        <f t="shared" si="447"/>
        <v>0</v>
      </c>
      <c r="EQ241" s="777">
        <f t="shared" si="447"/>
        <v>0</v>
      </c>
      <c r="ER241" s="777">
        <f t="shared" si="447"/>
        <v>0</v>
      </c>
      <c r="ES241" s="777">
        <f t="shared" si="447"/>
        <v>0</v>
      </c>
      <c r="ET241" s="777">
        <f t="shared" si="447"/>
        <v>9879</v>
      </c>
      <c r="EU241" s="777">
        <f t="shared" si="447"/>
        <v>0</v>
      </c>
      <c r="EV241" s="777">
        <f t="shared" si="447"/>
        <v>0</v>
      </c>
    </row>
    <row r="242" spans="1:153" ht="28.5" customHeight="1">
      <c r="A242" s="776">
        <v>90</v>
      </c>
      <c r="B242" s="660" t="s">
        <v>682</v>
      </c>
      <c r="C242" s="661"/>
      <c r="D242" s="661"/>
      <c r="E242" s="661"/>
      <c r="F242" s="661"/>
      <c r="G242" s="661"/>
      <c r="H242" s="661"/>
      <c r="I242" s="661"/>
      <c r="J242" s="661"/>
      <c r="K242" s="646">
        <f t="shared" si="395"/>
        <v>7258</v>
      </c>
      <c r="L242" s="662">
        <f t="shared" si="439"/>
        <v>7258</v>
      </c>
      <c r="M242" s="662"/>
      <c r="N242" s="662"/>
      <c r="O242" s="662"/>
      <c r="P242" s="662"/>
      <c r="Q242" s="662"/>
      <c r="R242" s="662"/>
      <c r="S242" s="662"/>
      <c r="T242" s="662"/>
      <c r="U242" s="666">
        <f t="shared" si="440"/>
        <v>0</v>
      </c>
      <c r="V242" s="662">
        <v>7258</v>
      </c>
      <c r="W242" s="662"/>
      <c r="X242" s="662"/>
      <c r="Y242" s="662"/>
      <c r="Z242" s="662"/>
      <c r="AA242" s="662"/>
      <c r="AB242" s="666">
        <f t="shared" si="441"/>
        <v>0</v>
      </c>
      <c r="AC242" s="666">
        <f t="shared" si="442"/>
        <v>7258</v>
      </c>
      <c r="AD242" s="662"/>
      <c r="AE242" s="662"/>
      <c r="AF242" s="662"/>
      <c r="AG242" s="662"/>
      <c r="AH242" s="662"/>
      <c r="AI242" s="662"/>
      <c r="AJ242" s="662"/>
      <c r="AK242" s="662"/>
      <c r="AL242" s="664"/>
      <c r="AN242" s="610"/>
      <c r="AO242" s="776">
        <v>98</v>
      </c>
      <c r="AP242" s="660" t="s">
        <v>682</v>
      </c>
      <c r="AQ242" s="661"/>
      <c r="AR242" s="661"/>
      <c r="AS242" s="661"/>
      <c r="AT242" s="661"/>
      <c r="AU242" s="661"/>
      <c r="AV242" s="661"/>
      <c r="AW242" s="661"/>
      <c r="AX242" s="661"/>
      <c r="AY242" s="666">
        <f t="shared" si="443"/>
        <v>7258</v>
      </c>
      <c r="AZ242" s="665"/>
      <c r="BA242" s="662"/>
      <c r="BB242" s="662"/>
      <c r="BC242" s="662"/>
      <c r="BD242" s="662"/>
      <c r="BE242" s="662"/>
      <c r="BF242" s="663"/>
      <c r="BG242" s="666">
        <f t="shared" si="444"/>
        <v>0</v>
      </c>
      <c r="BH242" s="662">
        <v>7258</v>
      </c>
      <c r="BI242" s="662"/>
      <c r="BJ242" s="662"/>
      <c r="BK242" s="662"/>
      <c r="BL242" s="662"/>
      <c r="BM242" s="663"/>
      <c r="BN242" s="666">
        <f t="shared" si="445"/>
        <v>7258</v>
      </c>
      <c r="BO242" s="662"/>
      <c r="BP242" s="662"/>
      <c r="BQ242" s="662"/>
      <c r="BR242" s="662"/>
      <c r="BS242" s="662"/>
      <c r="BT242" s="662"/>
      <c r="BU242" s="662"/>
      <c r="BV242" s="662"/>
      <c r="BW242" s="662"/>
      <c r="CA242" s="1352">
        <v>92</v>
      </c>
      <c r="CB242" s="1352" t="s">
        <v>682</v>
      </c>
      <c r="CC242" s="1352"/>
      <c r="CD242" s="1352"/>
      <c r="CE242" s="1352"/>
      <c r="CF242" s="1352"/>
      <c r="CG242" s="1352"/>
      <c r="CH242" s="1352"/>
      <c r="CI242" s="1352"/>
      <c r="CJ242" s="1352"/>
      <c r="CK242" s="1353">
        <v>0</v>
      </c>
      <c r="CL242" s="1353"/>
      <c r="CM242" s="1354"/>
      <c r="CN242" s="1354"/>
      <c r="CO242" s="1354"/>
      <c r="CP242" s="1354"/>
      <c r="CQ242" s="1354"/>
      <c r="CR242" s="1354"/>
      <c r="CS242" s="1354"/>
      <c r="CT242" s="1353">
        <v>0</v>
      </c>
      <c r="CU242" s="1353"/>
      <c r="CV242" s="1353"/>
      <c r="CW242" s="1353"/>
      <c r="CX242" s="1353"/>
      <c r="CY242" s="1353"/>
      <c r="CZ242" s="1353"/>
      <c r="DA242" s="1353">
        <v>0</v>
      </c>
      <c r="DB242" s="1353">
        <v>0</v>
      </c>
      <c r="DC242" s="1353"/>
      <c r="DD242" s="1353"/>
      <c r="DE242" s="1353"/>
      <c r="DF242" s="1353"/>
      <c r="DG242" s="1353"/>
      <c r="DH242" s="1353"/>
      <c r="DI242" s="1353"/>
      <c r="DJ242" s="1353"/>
      <c r="DK242" s="1353"/>
      <c r="DT242" s="776">
        <v>92</v>
      </c>
      <c r="DU242" s="660" t="s">
        <v>682</v>
      </c>
      <c r="DV242" s="777">
        <f t="shared" si="446"/>
        <v>7258</v>
      </c>
      <c r="DW242" s="777">
        <f t="shared" si="446"/>
        <v>0</v>
      </c>
      <c r="DX242" s="777">
        <f t="shared" si="446"/>
        <v>0</v>
      </c>
      <c r="DY242" s="777">
        <f t="shared" si="446"/>
        <v>0</v>
      </c>
      <c r="DZ242" s="777">
        <f t="shared" si="446"/>
        <v>0</v>
      </c>
      <c r="EA242" s="777">
        <f t="shared" si="446"/>
        <v>0</v>
      </c>
      <c r="EB242" s="777">
        <f t="shared" si="446"/>
        <v>0</v>
      </c>
      <c r="EC242" s="777">
        <f t="shared" si="446"/>
        <v>0</v>
      </c>
      <c r="ED242" s="777">
        <f t="shared" si="446"/>
        <v>0</v>
      </c>
      <c r="EE242" s="777">
        <f t="shared" si="446"/>
        <v>0</v>
      </c>
      <c r="EF242" s="777">
        <f t="shared" si="446"/>
        <v>7258</v>
      </c>
      <c r="EG242" s="777">
        <f t="shared" si="446"/>
        <v>0</v>
      </c>
      <c r="EH242" s="777">
        <f t="shared" si="446"/>
        <v>0</v>
      </c>
      <c r="EI242" s="777">
        <f t="shared" si="446"/>
        <v>0</v>
      </c>
      <c r="EJ242" s="777">
        <f t="shared" si="446"/>
        <v>0</v>
      </c>
      <c r="EK242" s="777">
        <f t="shared" si="446"/>
        <v>0</v>
      </c>
      <c r="EL242" s="777">
        <f t="shared" si="447"/>
        <v>0</v>
      </c>
      <c r="EM242" s="777">
        <f t="shared" si="447"/>
        <v>7258</v>
      </c>
      <c r="EN242" s="777">
        <f t="shared" si="447"/>
        <v>0</v>
      </c>
      <c r="EO242" s="777">
        <f t="shared" si="447"/>
        <v>0</v>
      </c>
      <c r="EP242" s="777">
        <f t="shared" si="447"/>
        <v>0</v>
      </c>
      <c r="EQ242" s="777">
        <f t="shared" si="447"/>
        <v>0</v>
      </c>
      <c r="ER242" s="777">
        <f t="shared" si="447"/>
        <v>0</v>
      </c>
      <c r="ES242" s="777">
        <f t="shared" si="447"/>
        <v>0</v>
      </c>
      <c r="ET242" s="777">
        <f t="shared" si="447"/>
        <v>0</v>
      </c>
      <c r="EU242" s="777">
        <f t="shared" si="447"/>
        <v>0</v>
      </c>
      <c r="EV242" s="777">
        <f t="shared" si="447"/>
        <v>0</v>
      </c>
    </row>
    <row r="243" spans="1:153" s="614" customFormat="1" ht="21" customHeight="1">
      <c r="A243" s="824" t="s">
        <v>683</v>
      </c>
      <c r="B243" s="651" t="s">
        <v>320</v>
      </c>
      <c r="C243" s="1430"/>
      <c r="D243" s="1430"/>
      <c r="E243" s="1430"/>
      <c r="F243" s="1430"/>
      <c r="G243" s="1430"/>
      <c r="H243" s="1430"/>
      <c r="I243" s="1430"/>
      <c r="J243" s="1430"/>
      <c r="K243" s="646">
        <f t="shared" si="395"/>
        <v>58031</v>
      </c>
      <c r="L243" s="653">
        <f t="shared" si="439"/>
        <v>58031</v>
      </c>
      <c r="M243" s="653"/>
      <c r="N243" s="653"/>
      <c r="O243" s="653"/>
      <c r="P243" s="653"/>
      <c r="Q243" s="653"/>
      <c r="R243" s="653"/>
      <c r="S243" s="653"/>
      <c r="T243" s="653"/>
      <c r="U243" s="666">
        <f t="shared" si="440"/>
        <v>0</v>
      </c>
      <c r="V243" s="653">
        <f>67779-1368-508-743-100-141-616-6372+100</f>
        <v>58031</v>
      </c>
      <c r="W243" s="653"/>
      <c r="X243" s="653"/>
      <c r="Y243" s="653"/>
      <c r="Z243" s="653"/>
      <c r="AA243" s="653"/>
      <c r="AB243" s="666">
        <f t="shared" si="441"/>
        <v>0</v>
      </c>
      <c r="AC243" s="666">
        <f t="shared" si="442"/>
        <v>58031</v>
      </c>
      <c r="AD243" s="653"/>
      <c r="AE243" s="653"/>
      <c r="AF243" s="653"/>
      <c r="AG243" s="653"/>
      <c r="AH243" s="653"/>
      <c r="AI243" s="653"/>
      <c r="AJ243" s="653"/>
      <c r="AK243" s="653"/>
      <c r="AL243" s="656"/>
      <c r="AM243" s="612"/>
      <c r="AN243" s="610"/>
      <c r="AO243" s="824" t="s">
        <v>683</v>
      </c>
      <c r="AP243" s="651" t="s">
        <v>320</v>
      </c>
      <c r="AQ243" s="1320"/>
      <c r="AR243" s="1320"/>
      <c r="AS243" s="1320"/>
      <c r="AT243" s="1320"/>
      <c r="AU243" s="1320"/>
      <c r="AV243" s="1320"/>
      <c r="AW243" s="1320"/>
      <c r="AX243" s="1320"/>
      <c r="AY243" s="653">
        <f t="shared" si="443"/>
        <v>63876</v>
      </c>
      <c r="AZ243" s="658"/>
      <c r="BA243" s="653"/>
      <c r="BB243" s="653"/>
      <c r="BC243" s="653"/>
      <c r="BD243" s="653"/>
      <c r="BE243" s="653"/>
      <c r="BF243" s="655"/>
      <c r="BG243" s="666">
        <f t="shared" si="444"/>
        <v>0</v>
      </c>
      <c r="BH243" s="653">
        <f>64842-462-723+219</f>
        <v>63876</v>
      </c>
      <c r="BI243" s="653"/>
      <c r="BJ243" s="653"/>
      <c r="BK243" s="653"/>
      <c r="BL243" s="653"/>
      <c r="BM243" s="655"/>
      <c r="BN243" s="767">
        <f t="shared" si="445"/>
        <v>63876</v>
      </c>
      <c r="BO243" s="653"/>
      <c r="BP243" s="653"/>
      <c r="BQ243" s="653"/>
      <c r="BR243" s="653"/>
      <c r="BS243" s="653"/>
      <c r="BT243" s="653"/>
      <c r="BU243" s="653"/>
      <c r="BV243" s="653"/>
      <c r="BW243" s="653"/>
      <c r="BY243" s="732"/>
      <c r="BZ243" s="732"/>
      <c r="CA243" s="1348" t="s">
        <v>683</v>
      </c>
      <c r="CB243" s="1348" t="s">
        <v>320</v>
      </c>
      <c r="CC243" s="1348"/>
      <c r="CD243" s="1348"/>
      <c r="CE243" s="1348"/>
      <c r="CF243" s="1348"/>
      <c r="CG243" s="1348"/>
      <c r="CH243" s="1348"/>
      <c r="CI243" s="1348"/>
      <c r="CJ243" s="1348"/>
      <c r="CK243" s="1349">
        <v>0</v>
      </c>
      <c r="CL243" s="1349"/>
      <c r="CM243" s="1350"/>
      <c r="CN243" s="1350"/>
      <c r="CO243" s="1350"/>
      <c r="CP243" s="1350"/>
      <c r="CQ243" s="1350"/>
      <c r="CR243" s="1350"/>
      <c r="CS243" s="1350"/>
      <c r="CT243" s="1349">
        <v>0</v>
      </c>
      <c r="CU243" s="1349"/>
      <c r="CV243" s="1349"/>
      <c r="CW243" s="1349"/>
      <c r="CX243" s="1349"/>
      <c r="CY243" s="1349"/>
      <c r="CZ243" s="1349"/>
      <c r="DA243" s="1349">
        <v>0</v>
      </c>
      <c r="DB243" s="1349">
        <v>0</v>
      </c>
      <c r="DC243" s="1349"/>
      <c r="DD243" s="1349"/>
      <c r="DE243" s="1349"/>
      <c r="DF243" s="1349"/>
      <c r="DG243" s="1349"/>
      <c r="DH243" s="1349"/>
      <c r="DI243" s="1349"/>
      <c r="DJ243" s="1349"/>
      <c r="DK243" s="1349"/>
      <c r="DT243" s="824" t="s">
        <v>683</v>
      </c>
      <c r="DU243" s="651" t="s">
        <v>320</v>
      </c>
      <c r="DV243" s="777">
        <f t="shared" si="446"/>
        <v>58031</v>
      </c>
      <c r="DW243" s="777">
        <f t="shared" si="446"/>
        <v>0</v>
      </c>
      <c r="DX243" s="777">
        <f t="shared" si="446"/>
        <v>0</v>
      </c>
      <c r="DY243" s="777">
        <f t="shared" si="446"/>
        <v>0</v>
      </c>
      <c r="DZ243" s="777">
        <f t="shared" si="446"/>
        <v>0</v>
      </c>
      <c r="EA243" s="777">
        <f t="shared" si="446"/>
        <v>0</v>
      </c>
      <c r="EB243" s="777">
        <f t="shared" si="446"/>
        <v>0</v>
      </c>
      <c r="EC243" s="777">
        <f t="shared" si="446"/>
        <v>0</v>
      </c>
      <c r="ED243" s="777">
        <f t="shared" si="446"/>
        <v>0</v>
      </c>
      <c r="EE243" s="777">
        <f t="shared" si="446"/>
        <v>0</v>
      </c>
      <c r="EF243" s="777">
        <f t="shared" si="446"/>
        <v>58031</v>
      </c>
      <c r="EG243" s="777">
        <f t="shared" si="446"/>
        <v>0</v>
      </c>
      <c r="EH243" s="777">
        <f t="shared" si="446"/>
        <v>0</v>
      </c>
      <c r="EI243" s="777">
        <f t="shared" si="446"/>
        <v>0</v>
      </c>
      <c r="EJ243" s="777">
        <f t="shared" si="446"/>
        <v>0</v>
      </c>
      <c r="EK243" s="777">
        <f t="shared" si="446"/>
        <v>0</v>
      </c>
      <c r="EL243" s="777">
        <f t="shared" si="447"/>
        <v>0</v>
      </c>
      <c r="EM243" s="777">
        <f t="shared" si="447"/>
        <v>58031</v>
      </c>
      <c r="EN243" s="777">
        <f t="shared" si="447"/>
        <v>0</v>
      </c>
      <c r="EO243" s="777">
        <f t="shared" si="447"/>
        <v>0</v>
      </c>
      <c r="EP243" s="777">
        <f t="shared" si="447"/>
        <v>0</v>
      </c>
      <c r="EQ243" s="777">
        <f t="shared" si="447"/>
        <v>0</v>
      </c>
      <c r="ER243" s="777">
        <f t="shared" si="447"/>
        <v>0</v>
      </c>
      <c r="ES243" s="777">
        <f t="shared" si="447"/>
        <v>0</v>
      </c>
      <c r="ET243" s="777">
        <f t="shared" si="447"/>
        <v>0</v>
      </c>
      <c r="EU243" s="777">
        <f t="shared" si="447"/>
        <v>0</v>
      </c>
      <c r="EV243" s="777">
        <f t="shared" si="447"/>
        <v>0</v>
      </c>
    </row>
    <row r="244" spans="1:153" s="826" customFormat="1" ht="21" customHeight="1">
      <c r="A244" s="824" t="s">
        <v>684</v>
      </c>
      <c r="B244" s="651" t="s">
        <v>685</v>
      </c>
      <c r="C244" s="1430"/>
      <c r="D244" s="1430"/>
      <c r="E244" s="1430"/>
      <c r="F244" s="1430"/>
      <c r="G244" s="1430"/>
      <c r="H244" s="1430"/>
      <c r="I244" s="1430"/>
      <c r="J244" s="1430"/>
      <c r="K244" s="646">
        <f t="shared" si="395"/>
        <v>1000</v>
      </c>
      <c r="L244" s="653">
        <f t="shared" si="439"/>
        <v>1000</v>
      </c>
      <c r="M244" s="653"/>
      <c r="N244" s="653"/>
      <c r="O244" s="653"/>
      <c r="P244" s="653"/>
      <c r="Q244" s="653"/>
      <c r="R244" s="653"/>
      <c r="S244" s="653"/>
      <c r="T244" s="653"/>
      <c r="U244" s="666">
        <f t="shared" si="440"/>
        <v>0</v>
      </c>
      <c r="V244" s="653">
        <v>1000</v>
      </c>
      <c r="W244" s="653"/>
      <c r="X244" s="653"/>
      <c r="Y244" s="653"/>
      <c r="Z244" s="653"/>
      <c r="AA244" s="653"/>
      <c r="AB244" s="666">
        <f t="shared" si="441"/>
        <v>0</v>
      </c>
      <c r="AC244" s="666">
        <f t="shared" si="442"/>
        <v>1000</v>
      </c>
      <c r="AD244" s="653"/>
      <c r="AE244" s="653"/>
      <c r="AF244" s="653"/>
      <c r="AG244" s="653"/>
      <c r="AH244" s="653"/>
      <c r="AI244" s="653"/>
      <c r="AJ244" s="653"/>
      <c r="AK244" s="653"/>
      <c r="AL244" s="656"/>
      <c r="AM244" s="825"/>
      <c r="AN244" s="610"/>
      <c r="AO244" s="824" t="s">
        <v>684</v>
      </c>
      <c r="AP244" s="651" t="s">
        <v>685</v>
      </c>
      <c r="AQ244" s="1320"/>
      <c r="AR244" s="1320"/>
      <c r="AS244" s="1320"/>
      <c r="AT244" s="1320"/>
      <c r="AU244" s="1320"/>
      <c r="AV244" s="1320"/>
      <c r="AW244" s="1320"/>
      <c r="AX244" s="1320"/>
      <c r="AY244" s="653">
        <f t="shared" si="443"/>
        <v>1000</v>
      </c>
      <c r="AZ244" s="658"/>
      <c r="BA244" s="653"/>
      <c r="BB244" s="653"/>
      <c r="BC244" s="653"/>
      <c r="BD244" s="653"/>
      <c r="BE244" s="653"/>
      <c r="BF244" s="655"/>
      <c r="BG244" s="666">
        <f t="shared" si="444"/>
        <v>0</v>
      </c>
      <c r="BH244" s="653">
        <v>1000</v>
      </c>
      <c r="BI244" s="653"/>
      <c r="BJ244" s="653"/>
      <c r="BK244" s="653"/>
      <c r="BL244" s="653"/>
      <c r="BM244" s="655"/>
      <c r="BN244" s="767">
        <f t="shared" si="445"/>
        <v>1000</v>
      </c>
      <c r="BO244" s="653"/>
      <c r="BP244" s="653"/>
      <c r="BQ244" s="653"/>
      <c r="BR244" s="653"/>
      <c r="BS244" s="653"/>
      <c r="BT244" s="653"/>
      <c r="BU244" s="653"/>
      <c r="BV244" s="653"/>
      <c r="BW244" s="653"/>
      <c r="BY244" s="1380"/>
      <c r="BZ244" s="1380"/>
      <c r="CA244" s="1348" t="s">
        <v>684</v>
      </c>
      <c r="CB244" s="1348" t="s">
        <v>685</v>
      </c>
      <c r="CC244" s="1348"/>
      <c r="CD244" s="1348"/>
      <c r="CE244" s="1348"/>
      <c r="CF244" s="1348"/>
      <c r="CG244" s="1348"/>
      <c r="CH244" s="1348"/>
      <c r="CI244" s="1348"/>
      <c r="CJ244" s="1348"/>
      <c r="CK244" s="1349">
        <v>0</v>
      </c>
      <c r="CL244" s="1349"/>
      <c r="CM244" s="1350"/>
      <c r="CN244" s="1350"/>
      <c r="CO244" s="1350"/>
      <c r="CP244" s="1350"/>
      <c r="CQ244" s="1350"/>
      <c r="CR244" s="1350"/>
      <c r="CS244" s="1350"/>
      <c r="CT244" s="1349">
        <v>0</v>
      </c>
      <c r="CU244" s="1349"/>
      <c r="CV244" s="1349"/>
      <c r="CW244" s="1349"/>
      <c r="CX244" s="1349"/>
      <c r="CY244" s="1349"/>
      <c r="CZ244" s="1349"/>
      <c r="DA244" s="1349">
        <v>0</v>
      </c>
      <c r="DB244" s="1349">
        <v>0</v>
      </c>
      <c r="DC244" s="1349"/>
      <c r="DD244" s="1349"/>
      <c r="DE244" s="1349"/>
      <c r="DF244" s="1349"/>
      <c r="DG244" s="1349"/>
      <c r="DH244" s="1349"/>
      <c r="DI244" s="1349"/>
      <c r="DJ244" s="1349"/>
      <c r="DK244" s="1349"/>
      <c r="DT244" s="824" t="s">
        <v>684</v>
      </c>
      <c r="DU244" s="651" t="s">
        <v>685</v>
      </c>
      <c r="DV244" s="777">
        <f t="shared" si="446"/>
        <v>1000</v>
      </c>
      <c r="DW244" s="777">
        <f t="shared" si="446"/>
        <v>0</v>
      </c>
      <c r="DX244" s="777">
        <f t="shared" si="446"/>
        <v>0</v>
      </c>
      <c r="DY244" s="777">
        <f t="shared" si="446"/>
        <v>0</v>
      </c>
      <c r="DZ244" s="777">
        <f t="shared" si="446"/>
        <v>0</v>
      </c>
      <c r="EA244" s="777">
        <f t="shared" si="446"/>
        <v>0</v>
      </c>
      <c r="EB244" s="777">
        <f t="shared" si="446"/>
        <v>0</v>
      </c>
      <c r="EC244" s="777">
        <f t="shared" si="446"/>
        <v>0</v>
      </c>
      <c r="ED244" s="777">
        <f t="shared" si="446"/>
        <v>0</v>
      </c>
      <c r="EE244" s="777">
        <f t="shared" si="446"/>
        <v>0</v>
      </c>
      <c r="EF244" s="777">
        <f t="shared" si="446"/>
        <v>1000</v>
      </c>
      <c r="EG244" s="777">
        <f t="shared" si="446"/>
        <v>0</v>
      </c>
      <c r="EH244" s="777">
        <f t="shared" si="446"/>
        <v>0</v>
      </c>
      <c r="EI244" s="777">
        <f t="shared" si="446"/>
        <v>0</v>
      </c>
      <c r="EJ244" s="777">
        <f t="shared" si="446"/>
        <v>0</v>
      </c>
      <c r="EK244" s="777">
        <f t="shared" si="446"/>
        <v>0</v>
      </c>
      <c r="EL244" s="777">
        <f t="shared" si="447"/>
        <v>0</v>
      </c>
      <c r="EM244" s="777">
        <f t="shared" si="447"/>
        <v>1000</v>
      </c>
      <c r="EN244" s="777">
        <f t="shared" si="447"/>
        <v>0</v>
      </c>
      <c r="EO244" s="777">
        <f t="shared" si="447"/>
        <v>0</v>
      </c>
      <c r="EP244" s="777">
        <f t="shared" si="447"/>
        <v>0</v>
      </c>
      <c r="EQ244" s="777">
        <f t="shared" si="447"/>
        <v>0</v>
      </c>
      <c r="ER244" s="777">
        <f t="shared" si="447"/>
        <v>0</v>
      </c>
      <c r="ES244" s="777">
        <f t="shared" si="447"/>
        <v>0</v>
      </c>
      <c r="ET244" s="777">
        <f t="shared" si="447"/>
        <v>0</v>
      </c>
      <c r="EU244" s="777">
        <f t="shared" si="447"/>
        <v>0</v>
      </c>
      <c r="EV244" s="777">
        <f t="shared" si="447"/>
        <v>0</v>
      </c>
    </row>
    <row r="245" spans="1:153" s="831" customFormat="1" ht="21" customHeight="1">
      <c r="A245" s="827" t="s">
        <v>686</v>
      </c>
      <c r="B245" s="828" t="s">
        <v>687</v>
      </c>
      <c r="C245" s="829"/>
      <c r="D245" s="829"/>
      <c r="E245" s="829"/>
      <c r="F245" s="829"/>
      <c r="G245" s="829"/>
      <c r="H245" s="829"/>
      <c r="I245" s="829"/>
      <c r="J245" s="829"/>
      <c r="K245" s="646">
        <f t="shared" si="395"/>
        <v>0</v>
      </c>
      <c r="L245" s="653">
        <f t="shared" si="439"/>
        <v>0</v>
      </c>
      <c r="M245" s="653"/>
      <c r="N245" s="653"/>
      <c r="O245" s="653"/>
      <c r="P245" s="653"/>
      <c r="Q245" s="653"/>
      <c r="R245" s="653"/>
      <c r="S245" s="653"/>
      <c r="T245" s="653"/>
      <c r="U245" s="666">
        <f t="shared" si="440"/>
        <v>0</v>
      </c>
      <c r="V245" s="653"/>
      <c r="W245" s="653"/>
      <c r="X245" s="653"/>
      <c r="Y245" s="653"/>
      <c r="Z245" s="653"/>
      <c r="AA245" s="653"/>
      <c r="AB245" s="666">
        <f t="shared" si="441"/>
        <v>0</v>
      </c>
      <c r="AC245" s="666">
        <f t="shared" si="442"/>
        <v>0</v>
      </c>
      <c r="AD245" s="653"/>
      <c r="AE245" s="653"/>
      <c r="AF245" s="653"/>
      <c r="AG245" s="653"/>
      <c r="AH245" s="653"/>
      <c r="AI245" s="653"/>
      <c r="AJ245" s="653"/>
      <c r="AK245" s="653"/>
      <c r="AL245" s="656"/>
      <c r="AM245" s="830"/>
      <c r="AN245" s="610"/>
      <c r="AO245" s="827" t="s">
        <v>686</v>
      </c>
      <c r="AP245" s="828" t="s">
        <v>687</v>
      </c>
      <c r="AQ245" s="829"/>
      <c r="AR245" s="829"/>
      <c r="AS245" s="829"/>
      <c r="AT245" s="829"/>
      <c r="AU245" s="829"/>
      <c r="AV245" s="829"/>
      <c r="AW245" s="829"/>
      <c r="AX245" s="829"/>
      <c r="AY245" s="653">
        <f t="shared" si="443"/>
        <v>100</v>
      </c>
      <c r="AZ245" s="658"/>
      <c r="BA245" s="653"/>
      <c r="BB245" s="653"/>
      <c r="BC245" s="653"/>
      <c r="BD245" s="653"/>
      <c r="BE245" s="653"/>
      <c r="BF245" s="655"/>
      <c r="BG245" s="666">
        <f t="shared" si="444"/>
        <v>0</v>
      </c>
      <c r="BH245" s="653">
        <v>100</v>
      </c>
      <c r="BI245" s="653"/>
      <c r="BJ245" s="653"/>
      <c r="BK245" s="653"/>
      <c r="BL245" s="653"/>
      <c r="BM245" s="655"/>
      <c r="BN245" s="767">
        <f t="shared" si="445"/>
        <v>100</v>
      </c>
      <c r="BO245" s="653"/>
      <c r="BP245" s="653"/>
      <c r="BQ245" s="653"/>
      <c r="BR245" s="653"/>
      <c r="BS245" s="653"/>
      <c r="BT245" s="653"/>
      <c r="BU245" s="653"/>
      <c r="BV245" s="653"/>
      <c r="BW245" s="653"/>
      <c r="BY245" s="1381"/>
      <c r="BZ245" s="1381"/>
      <c r="CA245" s="1348" t="s">
        <v>686</v>
      </c>
      <c r="CB245" s="1348" t="s">
        <v>687</v>
      </c>
      <c r="CC245" s="1348"/>
      <c r="CD245" s="1348"/>
      <c r="CE245" s="1348"/>
      <c r="CF245" s="1348"/>
      <c r="CG245" s="1348"/>
      <c r="CH245" s="1348"/>
      <c r="CI245" s="1348"/>
      <c r="CJ245" s="1348"/>
      <c r="CK245" s="1349">
        <v>0</v>
      </c>
      <c r="CL245" s="1349"/>
      <c r="CM245" s="1350"/>
      <c r="CN245" s="1350"/>
      <c r="CO245" s="1350"/>
      <c r="CP245" s="1350"/>
      <c r="CQ245" s="1350"/>
      <c r="CR245" s="1350"/>
      <c r="CS245" s="1350"/>
      <c r="CT245" s="1349">
        <v>0</v>
      </c>
      <c r="CU245" s="1349"/>
      <c r="CV245" s="1349"/>
      <c r="CW245" s="1349"/>
      <c r="CX245" s="1349"/>
      <c r="CY245" s="1349"/>
      <c r="CZ245" s="1349"/>
      <c r="DA245" s="1349">
        <v>0</v>
      </c>
      <c r="DB245" s="1349">
        <v>0</v>
      </c>
      <c r="DC245" s="1349"/>
      <c r="DD245" s="1349"/>
      <c r="DE245" s="1349"/>
      <c r="DF245" s="1349"/>
      <c r="DG245" s="1349"/>
      <c r="DH245" s="1349"/>
      <c r="DI245" s="1349"/>
      <c r="DJ245" s="1349"/>
      <c r="DK245" s="1349"/>
      <c r="DT245" s="824" t="s">
        <v>686</v>
      </c>
      <c r="DU245" s="651" t="s">
        <v>687</v>
      </c>
      <c r="DV245" s="777">
        <f t="shared" si="446"/>
        <v>0</v>
      </c>
      <c r="DW245" s="777">
        <f t="shared" si="446"/>
        <v>0</v>
      </c>
      <c r="DX245" s="777">
        <f t="shared" si="446"/>
        <v>0</v>
      </c>
      <c r="DY245" s="777">
        <f t="shared" si="446"/>
        <v>0</v>
      </c>
      <c r="DZ245" s="777">
        <f t="shared" si="446"/>
        <v>0</v>
      </c>
      <c r="EA245" s="777">
        <f t="shared" si="446"/>
        <v>0</v>
      </c>
      <c r="EB245" s="777">
        <f t="shared" si="446"/>
        <v>0</v>
      </c>
      <c r="EC245" s="777">
        <f t="shared" si="446"/>
        <v>0</v>
      </c>
      <c r="ED245" s="777">
        <f t="shared" si="446"/>
        <v>0</v>
      </c>
      <c r="EE245" s="777">
        <f t="shared" si="446"/>
        <v>0</v>
      </c>
      <c r="EF245" s="777">
        <f t="shared" si="446"/>
        <v>0</v>
      </c>
      <c r="EG245" s="777">
        <f t="shared" si="446"/>
        <v>0</v>
      </c>
      <c r="EH245" s="777">
        <f t="shared" si="446"/>
        <v>0</v>
      </c>
      <c r="EI245" s="777">
        <f t="shared" si="446"/>
        <v>0</v>
      </c>
      <c r="EJ245" s="777">
        <f t="shared" si="446"/>
        <v>0</v>
      </c>
      <c r="EK245" s="777">
        <f t="shared" si="446"/>
        <v>0</v>
      </c>
      <c r="EL245" s="777">
        <f t="shared" si="447"/>
        <v>0</v>
      </c>
      <c r="EM245" s="777">
        <f t="shared" si="447"/>
        <v>0</v>
      </c>
      <c r="EN245" s="777">
        <f t="shared" si="447"/>
        <v>0</v>
      </c>
      <c r="EO245" s="777">
        <f t="shared" si="447"/>
        <v>0</v>
      </c>
      <c r="EP245" s="777">
        <f t="shared" si="447"/>
        <v>0</v>
      </c>
      <c r="EQ245" s="777">
        <f t="shared" si="447"/>
        <v>0</v>
      </c>
      <c r="ER245" s="777">
        <f t="shared" si="447"/>
        <v>0</v>
      </c>
      <c r="ES245" s="777">
        <f t="shared" si="447"/>
        <v>0</v>
      </c>
      <c r="ET245" s="777">
        <f t="shared" si="447"/>
        <v>0</v>
      </c>
      <c r="EU245" s="777">
        <f t="shared" si="447"/>
        <v>0</v>
      </c>
      <c r="EV245" s="777">
        <f t="shared" si="447"/>
        <v>0</v>
      </c>
    </row>
    <row r="246" spans="1:153" s="831" customFormat="1" ht="21" customHeight="1">
      <c r="A246" s="827" t="s">
        <v>688</v>
      </c>
      <c r="B246" s="828" t="s">
        <v>689</v>
      </c>
      <c r="C246" s="829"/>
      <c r="D246" s="829"/>
      <c r="E246" s="829"/>
      <c r="F246" s="829"/>
      <c r="G246" s="829"/>
      <c r="H246" s="829"/>
      <c r="I246" s="829"/>
      <c r="J246" s="829"/>
      <c r="K246" s="646">
        <f t="shared" si="395"/>
        <v>0</v>
      </c>
      <c r="L246" s="653">
        <f t="shared" si="439"/>
        <v>0</v>
      </c>
      <c r="M246" s="653"/>
      <c r="N246" s="653"/>
      <c r="O246" s="653"/>
      <c r="P246" s="653"/>
      <c r="Q246" s="653"/>
      <c r="R246" s="653"/>
      <c r="S246" s="653"/>
      <c r="T246" s="653"/>
      <c r="U246" s="666">
        <f t="shared" si="440"/>
        <v>0</v>
      </c>
      <c r="V246" s="653"/>
      <c r="W246" s="653"/>
      <c r="X246" s="653"/>
      <c r="Y246" s="653"/>
      <c r="Z246" s="653"/>
      <c r="AA246" s="653"/>
      <c r="AB246" s="666">
        <f t="shared" si="441"/>
        <v>0</v>
      </c>
      <c r="AC246" s="666">
        <f t="shared" si="442"/>
        <v>0</v>
      </c>
      <c r="AD246" s="653"/>
      <c r="AE246" s="653"/>
      <c r="AF246" s="653"/>
      <c r="AG246" s="653"/>
      <c r="AH246" s="653"/>
      <c r="AI246" s="653"/>
      <c r="AJ246" s="653"/>
      <c r="AK246" s="653"/>
      <c r="AL246" s="656"/>
      <c r="AM246" s="830"/>
      <c r="AN246" s="610"/>
      <c r="AO246" s="827" t="s">
        <v>688</v>
      </c>
      <c r="AP246" s="828" t="s">
        <v>689</v>
      </c>
      <c r="AQ246" s="829"/>
      <c r="AR246" s="829"/>
      <c r="AS246" s="829"/>
      <c r="AT246" s="829"/>
      <c r="AU246" s="829"/>
      <c r="AV246" s="829"/>
      <c r="AW246" s="829"/>
      <c r="AX246" s="829"/>
      <c r="AY246" s="653">
        <f t="shared" si="443"/>
        <v>93012</v>
      </c>
      <c r="AZ246" s="658"/>
      <c r="BA246" s="653"/>
      <c r="BB246" s="653"/>
      <c r="BC246" s="653"/>
      <c r="BD246" s="653"/>
      <c r="BE246" s="653"/>
      <c r="BF246" s="655"/>
      <c r="BG246" s="666">
        <f t="shared" si="444"/>
        <v>0</v>
      </c>
      <c r="BH246" s="653">
        <v>93012</v>
      </c>
      <c r="BI246" s="653"/>
      <c r="BJ246" s="653"/>
      <c r="BK246" s="653"/>
      <c r="BL246" s="653"/>
      <c r="BM246" s="655"/>
      <c r="BN246" s="767">
        <f t="shared" si="445"/>
        <v>93012</v>
      </c>
      <c r="BO246" s="653"/>
      <c r="BP246" s="653"/>
      <c r="BQ246" s="653"/>
      <c r="BR246" s="653"/>
      <c r="BS246" s="653"/>
      <c r="BT246" s="653"/>
      <c r="BU246" s="653"/>
      <c r="BV246" s="653"/>
      <c r="BW246" s="653"/>
      <c r="BY246" s="1381"/>
      <c r="BZ246" s="1381"/>
      <c r="CA246" s="1348" t="s">
        <v>688</v>
      </c>
      <c r="CB246" s="1348" t="s">
        <v>689</v>
      </c>
      <c r="CC246" s="1348"/>
      <c r="CD246" s="1348"/>
      <c r="CE246" s="1348"/>
      <c r="CF246" s="1348"/>
      <c r="CG246" s="1348"/>
      <c r="CH246" s="1348"/>
      <c r="CI246" s="1348"/>
      <c r="CJ246" s="1348"/>
      <c r="CK246" s="1349">
        <v>0</v>
      </c>
      <c r="CL246" s="1349"/>
      <c r="CM246" s="1350"/>
      <c r="CN246" s="1350"/>
      <c r="CO246" s="1350"/>
      <c r="CP246" s="1350"/>
      <c r="CQ246" s="1350"/>
      <c r="CR246" s="1350"/>
      <c r="CS246" s="1350"/>
      <c r="CT246" s="1349">
        <v>0</v>
      </c>
      <c r="CU246" s="1349"/>
      <c r="CV246" s="1349"/>
      <c r="CW246" s="1349"/>
      <c r="CX246" s="1349"/>
      <c r="CY246" s="1349"/>
      <c r="CZ246" s="1349"/>
      <c r="DA246" s="1349">
        <v>0</v>
      </c>
      <c r="DB246" s="1349">
        <v>0</v>
      </c>
      <c r="DC246" s="1349"/>
      <c r="DD246" s="1349"/>
      <c r="DE246" s="1349"/>
      <c r="DF246" s="1349"/>
      <c r="DG246" s="1349"/>
      <c r="DH246" s="1349"/>
      <c r="DI246" s="1349"/>
      <c r="DJ246" s="1349"/>
      <c r="DK246" s="1349"/>
      <c r="DT246" s="824" t="s">
        <v>688</v>
      </c>
      <c r="DU246" s="651" t="s">
        <v>689</v>
      </c>
      <c r="DV246" s="777">
        <f t="shared" si="446"/>
        <v>0</v>
      </c>
      <c r="DW246" s="777">
        <f t="shared" si="446"/>
        <v>0</v>
      </c>
      <c r="DX246" s="777">
        <f t="shared" si="446"/>
        <v>0</v>
      </c>
      <c r="DY246" s="777">
        <f t="shared" si="446"/>
        <v>0</v>
      </c>
      <c r="DZ246" s="777">
        <f t="shared" si="446"/>
        <v>0</v>
      </c>
      <c r="EA246" s="777">
        <f t="shared" si="446"/>
        <v>0</v>
      </c>
      <c r="EB246" s="777">
        <f t="shared" si="446"/>
        <v>0</v>
      </c>
      <c r="EC246" s="777">
        <f t="shared" si="446"/>
        <v>0</v>
      </c>
      <c r="ED246" s="777">
        <f t="shared" si="446"/>
        <v>0</v>
      </c>
      <c r="EE246" s="777">
        <f t="shared" si="446"/>
        <v>0</v>
      </c>
      <c r="EF246" s="777">
        <f t="shared" si="446"/>
        <v>0</v>
      </c>
      <c r="EG246" s="777">
        <f t="shared" si="446"/>
        <v>0</v>
      </c>
      <c r="EH246" s="777">
        <f t="shared" si="446"/>
        <v>0</v>
      </c>
      <c r="EI246" s="777">
        <f t="shared" si="446"/>
        <v>0</v>
      </c>
      <c r="EJ246" s="777">
        <f t="shared" si="446"/>
        <v>0</v>
      </c>
      <c r="EK246" s="777">
        <f t="shared" si="446"/>
        <v>0</v>
      </c>
      <c r="EL246" s="777">
        <f t="shared" si="447"/>
        <v>0</v>
      </c>
      <c r="EM246" s="777">
        <f t="shared" si="447"/>
        <v>0</v>
      </c>
      <c r="EN246" s="777">
        <f t="shared" si="447"/>
        <v>0</v>
      </c>
      <c r="EO246" s="777">
        <f t="shared" si="447"/>
        <v>0</v>
      </c>
      <c r="EP246" s="777">
        <f t="shared" si="447"/>
        <v>0</v>
      </c>
      <c r="EQ246" s="777">
        <f t="shared" si="447"/>
        <v>0</v>
      </c>
      <c r="ER246" s="777">
        <f t="shared" si="447"/>
        <v>0</v>
      </c>
      <c r="ES246" s="777">
        <f t="shared" si="447"/>
        <v>0</v>
      </c>
      <c r="ET246" s="777">
        <f t="shared" si="447"/>
        <v>0</v>
      </c>
      <c r="EU246" s="777">
        <f t="shared" si="447"/>
        <v>0</v>
      </c>
      <c r="EV246" s="777">
        <f t="shared" si="447"/>
        <v>0</v>
      </c>
    </row>
    <row r="247" spans="1:153" s="614" customFormat="1" ht="35.25" customHeight="1">
      <c r="A247" s="1382"/>
      <c r="B247" s="1383" t="s">
        <v>40</v>
      </c>
      <c r="C247" s="1384">
        <f t="shared" ref="C247:AL247" si="448">SUM(C8,C57,C80,C121,C130,C132,C140,C150,C186,C199,C202,C220,C234,C235,C236,C239,C243:C246)</f>
        <v>7391</v>
      </c>
      <c r="D247" s="1384">
        <f t="shared" si="448"/>
        <v>6938</v>
      </c>
      <c r="E247" s="1384">
        <f t="shared" si="448"/>
        <v>1195</v>
      </c>
      <c r="F247" s="1384">
        <f t="shared" si="448"/>
        <v>5743</v>
      </c>
      <c r="G247" s="1384">
        <f t="shared" si="448"/>
        <v>1114</v>
      </c>
      <c r="H247" s="1384">
        <f t="shared" si="448"/>
        <v>5337</v>
      </c>
      <c r="I247" s="1384">
        <f t="shared" si="448"/>
        <v>453</v>
      </c>
      <c r="J247" s="1384">
        <f t="shared" si="448"/>
        <v>407</v>
      </c>
      <c r="K247" s="1384">
        <f t="shared" si="448"/>
        <v>1996767</v>
      </c>
      <c r="L247" s="1384">
        <f t="shared" si="448"/>
        <v>2068134</v>
      </c>
      <c r="M247" s="1384">
        <f t="shared" si="448"/>
        <v>574557</v>
      </c>
      <c r="N247" s="1384">
        <f t="shared" si="448"/>
        <v>89224</v>
      </c>
      <c r="O247" s="1384">
        <f t="shared" si="448"/>
        <v>8979</v>
      </c>
      <c r="P247" s="1384">
        <f t="shared" si="448"/>
        <v>1818</v>
      </c>
      <c r="Q247" s="1384">
        <f t="shared" si="448"/>
        <v>124</v>
      </c>
      <c r="R247" s="1384">
        <f t="shared" si="448"/>
        <v>717.20000000000016</v>
      </c>
      <c r="S247" s="1384">
        <f t="shared" si="448"/>
        <v>7704.8888888888887</v>
      </c>
      <c r="T247" s="1389">
        <f t="shared" si="448"/>
        <v>8548</v>
      </c>
      <c r="U247" s="1384">
        <f t="shared" si="448"/>
        <v>666030</v>
      </c>
      <c r="V247" s="1384">
        <f t="shared" si="448"/>
        <v>1311744</v>
      </c>
      <c r="W247" s="1384">
        <f t="shared" si="448"/>
        <v>39775</v>
      </c>
      <c r="X247" s="1384">
        <f t="shared" si="448"/>
        <v>156</v>
      </c>
      <c r="Y247" s="1384">
        <f t="shared" si="448"/>
        <v>60717.2</v>
      </c>
      <c r="Z247" s="1384">
        <f t="shared" si="448"/>
        <v>76739.900000000009</v>
      </c>
      <c r="AA247" s="1384">
        <f t="shared" si="448"/>
        <v>15578</v>
      </c>
      <c r="AB247" s="1389">
        <f t="shared" si="448"/>
        <v>22082</v>
      </c>
      <c r="AC247" s="1384">
        <f t="shared" si="448"/>
        <v>1329437</v>
      </c>
      <c r="AD247" s="1384">
        <f t="shared" si="448"/>
        <v>71367</v>
      </c>
      <c r="AE247" s="1384">
        <f t="shared" si="448"/>
        <v>1300</v>
      </c>
      <c r="AF247" s="1384">
        <f t="shared" si="448"/>
        <v>0</v>
      </c>
      <c r="AG247" s="1384">
        <f t="shared" si="448"/>
        <v>10049</v>
      </c>
      <c r="AH247" s="1384">
        <f t="shared" si="448"/>
        <v>2738</v>
      </c>
      <c r="AI247" s="1384">
        <f t="shared" si="448"/>
        <v>5547</v>
      </c>
      <c r="AJ247" s="1384">
        <f t="shared" si="448"/>
        <v>187232</v>
      </c>
      <c r="AK247" s="1384">
        <f t="shared" si="448"/>
        <v>110085</v>
      </c>
      <c r="AL247" s="1384">
        <f t="shared" si="448"/>
        <v>0</v>
      </c>
      <c r="AM247" s="1388"/>
      <c r="AN247" s="610"/>
      <c r="AO247" s="1382"/>
      <c r="AP247" s="1383" t="s">
        <v>40</v>
      </c>
      <c r="AQ247" s="1321">
        <f t="shared" ref="AQ247:AX247" si="449">SUM(AQ8,AQ57,AQ80,AQ121,AQ130,AQ132,AQ140,AQ34,AQ149,AQ220)</f>
        <v>9018</v>
      </c>
      <c r="AR247" s="1321">
        <f t="shared" si="449"/>
        <v>8412</v>
      </c>
      <c r="AS247" s="1321">
        <f t="shared" si="449"/>
        <v>1372</v>
      </c>
      <c r="AT247" s="1321">
        <f t="shared" si="449"/>
        <v>7040</v>
      </c>
      <c r="AU247" s="1321">
        <f t="shared" si="449"/>
        <v>1272</v>
      </c>
      <c r="AV247" s="1321">
        <f t="shared" si="449"/>
        <v>6647</v>
      </c>
      <c r="AW247" s="1321">
        <f t="shared" si="449"/>
        <v>606</v>
      </c>
      <c r="AX247" s="1321">
        <f t="shared" si="449"/>
        <v>488</v>
      </c>
      <c r="AY247" s="1384">
        <f t="shared" ref="AY247:BW247" si="450">SUM(AY8,AY57,AY80,AY121,AY130,AY132,AY140,AY150,AY186,AY199,AY202,AY220,AY234,AY235,AY236,AY239,AY243:AY246)</f>
        <v>1995005</v>
      </c>
      <c r="AZ247" s="1390">
        <f t="shared" si="450"/>
        <v>577817</v>
      </c>
      <c r="BA247" s="1384">
        <f t="shared" si="450"/>
        <v>91357</v>
      </c>
      <c r="BB247" s="1384">
        <f t="shared" si="450"/>
        <v>11279</v>
      </c>
      <c r="BC247" s="1384">
        <f t="shared" si="450"/>
        <v>2067</v>
      </c>
      <c r="BD247" s="1384">
        <f t="shared" si="450"/>
        <v>0</v>
      </c>
      <c r="BE247" s="1384">
        <f t="shared" si="450"/>
        <v>10241.999999999998</v>
      </c>
      <c r="BF247" s="1387">
        <f t="shared" si="450"/>
        <v>10246</v>
      </c>
      <c r="BG247" s="1384">
        <f t="shared" si="450"/>
        <v>672274</v>
      </c>
      <c r="BH247" s="1384">
        <f t="shared" si="450"/>
        <v>1110989</v>
      </c>
      <c r="BI247" s="1384">
        <f t="shared" si="450"/>
        <v>107452</v>
      </c>
      <c r="BJ247" s="1384">
        <f t="shared" si="450"/>
        <v>53515</v>
      </c>
      <c r="BK247" s="1384">
        <f t="shared" si="450"/>
        <v>0</v>
      </c>
      <c r="BL247" s="1384">
        <f t="shared" si="450"/>
        <v>18665.199999999997</v>
      </c>
      <c r="BM247" s="1387">
        <f t="shared" si="450"/>
        <v>18669</v>
      </c>
      <c r="BN247" s="1384">
        <f t="shared" si="450"/>
        <v>1253287</v>
      </c>
      <c r="BO247" s="1384">
        <f t="shared" si="450"/>
        <v>66329</v>
      </c>
      <c r="BP247" s="1384">
        <f t="shared" si="450"/>
        <v>3115</v>
      </c>
      <c r="BQ247" s="1384">
        <f t="shared" si="450"/>
        <v>1033389</v>
      </c>
      <c r="BR247" s="1384">
        <f t="shared" si="450"/>
        <v>2907</v>
      </c>
      <c r="BS247" s="1384">
        <f t="shared" si="450"/>
        <v>7138</v>
      </c>
      <c r="BT247" s="1384">
        <f t="shared" si="450"/>
        <v>10373</v>
      </c>
      <c r="BU247" s="1384">
        <f t="shared" si="450"/>
        <v>18696</v>
      </c>
      <c r="BV247" s="1384">
        <f t="shared" si="450"/>
        <v>30000</v>
      </c>
      <c r="BW247" s="1384">
        <f t="shared" si="450"/>
        <v>0</v>
      </c>
      <c r="BY247" s="732"/>
      <c r="BZ247" s="732"/>
      <c r="CA247" s="1348"/>
      <c r="CB247" s="1348" t="s">
        <v>40</v>
      </c>
      <c r="CC247" s="1348">
        <v>8427</v>
      </c>
      <c r="CD247" s="1348">
        <v>7928</v>
      </c>
      <c r="CE247" s="1348">
        <v>1193</v>
      </c>
      <c r="CF247" s="1348">
        <v>5633</v>
      </c>
      <c r="CG247" s="1348">
        <v>1144</v>
      </c>
      <c r="CH247" s="1348">
        <v>5408</v>
      </c>
      <c r="CI247" s="1348">
        <v>441</v>
      </c>
      <c r="CJ247" s="1348">
        <v>404</v>
      </c>
      <c r="CK247" s="1349">
        <v>1219017</v>
      </c>
      <c r="CL247" s="1349">
        <v>572275</v>
      </c>
      <c r="CM247" s="1350">
        <v>91407</v>
      </c>
      <c r="CN247" s="1350">
        <v>8909</v>
      </c>
      <c r="CO247" s="1350">
        <v>1834</v>
      </c>
      <c r="CP247" s="1350">
        <v>0</v>
      </c>
      <c r="CQ247" s="1350">
        <v>768.9000000000002</v>
      </c>
      <c r="CR247" s="1350">
        <v>7704.8888888888887</v>
      </c>
      <c r="CS247" s="1350">
        <v>8478</v>
      </c>
      <c r="CT247" s="1349">
        <v>665947</v>
      </c>
      <c r="CU247" s="1349">
        <v>513649</v>
      </c>
      <c r="CV247" s="1349">
        <v>40255</v>
      </c>
      <c r="CW247" s="1349">
        <v>0</v>
      </c>
      <c r="CX247" s="1349">
        <v>10765.5</v>
      </c>
      <c r="CY247" s="1349"/>
      <c r="CZ247" s="1349">
        <v>15620</v>
      </c>
      <c r="DA247" s="1349">
        <v>26389</v>
      </c>
      <c r="DB247" s="1349">
        <v>527515</v>
      </c>
      <c r="DC247" s="1349">
        <v>24255</v>
      </c>
      <c r="DD247" s="1349">
        <v>1300</v>
      </c>
      <c r="DE247" s="1349">
        <v>0</v>
      </c>
      <c r="DF247" s="1349">
        <v>1572</v>
      </c>
      <c r="DG247" s="1349">
        <v>2434</v>
      </c>
      <c r="DH247" s="1349">
        <v>2570</v>
      </c>
      <c r="DI247" s="1349">
        <v>0</v>
      </c>
      <c r="DJ247" s="1349">
        <v>0</v>
      </c>
      <c r="DK247" s="1349">
        <v>0</v>
      </c>
      <c r="DT247" s="1376"/>
      <c r="DU247" s="651" t="s">
        <v>40</v>
      </c>
      <c r="DV247" s="1384">
        <f t="shared" ref="DV247:EV247" si="451">SUM(DV8,DV57,DV80,DV121,DV130,DV132,DV140,DV150,DV186,DV199,DV202,DV220,DV234,DV235,DV236,DV239,DV243:DV246)</f>
        <v>243946</v>
      </c>
      <c r="DW247" s="1384">
        <f t="shared" si="451"/>
        <v>782</v>
      </c>
      <c r="DX247" s="1384">
        <f t="shared" si="451"/>
        <v>-2183</v>
      </c>
      <c r="DY247" s="1384">
        <f t="shared" si="451"/>
        <v>70</v>
      </c>
      <c r="DZ247" s="1384">
        <f t="shared" si="451"/>
        <v>-16</v>
      </c>
      <c r="EA247" s="1385">
        <f t="shared" si="451"/>
        <v>124</v>
      </c>
      <c r="EB247" s="1386">
        <f t="shared" si="451"/>
        <v>-52.5</v>
      </c>
      <c r="EC247" s="1387">
        <f t="shared" si="451"/>
        <v>0</v>
      </c>
      <c r="ED247" s="1388">
        <f t="shared" si="451"/>
        <v>70</v>
      </c>
      <c r="EE247" s="1384">
        <f t="shared" si="451"/>
        <v>-1417</v>
      </c>
      <c r="EF247" s="1384">
        <f t="shared" si="451"/>
        <v>194424</v>
      </c>
      <c r="EG247" s="1384">
        <f t="shared" si="451"/>
        <v>-480</v>
      </c>
      <c r="EH247" s="1385">
        <f t="shared" si="451"/>
        <v>156</v>
      </c>
      <c r="EI247" s="1386">
        <f t="shared" si="451"/>
        <v>9120.2000000000007</v>
      </c>
      <c r="EJ247" s="1389">
        <f t="shared" si="451"/>
        <v>9032.3000000000011</v>
      </c>
      <c r="EK247" s="1387">
        <f t="shared" si="451"/>
        <v>-42</v>
      </c>
      <c r="EL247" s="1388">
        <f t="shared" si="451"/>
        <v>-4307</v>
      </c>
      <c r="EM247" s="1387">
        <f t="shared" si="451"/>
        <v>198251</v>
      </c>
      <c r="EN247" s="1384">
        <f t="shared" si="451"/>
        <v>47112</v>
      </c>
      <c r="EO247" s="1384">
        <f t="shared" si="451"/>
        <v>0</v>
      </c>
      <c r="EP247" s="1386">
        <f t="shared" si="451"/>
        <v>0</v>
      </c>
      <c r="EQ247" s="1386">
        <f t="shared" si="451"/>
        <v>8477</v>
      </c>
      <c r="ER247" s="1386">
        <f t="shared" si="451"/>
        <v>304</v>
      </c>
      <c r="ES247" s="1386">
        <f t="shared" si="451"/>
        <v>2977</v>
      </c>
      <c r="ET247" s="1386">
        <f t="shared" si="451"/>
        <v>26414</v>
      </c>
      <c r="EU247" s="1386">
        <f t="shared" si="451"/>
        <v>36107</v>
      </c>
      <c r="EV247" s="1386">
        <f t="shared" si="451"/>
        <v>0</v>
      </c>
      <c r="EW247" s="856">
        <f>AJ247+AK247</f>
        <v>297317</v>
      </c>
    </row>
    <row r="248" spans="1:153" s="1557" customFormat="1" ht="45" customHeight="1">
      <c r="A248" s="3113" t="s">
        <v>690</v>
      </c>
      <c r="B248" s="3114"/>
      <c r="C248" s="1607">
        <f t="shared" ref="C248:J248" si="452">C8-C54-C55-C56+C57-C74+C80-C115-C116-C117-C118-C119-C120+C121+C130+C132+C140+C150+C186+C199+C202+C221+C236-C28</f>
        <v>7391</v>
      </c>
      <c r="D248" s="1607">
        <f t="shared" si="452"/>
        <v>6938</v>
      </c>
      <c r="E248" s="1607">
        <f t="shared" si="452"/>
        <v>1195</v>
      </c>
      <c r="F248" s="1607">
        <f t="shared" si="452"/>
        <v>5743</v>
      </c>
      <c r="G248" s="1607">
        <f t="shared" si="452"/>
        <v>1114</v>
      </c>
      <c r="H248" s="1607">
        <f t="shared" si="452"/>
        <v>5337</v>
      </c>
      <c r="I248" s="1607">
        <f t="shared" si="452"/>
        <v>453</v>
      </c>
      <c r="J248" s="1607">
        <f t="shared" si="452"/>
        <v>407</v>
      </c>
      <c r="K248" s="1607">
        <f t="shared" ref="K248:AK248" si="453">K8-K54-K55-K56+K57-K74+K80-K115-K116-K117-K118-K119-K120+K121+K130+K132+K140+K150+K186+K199+K202+K221+K236-K28-K79</f>
        <v>1197171</v>
      </c>
      <c r="L248" s="1607">
        <f t="shared" si="453"/>
        <v>1234283</v>
      </c>
      <c r="M248" s="1607">
        <f t="shared" si="453"/>
        <v>574557</v>
      </c>
      <c r="N248" s="1607">
        <f t="shared" si="453"/>
        <v>89224</v>
      </c>
      <c r="O248" s="1607">
        <f t="shared" si="453"/>
        <v>8979</v>
      </c>
      <c r="P248" s="1607">
        <f t="shared" si="453"/>
        <v>1818</v>
      </c>
      <c r="Q248" s="1607">
        <f t="shared" si="453"/>
        <v>124</v>
      </c>
      <c r="R248" s="1607">
        <f t="shared" si="453"/>
        <v>717.20000000000016</v>
      </c>
      <c r="S248" s="1607">
        <f t="shared" si="453"/>
        <v>7704.8888888888887</v>
      </c>
      <c r="T248" s="1607">
        <f t="shared" si="453"/>
        <v>8548</v>
      </c>
      <c r="U248" s="1607">
        <f t="shared" si="453"/>
        <v>666030</v>
      </c>
      <c r="V248" s="1607">
        <f t="shared" si="453"/>
        <v>512148</v>
      </c>
      <c r="W248" s="1607">
        <f t="shared" si="453"/>
        <v>39775</v>
      </c>
      <c r="X248" s="1607">
        <f t="shared" si="453"/>
        <v>156</v>
      </c>
      <c r="Y248" s="1607">
        <f t="shared" si="453"/>
        <v>6344.9999999999982</v>
      </c>
      <c r="Z248" s="1607">
        <f t="shared" si="453"/>
        <v>22367.699999999993</v>
      </c>
      <c r="AA248" s="1607">
        <f t="shared" si="453"/>
        <v>15578</v>
      </c>
      <c r="AB248" s="1607">
        <f t="shared" si="453"/>
        <v>22082</v>
      </c>
      <c r="AC248" s="1607">
        <f t="shared" si="453"/>
        <v>529841</v>
      </c>
      <c r="AD248" s="1607">
        <f t="shared" si="453"/>
        <v>37112</v>
      </c>
      <c r="AE248" s="1607">
        <f t="shared" si="453"/>
        <v>1300</v>
      </c>
      <c r="AF248" s="1607">
        <f t="shared" si="453"/>
        <v>0</v>
      </c>
      <c r="AG248" s="1607">
        <f t="shared" si="453"/>
        <v>10049</v>
      </c>
      <c r="AH248" s="1607">
        <f t="shared" si="453"/>
        <v>2738</v>
      </c>
      <c r="AI248" s="1607">
        <f t="shared" si="453"/>
        <v>5547</v>
      </c>
      <c r="AJ248" s="1607">
        <f t="shared" si="453"/>
        <v>53319</v>
      </c>
      <c r="AK248" s="1607">
        <f t="shared" si="453"/>
        <v>110085</v>
      </c>
      <c r="AL248" s="1607">
        <f>AL8-AL54-AL55-AL56+AL57-AL74+AL80-AL115-AL116-AL117-AL118-AL119-AL120+AL121+AL130+AL132+AL140+AL150+AL186+AL199+AL202+AL221+AL236-AL28</f>
        <v>0</v>
      </c>
      <c r="AM248" s="1607" t="e">
        <f>AM8-AM54-AM55-AM56+AM57-AM74+AM80-AM115-AM116-AM117-AM118-AM119-AM120+AM121+AM130+AM132+AM140+AM150+AM186+AM199+AM202+AM221+AM236</f>
        <v>#REF!</v>
      </c>
      <c r="AN248" s="759"/>
      <c r="AO248" s="3115" t="s">
        <v>691</v>
      </c>
      <c r="AP248" s="3115"/>
      <c r="AQ248" s="1607">
        <f t="shared" ref="AQ248:AX248" si="454">AQ8-AQ29-AQ54+AQ57-AQ74+AQ80-(AQ115+AQ116+AQ117+AQ119+AQ120)+AQ121+AQ130+AQ132+AQ140+AQ34+AQ149+AQ220-AQ232-AQ233+AQ236</f>
        <v>9018</v>
      </c>
      <c r="AR248" s="1607">
        <f t="shared" si="454"/>
        <v>8412</v>
      </c>
      <c r="AS248" s="1607">
        <f t="shared" si="454"/>
        <v>1372</v>
      </c>
      <c r="AT248" s="1607">
        <f t="shared" si="454"/>
        <v>7040</v>
      </c>
      <c r="AU248" s="1607">
        <f t="shared" si="454"/>
        <v>1272</v>
      </c>
      <c r="AV248" s="1607">
        <f t="shared" si="454"/>
        <v>6647</v>
      </c>
      <c r="AW248" s="1608">
        <f t="shared" si="454"/>
        <v>606</v>
      </c>
      <c r="AX248" s="1607">
        <f t="shared" si="454"/>
        <v>488</v>
      </c>
      <c r="AY248" s="1607">
        <f t="shared" ref="AY248:BW248" si="455">AY8-AY54-AY55-AY56+AY57-AY74+AY80-AY115-AY116-AY117-AY118-AY119-AY120+AY121+AY130+AY132+AY140+AY150+AY186+AY199+AY202+AY221+AY236-AY28</f>
        <v>1185082</v>
      </c>
      <c r="AZ248" s="1609">
        <f t="shared" si="455"/>
        <v>577817</v>
      </c>
      <c r="BA248" s="1607">
        <f t="shared" si="455"/>
        <v>91357</v>
      </c>
      <c r="BB248" s="1607">
        <f t="shared" si="455"/>
        <v>11279</v>
      </c>
      <c r="BC248" s="1607">
        <f t="shared" si="455"/>
        <v>2067</v>
      </c>
      <c r="BD248" s="1607">
        <f t="shared" si="455"/>
        <v>0</v>
      </c>
      <c r="BE248" s="1607">
        <f t="shared" si="455"/>
        <v>10241.999999999998</v>
      </c>
      <c r="BF248" s="1610">
        <f t="shared" si="455"/>
        <v>10246</v>
      </c>
      <c r="BG248" s="1607">
        <f t="shared" si="455"/>
        <v>672274</v>
      </c>
      <c r="BH248" s="1607">
        <f t="shared" si="455"/>
        <v>403226</v>
      </c>
      <c r="BI248" s="1607">
        <f t="shared" si="455"/>
        <v>40765</v>
      </c>
      <c r="BJ248" s="1607">
        <f t="shared" si="455"/>
        <v>53515</v>
      </c>
      <c r="BK248" s="1607">
        <f t="shared" si="455"/>
        <v>0</v>
      </c>
      <c r="BL248" s="1607">
        <f t="shared" si="455"/>
        <v>18665.199999999997</v>
      </c>
      <c r="BM248" s="1610">
        <f t="shared" si="455"/>
        <v>18669</v>
      </c>
      <c r="BN248" s="1607">
        <f t="shared" si="455"/>
        <v>478837</v>
      </c>
      <c r="BO248" s="1607">
        <f t="shared" si="455"/>
        <v>30856</v>
      </c>
      <c r="BP248" s="1607">
        <f t="shared" si="455"/>
        <v>3115</v>
      </c>
      <c r="BQ248" s="1607">
        <f t="shared" si="455"/>
        <v>1031369</v>
      </c>
      <c r="BR248" s="1607">
        <f t="shared" si="455"/>
        <v>2907</v>
      </c>
      <c r="BS248" s="1607">
        <f t="shared" si="455"/>
        <v>7138</v>
      </c>
      <c r="BT248" s="1607">
        <f t="shared" si="455"/>
        <v>10373</v>
      </c>
      <c r="BU248" s="1607">
        <f t="shared" si="455"/>
        <v>16239</v>
      </c>
      <c r="BV248" s="1607">
        <f t="shared" si="455"/>
        <v>30000</v>
      </c>
      <c r="BW248" s="1607">
        <f t="shared" si="455"/>
        <v>0</v>
      </c>
      <c r="BY248" s="1558"/>
      <c r="BZ248" s="1558"/>
      <c r="CA248" s="1611" t="s">
        <v>690</v>
      </c>
      <c r="CB248" s="1611"/>
      <c r="CC248" s="1611">
        <v>8427</v>
      </c>
      <c r="CD248" s="1611">
        <v>7928</v>
      </c>
      <c r="CE248" s="1611">
        <v>1193</v>
      </c>
      <c r="CF248" s="1611">
        <v>5633</v>
      </c>
      <c r="CG248" s="1611">
        <v>1144</v>
      </c>
      <c r="CH248" s="1611">
        <v>5408</v>
      </c>
      <c r="CI248" s="1611">
        <v>441</v>
      </c>
      <c r="CJ248" s="1611">
        <v>404</v>
      </c>
      <c r="CK248" s="1612">
        <v>1219017</v>
      </c>
      <c r="CL248" s="1612">
        <v>572275</v>
      </c>
      <c r="CM248" s="1613">
        <v>91407</v>
      </c>
      <c r="CN248" s="1613">
        <v>8909</v>
      </c>
      <c r="CO248" s="1613">
        <v>1834</v>
      </c>
      <c r="CP248" s="1613">
        <v>0</v>
      </c>
      <c r="CQ248" s="1613">
        <v>768.9000000000002</v>
      </c>
      <c r="CR248" s="1613">
        <v>7704.8888888888887</v>
      </c>
      <c r="CS248" s="1613">
        <v>8478</v>
      </c>
      <c r="CT248" s="1612">
        <v>665947</v>
      </c>
      <c r="CU248" s="1612">
        <v>513649</v>
      </c>
      <c r="CV248" s="1612">
        <v>40255</v>
      </c>
      <c r="CW248" s="1612">
        <v>0</v>
      </c>
      <c r="CX248" s="1612">
        <v>10765.5</v>
      </c>
      <c r="CY248" s="1612"/>
      <c r="CZ248" s="1612">
        <v>15620</v>
      </c>
      <c r="DA248" s="1612">
        <v>26389</v>
      </c>
      <c r="DB248" s="1612">
        <v>527515</v>
      </c>
      <c r="DC248" s="1612">
        <v>24255</v>
      </c>
      <c r="DD248" s="1612">
        <v>1300</v>
      </c>
      <c r="DE248" s="1612">
        <v>0</v>
      </c>
      <c r="DF248" s="1612">
        <v>1572</v>
      </c>
      <c r="DG248" s="1612">
        <v>2434</v>
      </c>
      <c r="DH248" s="1612">
        <v>2570</v>
      </c>
      <c r="DI248" s="1612">
        <v>0</v>
      </c>
      <c r="DJ248" s="1612">
        <v>0</v>
      </c>
      <c r="DK248" s="1612">
        <v>0</v>
      </c>
      <c r="DT248" s="3116" t="s">
        <v>892</v>
      </c>
      <c r="DU248" s="3116"/>
      <c r="DV248" s="1607">
        <f t="shared" ref="DV248:EV248" si="456">DV8-DV54-DV55-DV56+DV57-DV74+DV80-DV115-DV116-DV117-DV118-DV119-DV120+DV121+DV130+DV132+DV140+DV150+DV186+DV199+DV202+DV221+DV236-DV28</f>
        <v>15253</v>
      </c>
      <c r="DW248" s="1607">
        <f t="shared" si="456"/>
        <v>782</v>
      </c>
      <c r="DX248" s="1607">
        <f t="shared" si="456"/>
        <v>-2183</v>
      </c>
      <c r="DY248" s="1607">
        <f t="shared" si="456"/>
        <v>70</v>
      </c>
      <c r="DZ248" s="1607">
        <f t="shared" si="456"/>
        <v>-16</v>
      </c>
      <c r="EA248" s="1614">
        <f t="shared" si="456"/>
        <v>124</v>
      </c>
      <c r="EB248" s="1615">
        <f t="shared" si="456"/>
        <v>-52.5</v>
      </c>
      <c r="EC248" s="1610">
        <f t="shared" si="456"/>
        <v>0</v>
      </c>
      <c r="ED248" s="1616">
        <f t="shared" si="456"/>
        <v>70</v>
      </c>
      <c r="EE248" s="1607">
        <f t="shared" si="456"/>
        <v>-1417</v>
      </c>
      <c r="EF248" s="1607">
        <f t="shared" si="456"/>
        <v>-14</v>
      </c>
      <c r="EG248" s="1607">
        <f t="shared" si="456"/>
        <v>-480</v>
      </c>
      <c r="EH248" s="1614">
        <f t="shared" si="456"/>
        <v>156</v>
      </c>
      <c r="EI248" s="1615">
        <f t="shared" si="456"/>
        <v>-4420.5</v>
      </c>
      <c r="EJ248" s="1617">
        <f t="shared" si="456"/>
        <v>-4508.3999999999996</v>
      </c>
      <c r="EK248" s="1610">
        <f t="shared" si="456"/>
        <v>-42</v>
      </c>
      <c r="EL248" s="1616">
        <f t="shared" si="456"/>
        <v>-4307</v>
      </c>
      <c r="EM248" s="1607">
        <f t="shared" si="456"/>
        <v>3813</v>
      </c>
      <c r="EN248" s="1607">
        <f t="shared" si="456"/>
        <v>12857</v>
      </c>
      <c r="EO248" s="1607">
        <f t="shared" si="456"/>
        <v>0</v>
      </c>
      <c r="EP248" s="1615">
        <f t="shared" si="456"/>
        <v>0</v>
      </c>
      <c r="EQ248" s="1615">
        <f t="shared" si="456"/>
        <v>8477</v>
      </c>
      <c r="ER248" s="1615">
        <f t="shared" si="456"/>
        <v>304</v>
      </c>
      <c r="ES248" s="1615">
        <f t="shared" si="456"/>
        <v>2977</v>
      </c>
      <c r="ET248" s="1615">
        <f t="shared" si="456"/>
        <v>24075</v>
      </c>
      <c r="EU248" s="1615">
        <f t="shared" si="456"/>
        <v>36107</v>
      </c>
      <c r="EV248" s="1615">
        <f t="shared" si="456"/>
        <v>0</v>
      </c>
    </row>
    <row r="249" spans="1:153" s="614" customFormat="1" ht="30.75" customHeight="1">
      <c r="A249" s="848"/>
      <c r="B249" s="848"/>
      <c r="C249" s="849"/>
      <c r="D249" s="849"/>
      <c r="E249" s="849"/>
      <c r="F249" s="849"/>
      <c r="G249" s="849"/>
      <c r="H249" s="849"/>
      <c r="I249" s="1428"/>
      <c r="J249" s="849"/>
      <c r="K249" s="849"/>
      <c r="L249" s="1735">
        <f>L247-L243-L244-L245</f>
        <v>2009103</v>
      </c>
      <c r="M249" s="849"/>
      <c r="N249" s="849"/>
      <c r="O249" s="849"/>
      <c r="P249" s="849"/>
      <c r="Q249" s="849"/>
      <c r="R249" s="849"/>
      <c r="S249" s="849"/>
      <c r="T249" s="849"/>
      <c r="U249" s="849"/>
      <c r="V249" s="849"/>
      <c r="W249" s="849"/>
      <c r="X249" s="849"/>
      <c r="Y249" s="849"/>
      <c r="Z249" s="849"/>
      <c r="AA249" s="849"/>
      <c r="AB249" s="849"/>
      <c r="AC249" s="849"/>
      <c r="AD249" s="849">
        <f>AD248-AD237</f>
        <v>36923</v>
      </c>
      <c r="AE249" s="849"/>
      <c r="AF249" s="849"/>
      <c r="AG249" s="849"/>
      <c r="AH249" s="849"/>
      <c r="AI249" s="849"/>
      <c r="AJ249" s="849"/>
      <c r="AK249" s="849">
        <v>110085</v>
      </c>
      <c r="AL249" s="853"/>
      <c r="AM249" s="849"/>
      <c r="AN249" s="610"/>
      <c r="AO249" s="848"/>
      <c r="AP249" s="848"/>
      <c r="AQ249" s="849"/>
      <c r="AR249" s="849"/>
      <c r="AS249" s="849"/>
      <c r="AT249" s="849"/>
      <c r="AU249" s="849"/>
      <c r="AV249" s="849"/>
      <c r="AW249" s="1319"/>
      <c r="AX249" s="849"/>
      <c r="AY249" s="849"/>
      <c r="AZ249" s="854"/>
      <c r="BA249" s="849"/>
      <c r="BB249" s="849"/>
      <c r="BC249" s="849"/>
      <c r="BD249" s="849"/>
      <c r="BE249" s="849"/>
      <c r="BF249" s="851"/>
      <c r="BG249" s="849"/>
      <c r="BH249" s="849"/>
      <c r="BI249" s="849"/>
      <c r="BJ249" s="849"/>
      <c r="BK249" s="849"/>
      <c r="BL249" s="849"/>
      <c r="BM249" s="851"/>
      <c r="BN249" s="849"/>
      <c r="BO249" s="849"/>
      <c r="BP249" s="849"/>
      <c r="BQ249" s="849"/>
      <c r="BR249" s="849"/>
      <c r="BS249" s="849"/>
      <c r="BT249" s="849"/>
      <c r="BU249" s="849"/>
      <c r="BV249" s="849"/>
      <c r="BW249" s="849"/>
      <c r="BY249" s="732"/>
      <c r="BZ249" s="732"/>
      <c r="CA249" s="1327"/>
      <c r="CB249" s="1327"/>
      <c r="CC249" s="1327"/>
      <c r="CD249" s="1327"/>
      <c r="CE249" s="1327"/>
      <c r="CF249" s="1327"/>
      <c r="CG249" s="1327"/>
      <c r="CH249" s="1327"/>
      <c r="CI249" s="1327"/>
      <c r="CJ249" s="1327"/>
      <c r="CK249" s="1328"/>
      <c r="CL249" s="1328"/>
      <c r="CM249" s="1329"/>
      <c r="CN249" s="1329"/>
      <c r="CO249" s="1329"/>
      <c r="CP249" s="1329"/>
      <c r="CQ249" s="1329"/>
      <c r="CR249" s="1329"/>
      <c r="CS249" s="1329"/>
      <c r="CT249" s="1328"/>
      <c r="CU249" s="1328"/>
      <c r="CV249" s="1328"/>
      <c r="CW249" s="1328"/>
      <c r="CX249" s="1328"/>
      <c r="CY249" s="1328"/>
      <c r="CZ249" s="1328"/>
      <c r="DA249" s="1328"/>
      <c r="DB249" s="1328"/>
      <c r="DC249" s="1328"/>
      <c r="DD249" s="1328"/>
      <c r="DE249" s="1328"/>
      <c r="DF249" s="1328"/>
      <c r="DG249" s="1328"/>
      <c r="DH249" s="1328"/>
      <c r="DI249" s="1328"/>
      <c r="DJ249" s="1328"/>
      <c r="DK249" s="1328"/>
    </row>
    <row r="250" spans="1:153" s="614" customFormat="1" ht="30.75" customHeight="1">
      <c r="A250" s="848"/>
      <c r="B250" s="848"/>
      <c r="C250" s="849"/>
      <c r="D250" s="849"/>
      <c r="E250" s="849"/>
      <c r="F250" s="849"/>
      <c r="G250" s="849"/>
      <c r="H250" s="849"/>
      <c r="I250" s="1428"/>
      <c r="J250" s="849"/>
      <c r="K250" s="849"/>
      <c r="L250" s="1736">
        <v>2009103</v>
      </c>
      <c r="M250" s="849"/>
      <c r="N250" s="849"/>
      <c r="O250" s="849"/>
      <c r="P250" s="849"/>
      <c r="Q250" s="849"/>
      <c r="R250" s="849"/>
      <c r="S250" s="849"/>
      <c r="T250" s="849"/>
      <c r="U250" s="849"/>
      <c r="V250" s="849"/>
      <c r="W250" s="849"/>
      <c r="X250" s="849"/>
      <c r="Y250" s="1499"/>
      <c r="Z250" s="849"/>
      <c r="AA250" s="849"/>
      <c r="AB250" s="849"/>
      <c r="AC250" s="849"/>
      <c r="AD250" s="849">
        <f>AD248-AD236</f>
        <v>36923</v>
      </c>
      <c r="AE250" s="849"/>
      <c r="AF250" s="849"/>
      <c r="AG250" s="849"/>
      <c r="AH250" s="849"/>
      <c r="AI250" s="849"/>
      <c r="AJ250" s="849"/>
      <c r="AK250" s="849"/>
      <c r="AL250" s="853"/>
      <c r="AM250" s="849"/>
      <c r="AN250" s="610"/>
      <c r="AO250" s="608"/>
      <c r="AP250" s="612"/>
      <c r="AQ250" s="612"/>
      <c r="AZ250" s="615"/>
      <c r="BG250" s="856">
        <f>AZ248+BA248+BB248+BC248-BF248</f>
        <v>672274</v>
      </c>
      <c r="BY250" s="732"/>
      <c r="BZ250" s="732"/>
      <c r="CA250" s="1327"/>
      <c r="CB250" s="1327"/>
      <c r="CC250" s="1327"/>
      <c r="CD250" s="1327"/>
      <c r="CE250" s="1327"/>
      <c r="CF250" s="1327"/>
      <c r="CG250" s="1327"/>
      <c r="CH250" s="1327"/>
      <c r="CI250" s="1327"/>
      <c r="CJ250" s="1327"/>
      <c r="CK250" s="1328"/>
      <c r="CL250" s="1328"/>
      <c r="CM250" s="1329"/>
      <c r="CN250" s="1329"/>
      <c r="CO250" s="1329"/>
      <c r="CP250" s="1329"/>
      <c r="CQ250" s="1329"/>
      <c r="CR250" s="1329"/>
      <c r="CS250" s="1329"/>
      <c r="CT250" s="1328"/>
      <c r="CU250" s="1328"/>
      <c r="CV250" s="1328"/>
      <c r="CW250" s="1328"/>
      <c r="CX250" s="1328"/>
      <c r="CY250" s="1328"/>
      <c r="CZ250" s="1328"/>
      <c r="DA250" s="1328"/>
      <c r="DB250" s="1328"/>
      <c r="DC250" s="1328"/>
      <c r="DD250" s="1328"/>
      <c r="DE250" s="1328"/>
      <c r="DF250" s="1328"/>
      <c r="DG250" s="1328"/>
      <c r="DH250" s="1328"/>
      <c r="DI250" s="1328"/>
      <c r="DJ250" s="1328"/>
      <c r="DK250" s="1328"/>
    </row>
    <row r="251" spans="1:153" s="614" customFormat="1" ht="30.75" customHeight="1">
      <c r="A251" s="848"/>
      <c r="B251" s="848"/>
      <c r="C251" s="849"/>
      <c r="D251" s="849"/>
      <c r="E251" s="849"/>
      <c r="F251" s="849"/>
      <c r="G251" s="849"/>
      <c r="H251" s="849"/>
      <c r="I251" s="1542"/>
      <c r="J251" s="849"/>
      <c r="K251" s="849"/>
      <c r="L251" s="849">
        <v>1898123</v>
      </c>
      <c r="M251" s="849"/>
      <c r="N251" s="849"/>
      <c r="O251" s="849"/>
      <c r="P251" s="849"/>
      <c r="Q251" s="849"/>
      <c r="R251" s="849"/>
      <c r="S251" s="849"/>
      <c r="T251" s="849">
        <f>T247+AB247</f>
        <v>30630</v>
      </c>
      <c r="U251" s="849"/>
      <c r="V251" s="849"/>
      <c r="W251" s="849"/>
      <c r="X251" s="849"/>
      <c r="Y251" s="849"/>
      <c r="Z251" s="849"/>
      <c r="AA251" s="849"/>
      <c r="AB251" s="849"/>
      <c r="AC251" s="849"/>
      <c r="AD251" s="849">
        <f>AD247-AD248</f>
        <v>34255</v>
      </c>
      <c r="AE251" s="849"/>
      <c r="AF251" s="849"/>
      <c r="AG251" s="849"/>
      <c r="AH251" s="849"/>
      <c r="AI251" s="849"/>
      <c r="AJ251" s="849"/>
      <c r="AK251" s="849"/>
      <c r="AL251" s="853"/>
      <c r="AM251" s="849"/>
      <c r="AN251" s="610"/>
      <c r="AO251" s="608"/>
      <c r="AP251" s="612"/>
      <c r="AQ251" s="612"/>
      <c r="AZ251" s="615"/>
      <c r="BG251" s="856"/>
      <c r="BY251" s="732"/>
      <c r="BZ251" s="732"/>
      <c r="CA251" s="1327"/>
      <c r="CB251" s="1327"/>
      <c r="CC251" s="1327"/>
      <c r="CD251" s="1327"/>
      <c r="CE251" s="1327"/>
      <c r="CF251" s="1327"/>
      <c r="CG251" s="1327"/>
      <c r="CH251" s="1327"/>
      <c r="CI251" s="1327"/>
      <c r="CJ251" s="1327"/>
      <c r="CK251" s="1328"/>
      <c r="CL251" s="1328"/>
      <c r="CM251" s="1329"/>
      <c r="CN251" s="1329"/>
      <c r="CO251" s="1329"/>
      <c r="CP251" s="1329"/>
      <c r="CQ251" s="1329"/>
      <c r="CR251" s="1329"/>
      <c r="CS251" s="1329"/>
      <c r="CT251" s="1328"/>
      <c r="CU251" s="1328"/>
      <c r="CV251" s="1328"/>
      <c r="CW251" s="1328"/>
      <c r="CX251" s="1328"/>
      <c r="CY251" s="1328"/>
      <c r="CZ251" s="1328"/>
      <c r="DA251" s="1328"/>
      <c r="DB251" s="1328"/>
      <c r="DC251" s="1328"/>
      <c r="DD251" s="1328"/>
      <c r="DE251" s="1328"/>
      <c r="DF251" s="1328"/>
      <c r="DG251" s="1328"/>
      <c r="DH251" s="1328"/>
      <c r="DI251" s="1328"/>
      <c r="DJ251" s="1328"/>
      <c r="DK251" s="1328"/>
    </row>
    <row r="252" spans="1:153" s="831" customFormat="1" ht="26.25" customHeight="1">
      <c r="B252" s="1674" t="s">
        <v>991</v>
      </c>
      <c r="C252" s="1674"/>
      <c r="D252" s="1674"/>
      <c r="E252" s="1674"/>
      <c r="F252" s="1675"/>
      <c r="G252" s="1675"/>
      <c r="H252" s="1675"/>
      <c r="I252" s="1675"/>
      <c r="J252" s="849">
        <f>L252-K252</f>
        <v>51949</v>
      </c>
      <c r="K252" s="849">
        <f>L243+L244</f>
        <v>59031</v>
      </c>
      <c r="L252" s="849">
        <f>L250-L251</f>
        <v>110980</v>
      </c>
      <c r="M252" s="849"/>
      <c r="N252" s="849"/>
      <c r="O252" s="849"/>
      <c r="P252" s="849"/>
      <c r="Q252" s="849"/>
      <c r="R252" s="849"/>
      <c r="S252" s="849"/>
      <c r="T252" s="849"/>
      <c r="U252" s="849"/>
      <c r="V252" s="849"/>
      <c r="W252" s="849"/>
      <c r="X252" s="849"/>
      <c r="Y252" s="849"/>
      <c r="Z252" s="849"/>
      <c r="AA252" s="849"/>
      <c r="AB252" s="849"/>
      <c r="AC252" s="849"/>
      <c r="AD252" s="849"/>
      <c r="AE252" s="849"/>
      <c r="AF252" s="849"/>
      <c r="AG252" s="849"/>
      <c r="AH252" s="849"/>
      <c r="AI252" s="849"/>
      <c r="AJ252" s="849"/>
      <c r="AK252" s="849"/>
      <c r="AL252" s="853"/>
      <c r="AM252" s="849"/>
      <c r="AN252" s="857"/>
      <c r="AO252" s="858"/>
      <c r="AP252" s="830"/>
      <c r="AQ252" s="830"/>
      <c r="AZ252" s="859"/>
      <c r="BY252" s="1381"/>
      <c r="BZ252" s="1381"/>
      <c r="CA252" s="1391"/>
      <c r="CB252" s="1391"/>
      <c r="CC252" s="1391"/>
      <c r="CD252" s="1391"/>
      <c r="CE252" s="1391"/>
      <c r="CF252" s="1391"/>
      <c r="CG252" s="1391"/>
      <c r="CH252" s="1391"/>
      <c r="CI252" s="1391"/>
      <c r="CJ252" s="1391"/>
      <c r="CK252" s="1392"/>
      <c r="CL252" s="1392"/>
      <c r="CM252" s="1393"/>
      <c r="CN252" s="1393"/>
      <c r="CO252" s="1393"/>
      <c r="CP252" s="1393"/>
      <c r="CQ252" s="1393"/>
      <c r="CR252" s="1393"/>
      <c r="CS252" s="1393"/>
      <c r="CT252" s="1392"/>
      <c r="CU252" s="1392"/>
      <c r="CV252" s="1392"/>
      <c r="CW252" s="1392"/>
      <c r="CX252" s="1392"/>
      <c r="CY252" s="1392"/>
      <c r="CZ252" s="1392"/>
      <c r="DA252" s="1392"/>
      <c r="DB252" s="1392"/>
      <c r="DC252" s="1392"/>
      <c r="DD252" s="1392"/>
      <c r="DE252" s="1392"/>
      <c r="DF252" s="1392"/>
      <c r="DG252" s="1392"/>
      <c r="DH252" s="1392"/>
      <c r="DI252" s="1392"/>
      <c r="DJ252" s="1392"/>
      <c r="DK252" s="1392"/>
    </row>
    <row r="253" spans="1:153" s="831" customFormat="1" ht="26.25" customHeight="1">
      <c r="A253" s="1621"/>
      <c r="B253" s="3107" t="s">
        <v>992</v>
      </c>
      <c r="C253" s="3107"/>
      <c r="D253" s="3107"/>
      <c r="E253" s="3107"/>
      <c r="F253" s="3107"/>
      <c r="G253" s="3107"/>
      <c r="H253" s="3107"/>
      <c r="I253" s="3107"/>
      <c r="J253" s="849"/>
      <c r="K253" s="849">
        <f>L252-K252</f>
        <v>51949</v>
      </c>
      <c r="L253" s="852">
        <f>L252+L243+L244</f>
        <v>170011</v>
      </c>
      <c r="M253" s="849"/>
      <c r="N253" s="849"/>
      <c r="O253" s="849"/>
      <c r="P253" s="849"/>
      <c r="Q253" s="849"/>
      <c r="R253" s="849"/>
      <c r="S253" s="849"/>
      <c r="T253" s="849"/>
      <c r="U253" s="849"/>
      <c r="V253" s="849"/>
      <c r="W253" s="849"/>
      <c r="X253" s="849"/>
      <c r="Y253" s="849"/>
      <c r="Z253" s="849"/>
      <c r="AA253" s="849"/>
      <c r="AB253" s="849"/>
      <c r="AC253" s="849"/>
      <c r="AD253" s="849"/>
      <c r="AE253" s="849"/>
      <c r="AF253" s="849"/>
      <c r="AG253" s="849"/>
      <c r="AH253" s="849"/>
      <c r="AI253" s="849"/>
      <c r="AJ253" s="849"/>
      <c r="AK253" s="849"/>
      <c r="AL253" s="853"/>
      <c r="AM253" s="849"/>
      <c r="AN253" s="857"/>
      <c r="AO253" s="858"/>
      <c r="AP253" s="830"/>
      <c r="AQ253" s="830"/>
      <c r="AZ253" s="859"/>
      <c r="BY253" s="1381"/>
      <c r="BZ253" s="1381"/>
      <c r="CA253" s="1391"/>
      <c r="CB253" s="1391"/>
      <c r="CC253" s="1391"/>
      <c r="CD253" s="1391"/>
      <c r="CE253" s="1391"/>
      <c r="CF253" s="1391"/>
      <c r="CG253" s="1391"/>
      <c r="CH253" s="1391"/>
      <c r="CI253" s="1391"/>
      <c r="CJ253" s="1391"/>
      <c r="CK253" s="1392"/>
      <c r="CL253" s="1392"/>
      <c r="CM253" s="1393"/>
      <c r="CN253" s="1393"/>
      <c r="CO253" s="1393"/>
      <c r="CP253" s="1393"/>
      <c r="CQ253" s="1393"/>
      <c r="CR253" s="1393"/>
      <c r="CS253" s="1393"/>
      <c r="CT253" s="1392"/>
      <c r="CU253" s="1392"/>
      <c r="CV253" s="1392"/>
      <c r="CW253" s="1392"/>
      <c r="CX253" s="1392"/>
      <c r="CY253" s="1392"/>
      <c r="CZ253" s="1392"/>
      <c r="DA253" s="1392"/>
      <c r="DB253" s="1392"/>
      <c r="DC253" s="1392"/>
      <c r="DD253" s="1392"/>
      <c r="DE253" s="1392"/>
      <c r="DF253" s="1392"/>
      <c r="DG253" s="1392"/>
      <c r="DH253" s="1392"/>
      <c r="DI253" s="1392"/>
      <c r="DJ253" s="1392"/>
      <c r="DK253" s="1392"/>
    </row>
    <row r="254" spans="1:153" s="797" customFormat="1" ht="26.25" customHeight="1">
      <c r="A254" s="879"/>
      <c r="B254" s="1394" t="s">
        <v>693</v>
      </c>
      <c r="C254" s="781"/>
      <c r="D254" s="781"/>
      <c r="E254" s="781"/>
      <c r="F254" s="781"/>
      <c r="G254" s="781"/>
      <c r="H254" s="781"/>
      <c r="I254" s="1395"/>
      <c r="J254" s="781"/>
      <c r="K254" s="781"/>
      <c r="L254" s="781"/>
      <c r="M254" s="781"/>
      <c r="N254" s="781"/>
      <c r="O254" s="781"/>
      <c r="P254" s="781"/>
      <c r="Q254" s="781"/>
      <c r="R254" s="781"/>
      <c r="S254" s="781"/>
      <c r="T254" s="781"/>
      <c r="U254" s="781"/>
      <c r="V254" s="781"/>
      <c r="W254" s="781"/>
      <c r="X254" s="781"/>
      <c r="Y254" s="781"/>
      <c r="Z254" s="781"/>
      <c r="AA254" s="781"/>
      <c r="AB254" s="781"/>
      <c r="AC254" s="781"/>
      <c r="AD254" s="781"/>
      <c r="AE254" s="781"/>
      <c r="AF254" s="781"/>
      <c r="AG254" s="781"/>
      <c r="AH254" s="781"/>
      <c r="AI254" s="781"/>
      <c r="AJ254" s="781"/>
      <c r="AK254" s="781"/>
      <c r="AL254" s="883"/>
      <c r="AM254" s="781"/>
      <c r="AN254" s="1396"/>
      <c r="AO254" s="1397"/>
      <c r="AP254" s="884"/>
      <c r="AQ254" s="884"/>
      <c r="AZ254" s="886"/>
      <c r="BY254" s="1378"/>
      <c r="BZ254" s="1378"/>
      <c r="CA254" s="1398"/>
      <c r="CB254" s="1398"/>
      <c r="CC254" s="1398"/>
      <c r="CD254" s="1398"/>
      <c r="CE254" s="1398"/>
      <c r="CF254" s="1398"/>
      <c r="CG254" s="1398"/>
      <c r="CH254" s="1398"/>
      <c r="CI254" s="1398"/>
      <c r="CJ254" s="1398"/>
      <c r="CK254" s="1399"/>
      <c r="CL254" s="1399"/>
      <c r="CM254" s="1400"/>
      <c r="CN254" s="1400"/>
      <c r="CO254" s="1400"/>
      <c r="CP254" s="1400"/>
      <c r="CQ254" s="1400"/>
      <c r="CR254" s="1400"/>
      <c r="CS254" s="1400"/>
      <c r="CT254" s="1399"/>
      <c r="CU254" s="1399"/>
      <c r="CV254" s="1399"/>
      <c r="CW254" s="1399"/>
      <c r="CX254" s="1399"/>
      <c r="CY254" s="1399"/>
      <c r="CZ254" s="1399"/>
      <c r="DA254" s="1399"/>
      <c r="DB254" s="1399"/>
      <c r="DC254" s="1399"/>
      <c r="DD254" s="1399"/>
      <c r="DE254" s="1399"/>
      <c r="DF254" s="1399"/>
      <c r="DG254" s="1399"/>
      <c r="DH254" s="1399"/>
      <c r="DI254" s="1399"/>
      <c r="DJ254" s="1399"/>
      <c r="DK254" s="1399"/>
    </row>
    <row r="255" spans="1:153" s="797" customFormat="1" ht="26.25" customHeight="1">
      <c r="A255" s="879"/>
      <c r="B255" s="1394" t="s">
        <v>694</v>
      </c>
      <c r="C255" s="781"/>
      <c r="D255" s="781"/>
      <c r="E255" s="781"/>
      <c r="F255" s="781"/>
      <c r="G255" s="781"/>
      <c r="H255" s="781"/>
      <c r="I255" s="1395"/>
      <c r="J255" s="781"/>
      <c r="K255" s="781"/>
      <c r="L255" s="781"/>
      <c r="M255" s="781"/>
      <c r="N255" s="781"/>
      <c r="O255" s="781"/>
      <c r="P255" s="781"/>
      <c r="Q255" s="781"/>
      <c r="R255" s="781"/>
      <c r="S255" s="781"/>
      <c r="T255" s="781"/>
      <c r="U255" s="781"/>
      <c r="V255" s="781"/>
      <c r="W255" s="781"/>
      <c r="X255" s="781"/>
      <c r="Y255" s="781"/>
      <c r="Z255" s="781"/>
      <c r="AA255" s="781"/>
      <c r="AB255" s="781"/>
      <c r="AC255" s="781"/>
      <c r="AD255" s="781"/>
      <c r="AE255" s="781"/>
      <c r="AF255" s="781"/>
      <c r="AG255" s="781"/>
      <c r="AH255" s="781"/>
      <c r="AI255" s="781"/>
      <c r="AJ255" s="781"/>
      <c r="AK255" s="781"/>
      <c r="AL255" s="883"/>
      <c r="AM255" s="781"/>
      <c r="AN255" s="1396"/>
      <c r="AO255" s="1397"/>
      <c r="AP255" s="884"/>
      <c r="AQ255" s="884"/>
      <c r="AZ255" s="886"/>
      <c r="BY255" s="1378"/>
      <c r="BZ255" s="1378"/>
      <c r="CA255" s="1398"/>
      <c r="CB255" s="1398"/>
      <c r="CC255" s="1398"/>
      <c r="CD255" s="1398"/>
      <c r="CE255" s="1398"/>
      <c r="CF255" s="1398"/>
      <c r="CG255" s="1398"/>
      <c r="CH255" s="1398"/>
      <c r="CI255" s="1398"/>
      <c r="CJ255" s="1398"/>
      <c r="CK255" s="1399"/>
      <c r="CL255" s="1399"/>
      <c r="CM255" s="1400"/>
      <c r="CN255" s="1400"/>
      <c r="CO255" s="1400"/>
      <c r="CP255" s="1400"/>
      <c r="CQ255" s="1400"/>
      <c r="CR255" s="1400"/>
      <c r="CS255" s="1400"/>
      <c r="CT255" s="1399"/>
      <c r="CU255" s="1399"/>
      <c r="CV255" s="1399"/>
      <c r="CW255" s="1399"/>
      <c r="CX255" s="1399"/>
      <c r="CY255" s="1399"/>
      <c r="CZ255" s="1399"/>
      <c r="DA255" s="1399"/>
      <c r="DB255" s="1399"/>
      <c r="DC255" s="1399"/>
      <c r="DD255" s="1399"/>
      <c r="DE255" s="1399"/>
      <c r="DF255" s="1399"/>
      <c r="DG255" s="1399"/>
      <c r="DH255" s="1399"/>
      <c r="DI255" s="1399"/>
      <c r="DJ255" s="1399"/>
      <c r="DK255" s="1399"/>
    </row>
    <row r="256" spans="1:153" ht="26.25" customHeight="1">
      <c r="A256" s="879"/>
      <c r="B256" s="1394" t="s">
        <v>960</v>
      </c>
      <c r="C256" s="1395"/>
      <c r="D256" s="1395"/>
      <c r="E256" s="1395"/>
      <c r="F256" s="1395"/>
      <c r="G256" s="1395"/>
      <c r="H256" s="1395"/>
      <c r="I256" s="1395"/>
      <c r="J256" s="1395"/>
      <c r="K256" s="1395"/>
      <c r="L256" s="781"/>
      <c r="M256" s="781"/>
      <c r="N256" s="781"/>
      <c r="O256" s="781"/>
      <c r="P256" s="781"/>
      <c r="Q256" s="781"/>
      <c r="R256" s="781"/>
      <c r="S256" s="781"/>
      <c r="T256" s="781"/>
      <c r="U256" s="781"/>
      <c r="V256" s="781"/>
      <c r="W256" s="781"/>
      <c r="X256" s="781"/>
      <c r="Y256" s="781"/>
      <c r="Z256" s="781"/>
      <c r="AA256" s="781"/>
      <c r="AB256" s="781"/>
      <c r="AC256" s="781"/>
      <c r="AD256" s="781"/>
      <c r="AE256" s="781"/>
      <c r="AF256" s="781"/>
      <c r="AG256" s="781"/>
      <c r="AH256" s="781"/>
      <c r="AI256" s="781"/>
      <c r="AJ256" s="781"/>
      <c r="AK256" s="781"/>
      <c r="AL256" s="883"/>
      <c r="AN256" s="621"/>
      <c r="AO256" s="619"/>
    </row>
    <row r="257" spans="1:115" ht="26.25" customHeight="1">
      <c r="A257" s="879"/>
      <c r="B257" s="1394" t="s">
        <v>961</v>
      </c>
      <c r="C257" s="1395"/>
      <c r="D257" s="1395"/>
      <c r="E257" s="1395"/>
      <c r="F257" s="1395"/>
      <c r="G257" s="1395"/>
      <c r="H257" s="1395"/>
      <c r="I257" s="1395"/>
      <c r="J257" s="1395"/>
      <c r="K257" s="1395"/>
      <c r="L257" s="781"/>
      <c r="M257" s="781"/>
      <c r="N257" s="781"/>
      <c r="O257" s="781"/>
      <c r="P257" s="781"/>
      <c r="Q257" s="781"/>
      <c r="R257" s="781"/>
      <c r="S257" s="781"/>
      <c r="T257" s="781"/>
      <c r="U257" s="781"/>
      <c r="V257" s="781"/>
      <c r="W257" s="781"/>
      <c r="X257" s="781"/>
      <c r="Y257" s="781"/>
      <c r="Z257" s="781"/>
      <c r="AA257" s="781"/>
      <c r="AB257" s="781"/>
      <c r="AC257" s="781"/>
      <c r="AD257" s="781"/>
      <c r="AE257" s="781"/>
      <c r="AF257" s="781"/>
      <c r="AG257" s="781"/>
      <c r="AH257" s="781"/>
      <c r="AI257" s="781"/>
      <c r="AJ257" s="781"/>
      <c r="AK257" s="781"/>
      <c r="AL257" s="883"/>
      <c r="AN257" s="621"/>
      <c r="AO257" s="619"/>
    </row>
    <row r="258" spans="1:115" ht="26.25" customHeight="1">
      <c r="A258" s="879"/>
      <c r="B258" s="1563" t="s">
        <v>962</v>
      </c>
      <c r="C258" s="1395"/>
      <c r="D258" s="1395"/>
      <c r="E258" s="1395"/>
      <c r="F258" s="1395"/>
      <c r="G258" s="1395"/>
      <c r="H258" s="1395"/>
      <c r="I258" s="1395"/>
      <c r="J258" s="1395"/>
      <c r="K258" s="1395"/>
      <c r="L258" s="781"/>
      <c r="M258" s="781"/>
      <c r="N258" s="781"/>
      <c r="O258" s="781"/>
      <c r="P258" s="781"/>
      <c r="Q258" s="781"/>
      <c r="R258" s="781"/>
      <c r="S258" s="781"/>
      <c r="T258" s="781"/>
      <c r="U258" s="781"/>
      <c r="V258" s="781"/>
      <c r="W258" s="781"/>
      <c r="X258" s="781"/>
      <c r="Y258" s="781"/>
      <c r="Z258" s="781"/>
      <c r="AA258" s="781"/>
      <c r="AB258" s="781"/>
      <c r="AC258" s="781"/>
      <c r="AD258" s="781"/>
      <c r="AE258" s="781"/>
      <c r="AF258" s="781"/>
      <c r="AG258" s="781"/>
      <c r="AH258" s="781"/>
      <c r="AI258" s="781"/>
      <c r="AJ258" s="781"/>
      <c r="AK258" s="781"/>
      <c r="AL258" s="883"/>
      <c r="AN258" s="621"/>
      <c r="AO258" s="619"/>
    </row>
    <row r="259" spans="1:115" ht="26.25" customHeight="1">
      <c r="A259" s="879"/>
      <c r="B259" s="1394" t="s">
        <v>963</v>
      </c>
      <c r="C259" s="1395"/>
      <c r="D259" s="1395"/>
      <c r="E259" s="1395"/>
      <c r="F259" s="1395"/>
      <c r="G259" s="1395"/>
      <c r="H259" s="1395"/>
      <c r="I259" s="1395"/>
      <c r="J259" s="1395"/>
      <c r="K259" s="1395"/>
      <c r="L259" s="781"/>
      <c r="M259" s="781"/>
      <c r="N259" s="781"/>
      <c r="O259" s="781"/>
      <c r="P259" s="781"/>
      <c r="Q259" s="781"/>
      <c r="R259" s="781"/>
      <c r="S259" s="781"/>
      <c r="T259" s="781"/>
      <c r="U259" s="781"/>
      <c r="V259" s="781"/>
      <c r="W259" s="781"/>
      <c r="X259" s="781"/>
      <c r="Y259" s="781"/>
      <c r="Z259" s="781"/>
      <c r="AA259" s="781"/>
      <c r="AB259" s="781"/>
      <c r="AC259" s="781"/>
      <c r="AD259" s="781"/>
      <c r="AE259" s="781"/>
      <c r="AF259" s="781"/>
      <c r="AG259" s="781"/>
      <c r="AH259" s="781"/>
      <c r="AI259" s="781"/>
      <c r="AJ259" s="781"/>
      <c r="AK259" s="781"/>
      <c r="AL259" s="883"/>
      <c r="AN259" s="621"/>
      <c r="AO259" s="619"/>
    </row>
    <row r="260" spans="1:115" ht="26.25" customHeight="1">
      <c r="A260" s="879"/>
      <c r="B260" s="1394" t="s">
        <v>964</v>
      </c>
      <c r="C260" s="1395"/>
      <c r="D260" s="1395"/>
      <c r="E260" s="1395"/>
      <c r="F260" s="1395"/>
      <c r="G260" s="1395"/>
      <c r="H260" s="1395"/>
      <c r="I260" s="1395"/>
      <c r="J260" s="1395"/>
      <c r="K260" s="1395"/>
      <c r="L260" s="781"/>
      <c r="M260" s="781"/>
      <c r="N260" s="781"/>
      <c r="O260" s="781"/>
      <c r="P260" s="781"/>
      <c r="Q260" s="781"/>
      <c r="R260" s="781"/>
      <c r="S260" s="781"/>
      <c r="T260" s="781"/>
      <c r="U260" s="781"/>
      <c r="V260" s="781"/>
      <c r="W260" s="781"/>
      <c r="X260" s="781"/>
      <c r="Y260" s="781"/>
      <c r="Z260" s="781"/>
      <c r="AA260" s="781"/>
      <c r="AB260" s="781"/>
      <c r="AC260" s="781"/>
      <c r="AD260" s="781"/>
      <c r="AE260" s="781"/>
      <c r="AF260" s="781"/>
      <c r="AG260" s="781"/>
      <c r="AH260" s="781"/>
      <c r="AI260" s="781"/>
      <c r="AJ260" s="781"/>
      <c r="AK260" s="781"/>
      <c r="AL260" s="883"/>
      <c r="AN260" s="621"/>
      <c r="AO260" s="619"/>
    </row>
    <row r="261" spans="1:115" ht="26.25" customHeight="1">
      <c r="A261" s="879"/>
      <c r="B261" s="1394" t="s">
        <v>965</v>
      </c>
      <c r="C261" s="1395"/>
      <c r="D261" s="1395"/>
      <c r="E261" s="1395"/>
      <c r="F261" s="1395"/>
      <c r="G261" s="1395"/>
      <c r="H261" s="1395"/>
      <c r="I261" s="1395"/>
      <c r="J261" s="1395"/>
      <c r="K261" s="1395"/>
      <c r="L261" s="781"/>
      <c r="M261" s="781"/>
      <c r="N261" s="781"/>
      <c r="O261" s="781"/>
      <c r="P261" s="781"/>
      <c r="Q261" s="781"/>
      <c r="R261" s="781"/>
      <c r="S261" s="781"/>
      <c r="T261" s="781"/>
      <c r="U261" s="781"/>
      <c r="V261" s="781"/>
      <c r="W261" s="781"/>
      <c r="X261" s="781"/>
      <c r="Y261" s="781"/>
      <c r="Z261" s="781"/>
      <c r="AA261" s="781"/>
      <c r="AB261" s="781"/>
      <c r="AC261" s="781"/>
      <c r="AD261" s="781"/>
      <c r="AE261" s="781"/>
      <c r="AF261" s="781"/>
      <c r="AG261" s="781"/>
      <c r="AH261" s="781"/>
      <c r="AI261" s="781"/>
      <c r="AJ261" s="781"/>
      <c r="AK261" s="781"/>
      <c r="AL261" s="883"/>
      <c r="AN261" s="621"/>
      <c r="AO261" s="619"/>
    </row>
    <row r="262" spans="1:115" ht="26.25" customHeight="1">
      <c r="A262" s="879"/>
      <c r="B262" s="1394" t="s">
        <v>966</v>
      </c>
      <c r="C262" s="1395"/>
      <c r="D262" s="1395"/>
      <c r="E262" s="1395"/>
      <c r="F262" s="1395"/>
      <c r="G262" s="1395"/>
      <c r="H262" s="1395"/>
      <c r="I262" s="1395"/>
      <c r="J262" s="1395"/>
      <c r="K262" s="1395"/>
      <c r="L262" s="781"/>
      <c r="M262" s="781"/>
      <c r="N262" s="781"/>
      <c r="O262" s="781"/>
      <c r="P262" s="781"/>
      <c r="Q262" s="781"/>
      <c r="R262" s="781"/>
      <c r="S262" s="781"/>
      <c r="T262" s="781"/>
      <c r="U262" s="781"/>
      <c r="V262" s="781"/>
      <c r="W262" s="781"/>
      <c r="X262" s="781"/>
      <c r="Y262" s="781"/>
      <c r="Z262" s="781"/>
      <c r="AA262" s="781"/>
      <c r="AB262" s="781"/>
      <c r="AC262" s="781"/>
      <c r="AD262" s="781"/>
      <c r="AE262" s="781"/>
      <c r="AF262" s="781"/>
      <c r="AG262" s="781"/>
      <c r="AH262" s="781"/>
      <c r="AI262" s="781"/>
      <c r="AJ262" s="781"/>
      <c r="AK262" s="781"/>
      <c r="AL262" s="883"/>
      <c r="AN262" s="621"/>
      <c r="AO262" s="619"/>
    </row>
    <row r="263" spans="1:115" ht="26.25" customHeight="1">
      <c r="A263" s="879"/>
      <c r="B263" s="1394" t="s">
        <v>967</v>
      </c>
      <c r="C263" s="1395"/>
      <c r="D263" s="1395"/>
      <c r="E263" s="1395"/>
      <c r="F263" s="1395"/>
      <c r="G263" s="1395"/>
      <c r="H263" s="1395"/>
      <c r="I263" s="1395"/>
      <c r="J263" s="1395"/>
      <c r="K263" s="1395"/>
      <c r="L263" s="781"/>
      <c r="M263" s="781"/>
      <c r="N263" s="781"/>
      <c r="O263" s="781"/>
      <c r="P263" s="781"/>
      <c r="Q263" s="781"/>
      <c r="R263" s="781"/>
      <c r="S263" s="781"/>
      <c r="T263" s="781"/>
      <c r="U263" s="781"/>
      <c r="V263" s="781"/>
      <c r="W263" s="781"/>
      <c r="X263" s="781"/>
      <c r="Y263" s="781"/>
      <c r="Z263" s="781"/>
      <c r="AA263" s="781"/>
      <c r="AB263" s="781"/>
      <c r="AC263" s="781"/>
      <c r="AD263" s="781"/>
      <c r="AE263" s="781"/>
      <c r="AF263" s="781"/>
      <c r="AG263" s="781"/>
      <c r="AH263" s="781"/>
      <c r="AI263" s="781"/>
      <c r="AJ263" s="781"/>
      <c r="AK263" s="781"/>
      <c r="AL263" s="883"/>
      <c r="AN263" s="621"/>
      <c r="AO263" s="619"/>
    </row>
    <row r="264" spans="1:115" ht="26.25" customHeight="1">
      <c r="A264" s="879"/>
      <c r="B264" s="1394" t="s">
        <v>702</v>
      </c>
      <c r="C264" s="1395"/>
      <c r="D264" s="1395"/>
      <c r="E264" s="1395"/>
      <c r="F264" s="1395"/>
      <c r="G264" s="1395"/>
      <c r="H264" s="1395"/>
      <c r="I264" s="1395"/>
      <c r="J264" s="1395"/>
      <c r="K264" s="1395"/>
      <c r="L264" s="781"/>
      <c r="M264" s="781"/>
      <c r="N264" s="781"/>
      <c r="O264" s="781"/>
      <c r="P264" s="781"/>
      <c r="Q264" s="781"/>
      <c r="R264" s="781"/>
      <c r="S264" s="781"/>
      <c r="T264" s="781"/>
      <c r="U264" s="781"/>
      <c r="V264" s="781"/>
      <c r="W264" s="781"/>
      <c r="X264" s="781"/>
      <c r="Y264" s="781"/>
      <c r="Z264" s="781"/>
      <c r="AA264" s="781"/>
      <c r="AB264" s="781"/>
      <c r="AC264" s="781"/>
      <c r="AD264" s="781"/>
      <c r="AE264" s="781"/>
      <c r="AF264" s="781"/>
      <c r="AG264" s="781"/>
      <c r="AH264" s="781"/>
      <c r="AI264" s="781"/>
      <c r="AJ264" s="781"/>
      <c r="AK264" s="781"/>
      <c r="AL264" s="883"/>
      <c r="AN264" s="621"/>
      <c r="AO264" s="619"/>
    </row>
    <row r="265" spans="1:115" s="614" customFormat="1" ht="26.25" customHeight="1">
      <c r="A265" s="848"/>
      <c r="B265" s="1394" t="s">
        <v>968</v>
      </c>
      <c r="C265" s="1428"/>
      <c r="D265" s="1428"/>
      <c r="E265" s="1428"/>
      <c r="F265" s="1428"/>
      <c r="G265" s="1428"/>
      <c r="H265" s="1428"/>
      <c r="I265" s="1428"/>
      <c r="J265" s="1428"/>
      <c r="K265" s="1428"/>
      <c r="L265" s="849"/>
      <c r="M265" s="849"/>
      <c r="N265" s="849"/>
      <c r="O265" s="849"/>
      <c r="P265" s="849"/>
      <c r="Q265" s="849"/>
      <c r="R265" s="849"/>
      <c r="S265" s="849"/>
      <c r="T265" s="849"/>
      <c r="U265" s="849"/>
      <c r="V265" s="849"/>
      <c r="W265" s="849"/>
      <c r="X265" s="849"/>
      <c r="Y265" s="849"/>
      <c r="Z265" s="849"/>
      <c r="AA265" s="849"/>
      <c r="AB265" s="849"/>
      <c r="AC265" s="849"/>
      <c r="AD265" s="849"/>
      <c r="AE265" s="849"/>
      <c r="AF265" s="849"/>
      <c r="AG265" s="849"/>
      <c r="AH265" s="849"/>
      <c r="AI265" s="849"/>
      <c r="AJ265" s="849"/>
      <c r="AK265" s="849"/>
      <c r="AL265" s="853"/>
      <c r="AM265" s="612"/>
      <c r="AN265" s="610"/>
      <c r="AO265" s="608"/>
      <c r="AP265" s="612"/>
      <c r="AQ265" s="612"/>
      <c r="AZ265" s="615"/>
      <c r="BY265" s="732"/>
      <c r="BZ265" s="732"/>
      <c r="CA265" s="1327"/>
      <c r="CB265" s="1327"/>
      <c r="CC265" s="1327"/>
      <c r="CD265" s="1327"/>
      <c r="CE265" s="1327"/>
      <c r="CF265" s="1327"/>
      <c r="CG265" s="1327"/>
      <c r="CH265" s="1327"/>
      <c r="CI265" s="1327"/>
      <c r="CJ265" s="1327"/>
      <c r="CK265" s="1328"/>
      <c r="CL265" s="1328"/>
      <c r="CM265" s="1329"/>
      <c r="CN265" s="1329"/>
      <c r="CO265" s="1329"/>
      <c r="CP265" s="1329"/>
      <c r="CQ265" s="1329"/>
      <c r="CR265" s="1329"/>
      <c r="CS265" s="1329"/>
      <c r="CT265" s="1328"/>
      <c r="CU265" s="1328"/>
      <c r="CV265" s="1328"/>
      <c r="CW265" s="1328"/>
      <c r="CX265" s="1328"/>
      <c r="CY265" s="1328"/>
      <c r="CZ265" s="1328"/>
      <c r="DA265" s="1328"/>
      <c r="DB265" s="1328"/>
      <c r="DC265" s="1328"/>
      <c r="DD265" s="1328"/>
      <c r="DE265" s="1328"/>
      <c r="DF265" s="1328"/>
      <c r="DG265" s="1328"/>
      <c r="DH265" s="1328"/>
      <c r="DI265" s="1328"/>
      <c r="DJ265" s="1328"/>
      <c r="DK265" s="1328"/>
    </row>
    <row r="266" spans="1:115" s="614" customFormat="1" ht="26.25" customHeight="1">
      <c r="A266" s="848"/>
      <c r="B266" s="1394" t="s">
        <v>969</v>
      </c>
      <c r="C266" s="1428"/>
      <c r="D266" s="1428"/>
      <c r="E266" s="1428"/>
      <c r="F266" s="1428"/>
      <c r="G266" s="1428"/>
      <c r="H266" s="1428"/>
      <c r="I266" s="1428"/>
      <c r="J266" s="1428"/>
      <c r="K266" s="1428"/>
      <c r="L266" s="849"/>
      <c r="M266" s="849"/>
      <c r="N266" s="849"/>
      <c r="O266" s="849"/>
      <c r="P266" s="849"/>
      <c r="Q266" s="849"/>
      <c r="R266" s="849"/>
      <c r="S266" s="849"/>
      <c r="T266" s="849"/>
      <c r="U266" s="849"/>
      <c r="V266" s="849"/>
      <c r="W266" s="849"/>
      <c r="X266" s="849"/>
      <c r="Y266" s="849"/>
      <c r="Z266" s="849"/>
      <c r="AA266" s="849"/>
      <c r="AB266" s="849"/>
      <c r="AC266" s="849"/>
      <c r="AD266" s="849"/>
      <c r="AE266" s="849"/>
      <c r="AF266" s="849"/>
      <c r="AG266" s="849"/>
      <c r="AH266" s="849"/>
      <c r="AI266" s="849"/>
      <c r="AJ266" s="849"/>
      <c r="AK266" s="849"/>
      <c r="AL266" s="853"/>
      <c r="AM266" s="612"/>
      <c r="AN266" s="610"/>
      <c r="AO266" s="608"/>
      <c r="AP266" s="612"/>
      <c r="AQ266" s="612"/>
      <c r="AZ266" s="615"/>
      <c r="BY266" s="732"/>
      <c r="BZ266" s="732"/>
      <c r="CA266" s="1327"/>
      <c r="CB266" s="1327"/>
      <c r="CC266" s="1327"/>
      <c r="CD266" s="1327"/>
      <c r="CE266" s="1327"/>
      <c r="CF266" s="1327"/>
      <c r="CG266" s="1327"/>
      <c r="CH266" s="1327"/>
      <c r="CI266" s="1327"/>
      <c r="CJ266" s="1327"/>
      <c r="CK266" s="1328"/>
      <c r="CL266" s="1328"/>
      <c r="CM266" s="1329"/>
      <c r="CN266" s="1329"/>
      <c r="CO266" s="1329"/>
      <c r="CP266" s="1329"/>
      <c r="CQ266" s="1329"/>
      <c r="CR266" s="1329"/>
      <c r="CS266" s="1329"/>
      <c r="CT266" s="1328"/>
      <c r="CU266" s="1328"/>
      <c r="CV266" s="1328"/>
      <c r="CW266" s="1328"/>
      <c r="CX266" s="1328"/>
      <c r="CY266" s="1328"/>
      <c r="CZ266" s="1328"/>
      <c r="DA266" s="1328"/>
      <c r="DB266" s="1328"/>
      <c r="DC266" s="1328"/>
      <c r="DD266" s="1328"/>
      <c r="DE266" s="1328"/>
      <c r="DF266" s="1328"/>
      <c r="DG266" s="1328"/>
      <c r="DH266" s="1328"/>
      <c r="DI266" s="1328"/>
      <c r="DJ266" s="1328"/>
      <c r="DK266" s="1328"/>
    </row>
    <row r="267" spans="1:115" s="614" customFormat="1" ht="20.25" customHeight="1">
      <c r="A267" s="848"/>
      <c r="B267" s="1564" t="s">
        <v>970</v>
      </c>
      <c r="C267" s="1428"/>
      <c r="D267" s="1428"/>
      <c r="E267" s="1428"/>
      <c r="F267" s="1428"/>
      <c r="G267" s="1428"/>
      <c r="H267" s="1428"/>
      <c r="I267" s="1428"/>
      <c r="J267" s="1428"/>
      <c r="K267" s="1428"/>
      <c r="L267" s="849"/>
      <c r="M267" s="849"/>
      <c r="N267" s="849"/>
      <c r="O267" s="849"/>
      <c r="P267" s="849"/>
      <c r="Q267" s="849"/>
      <c r="R267" s="849"/>
      <c r="S267" s="849"/>
      <c r="T267" s="849"/>
      <c r="U267" s="849"/>
      <c r="V267" s="849"/>
      <c r="W267" s="849"/>
      <c r="X267" s="849"/>
      <c r="Y267" s="849"/>
      <c r="Z267" s="849"/>
      <c r="AA267" s="849"/>
      <c r="AB267" s="849"/>
      <c r="AC267" s="849"/>
      <c r="AD267" s="849"/>
      <c r="AE267" s="849"/>
      <c r="AF267" s="849"/>
      <c r="AG267" s="849"/>
      <c r="AH267" s="849"/>
      <c r="AI267" s="849"/>
      <c r="AJ267" s="849"/>
      <c r="AK267" s="849"/>
      <c r="AL267" s="853"/>
      <c r="AM267" s="612"/>
      <c r="AN267" s="610"/>
      <c r="AO267" s="608"/>
      <c r="AP267" s="612"/>
      <c r="AQ267" s="612"/>
      <c r="AZ267" s="615"/>
      <c r="BY267" s="732"/>
      <c r="BZ267" s="732"/>
      <c r="CA267" s="1327"/>
      <c r="CB267" s="1327"/>
      <c r="CC267" s="1327"/>
      <c r="CD267" s="1327"/>
      <c r="CE267" s="1327"/>
      <c r="CF267" s="1327"/>
      <c r="CG267" s="1327"/>
      <c r="CH267" s="1327"/>
      <c r="CI267" s="1327"/>
      <c r="CJ267" s="1327"/>
      <c r="CK267" s="1328"/>
      <c r="CL267" s="1328"/>
      <c r="CM267" s="1329"/>
      <c r="CN267" s="1329"/>
      <c r="CO267" s="1329"/>
      <c r="CP267" s="1329"/>
      <c r="CQ267" s="1329"/>
      <c r="CR267" s="1329"/>
      <c r="CS267" s="1329"/>
      <c r="CT267" s="1328"/>
      <c r="CU267" s="1328"/>
      <c r="CV267" s="1328"/>
      <c r="CW267" s="1328"/>
      <c r="CX267" s="1328"/>
      <c r="CY267" s="1328"/>
      <c r="CZ267" s="1328"/>
      <c r="DA267" s="1328"/>
      <c r="DB267" s="1328"/>
      <c r="DC267" s="1328"/>
      <c r="DD267" s="1328"/>
      <c r="DE267" s="1328"/>
      <c r="DF267" s="1328"/>
      <c r="DG267" s="1328"/>
      <c r="DH267" s="1328"/>
      <c r="DI267" s="1328"/>
      <c r="DJ267" s="1328"/>
      <c r="DK267" s="1328"/>
    </row>
    <row r="268" spans="1:115" s="614" customFormat="1" ht="20.25" customHeight="1">
      <c r="A268" s="848"/>
      <c r="B268" s="848" t="s">
        <v>993</v>
      </c>
      <c r="C268" s="1428"/>
      <c r="D268" s="1428"/>
      <c r="E268" s="1428"/>
      <c r="F268" s="1428"/>
      <c r="G268" s="1428"/>
      <c r="H268" s="1428"/>
      <c r="I268" s="1428"/>
      <c r="J268" s="1428"/>
      <c r="K268" s="1428"/>
      <c r="L268" s="849"/>
      <c r="M268" s="849"/>
      <c r="N268" s="849"/>
      <c r="O268" s="849"/>
      <c r="P268" s="849"/>
      <c r="Q268" s="849"/>
      <c r="R268" s="849"/>
      <c r="S268" s="849"/>
      <c r="T268" s="849"/>
      <c r="U268" s="849"/>
      <c r="V268" s="849"/>
      <c r="W268" s="849"/>
      <c r="X268" s="849"/>
      <c r="Y268" s="849"/>
      <c r="Z268" s="849"/>
      <c r="AA268" s="849"/>
      <c r="AB268" s="849"/>
      <c r="AC268" s="849"/>
      <c r="AD268" s="849"/>
      <c r="AE268" s="849"/>
      <c r="AF268" s="849"/>
      <c r="AG268" s="849"/>
      <c r="AH268" s="849"/>
      <c r="AI268" s="849"/>
      <c r="AJ268" s="849"/>
      <c r="AK268" s="849"/>
      <c r="AL268" s="853"/>
      <c r="AM268" s="612"/>
      <c r="AN268" s="610"/>
      <c r="AO268" s="608"/>
      <c r="AP268" s="612"/>
      <c r="AQ268" s="612"/>
      <c r="AZ268" s="615"/>
      <c r="BY268" s="732"/>
      <c r="BZ268" s="732"/>
      <c r="CA268" s="1327"/>
      <c r="CB268" s="1327"/>
      <c r="CC268" s="1327"/>
      <c r="CD268" s="1327"/>
      <c r="CE268" s="1327"/>
      <c r="CF268" s="1327"/>
      <c r="CG268" s="1327"/>
      <c r="CH268" s="1327"/>
      <c r="CI268" s="1327"/>
      <c r="CJ268" s="1327"/>
      <c r="CK268" s="1328"/>
      <c r="CL268" s="1328"/>
      <c r="CM268" s="1329"/>
      <c r="CN268" s="1329"/>
      <c r="CO268" s="1329"/>
      <c r="CP268" s="1329"/>
      <c r="CQ268" s="1329"/>
      <c r="CR268" s="1329"/>
      <c r="CS268" s="1329"/>
      <c r="CT268" s="1328"/>
      <c r="CU268" s="1328"/>
      <c r="CV268" s="1328"/>
      <c r="CW268" s="1328"/>
      <c r="CX268" s="1328"/>
      <c r="CY268" s="1328"/>
      <c r="CZ268" s="1328"/>
      <c r="DA268" s="1328"/>
      <c r="DB268" s="1328"/>
      <c r="DC268" s="1328"/>
      <c r="DD268" s="1328"/>
      <c r="DE268" s="1328"/>
      <c r="DF268" s="1328"/>
      <c r="DG268" s="1328"/>
      <c r="DH268" s="1328"/>
      <c r="DI268" s="1328"/>
      <c r="DJ268" s="1328"/>
      <c r="DK268" s="1328"/>
    </row>
    <row r="269" spans="1:115" s="614" customFormat="1" ht="20.25" customHeight="1">
      <c r="A269" s="848"/>
      <c r="B269" s="861" t="s">
        <v>994</v>
      </c>
      <c r="C269" s="1428"/>
      <c r="D269" s="1428"/>
      <c r="E269" s="1428"/>
      <c r="F269" s="1428"/>
      <c r="G269" s="1428"/>
      <c r="H269" s="1428"/>
      <c r="I269" s="1428"/>
      <c r="J269" s="1428"/>
      <c r="K269" s="1428"/>
      <c r="L269" s="849"/>
      <c r="M269" s="849"/>
      <c r="N269" s="849"/>
      <c r="O269" s="849"/>
      <c r="P269" s="849"/>
      <c r="Q269" s="849"/>
      <c r="R269" s="849"/>
      <c r="S269" s="849"/>
      <c r="T269" s="849"/>
      <c r="U269" s="849"/>
      <c r="V269" s="849"/>
      <c r="W269" s="849"/>
      <c r="X269" s="849"/>
      <c r="Y269" s="849"/>
      <c r="Z269" s="849"/>
      <c r="AA269" s="849"/>
      <c r="AB269" s="849"/>
      <c r="AC269" s="849"/>
      <c r="AD269" s="849"/>
      <c r="AE269" s="849"/>
      <c r="AF269" s="849"/>
      <c r="AG269" s="849"/>
      <c r="AH269" s="849"/>
      <c r="AI269" s="849"/>
      <c r="AJ269" s="849"/>
      <c r="AK269" s="849"/>
      <c r="AL269" s="853"/>
      <c r="AM269" s="612"/>
      <c r="AN269" s="610"/>
      <c r="AO269" s="608"/>
      <c r="AP269" s="612"/>
      <c r="AQ269" s="612"/>
      <c r="AZ269" s="615"/>
      <c r="BY269" s="732"/>
      <c r="BZ269" s="732"/>
      <c r="CA269" s="1327"/>
      <c r="CB269" s="1327"/>
      <c r="CC269" s="1327"/>
      <c r="CD269" s="1327"/>
      <c r="CE269" s="1327"/>
      <c r="CF269" s="1327"/>
      <c r="CG269" s="1327"/>
      <c r="CH269" s="1327"/>
      <c r="CI269" s="1327"/>
      <c r="CJ269" s="1327"/>
      <c r="CK269" s="1328"/>
      <c r="CL269" s="1328"/>
      <c r="CM269" s="1329"/>
      <c r="CN269" s="1329"/>
      <c r="CO269" s="1329"/>
      <c r="CP269" s="1329"/>
      <c r="CQ269" s="1329"/>
      <c r="CR269" s="1329"/>
      <c r="CS269" s="1329"/>
      <c r="CT269" s="1328"/>
      <c r="CU269" s="1328"/>
      <c r="CV269" s="1328"/>
      <c r="CW269" s="1328"/>
      <c r="CX269" s="1328"/>
      <c r="CY269" s="1328"/>
      <c r="CZ269" s="1328"/>
      <c r="DA269" s="1328"/>
      <c r="DB269" s="1328"/>
      <c r="DC269" s="1328"/>
      <c r="DD269" s="1328"/>
      <c r="DE269" s="1328"/>
      <c r="DF269" s="1328"/>
      <c r="DG269" s="1328"/>
      <c r="DH269" s="1328"/>
      <c r="DI269" s="1328"/>
      <c r="DJ269" s="1328"/>
      <c r="DK269" s="1328"/>
    </row>
    <row r="270" spans="1:115" s="614" customFormat="1" ht="20.25" customHeight="1">
      <c r="A270" s="848"/>
      <c r="B270" s="1719" t="s">
        <v>1025</v>
      </c>
      <c r="C270" s="1428"/>
      <c r="D270" s="1428"/>
      <c r="E270" s="1428"/>
      <c r="F270" s="1428"/>
      <c r="G270" s="1428"/>
      <c r="H270" s="1428"/>
      <c r="I270" s="1428"/>
      <c r="J270" s="1428"/>
      <c r="K270" s="1428"/>
      <c r="L270" s="849"/>
      <c r="M270" s="849"/>
      <c r="N270" s="849"/>
      <c r="O270" s="849"/>
      <c r="P270" s="849"/>
      <c r="Q270" s="849"/>
      <c r="R270" s="849"/>
      <c r="S270" s="849"/>
      <c r="T270" s="849"/>
      <c r="U270" s="849"/>
      <c r="V270" s="849"/>
      <c r="W270" s="849"/>
      <c r="X270" s="849"/>
      <c r="Y270" s="849"/>
      <c r="Z270" s="849"/>
      <c r="AA270" s="849"/>
      <c r="AB270" s="849"/>
      <c r="AC270" s="849"/>
      <c r="AD270" s="849"/>
      <c r="AE270" s="849"/>
      <c r="AF270" s="849"/>
      <c r="AG270" s="849"/>
      <c r="AH270" s="849"/>
      <c r="AI270" s="849"/>
      <c r="AJ270" s="849"/>
      <c r="AK270" s="849"/>
      <c r="AL270" s="853"/>
      <c r="AM270" s="612"/>
      <c r="AN270" s="610"/>
      <c r="AO270" s="608"/>
      <c r="AP270" s="612"/>
      <c r="AQ270" s="612"/>
      <c r="AZ270" s="615"/>
      <c r="BY270" s="732"/>
      <c r="BZ270" s="732"/>
      <c r="CA270" s="1327"/>
      <c r="CB270" s="1327"/>
      <c r="CC270" s="1327"/>
      <c r="CD270" s="1327"/>
      <c r="CE270" s="1327"/>
      <c r="CF270" s="1327"/>
      <c r="CG270" s="1327"/>
      <c r="CH270" s="1327"/>
      <c r="CI270" s="1327"/>
      <c r="CJ270" s="1327"/>
      <c r="CK270" s="1328"/>
      <c r="CL270" s="1328"/>
      <c r="CM270" s="1329"/>
      <c r="CN270" s="1329"/>
      <c r="CO270" s="1329"/>
      <c r="CP270" s="1329"/>
      <c r="CQ270" s="1329"/>
      <c r="CR270" s="1329"/>
      <c r="CS270" s="1329"/>
      <c r="CT270" s="1328"/>
      <c r="CU270" s="1328"/>
      <c r="CV270" s="1328"/>
      <c r="CW270" s="1328"/>
      <c r="CX270" s="1328"/>
      <c r="CY270" s="1328"/>
      <c r="CZ270" s="1328"/>
      <c r="DA270" s="1328"/>
      <c r="DB270" s="1328"/>
      <c r="DC270" s="1328"/>
      <c r="DD270" s="1328"/>
      <c r="DE270" s="1328"/>
      <c r="DF270" s="1328"/>
      <c r="DG270" s="1328"/>
      <c r="DH270" s="1328"/>
      <c r="DI270" s="1328"/>
      <c r="DJ270" s="1328"/>
      <c r="DK270" s="1328"/>
    </row>
    <row r="271" spans="1:115" s="614" customFormat="1" ht="20.25" customHeight="1">
      <c r="A271" s="848"/>
      <c r="B271" s="3122" t="s">
        <v>1028</v>
      </c>
      <c r="C271" s="3122"/>
      <c r="D271" s="3122"/>
      <c r="E271" s="3122"/>
      <c r="F271" s="3122"/>
      <c r="G271" s="3122"/>
      <c r="H271" s="3122"/>
      <c r="I271" s="3122"/>
      <c r="J271" s="3122"/>
      <c r="K271" s="3122"/>
      <c r="L271" s="3122"/>
      <c r="M271" s="3122"/>
      <c r="N271" s="3122"/>
      <c r="O271" s="3122"/>
      <c r="P271" s="3122"/>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53"/>
      <c r="AM271" s="612"/>
      <c r="AN271" s="610"/>
      <c r="AO271" s="608"/>
      <c r="AP271" s="612"/>
      <c r="AQ271" s="612"/>
      <c r="AZ271" s="615"/>
      <c r="BY271" s="732"/>
      <c r="BZ271" s="732"/>
      <c r="CA271" s="1327"/>
      <c r="CB271" s="1327"/>
      <c r="CC271" s="1327"/>
      <c r="CD271" s="1327"/>
      <c r="CE271" s="1327"/>
      <c r="CF271" s="1327"/>
      <c r="CG271" s="1327"/>
      <c r="CH271" s="1327"/>
      <c r="CI271" s="1327"/>
      <c r="CJ271" s="1327"/>
      <c r="CK271" s="1328"/>
      <c r="CL271" s="1328"/>
      <c r="CM271" s="1329"/>
      <c r="CN271" s="1329"/>
      <c r="CO271" s="1329"/>
      <c r="CP271" s="1329"/>
      <c r="CQ271" s="1329"/>
      <c r="CR271" s="1329"/>
      <c r="CS271" s="1329"/>
      <c r="CT271" s="1328"/>
      <c r="CU271" s="1328"/>
      <c r="CV271" s="1328"/>
      <c r="CW271" s="1328"/>
      <c r="CX271" s="1328"/>
      <c r="CY271" s="1328"/>
      <c r="CZ271" s="1328"/>
      <c r="DA271" s="1328"/>
      <c r="DB271" s="1328"/>
      <c r="DC271" s="1328"/>
      <c r="DD271" s="1328"/>
      <c r="DE271" s="1328"/>
      <c r="DF271" s="1328"/>
      <c r="DG271" s="1328"/>
      <c r="DH271" s="1328"/>
      <c r="DI271" s="1328"/>
      <c r="DJ271" s="1328"/>
      <c r="DK271" s="1328"/>
    </row>
    <row r="272" spans="1:115" s="614" customFormat="1" ht="20.25" customHeight="1">
      <c r="A272" s="848"/>
      <c r="B272" s="861" t="s">
        <v>1002</v>
      </c>
      <c r="C272" s="1715"/>
      <c r="D272" s="1715"/>
      <c r="E272" s="1715"/>
      <c r="F272" s="1715"/>
      <c r="G272" s="1715"/>
      <c r="H272" s="1715"/>
      <c r="I272" s="1715"/>
      <c r="J272" s="1715"/>
      <c r="K272" s="1715"/>
      <c r="L272" s="849"/>
      <c r="M272" s="849"/>
      <c r="N272" s="849"/>
      <c r="O272" s="849"/>
      <c r="P272" s="849"/>
      <c r="Q272" s="849"/>
      <c r="R272" s="849"/>
      <c r="S272" s="849"/>
      <c r="T272" s="849"/>
      <c r="U272" s="849"/>
      <c r="V272" s="849"/>
      <c r="W272" s="849"/>
      <c r="X272" s="849"/>
      <c r="Y272" s="849"/>
      <c r="Z272" s="849"/>
      <c r="AA272" s="849"/>
      <c r="AB272" s="849"/>
      <c r="AC272" s="849"/>
      <c r="AD272" s="849"/>
      <c r="AE272" s="849"/>
      <c r="AF272" s="849"/>
      <c r="AG272" s="849"/>
      <c r="AH272" s="849"/>
      <c r="AI272" s="849"/>
      <c r="AJ272" s="849"/>
      <c r="AK272" s="849"/>
      <c r="AL272" s="853"/>
      <c r="AM272" s="612"/>
      <c r="AN272" s="610"/>
      <c r="AO272" s="608"/>
      <c r="AP272" s="612"/>
      <c r="AQ272" s="612"/>
      <c r="AZ272" s="615"/>
      <c r="BY272" s="732"/>
      <c r="BZ272" s="732"/>
      <c r="CA272" s="1327"/>
      <c r="CB272" s="1327"/>
      <c r="CC272" s="1327"/>
      <c r="CD272" s="1327"/>
      <c r="CE272" s="1327"/>
      <c r="CF272" s="1327"/>
      <c r="CG272" s="1327"/>
      <c r="CH272" s="1327"/>
      <c r="CI272" s="1327"/>
      <c r="CJ272" s="1327"/>
      <c r="CK272" s="1328"/>
      <c r="CL272" s="1328"/>
      <c r="CM272" s="1329"/>
      <c r="CN272" s="1329"/>
      <c r="CO272" s="1329"/>
      <c r="CP272" s="1329"/>
      <c r="CQ272" s="1329"/>
      <c r="CR272" s="1329"/>
      <c r="CS272" s="1329"/>
      <c r="CT272" s="1328"/>
      <c r="CU272" s="1328"/>
      <c r="CV272" s="1328"/>
      <c r="CW272" s="1328"/>
      <c r="CX272" s="1328"/>
      <c r="CY272" s="1328"/>
      <c r="CZ272" s="1328"/>
      <c r="DA272" s="1328"/>
      <c r="DB272" s="1328"/>
      <c r="DC272" s="1328"/>
      <c r="DD272" s="1328"/>
      <c r="DE272" s="1328"/>
      <c r="DF272" s="1328"/>
      <c r="DG272" s="1328"/>
      <c r="DH272" s="1328"/>
      <c r="DI272" s="1328"/>
      <c r="DJ272" s="1328"/>
      <c r="DK272" s="1328"/>
    </row>
    <row r="273" spans="1:115" s="614" customFormat="1" ht="20.25" customHeight="1">
      <c r="A273" s="848"/>
      <c r="B273" s="861" t="s">
        <v>1003</v>
      </c>
      <c r="C273" s="1715"/>
      <c r="D273" s="1715"/>
      <c r="E273" s="1715"/>
      <c r="F273" s="1715"/>
      <c r="G273" s="1715"/>
      <c r="H273" s="1715"/>
      <c r="I273" s="1715"/>
      <c r="J273" s="1715"/>
      <c r="K273" s="1715"/>
      <c r="L273" s="849"/>
      <c r="M273" s="849"/>
      <c r="N273" s="849"/>
      <c r="O273" s="849"/>
      <c r="P273" s="849"/>
      <c r="Q273" s="849"/>
      <c r="R273" s="849"/>
      <c r="S273" s="849"/>
      <c r="T273" s="849"/>
      <c r="U273" s="849"/>
      <c r="V273" s="849"/>
      <c r="W273" s="849"/>
      <c r="X273" s="849"/>
      <c r="Y273" s="849"/>
      <c r="Z273" s="849"/>
      <c r="AA273" s="849"/>
      <c r="AB273" s="849"/>
      <c r="AC273" s="849"/>
      <c r="AD273" s="849"/>
      <c r="AE273" s="849"/>
      <c r="AF273" s="849"/>
      <c r="AG273" s="849"/>
      <c r="AH273" s="849"/>
      <c r="AI273" s="849"/>
      <c r="AJ273" s="849"/>
      <c r="AK273" s="849"/>
      <c r="AL273" s="853"/>
      <c r="AM273" s="612"/>
      <c r="AN273" s="610"/>
      <c r="AO273" s="608"/>
      <c r="AP273" s="612"/>
      <c r="AQ273" s="612"/>
      <c r="AZ273" s="615"/>
      <c r="BY273" s="732"/>
      <c r="BZ273" s="732"/>
      <c r="CA273" s="1327"/>
      <c r="CB273" s="1327"/>
      <c r="CC273" s="1327"/>
      <c r="CD273" s="1327"/>
      <c r="CE273" s="1327"/>
      <c r="CF273" s="1327"/>
      <c r="CG273" s="1327"/>
      <c r="CH273" s="1327"/>
      <c r="CI273" s="1327"/>
      <c r="CJ273" s="1327"/>
      <c r="CK273" s="1328"/>
      <c r="CL273" s="1328"/>
      <c r="CM273" s="1329"/>
      <c r="CN273" s="1329"/>
      <c r="CO273" s="1329"/>
      <c r="CP273" s="1329"/>
      <c r="CQ273" s="1329"/>
      <c r="CR273" s="1329"/>
      <c r="CS273" s="1329"/>
      <c r="CT273" s="1328"/>
      <c r="CU273" s="1328"/>
      <c r="CV273" s="1328"/>
      <c r="CW273" s="1328"/>
      <c r="CX273" s="1328"/>
      <c r="CY273" s="1328"/>
      <c r="CZ273" s="1328"/>
      <c r="DA273" s="1328"/>
      <c r="DB273" s="1328"/>
      <c r="DC273" s="1328"/>
      <c r="DD273" s="1328"/>
      <c r="DE273" s="1328"/>
      <c r="DF273" s="1328"/>
      <c r="DG273" s="1328"/>
      <c r="DH273" s="1328"/>
      <c r="DI273" s="1328"/>
      <c r="DJ273" s="1328"/>
      <c r="DK273" s="1328"/>
    </row>
    <row r="274" spans="1:115" s="614" customFormat="1" ht="20.25" customHeight="1">
      <c r="A274" s="848"/>
      <c r="B274" s="861" t="s">
        <v>1004</v>
      </c>
      <c r="C274" s="1715"/>
      <c r="D274" s="1715"/>
      <c r="E274" s="1715"/>
      <c r="F274" s="1715"/>
      <c r="G274" s="1715"/>
      <c r="H274" s="1715"/>
      <c r="I274" s="1715"/>
      <c r="J274" s="1715"/>
      <c r="K274" s="1715"/>
      <c r="L274" s="849"/>
      <c r="M274" s="849"/>
      <c r="N274" s="849"/>
      <c r="O274" s="849"/>
      <c r="P274" s="849"/>
      <c r="Q274" s="849"/>
      <c r="R274" s="849"/>
      <c r="S274" s="849"/>
      <c r="T274" s="849"/>
      <c r="U274" s="849"/>
      <c r="V274" s="849"/>
      <c r="W274" s="849"/>
      <c r="X274" s="849"/>
      <c r="Y274" s="849"/>
      <c r="Z274" s="849"/>
      <c r="AA274" s="849"/>
      <c r="AB274" s="849"/>
      <c r="AC274" s="849"/>
      <c r="AD274" s="849"/>
      <c r="AE274" s="849"/>
      <c r="AF274" s="849"/>
      <c r="AG274" s="849"/>
      <c r="AH274" s="849"/>
      <c r="AI274" s="849"/>
      <c r="AJ274" s="849"/>
      <c r="AK274" s="849"/>
      <c r="AL274" s="853"/>
      <c r="AM274" s="612"/>
      <c r="AN274" s="610"/>
      <c r="AO274" s="608"/>
      <c r="AP274" s="612"/>
      <c r="AQ274" s="612"/>
      <c r="AZ274" s="615"/>
      <c r="BY274" s="732"/>
      <c r="BZ274" s="732"/>
      <c r="CA274" s="1327"/>
      <c r="CB274" s="1327"/>
      <c r="CC274" s="1327"/>
      <c r="CD274" s="1327"/>
      <c r="CE274" s="1327"/>
      <c r="CF274" s="1327"/>
      <c r="CG274" s="1327"/>
      <c r="CH274" s="1327"/>
      <c r="CI274" s="1327"/>
      <c r="CJ274" s="1327"/>
      <c r="CK274" s="1328"/>
      <c r="CL274" s="1328"/>
      <c r="CM274" s="1329"/>
      <c r="CN274" s="1329"/>
      <c r="CO274" s="1329"/>
      <c r="CP274" s="1329"/>
      <c r="CQ274" s="1329"/>
      <c r="CR274" s="1329"/>
      <c r="CS274" s="1329"/>
      <c r="CT274" s="1328"/>
      <c r="CU274" s="1328"/>
      <c r="CV274" s="1328"/>
      <c r="CW274" s="1328"/>
      <c r="CX274" s="1328"/>
      <c r="CY274" s="1328"/>
      <c r="CZ274" s="1328"/>
      <c r="DA274" s="1328"/>
      <c r="DB274" s="1328"/>
      <c r="DC274" s="1328"/>
      <c r="DD274" s="1328"/>
      <c r="DE274" s="1328"/>
      <c r="DF274" s="1328"/>
      <c r="DG274" s="1328"/>
      <c r="DH274" s="1328"/>
      <c r="DI274" s="1328"/>
      <c r="DJ274" s="1328"/>
      <c r="DK274" s="1328"/>
    </row>
    <row r="275" spans="1:115" s="614" customFormat="1" ht="20.25" customHeight="1">
      <c r="A275" s="848"/>
      <c r="B275" s="861" t="s">
        <v>1005</v>
      </c>
      <c r="C275" s="1715"/>
      <c r="D275" s="1715"/>
      <c r="E275" s="1715"/>
      <c r="F275" s="1715"/>
      <c r="G275" s="1715"/>
      <c r="H275" s="1715"/>
      <c r="I275" s="1715"/>
      <c r="J275" s="1715"/>
      <c r="K275" s="1715"/>
      <c r="L275" s="849"/>
      <c r="M275" s="849"/>
      <c r="N275" s="849"/>
      <c r="O275" s="849"/>
      <c r="P275" s="849"/>
      <c r="Q275" s="849"/>
      <c r="R275" s="849"/>
      <c r="S275" s="849"/>
      <c r="T275" s="849"/>
      <c r="U275" s="849"/>
      <c r="V275" s="849"/>
      <c r="W275" s="849"/>
      <c r="X275" s="849"/>
      <c r="Y275" s="849"/>
      <c r="Z275" s="849"/>
      <c r="AA275" s="849"/>
      <c r="AB275" s="849"/>
      <c r="AC275" s="849"/>
      <c r="AD275" s="849"/>
      <c r="AE275" s="849"/>
      <c r="AF275" s="849"/>
      <c r="AG275" s="849"/>
      <c r="AH275" s="849"/>
      <c r="AI275" s="849"/>
      <c r="AJ275" s="849"/>
      <c r="AK275" s="849"/>
      <c r="AL275" s="853"/>
      <c r="AM275" s="612"/>
      <c r="AN275" s="610"/>
      <c r="AO275" s="608"/>
      <c r="AP275" s="612"/>
      <c r="AQ275" s="612"/>
      <c r="AZ275" s="615"/>
      <c r="BY275" s="732"/>
      <c r="BZ275" s="732"/>
      <c r="CA275" s="1327"/>
      <c r="CB275" s="1327"/>
      <c r="CC275" s="1327"/>
      <c r="CD275" s="1327"/>
      <c r="CE275" s="1327"/>
      <c r="CF275" s="1327"/>
      <c r="CG275" s="1327"/>
      <c r="CH275" s="1327"/>
      <c r="CI275" s="1327"/>
      <c r="CJ275" s="1327"/>
      <c r="CK275" s="1328"/>
      <c r="CL275" s="1328"/>
      <c r="CM275" s="1329"/>
      <c r="CN275" s="1329"/>
      <c r="CO275" s="1329"/>
      <c r="CP275" s="1329"/>
      <c r="CQ275" s="1329"/>
      <c r="CR275" s="1329"/>
      <c r="CS275" s="1329"/>
      <c r="CT275" s="1328"/>
      <c r="CU275" s="1328"/>
      <c r="CV275" s="1328"/>
      <c r="CW275" s="1328"/>
      <c r="CX275" s="1328"/>
      <c r="CY275" s="1328"/>
      <c r="CZ275" s="1328"/>
      <c r="DA275" s="1328"/>
      <c r="DB275" s="1328"/>
      <c r="DC275" s="1328"/>
      <c r="DD275" s="1328"/>
      <c r="DE275" s="1328"/>
      <c r="DF275" s="1328"/>
      <c r="DG275" s="1328"/>
      <c r="DH275" s="1328"/>
      <c r="DI275" s="1328"/>
      <c r="DJ275" s="1328"/>
      <c r="DK275" s="1328"/>
    </row>
    <row r="276" spans="1:115" s="614" customFormat="1" ht="20.25" customHeight="1">
      <c r="A276" s="848"/>
      <c r="B276" s="861" t="s">
        <v>1006</v>
      </c>
      <c r="C276" s="1715"/>
      <c r="D276" s="1715"/>
      <c r="E276" s="1715"/>
      <c r="F276" s="1715"/>
      <c r="G276" s="1715"/>
      <c r="H276" s="1715"/>
      <c r="I276" s="1715"/>
      <c r="J276" s="1715"/>
      <c r="K276" s="1715"/>
      <c r="L276" s="849"/>
      <c r="M276" s="849"/>
      <c r="N276" s="849"/>
      <c r="O276" s="849"/>
      <c r="P276" s="849"/>
      <c r="Q276" s="849"/>
      <c r="R276" s="849"/>
      <c r="S276" s="849"/>
      <c r="T276" s="849"/>
      <c r="U276" s="849"/>
      <c r="V276" s="849"/>
      <c r="W276" s="849"/>
      <c r="X276" s="849"/>
      <c r="Y276" s="849"/>
      <c r="Z276" s="849"/>
      <c r="AA276" s="849"/>
      <c r="AB276" s="849"/>
      <c r="AC276" s="849"/>
      <c r="AD276" s="849"/>
      <c r="AE276" s="849"/>
      <c r="AF276" s="849"/>
      <c r="AG276" s="849"/>
      <c r="AH276" s="849"/>
      <c r="AI276" s="849"/>
      <c r="AJ276" s="849"/>
      <c r="AK276" s="849"/>
      <c r="AL276" s="853"/>
      <c r="AM276" s="612"/>
      <c r="AN276" s="610"/>
      <c r="AO276" s="608"/>
      <c r="AP276" s="612"/>
      <c r="AQ276" s="612"/>
      <c r="AZ276" s="615"/>
      <c r="BY276" s="732"/>
      <c r="BZ276" s="732"/>
      <c r="CA276" s="1327"/>
      <c r="CB276" s="1327"/>
      <c r="CC276" s="1327"/>
      <c r="CD276" s="1327"/>
      <c r="CE276" s="1327"/>
      <c r="CF276" s="1327"/>
      <c r="CG276" s="1327"/>
      <c r="CH276" s="1327"/>
      <c r="CI276" s="1327"/>
      <c r="CJ276" s="1327"/>
      <c r="CK276" s="1328"/>
      <c r="CL276" s="1328"/>
      <c r="CM276" s="1329"/>
      <c r="CN276" s="1329"/>
      <c r="CO276" s="1329"/>
      <c r="CP276" s="1329"/>
      <c r="CQ276" s="1329"/>
      <c r="CR276" s="1329"/>
      <c r="CS276" s="1329"/>
      <c r="CT276" s="1328"/>
      <c r="CU276" s="1328"/>
      <c r="CV276" s="1328"/>
      <c r="CW276" s="1328"/>
      <c r="CX276" s="1328"/>
      <c r="CY276" s="1328"/>
      <c r="CZ276" s="1328"/>
      <c r="DA276" s="1328"/>
      <c r="DB276" s="1328"/>
      <c r="DC276" s="1328"/>
      <c r="DD276" s="1328"/>
      <c r="DE276" s="1328"/>
      <c r="DF276" s="1328"/>
      <c r="DG276" s="1328"/>
      <c r="DH276" s="1328"/>
      <c r="DI276" s="1328"/>
      <c r="DJ276" s="1328"/>
      <c r="DK276" s="1328"/>
    </row>
    <row r="277" spans="1:115" s="614" customFormat="1" ht="20.25" customHeight="1">
      <c r="A277" s="848"/>
      <c r="B277" s="861" t="s">
        <v>1007</v>
      </c>
      <c r="C277" s="1715"/>
      <c r="D277" s="1715"/>
      <c r="E277" s="1715"/>
      <c r="F277" s="1715"/>
      <c r="G277" s="1715"/>
      <c r="H277" s="1715"/>
      <c r="I277" s="1715"/>
      <c r="J277" s="1715"/>
      <c r="K277" s="1715"/>
      <c r="L277" s="849"/>
      <c r="M277" s="849"/>
      <c r="N277" s="849"/>
      <c r="O277" s="849"/>
      <c r="P277" s="849"/>
      <c r="Q277" s="849"/>
      <c r="R277" s="849"/>
      <c r="S277" s="849"/>
      <c r="T277" s="849"/>
      <c r="U277" s="849"/>
      <c r="V277" s="849"/>
      <c r="W277" s="849"/>
      <c r="X277" s="849"/>
      <c r="Y277" s="849"/>
      <c r="Z277" s="849"/>
      <c r="AA277" s="849"/>
      <c r="AB277" s="849"/>
      <c r="AC277" s="849"/>
      <c r="AD277" s="849"/>
      <c r="AE277" s="849"/>
      <c r="AF277" s="849"/>
      <c r="AG277" s="849"/>
      <c r="AH277" s="849"/>
      <c r="AI277" s="849"/>
      <c r="AJ277" s="849"/>
      <c r="AK277" s="849"/>
      <c r="AL277" s="853"/>
      <c r="AM277" s="612"/>
      <c r="AN277" s="610"/>
      <c r="AO277" s="608"/>
      <c r="AP277" s="612"/>
      <c r="AQ277" s="612"/>
      <c r="AZ277" s="615"/>
      <c r="BY277" s="732"/>
      <c r="BZ277" s="732"/>
      <c r="CA277" s="1327"/>
      <c r="CB277" s="1327"/>
      <c r="CC277" s="1327"/>
      <c r="CD277" s="1327"/>
      <c r="CE277" s="1327"/>
      <c r="CF277" s="1327"/>
      <c r="CG277" s="1327"/>
      <c r="CH277" s="1327"/>
      <c r="CI277" s="1327"/>
      <c r="CJ277" s="1327"/>
      <c r="CK277" s="1328"/>
      <c r="CL277" s="1328"/>
      <c r="CM277" s="1329"/>
      <c r="CN277" s="1329"/>
      <c r="CO277" s="1329"/>
      <c r="CP277" s="1329"/>
      <c r="CQ277" s="1329"/>
      <c r="CR277" s="1329"/>
      <c r="CS277" s="1329"/>
      <c r="CT277" s="1328"/>
      <c r="CU277" s="1328"/>
      <c r="CV277" s="1328"/>
      <c r="CW277" s="1328"/>
      <c r="CX277" s="1328"/>
      <c r="CY277" s="1328"/>
      <c r="CZ277" s="1328"/>
      <c r="DA277" s="1328"/>
      <c r="DB277" s="1328"/>
      <c r="DC277" s="1328"/>
      <c r="DD277" s="1328"/>
      <c r="DE277" s="1328"/>
      <c r="DF277" s="1328"/>
      <c r="DG277" s="1328"/>
      <c r="DH277" s="1328"/>
      <c r="DI277" s="1328"/>
      <c r="DJ277" s="1328"/>
      <c r="DK277" s="1328"/>
    </row>
    <row r="278" spans="1:115" s="614" customFormat="1" ht="20.25" customHeight="1">
      <c r="A278" s="848"/>
      <c r="B278" s="3122" t="s">
        <v>1029</v>
      </c>
      <c r="C278" s="3122"/>
      <c r="D278" s="3122"/>
      <c r="E278" s="3122"/>
      <c r="F278" s="3122"/>
      <c r="G278" s="3122"/>
      <c r="H278" s="3122"/>
      <c r="I278" s="3122"/>
      <c r="J278" s="3122"/>
      <c r="K278" s="3122"/>
      <c r="L278" s="3122"/>
      <c r="M278" s="3122"/>
      <c r="N278" s="3122"/>
      <c r="O278" s="3122"/>
      <c r="P278" s="3122"/>
      <c r="Q278" s="849"/>
      <c r="R278" s="849"/>
      <c r="S278" s="849"/>
      <c r="T278" s="849"/>
      <c r="U278" s="849"/>
      <c r="V278" s="849"/>
      <c r="W278" s="849"/>
      <c r="X278" s="849"/>
      <c r="Y278" s="849"/>
      <c r="Z278" s="849"/>
      <c r="AA278" s="849"/>
      <c r="AB278" s="849"/>
      <c r="AC278" s="849"/>
      <c r="AD278" s="849"/>
      <c r="AE278" s="849"/>
      <c r="AF278" s="849"/>
      <c r="AG278" s="849"/>
      <c r="AH278" s="849"/>
      <c r="AI278" s="849"/>
      <c r="AJ278" s="849"/>
      <c r="AK278" s="849"/>
      <c r="AL278" s="853"/>
      <c r="AM278" s="612"/>
      <c r="AN278" s="610"/>
      <c r="AO278" s="608"/>
      <c r="AP278" s="612"/>
      <c r="AQ278" s="612"/>
      <c r="AZ278" s="615"/>
      <c r="BY278" s="732"/>
      <c r="BZ278" s="732"/>
      <c r="CA278" s="1327"/>
      <c r="CB278" s="1327"/>
      <c r="CC278" s="1327"/>
      <c r="CD278" s="1327"/>
      <c r="CE278" s="1327"/>
      <c r="CF278" s="1327"/>
      <c r="CG278" s="1327"/>
      <c r="CH278" s="1327"/>
      <c r="CI278" s="1327"/>
      <c r="CJ278" s="1327"/>
      <c r="CK278" s="1328"/>
      <c r="CL278" s="1328"/>
      <c r="CM278" s="1329"/>
      <c r="CN278" s="1329"/>
      <c r="CO278" s="1329"/>
      <c r="CP278" s="1329"/>
      <c r="CQ278" s="1329"/>
      <c r="CR278" s="1329"/>
      <c r="CS278" s="1329"/>
      <c r="CT278" s="1328"/>
      <c r="CU278" s="1328"/>
      <c r="CV278" s="1328"/>
      <c r="CW278" s="1328"/>
      <c r="CX278" s="1328"/>
      <c r="CY278" s="1328"/>
      <c r="CZ278" s="1328"/>
      <c r="DA278" s="1328"/>
      <c r="DB278" s="1328"/>
      <c r="DC278" s="1328"/>
      <c r="DD278" s="1328"/>
      <c r="DE278" s="1328"/>
      <c r="DF278" s="1328"/>
      <c r="DG278" s="1328"/>
      <c r="DH278" s="1328"/>
      <c r="DI278" s="1328"/>
      <c r="DJ278" s="1328"/>
      <c r="DK278" s="1328"/>
    </row>
    <row r="279" spans="1:115" s="614" customFormat="1" ht="20.25" customHeight="1">
      <c r="A279" s="848"/>
      <c r="B279" s="861" t="s">
        <v>1008</v>
      </c>
      <c r="C279" s="1715"/>
      <c r="D279" s="1715"/>
      <c r="E279" s="1715"/>
      <c r="F279" s="1715"/>
      <c r="G279" s="1715"/>
      <c r="H279" s="1715"/>
      <c r="I279" s="1715"/>
      <c r="J279" s="1715"/>
      <c r="K279" s="1715"/>
      <c r="L279" s="849"/>
      <c r="M279" s="849"/>
      <c r="N279" s="849"/>
      <c r="O279" s="849"/>
      <c r="P279" s="849"/>
      <c r="Q279" s="849"/>
      <c r="R279" s="849"/>
      <c r="S279" s="849"/>
      <c r="T279" s="849"/>
      <c r="U279" s="849"/>
      <c r="V279" s="849"/>
      <c r="W279" s="849"/>
      <c r="X279" s="849"/>
      <c r="Y279" s="849"/>
      <c r="Z279" s="849"/>
      <c r="AA279" s="849"/>
      <c r="AB279" s="849"/>
      <c r="AC279" s="849"/>
      <c r="AD279" s="849"/>
      <c r="AE279" s="849"/>
      <c r="AF279" s="849"/>
      <c r="AG279" s="849"/>
      <c r="AH279" s="849"/>
      <c r="AI279" s="849"/>
      <c r="AJ279" s="849"/>
      <c r="AK279" s="849"/>
      <c r="AL279" s="853"/>
      <c r="AM279" s="612"/>
      <c r="AN279" s="610"/>
      <c r="AO279" s="608"/>
      <c r="AP279" s="612"/>
      <c r="AQ279" s="612"/>
      <c r="AZ279" s="615"/>
      <c r="BY279" s="732"/>
      <c r="BZ279" s="732"/>
      <c r="CA279" s="1327"/>
      <c r="CB279" s="1327"/>
      <c r="CC279" s="1327"/>
      <c r="CD279" s="1327"/>
      <c r="CE279" s="1327"/>
      <c r="CF279" s="1327"/>
      <c r="CG279" s="1327"/>
      <c r="CH279" s="1327"/>
      <c r="CI279" s="1327"/>
      <c r="CJ279" s="1327"/>
      <c r="CK279" s="1328"/>
      <c r="CL279" s="1328"/>
      <c r="CM279" s="1329"/>
      <c r="CN279" s="1329"/>
      <c r="CO279" s="1329"/>
      <c r="CP279" s="1329"/>
      <c r="CQ279" s="1329"/>
      <c r="CR279" s="1329"/>
      <c r="CS279" s="1329"/>
      <c r="CT279" s="1328"/>
      <c r="CU279" s="1328"/>
      <c r="CV279" s="1328"/>
      <c r="CW279" s="1328"/>
      <c r="CX279" s="1328"/>
      <c r="CY279" s="1328"/>
      <c r="CZ279" s="1328"/>
      <c r="DA279" s="1328"/>
      <c r="DB279" s="1328"/>
      <c r="DC279" s="1328"/>
      <c r="DD279" s="1328"/>
      <c r="DE279" s="1328"/>
      <c r="DF279" s="1328"/>
      <c r="DG279" s="1328"/>
      <c r="DH279" s="1328"/>
      <c r="DI279" s="1328"/>
      <c r="DJ279" s="1328"/>
      <c r="DK279" s="1328"/>
    </row>
    <row r="280" spans="1:115" s="614" customFormat="1" ht="20.25" customHeight="1">
      <c r="A280" s="848"/>
      <c r="B280" s="861" t="s">
        <v>1009</v>
      </c>
      <c r="C280" s="1715"/>
      <c r="D280" s="1715"/>
      <c r="E280" s="1715"/>
      <c r="F280" s="1715"/>
      <c r="G280" s="1715"/>
      <c r="H280" s="1715"/>
      <c r="I280" s="1715"/>
      <c r="J280" s="1715"/>
      <c r="K280" s="1715"/>
      <c r="L280" s="849"/>
      <c r="M280" s="849"/>
      <c r="N280" s="849"/>
      <c r="O280" s="849"/>
      <c r="P280" s="849"/>
      <c r="Q280" s="849"/>
      <c r="R280" s="849"/>
      <c r="S280" s="849"/>
      <c r="T280" s="849"/>
      <c r="U280" s="849"/>
      <c r="V280" s="849"/>
      <c r="W280" s="849"/>
      <c r="X280" s="849"/>
      <c r="Y280" s="849"/>
      <c r="Z280" s="849"/>
      <c r="AA280" s="849"/>
      <c r="AB280" s="849"/>
      <c r="AC280" s="849"/>
      <c r="AD280" s="849"/>
      <c r="AE280" s="849"/>
      <c r="AF280" s="849"/>
      <c r="AG280" s="849"/>
      <c r="AH280" s="849"/>
      <c r="AI280" s="849"/>
      <c r="AJ280" s="849"/>
      <c r="AK280" s="849"/>
      <c r="AL280" s="853"/>
      <c r="AM280" s="612"/>
      <c r="AN280" s="610"/>
      <c r="AO280" s="608"/>
      <c r="AP280" s="612"/>
      <c r="AQ280" s="612"/>
      <c r="AZ280" s="615"/>
      <c r="BY280" s="732"/>
      <c r="BZ280" s="732"/>
      <c r="CA280" s="1327"/>
      <c r="CB280" s="1327"/>
      <c r="CC280" s="1327"/>
      <c r="CD280" s="1327"/>
      <c r="CE280" s="1327"/>
      <c r="CF280" s="1327"/>
      <c r="CG280" s="1327"/>
      <c r="CH280" s="1327"/>
      <c r="CI280" s="1327"/>
      <c r="CJ280" s="1327"/>
      <c r="CK280" s="1328"/>
      <c r="CL280" s="1328"/>
      <c r="CM280" s="1329"/>
      <c r="CN280" s="1329"/>
      <c r="CO280" s="1329"/>
      <c r="CP280" s="1329"/>
      <c r="CQ280" s="1329"/>
      <c r="CR280" s="1329"/>
      <c r="CS280" s="1329"/>
      <c r="CT280" s="1328"/>
      <c r="CU280" s="1328"/>
      <c r="CV280" s="1328"/>
      <c r="CW280" s="1328"/>
      <c r="CX280" s="1328"/>
      <c r="CY280" s="1328"/>
      <c r="CZ280" s="1328"/>
      <c r="DA280" s="1328"/>
      <c r="DB280" s="1328"/>
      <c r="DC280" s="1328"/>
      <c r="DD280" s="1328"/>
      <c r="DE280" s="1328"/>
      <c r="DF280" s="1328"/>
      <c r="DG280" s="1328"/>
      <c r="DH280" s="1328"/>
      <c r="DI280" s="1328"/>
      <c r="DJ280" s="1328"/>
      <c r="DK280" s="1328"/>
    </row>
    <row r="281" spans="1:115" s="614" customFormat="1" ht="20.25" customHeight="1">
      <c r="A281" s="848"/>
      <c r="B281" s="861" t="s">
        <v>1010</v>
      </c>
      <c r="C281" s="1715"/>
      <c r="D281" s="1715"/>
      <c r="E281" s="1715"/>
      <c r="F281" s="1715"/>
      <c r="G281" s="1715"/>
      <c r="H281" s="1715"/>
      <c r="I281" s="1715"/>
      <c r="J281" s="1715"/>
      <c r="K281" s="1715"/>
      <c r="L281" s="849"/>
      <c r="M281" s="849"/>
      <c r="N281" s="849"/>
      <c r="O281" s="849"/>
      <c r="P281" s="849"/>
      <c r="Q281" s="849"/>
      <c r="R281" s="849"/>
      <c r="S281" s="849"/>
      <c r="T281" s="849"/>
      <c r="U281" s="849"/>
      <c r="V281" s="849"/>
      <c r="W281" s="849"/>
      <c r="X281" s="849"/>
      <c r="Y281" s="849"/>
      <c r="Z281" s="849"/>
      <c r="AA281" s="849"/>
      <c r="AB281" s="849"/>
      <c r="AC281" s="849"/>
      <c r="AD281" s="849"/>
      <c r="AE281" s="849"/>
      <c r="AF281" s="849"/>
      <c r="AG281" s="849"/>
      <c r="AH281" s="849"/>
      <c r="AI281" s="849"/>
      <c r="AJ281" s="849"/>
      <c r="AK281" s="849"/>
      <c r="AL281" s="853"/>
      <c r="AM281" s="612"/>
      <c r="AN281" s="610"/>
      <c r="AO281" s="608"/>
      <c r="AP281" s="612"/>
      <c r="AQ281" s="612"/>
      <c r="AZ281" s="615"/>
      <c r="BY281" s="732"/>
      <c r="BZ281" s="732"/>
      <c r="CA281" s="1327"/>
      <c r="CB281" s="1327"/>
      <c r="CC281" s="1327"/>
      <c r="CD281" s="1327"/>
      <c r="CE281" s="1327"/>
      <c r="CF281" s="1327"/>
      <c r="CG281" s="1327"/>
      <c r="CH281" s="1327"/>
      <c r="CI281" s="1327"/>
      <c r="CJ281" s="1327"/>
      <c r="CK281" s="1328"/>
      <c r="CL281" s="1328"/>
      <c r="CM281" s="1329"/>
      <c r="CN281" s="1329"/>
      <c r="CO281" s="1329"/>
      <c r="CP281" s="1329"/>
      <c r="CQ281" s="1329"/>
      <c r="CR281" s="1329"/>
      <c r="CS281" s="1329"/>
      <c r="CT281" s="1328"/>
      <c r="CU281" s="1328"/>
      <c r="CV281" s="1328"/>
      <c r="CW281" s="1328"/>
      <c r="CX281" s="1328"/>
      <c r="CY281" s="1328"/>
      <c r="CZ281" s="1328"/>
      <c r="DA281" s="1328"/>
      <c r="DB281" s="1328"/>
      <c r="DC281" s="1328"/>
      <c r="DD281" s="1328"/>
      <c r="DE281" s="1328"/>
      <c r="DF281" s="1328"/>
      <c r="DG281" s="1328"/>
      <c r="DH281" s="1328"/>
      <c r="DI281" s="1328"/>
      <c r="DJ281" s="1328"/>
      <c r="DK281" s="1328"/>
    </row>
    <row r="282" spans="1:115" s="614" customFormat="1" ht="20.25" customHeight="1">
      <c r="A282" s="848"/>
      <c r="B282" s="861" t="s">
        <v>1011</v>
      </c>
      <c r="C282" s="1715"/>
      <c r="D282" s="1715"/>
      <c r="E282" s="1715"/>
      <c r="F282" s="1715"/>
      <c r="G282" s="1715"/>
      <c r="H282" s="1715"/>
      <c r="I282" s="1715"/>
      <c r="J282" s="1715"/>
      <c r="K282" s="1715"/>
      <c r="L282" s="849"/>
      <c r="M282" s="849"/>
      <c r="N282" s="849"/>
      <c r="O282" s="849"/>
      <c r="P282" s="849"/>
      <c r="Q282" s="849"/>
      <c r="R282" s="849"/>
      <c r="S282" s="849"/>
      <c r="T282" s="849"/>
      <c r="U282" s="849"/>
      <c r="V282" s="849"/>
      <c r="W282" s="849"/>
      <c r="X282" s="849"/>
      <c r="Y282" s="849"/>
      <c r="Z282" s="849"/>
      <c r="AA282" s="849"/>
      <c r="AB282" s="849"/>
      <c r="AC282" s="849"/>
      <c r="AD282" s="849"/>
      <c r="AE282" s="849"/>
      <c r="AF282" s="849"/>
      <c r="AG282" s="849"/>
      <c r="AH282" s="849"/>
      <c r="AI282" s="849"/>
      <c r="AJ282" s="849"/>
      <c r="AK282" s="849"/>
      <c r="AL282" s="853"/>
      <c r="AM282" s="612"/>
      <c r="AN282" s="610"/>
      <c r="AO282" s="608"/>
      <c r="AP282" s="612"/>
      <c r="AQ282" s="612"/>
      <c r="AZ282" s="615"/>
      <c r="BY282" s="732"/>
      <c r="BZ282" s="732"/>
      <c r="CA282" s="1327"/>
      <c r="CB282" s="1327"/>
      <c r="CC282" s="1327"/>
      <c r="CD282" s="1327"/>
      <c r="CE282" s="1327"/>
      <c r="CF282" s="1327"/>
      <c r="CG282" s="1327"/>
      <c r="CH282" s="1327"/>
      <c r="CI282" s="1327"/>
      <c r="CJ282" s="1327"/>
      <c r="CK282" s="1328"/>
      <c r="CL282" s="1328"/>
      <c r="CM282" s="1329"/>
      <c r="CN282" s="1329"/>
      <c r="CO282" s="1329"/>
      <c r="CP282" s="1329"/>
      <c r="CQ282" s="1329"/>
      <c r="CR282" s="1329"/>
      <c r="CS282" s="1329"/>
      <c r="CT282" s="1328"/>
      <c r="CU282" s="1328"/>
      <c r="CV282" s="1328"/>
      <c r="CW282" s="1328"/>
      <c r="CX282" s="1328"/>
      <c r="CY282" s="1328"/>
      <c r="CZ282" s="1328"/>
      <c r="DA282" s="1328"/>
      <c r="DB282" s="1328"/>
      <c r="DC282" s="1328"/>
      <c r="DD282" s="1328"/>
      <c r="DE282" s="1328"/>
      <c r="DF282" s="1328"/>
      <c r="DG282" s="1328"/>
      <c r="DH282" s="1328"/>
      <c r="DI282" s="1328"/>
      <c r="DJ282" s="1328"/>
      <c r="DK282" s="1328"/>
    </row>
    <row r="283" spans="1:115" s="614" customFormat="1" ht="20.25" customHeight="1">
      <c r="A283" s="848"/>
      <c r="B283" s="861" t="s">
        <v>1012</v>
      </c>
      <c r="C283" s="1715"/>
      <c r="D283" s="1715"/>
      <c r="E283" s="1715"/>
      <c r="F283" s="1715"/>
      <c r="G283" s="1715"/>
      <c r="H283" s="1715"/>
      <c r="I283" s="1715"/>
      <c r="J283" s="1715"/>
      <c r="K283" s="1715"/>
      <c r="L283" s="849"/>
      <c r="M283" s="849"/>
      <c r="N283" s="849"/>
      <c r="O283" s="849"/>
      <c r="P283" s="849"/>
      <c r="Q283" s="849"/>
      <c r="R283" s="849"/>
      <c r="S283" s="849"/>
      <c r="T283" s="849"/>
      <c r="U283" s="849"/>
      <c r="V283" s="849"/>
      <c r="W283" s="849"/>
      <c r="X283" s="849"/>
      <c r="Y283" s="849"/>
      <c r="Z283" s="849"/>
      <c r="AA283" s="849"/>
      <c r="AB283" s="849"/>
      <c r="AC283" s="849"/>
      <c r="AD283" s="849"/>
      <c r="AE283" s="849"/>
      <c r="AF283" s="849"/>
      <c r="AG283" s="849"/>
      <c r="AH283" s="849"/>
      <c r="AI283" s="849"/>
      <c r="AJ283" s="849"/>
      <c r="AK283" s="849"/>
      <c r="AL283" s="853"/>
      <c r="AM283" s="612"/>
      <c r="AN283" s="610"/>
      <c r="AO283" s="608"/>
      <c r="AP283" s="612"/>
      <c r="AQ283" s="612"/>
      <c r="AZ283" s="615"/>
      <c r="BY283" s="732"/>
      <c r="BZ283" s="732"/>
      <c r="CA283" s="1327"/>
      <c r="CB283" s="1327"/>
      <c r="CC283" s="1327"/>
      <c r="CD283" s="1327"/>
      <c r="CE283" s="1327"/>
      <c r="CF283" s="1327"/>
      <c r="CG283" s="1327"/>
      <c r="CH283" s="1327"/>
      <c r="CI283" s="1327"/>
      <c r="CJ283" s="1327"/>
      <c r="CK283" s="1328"/>
      <c r="CL283" s="1328"/>
      <c r="CM283" s="1329"/>
      <c r="CN283" s="1329"/>
      <c r="CO283" s="1329"/>
      <c r="CP283" s="1329"/>
      <c r="CQ283" s="1329"/>
      <c r="CR283" s="1329"/>
      <c r="CS283" s="1329"/>
      <c r="CT283" s="1328"/>
      <c r="CU283" s="1328"/>
      <c r="CV283" s="1328"/>
      <c r="CW283" s="1328"/>
      <c r="CX283" s="1328"/>
      <c r="CY283" s="1328"/>
      <c r="CZ283" s="1328"/>
      <c r="DA283" s="1328"/>
      <c r="DB283" s="1328"/>
      <c r="DC283" s="1328"/>
      <c r="DD283" s="1328"/>
      <c r="DE283" s="1328"/>
      <c r="DF283" s="1328"/>
      <c r="DG283" s="1328"/>
      <c r="DH283" s="1328"/>
      <c r="DI283" s="1328"/>
      <c r="DJ283" s="1328"/>
      <c r="DK283" s="1328"/>
    </row>
    <row r="284" spans="1:115" s="614" customFormat="1" ht="20.25" customHeight="1">
      <c r="A284" s="848"/>
      <c r="B284" s="861" t="s">
        <v>1013</v>
      </c>
      <c r="C284" s="1715"/>
      <c r="D284" s="1715"/>
      <c r="E284" s="1715"/>
      <c r="F284" s="1715"/>
      <c r="G284" s="1715"/>
      <c r="H284" s="1715"/>
      <c r="I284" s="1715"/>
      <c r="J284" s="1715"/>
      <c r="K284" s="1715"/>
      <c r="L284" s="849"/>
      <c r="M284" s="849"/>
      <c r="N284" s="849"/>
      <c r="O284" s="849"/>
      <c r="P284" s="849"/>
      <c r="Q284" s="849"/>
      <c r="R284" s="849"/>
      <c r="S284" s="849"/>
      <c r="T284" s="849"/>
      <c r="U284" s="849"/>
      <c r="V284" s="849"/>
      <c r="W284" s="849"/>
      <c r="X284" s="849"/>
      <c r="Y284" s="849"/>
      <c r="Z284" s="849"/>
      <c r="AA284" s="849"/>
      <c r="AB284" s="849"/>
      <c r="AC284" s="849"/>
      <c r="AD284" s="849"/>
      <c r="AE284" s="849"/>
      <c r="AF284" s="849"/>
      <c r="AG284" s="849"/>
      <c r="AH284" s="849"/>
      <c r="AI284" s="849"/>
      <c r="AJ284" s="849"/>
      <c r="AK284" s="849"/>
      <c r="AL284" s="853"/>
      <c r="AM284" s="612"/>
      <c r="AN284" s="610"/>
      <c r="AO284" s="608"/>
      <c r="AP284" s="612"/>
      <c r="AQ284" s="612"/>
      <c r="AZ284" s="615"/>
      <c r="BY284" s="732"/>
      <c r="BZ284" s="732"/>
      <c r="CA284" s="1327"/>
      <c r="CB284" s="1327"/>
      <c r="CC284" s="1327"/>
      <c r="CD284" s="1327"/>
      <c r="CE284" s="1327"/>
      <c r="CF284" s="1327"/>
      <c r="CG284" s="1327"/>
      <c r="CH284" s="1327"/>
      <c r="CI284" s="1327"/>
      <c r="CJ284" s="1327"/>
      <c r="CK284" s="1328"/>
      <c r="CL284" s="1328"/>
      <c r="CM284" s="1329"/>
      <c r="CN284" s="1329"/>
      <c r="CO284" s="1329"/>
      <c r="CP284" s="1329"/>
      <c r="CQ284" s="1329"/>
      <c r="CR284" s="1329"/>
      <c r="CS284" s="1329"/>
      <c r="CT284" s="1328"/>
      <c r="CU284" s="1328"/>
      <c r="CV284" s="1328"/>
      <c r="CW284" s="1328"/>
      <c r="CX284" s="1328"/>
      <c r="CY284" s="1328"/>
      <c r="CZ284" s="1328"/>
      <c r="DA284" s="1328"/>
      <c r="DB284" s="1328"/>
      <c r="DC284" s="1328"/>
      <c r="DD284" s="1328"/>
      <c r="DE284" s="1328"/>
      <c r="DF284" s="1328"/>
      <c r="DG284" s="1328"/>
      <c r="DH284" s="1328"/>
      <c r="DI284" s="1328"/>
      <c r="DJ284" s="1328"/>
      <c r="DK284" s="1328"/>
    </row>
    <row r="285" spans="1:115" s="614" customFormat="1" ht="20.25" customHeight="1">
      <c r="A285" s="848"/>
      <c r="B285" s="861" t="s">
        <v>1014</v>
      </c>
      <c r="C285" s="1715"/>
      <c r="D285" s="1715"/>
      <c r="E285" s="1715"/>
      <c r="F285" s="1715"/>
      <c r="G285" s="1715"/>
      <c r="H285" s="1715"/>
      <c r="I285" s="1715"/>
      <c r="J285" s="1715"/>
      <c r="K285" s="1715"/>
      <c r="L285" s="849"/>
      <c r="M285" s="849"/>
      <c r="N285" s="849"/>
      <c r="O285" s="849"/>
      <c r="P285" s="849"/>
      <c r="Q285" s="849"/>
      <c r="R285" s="849"/>
      <c r="S285" s="849"/>
      <c r="T285" s="849"/>
      <c r="U285" s="849"/>
      <c r="V285" s="849"/>
      <c r="W285" s="849"/>
      <c r="X285" s="849"/>
      <c r="Y285" s="849"/>
      <c r="Z285" s="849"/>
      <c r="AA285" s="849"/>
      <c r="AB285" s="849"/>
      <c r="AC285" s="849"/>
      <c r="AD285" s="849"/>
      <c r="AE285" s="849"/>
      <c r="AF285" s="849"/>
      <c r="AG285" s="849"/>
      <c r="AH285" s="849"/>
      <c r="AI285" s="849"/>
      <c r="AJ285" s="849"/>
      <c r="AK285" s="849"/>
      <c r="AL285" s="853"/>
      <c r="AM285" s="612"/>
      <c r="AN285" s="610"/>
      <c r="AO285" s="608"/>
      <c r="AP285" s="612"/>
      <c r="AQ285" s="612"/>
      <c r="AZ285" s="615"/>
      <c r="BY285" s="732"/>
      <c r="BZ285" s="732"/>
      <c r="CA285" s="1327"/>
      <c r="CB285" s="1327"/>
      <c r="CC285" s="1327"/>
      <c r="CD285" s="1327"/>
      <c r="CE285" s="1327"/>
      <c r="CF285" s="1327"/>
      <c r="CG285" s="1327"/>
      <c r="CH285" s="1327"/>
      <c r="CI285" s="1327"/>
      <c r="CJ285" s="1327"/>
      <c r="CK285" s="1328"/>
      <c r="CL285" s="1328"/>
      <c r="CM285" s="1329"/>
      <c r="CN285" s="1329"/>
      <c r="CO285" s="1329"/>
      <c r="CP285" s="1329"/>
      <c r="CQ285" s="1329"/>
      <c r="CR285" s="1329"/>
      <c r="CS285" s="1329"/>
      <c r="CT285" s="1328"/>
      <c r="CU285" s="1328"/>
      <c r="CV285" s="1328"/>
      <c r="CW285" s="1328"/>
      <c r="CX285" s="1328"/>
      <c r="CY285" s="1328"/>
      <c r="CZ285" s="1328"/>
      <c r="DA285" s="1328"/>
      <c r="DB285" s="1328"/>
      <c r="DC285" s="1328"/>
      <c r="DD285" s="1328"/>
      <c r="DE285" s="1328"/>
      <c r="DF285" s="1328"/>
      <c r="DG285" s="1328"/>
      <c r="DH285" s="1328"/>
      <c r="DI285" s="1328"/>
      <c r="DJ285" s="1328"/>
      <c r="DK285" s="1328"/>
    </row>
    <row r="286" spans="1:115" s="614" customFormat="1" ht="20.25" customHeight="1">
      <c r="A286" s="848"/>
      <c r="B286" s="861" t="s">
        <v>1015</v>
      </c>
      <c r="C286" s="1715"/>
      <c r="D286" s="1715"/>
      <c r="E286" s="1715"/>
      <c r="F286" s="1715"/>
      <c r="G286" s="1715"/>
      <c r="H286" s="1715"/>
      <c r="I286" s="1715"/>
      <c r="J286" s="1715"/>
      <c r="K286" s="1715"/>
      <c r="L286" s="849"/>
      <c r="M286" s="849"/>
      <c r="N286" s="849"/>
      <c r="O286" s="849"/>
      <c r="P286" s="849"/>
      <c r="Q286" s="849"/>
      <c r="R286" s="849"/>
      <c r="S286" s="849"/>
      <c r="T286" s="849"/>
      <c r="U286" s="849"/>
      <c r="V286" s="849"/>
      <c r="W286" s="849"/>
      <c r="X286" s="849"/>
      <c r="Y286" s="849"/>
      <c r="Z286" s="849"/>
      <c r="AA286" s="849"/>
      <c r="AB286" s="849"/>
      <c r="AC286" s="849"/>
      <c r="AD286" s="849"/>
      <c r="AE286" s="849"/>
      <c r="AF286" s="849"/>
      <c r="AG286" s="849"/>
      <c r="AH286" s="849"/>
      <c r="AI286" s="849"/>
      <c r="AJ286" s="849"/>
      <c r="AK286" s="849"/>
      <c r="AL286" s="853"/>
      <c r="AM286" s="612"/>
      <c r="AN286" s="610"/>
      <c r="AO286" s="608"/>
      <c r="AP286" s="612"/>
      <c r="AQ286" s="612"/>
      <c r="AZ286" s="615"/>
      <c r="BY286" s="732"/>
      <c r="BZ286" s="732"/>
      <c r="CA286" s="1327"/>
      <c r="CB286" s="1327"/>
      <c r="CC286" s="1327"/>
      <c r="CD286" s="1327"/>
      <c r="CE286" s="1327"/>
      <c r="CF286" s="1327"/>
      <c r="CG286" s="1327"/>
      <c r="CH286" s="1327"/>
      <c r="CI286" s="1327"/>
      <c r="CJ286" s="1327"/>
      <c r="CK286" s="1328"/>
      <c r="CL286" s="1328"/>
      <c r="CM286" s="1329"/>
      <c r="CN286" s="1329"/>
      <c r="CO286" s="1329"/>
      <c r="CP286" s="1329"/>
      <c r="CQ286" s="1329"/>
      <c r="CR286" s="1329"/>
      <c r="CS286" s="1329"/>
      <c r="CT286" s="1328"/>
      <c r="CU286" s="1328"/>
      <c r="CV286" s="1328"/>
      <c r="CW286" s="1328"/>
      <c r="CX286" s="1328"/>
      <c r="CY286" s="1328"/>
      <c r="CZ286" s="1328"/>
      <c r="DA286" s="1328"/>
      <c r="DB286" s="1328"/>
      <c r="DC286" s="1328"/>
      <c r="DD286" s="1328"/>
      <c r="DE286" s="1328"/>
      <c r="DF286" s="1328"/>
      <c r="DG286" s="1328"/>
      <c r="DH286" s="1328"/>
      <c r="DI286" s="1328"/>
      <c r="DJ286" s="1328"/>
      <c r="DK286" s="1328"/>
    </row>
    <row r="287" spans="1:115" s="614" customFormat="1" ht="20.25" customHeight="1">
      <c r="A287" s="848"/>
      <c r="B287" s="861" t="s">
        <v>1016</v>
      </c>
      <c r="C287" s="1715"/>
      <c r="D287" s="1715"/>
      <c r="E287" s="1715"/>
      <c r="F287" s="1715"/>
      <c r="G287" s="1715"/>
      <c r="H287" s="1715"/>
      <c r="I287" s="1715"/>
      <c r="J287" s="1715"/>
      <c r="K287" s="1715"/>
      <c r="L287" s="849"/>
      <c r="M287" s="849"/>
      <c r="N287" s="849"/>
      <c r="O287" s="849"/>
      <c r="P287" s="849"/>
      <c r="Q287" s="849"/>
      <c r="R287" s="849"/>
      <c r="S287" s="849"/>
      <c r="T287" s="849"/>
      <c r="U287" s="849"/>
      <c r="V287" s="849"/>
      <c r="W287" s="849"/>
      <c r="X287" s="849"/>
      <c r="Y287" s="849"/>
      <c r="Z287" s="849"/>
      <c r="AA287" s="849"/>
      <c r="AB287" s="849"/>
      <c r="AC287" s="849"/>
      <c r="AD287" s="849"/>
      <c r="AE287" s="849"/>
      <c r="AF287" s="849"/>
      <c r="AG287" s="849"/>
      <c r="AH287" s="849"/>
      <c r="AI287" s="849"/>
      <c r="AJ287" s="849"/>
      <c r="AK287" s="849"/>
      <c r="AL287" s="853"/>
      <c r="AM287" s="612"/>
      <c r="AN287" s="610"/>
      <c r="AO287" s="608"/>
      <c r="AP287" s="612"/>
      <c r="AQ287" s="612"/>
      <c r="AZ287" s="615"/>
      <c r="BY287" s="732"/>
      <c r="BZ287" s="732"/>
      <c r="CA287" s="1327"/>
      <c r="CB287" s="1327"/>
      <c r="CC287" s="1327"/>
      <c r="CD287" s="1327"/>
      <c r="CE287" s="1327"/>
      <c r="CF287" s="1327"/>
      <c r="CG287" s="1327"/>
      <c r="CH287" s="1327"/>
      <c r="CI287" s="1327"/>
      <c r="CJ287" s="1327"/>
      <c r="CK287" s="1328"/>
      <c r="CL287" s="1328"/>
      <c r="CM287" s="1329"/>
      <c r="CN287" s="1329"/>
      <c r="CO287" s="1329"/>
      <c r="CP287" s="1329"/>
      <c r="CQ287" s="1329"/>
      <c r="CR287" s="1329"/>
      <c r="CS287" s="1329"/>
      <c r="CT287" s="1328"/>
      <c r="CU287" s="1328"/>
      <c r="CV287" s="1328"/>
      <c r="CW287" s="1328"/>
      <c r="CX287" s="1328"/>
      <c r="CY287" s="1328"/>
      <c r="CZ287" s="1328"/>
      <c r="DA287" s="1328"/>
      <c r="DB287" s="1328"/>
      <c r="DC287" s="1328"/>
      <c r="DD287" s="1328"/>
      <c r="DE287" s="1328"/>
      <c r="DF287" s="1328"/>
      <c r="DG287" s="1328"/>
      <c r="DH287" s="1328"/>
      <c r="DI287" s="1328"/>
      <c r="DJ287" s="1328"/>
      <c r="DK287" s="1328"/>
    </row>
    <row r="288" spans="1:115" s="614" customFormat="1" ht="20.25" customHeight="1">
      <c r="A288" s="848"/>
      <c r="B288" s="861" t="s">
        <v>1017</v>
      </c>
      <c r="C288" s="1715"/>
      <c r="D288" s="1715"/>
      <c r="E288" s="1715"/>
      <c r="F288" s="1715"/>
      <c r="G288" s="1715"/>
      <c r="H288" s="1715"/>
      <c r="I288" s="1715"/>
      <c r="J288" s="1715"/>
      <c r="K288" s="1715"/>
      <c r="L288" s="849"/>
      <c r="M288" s="849"/>
      <c r="N288" s="849"/>
      <c r="O288" s="849"/>
      <c r="P288" s="849"/>
      <c r="Q288" s="849"/>
      <c r="R288" s="849"/>
      <c r="S288" s="849"/>
      <c r="T288" s="849"/>
      <c r="U288" s="849"/>
      <c r="V288" s="849"/>
      <c r="W288" s="849"/>
      <c r="X288" s="849"/>
      <c r="Y288" s="849"/>
      <c r="Z288" s="849"/>
      <c r="AA288" s="849"/>
      <c r="AB288" s="849"/>
      <c r="AC288" s="849"/>
      <c r="AD288" s="849"/>
      <c r="AE288" s="849"/>
      <c r="AF288" s="849"/>
      <c r="AG288" s="849"/>
      <c r="AH288" s="849"/>
      <c r="AI288" s="849"/>
      <c r="AJ288" s="849"/>
      <c r="AK288" s="849"/>
      <c r="AL288" s="853"/>
      <c r="AM288" s="612"/>
      <c r="AN288" s="610"/>
      <c r="AO288" s="608"/>
      <c r="AP288" s="612"/>
      <c r="AQ288" s="612"/>
      <c r="AZ288" s="615"/>
      <c r="BY288" s="732"/>
      <c r="BZ288" s="732"/>
      <c r="CA288" s="1327"/>
      <c r="CB288" s="1327"/>
      <c r="CC288" s="1327"/>
      <c r="CD288" s="1327"/>
      <c r="CE288" s="1327"/>
      <c r="CF288" s="1327"/>
      <c r="CG288" s="1327"/>
      <c r="CH288" s="1327"/>
      <c r="CI288" s="1327"/>
      <c r="CJ288" s="1327"/>
      <c r="CK288" s="1328"/>
      <c r="CL288" s="1328"/>
      <c r="CM288" s="1329"/>
      <c r="CN288" s="1329"/>
      <c r="CO288" s="1329"/>
      <c r="CP288" s="1329"/>
      <c r="CQ288" s="1329"/>
      <c r="CR288" s="1329"/>
      <c r="CS288" s="1329"/>
      <c r="CT288" s="1328"/>
      <c r="CU288" s="1328"/>
      <c r="CV288" s="1328"/>
      <c r="CW288" s="1328"/>
      <c r="CX288" s="1328"/>
      <c r="CY288" s="1328"/>
      <c r="CZ288" s="1328"/>
      <c r="DA288" s="1328"/>
      <c r="DB288" s="1328"/>
      <c r="DC288" s="1328"/>
      <c r="DD288" s="1328"/>
      <c r="DE288" s="1328"/>
      <c r="DF288" s="1328"/>
      <c r="DG288" s="1328"/>
      <c r="DH288" s="1328"/>
      <c r="DI288" s="1328"/>
      <c r="DJ288" s="1328"/>
      <c r="DK288" s="1328"/>
    </row>
    <row r="289" spans="1:115" s="614" customFormat="1" ht="20.25" customHeight="1">
      <c r="A289" s="848"/>
      <c r="B289" s="861" t="s">
        <v>1018</v>
      </c>
      <c r="C289" s="1715"/>
      <c r="D289" s="1715"/>
      <c r="E289" s="1715"/>
      <c r="F289" s="1715"/>
      <c r="G289" s="1715"/>
      <c r="H289" s="1715"/>
      <c r="I289" s="1715"/>
      <c r="J289" s="1715"/>
      <c r="K289" s="1715"/>
      <c r="L289" s="849"/>
      <c r="M289" s="849"/>
      <c r="N289" s="849"/>
      <c r="O289" s="849"/>
      <c r="P289" s="849"/>
      <c r="Q289" s="849"/>
      <c r="R289" s="849"/>
      <c r="S289" s="849"/>
      <c r="T289" s="849"/>
      <c r="U289" s="849"/>
      <c r="V289" s="849"/>
      <c r="W289" s="849"/>
      <c r="X289" s="849"/>
      <c r="Y289" s="849"/>
      <c r="Z289" s="849"/>
      <c r="AA289" s="849"/>
      <c r="AB289" s="849"/>
      <c r="AC289" s="849"/>
      <c r="AD289" s="849"/>
      <c r="AE289" s="849"/>
      <c r="AF289" s="849"/>
      <c r="AG289" s="849"/>
      <c r="AH289" s="849"/>
      <c r="AI289" s="849"/>
      <c r="AJ289" s="849"/>
      <c r="AK289" s="849"/>
      <c r="AL289" s="853"/>
      <c r="AM289" s="612"/>
      <c r="AN289" s="610"/>
      <c r="AO289" s="608"/>
      <c r="AP289" s="612"/>
      <c r="AQ289" s="612"/>
      <c r="AZ289" s="615"/>
      <c r="BY289" s="732"/>
      <c r="BZ289" s="732"/>
      <c r="CA289" s="1327"/>
      <c r="CB289" s="1327"/>
      <c r="CC289" s="1327"/>
      <c r="CD289" s="1327"/>
      <c r="CE289" s="1327"/>
      <c r="CF289" s="1327"/>
      <c r="CG289" s="1327"/>
      <c r="CH289" s="1327"/>
      <c r="CI289" s="1327"/>
      <c r="CJ289" s="1327"/>
      <c r="CK289" s="1328"/>
      <c r="CL289" s="1328"/>
      <c r="CM289" s="1329"/>
      <c r="CN289" s="1329"/>
      <c r="CO289" s="1329"/>
      <c r="CP289" s="1329"/>
      <c r="CQ289" s="1329"/>
      <c r="CR289" s="1329"/>
      <c r="CS289" s="1329"/>
      <c r="CT289" s="1328"/>
      <c r="CU289" s="1328"/>
      <c r="CV289" s="1328"/>
      <c r="CW289" s="1328"/>
      <c r="CX289" s="1328"/>
      <c r="CY289" s="1328"/>
      <c r="CZ289" s="1328"/>
      <c r="DA289" s="1328"/>
      <c r="DB289" s="1328"/>
      <c r="DC289" s="1328"/>
      <c r="DD289" s="1328"/>
      <c r="DE289" s="1328"/>
      <c r="DF289" s="1328"/>
      <c r="DG289" s="1328"/>
      <c r="DH289" s="1328"/>
      <c r="DI289" s="1328"/>
      <c r="DJ289" s="1328"/>
      <c r="DK289" s="1328"/>
    </row>
    <row r="290" spans="1:115" s="614" customFormat="1" ht="20.25" customHeight="1">
      <c r="A290" s="848"/>
      <c r="B290" s="861" t="s">
        <v>1019</v>
      </c>
      <c r="C290" s="1715"/>
      <c r="D290" s="1715"/>
      <c r="E290" s="1715"/>
      <c r="F290" s="1715"/>
      <c r="G290" s="1715"/>
      <c r="H290" s="1715"/>
      <c r="I290" s="1715"/>
      <c r="J290" s="1715"/>
      <c r="K290" s="1715"/>
      <c r="L290" s="849"/>
      <c r="M290" s="849"/>
      <c r="N290" s="849"/>
      <c r="O290" s="849"/>
      <c r="P290" s="849"/>
      <c r="Q290" s="849"/>
      <c r="R290" s="849"/>
      <c r="S290" s="849"/>
      <c r="T290" s="849"/>
      <c r="U290" s="849"/>
      <c r="V290" s="849"/>
      <c r="W290" s="849"/>
      <c r="X290" s="849"/>
      <c r="Y290" s="849"/>
      <c r="Z290" s="849"/>
      <c r="AA290" s="849"/>
      <c r="AB290" s="849"/>
      <c r="AC290" s="849"/>
      <c r="AD290" s="849"/>
      <c r="AE290" s="849"/>
      <c r="AF290" s="849"/>
      <c r="AG290" s="849"/>
      <c r="AH290" s="849"/>
      <c r="AI290" s="849"/>
      <c r="AJ290" s="849"/>
      <c r="AK290" s="849"/>
      <c r="AL290" s="853"/>
      <c r="AM290" s="612"/>
      <c r="AN290" s="610"/>
      <c r="AO290" s="608"/>
      <c r="AP290" s="612"/>
      <c r="AQ290" s="612"/>
      <c r="AZ290" s="615"/>
      <c r="BY290" s="732"/>
      <c r="BZ290" s="732"/>
      <c r="CA290" s="1327"/>
      <c r="CB290" s="1327"/>
      <c r="CC290" s="1327"/>
      <c r="CD290" s="1327"/>
      <c r="CE290" s="1327"/>
      <c r="CF290" s="1327"/>
      <c r="CG290" s="1327"/>
      <c r="CH290" s="1327"/>
      <c r="CI290" s="1327"/>
      <c r="CJ290" s="1327"/>
      <c r="CK290" s="1328"/>
      <c r="CL290" s="1328"/>
      <c r="CM290" s="1329"/>
      <c r="CN290" s="1329"/>
      <c r="CO290" s="1329"/>
      <c r="CP290" s="1329"/>
      <c r="CQ290" s="1329"/>
      <c r="CR290" s="1329"/>
      <c r="CS290" s="1329"/>
      <c r="CT290" s="1328"/>
      <c r="CU290" s="1328"/>
      <c r="CV290" s="1328"/>
      <c r="CW290" s="1328"/>
      <c r="CX290" s="1328"/>
      <c r="CY290" s="1328"/>
      <c r="CZ290" s="1328"/>
      <c r="DA290" s="1328"/>
      <c r="DB290" s="1328"/>
      <c r="DC290" s="1328"/>
      <c r="DD290" s="1328"/>
      <c r="DE290" s="1328"/>
      <c r="DF290" s="1328"/>
      <c r="DG290" s="1328"/>
      <c r="DH290" s="1328"/>
      <c r="DI290" s="1328"/>
      <c r="DJ290" s="1328"/>
      <c r="DK290" s="1328"/>
    </row>
    <row r="291" spans="1:115" s="614" customFormat="1" ht="20.25" customHeight="1">
      <c r="A291" s="848"/>
      <c r="B291" s="861" t="s">
        <v>1021</v>
      </c>
      <c r="C291" s="1715"/>
      <c r="D291" s="1715"/>
      <c r="E291" s="1715"/>
      <c r="F291" s="1715"/>
      <c r="G291" s="1715"/>
      <c r="H291" s="1715"/>
      <c r="I291" s="1715"/>
      <c r="J291" s="1715"/>
      <c r="K291" s="1715"/>
      <c r="L291" s="849"/>
      <c r="M291" s="849"/>
      <c r="N291" s="849"/>
      <c r="O291" s="849"/>
      <c r="P291" s="849"/>
      <c r="Q291" s="849"/>
      <c r="R291" s="849"/>
      <c r="S291" s="849"/>
      <c r="T291" s="849"/>
      <c r="U291" s="849"/>
      <c r="V291" s="849"/>
      <c r="W291" s="849"/>
      <c r="X291" s="849"/>
      <c r="Y291" s="849"/>
      <c r="Z291" s="849"/>
      <c r="AA291" s="849"/>
      <c r="AB291" s="849"/>
      <c r="AC291" s="849"/>
      <c r="AD291" s="849"/>
      <c r="AE291" s="849"/>
      <c r="AF291" s="849"/>
      <c r="AG291" s="849"/>
      <c r="AH291" s="849"/>
      <c r="AI291" s="849"/>
      <c r="AJ291" s="849"/>
      <c r="AK291" s="849"/>
      <c r="AL291" s="853"/>
      <c r="AM291" s="612"/>
      <c r="AN291" s="610"/>
      <c r="AO291" s="608"/>
      <c r="AP291" s="612"/>
      <c r="AQ291" s="612"/>
      <c r="AZ291" s="615"/>
      <c r="BY291" s="732"/>
      <c r="BZ291" s="732"/>
      <c r="CA291" s="1327"/>
      <c r="CB291" s="1327"/>
      <c r="CC291" s="1327"/>
      <c r="CD291" s="1327"/>
      <c r="CE291" s="1327"/>
      <c r="CF291" s="1327"/>
      <c r="CG291" s="1327"/>
      <c r="CH291" s="1327"/>
      <c r="CI291" s="1327"/>
      <c r="CJ291" s="1327"/>
      <c r="CK291" s="1328"/>
      <c r="CL291" s="1328"/>
      <c r="CM291" s="1329"/>
      <c r="CN291" s="1329"/>
      <c r="CO291" s="1329"/>
      <c r="CP291" s="1329"/>
      <c r="CQ291" s="1329"/>
      <c r="CR291" s="1329"/>
      <c r="CS291" s="1329"/>
      <c r="CT291" s="1328"/>
      <c r="CU291" s="1328"/>
      <c r="CV291" s="1328"/>
      <c r="CW291" s="1328"/>
      <c r="CX291" s="1328"/>
      <c r="CY291" s="1328"/>
      <c r="CZ291" s="1328"/>
      <c r="DA291" s="1328"/>
      <c r="DB291" s="1328"/>
      <c r="DC291" s="1328"/>
      <c r="DD291" s="1328"/>
      <c r="DE291" s="1328"/>
      <c r="DF291" s="1328"/>
      <c r="DG291" s="1328"/>
      <c r="DH291" s="1328"/>
      <c r="DI291" s="1328"/>
      <c r="DJ291" s="1328"/>
      <c r="DK291" s="1328"/>
    </row>
    <row r="292" spans="1:115" s="614" customFormat="1" ht="20.25" customHeight="1">
      <c r="A292" s="848"/>
      <c r="B292" s="861" t="s">
        <v>1020</v>
      </c>
      <c r="C292" s="1715"/>
      <c r="D292" s="1715"/>
      <c r="E292" s="1715"/>
      <c r="F292" s="1715"/>
      <c r="G292" s="1715"/>
      <c r="H292" s="1715"/>
      <c r="I292" s="1715"/>
      <c r="J292" s="1715"/>
      <c r="K292" s="1715"/>
      <c r="L292" s="849"/>
      <c r="M292" s="849"/>
      <c r="N292" s="849"/>
      <c r="O292" s="849"/>
      <c r="P292" s="849"/>
      <c r="Q292" s="849"/>
      <c r="R292" s="849"/>
      <c r="S292" s="849"/>
      <c r="T292" s="849"/>
      <c r="U292" s="849"/>
      <c r="V292" s="849"/>
      <c r="W292" s="849"/>
      <c r="X292" s="849"/>
      <c r="Y292" s="849"/>
      <c r="Z292" s="849"/>
      <c r="AA292" s="849"/>
      <c r="AB292" s="849"/>
      <c r="AC292" s="849"/>
      <c r="AD292" s="849"/>
      <c r="AE292" s="849"/>
      <c r="AF292" s="849"/>
      <c r="AG292" s="849"/>
      <c r="AH292" s="849"/>
      <c r="AI292" s="849"/>
      <c r="AJ292" s="849"/>
      <c r="AK292" s="849"/>
      <c r="AL292" s="853"/>
      <c r="AM292" s="612"/>
      <c r="AN292" s="610"/>
      <c r="AO292" s="608"/>
      <c r="AP292" s="612"/>
      <c r="AQ292" s="612"/>
      <c r="AZ292" s="615"/>
      <c r="BY292" s="732"/>
      <c r="BZ292" s="732"/>
      <c r="CA292" s="1327"/>
      <c r="CB292" s="1327"/>
      <c r="CC292" s="1327"/>
      <c r="CD292" s="1327"/>
      <c r="CE292" s="1327"/>
      <c r="CF292" s="1327"/>
      <c r="CG292" s="1327"/>
      <c r="CH292" s="1327"/>
      <c r="CI292" s="1327"/>
      <c r="CJ292" s="1327"/>
      <c r="CK292" s="1328"/>
      <c r="CL292" s="1328"/>
      <c r="CM292" s="1329"/>
      <c r="CN292" s="1329"/>
      <c r="CO292" s="1329"/>
      <c r="CP292" s="1329"/>
      <c r="CQ292" s="1329"/>
      <c r="CR292" s="1329"/>
      <c r="CS292" s="1329"/>
      <c r="CT292" s="1328"/>
      <c r="CU292" s="1328"/>
      <c r="CV292" s="1328"/>
      <c r="CW292" s="1328"/>
      <c r="CX292" s="1328"/>
      <c r="CY292" s="1328"/>
      <c r="CZ292" s="1328"/>
      <c r="DA292" s="1328"/>
      <c r="DB292" s="1328"/>
      <c r="DC292" s="1328"/>
      <c r="DD292" s="1328"/>
      <c r="DE292" s="1328"/>
      <c r="DF292" s="1328"/>
      <c r="DG292" s="1328"/>
      <c r="DH292" s="1328"/>
      <c r="DI292" s="1328"/>
      <c r="DJ292" s="1328"/>
      <c r="DK292" s="1328"/>
    </row>
    <row r="293" spans="1:115" s="614" customFormat="1" ht="20.25" customHeight="1">
      <c r="A293" s="848"/>
      <c r="B293" s="861" t="s">
        <v>1022</v>
      </c>
      <c r="C293" s="1715"/>
      <c r="D293" s="1715"/>
      <c r="E293" s="1715"/>
      <c r="F293" s="1715"/>
      <c r="G293" s="1715"/>
      <c r="H293" s="1715"/>
      <c r="I293" s="1715"/>
      <c r="J293" s="1715"/>
      <c r="K293" s="1715"/>
      <c r="L293" s="849"/>
      <c r="M293" s="849"/>
      <c r="N293" s="849"/>
      <c r="O293" s="849"/>
      <c r="P293" s="849"/>
      <c r="Q293" s="849"/>
      <c r="R293" s="849"/>
      <c r="S293" s="849"/>
      <c r="T293" s="849"/>
      <c r="U293" s="849"/>
      <c r="V293" s="849"/>
      <c r="W293" s="849"/>
      <c r="X293" s="849"/>
      <c r="Y293" s="849"/>
      <c r="Z293" s="849"/>
      <c r="AA293" s="849"/>
      <c r="AB293" s="849"/>
      <c r="AC293" s="849"/>
      <c r="AD293" s="849"/>
      <c r="AE293" s="849"/>
      <c r="AF293" s="849"/>
      <c r="AG293" s="849"/>
      <c r="AH293" s="849"/>
      <c r="AI293" s="849"/>
      <c r="AJ293" s="849"/>
      <c r="AK293" s="849"/>
      <c r="AL293" s="853"/>
      <c r="AM293" s="612"/>
      <c r="AN293" s="610"/>
      <c r="AO293" s="608"/>
      <c r="AP293" s="612"/>
      <c r="AQ293" s="612"/>
      <c r="AZ293" s="615"/>
      <c r="BY293" s="732"/>
      <c r="BZ293" s="732"/>
      <c r="CA293" s="1327"/>
      <c r="CB293" s="1327"/>
      <c r="CC293" s="1327"/>
      <c r="CD293" s="1327"/>
      <c r="CE293" s="1327"/>
      <c r="CF293" s="1327"/>
      <c r="CG293" s="1327"/>
      <c r="CH293" s="1327"/>
      <c r="CI293" s="1327"/>
      <c r="CJ293" s="1327"/>
      <c r="CK293" s="1328"/>
      <c r="CL293" s="1328"/>
      <c r="CM293" s="1329"/>
      <c r="CN293" s="1329"/>
      <c r="CO293" s="1329"/>
      <c r="CP293" s="1329"/>
      <c r="CQ293" s="1329"/>
      <c r="CR293" s="1329"/>
      <c r="CS293" s="1329"/>
      <c r="CT293" s="1328"/>
      <c r="CU293" s="1328"/>
      <c r="CV293" s="1328"/>
      <c r="CW293" s="1328"/>
      <c r="CX293" s="1328"/>
      <c r="CY293" s="1328"/>
      <c r="CZ293" s="1328"/>
      <c r="DA293" s="1328"/>
      <c r="DB293" s="1328"/>
      <c r="DC293" s="1328"/>
      <c r="DD293" s="1328"/>
      <c r="DE293" s="1328"/>
      <c r="DF293" s="1328"/>
      <c r="DG293" s="1328"/>
      <c r="DH293" s="1328"/>
      <c r="DI293" s="1328"/>
      <c r="DJ293" s="1328"/>
      <c r="DK293" s="1328"/>
    </row>
    <row r="294" spans="1:115" s="614" customFormat="1" ht="20.25" customHeight="1">
      <c r="A294" s="848"/>
      <c r="B294" s="861" t="s">
        <v>1023</v>
      </c>
      <c r="C294" s="1715"/>
      <c r="D294" s="1715"/>
      <c r="E294" s="1715"/>
      <c r="F294" s="1715"/>
      <c r="G294" s="1715"/>
      <c r="H294" s="1715"/>
      <c r="I294" s="1715"/>
      <c r="J294" s="1715"/>
      <c r="K294" s="1715"/>
      <c r="L294" s="849"/>
      <c r="M294" s="849"/>
      <c r="N294" s="849"/>
      <c r="O294" s="849"/>
      <c r="P294" s="849"/>
      <c r="Q294" s="849"/>
      <c r="R294" s="849"/>
      <c r="S294" s="849"/>
      <c r="T294" s="849"/>
      <c r="U294" s="849"/>
      <c r="V294" s="849"/>
      <c r="W294" s="849"/>
      <c r="X294" s="849"/>
      <c r="Y294" s="849"/>
      <c r="Z294" s="849"/>
      <c r="AA294" s="849"/>
      <c r="AB294" s="849"/>
      <c r="AC294" s="849"/>
      <c r="AD294" s="849"/>
      <c r="AE294" s="849"/>
      <c r="AF294" s="849"/>
      <c r="AG294" s="849"/>
      <c r="AH294" s="849"/>
      <c r="AI294" s="849"/>
      <c r="AJ294" s="849"/>
      <c r="AK294" s="849"/>
      <c r="AL294" s="853"/>
      <c r="AM294" s="612"/>
      <c r="AN294" s="610"/>
      <c r="AO294" s="608"/>
      <c r="AP294" s="612"/>
      <c r="AQ294" s="612"/>
      <c r="AZ294" s="615"/>
      <c r="BY294" s="732"/>
      <c r="BZ294" s="732"/>
      <c r="CA294" s="1327"/>
      <c r="CB294" s="1327"/>
      <c r="CC294" s="1327"/>
      <c r="CD294" s="1327"/>
      <c r="CE294" s="1327"/>
      <c r="CF294" s="1327"/>
      <c r="CG294" s="1327"/>
      <c r="CH294" s="1327"/>
      <c r="CI294" s="1327"/>
      <c r="CJ294" s="1327"/>
      <c r="CK294" s="1328"/>
      <c r="CL294" s="1328"/>
      <c r="CM294" s="1329"/>
      <c r="CN294" s="1329"/>
      <c r="CO294" s="1329"/>
      <c r="CP294" s="1329"/>
      <c r="CQ294" s="1329"/>
      <c r="CR294" s="1329"/>
      <c r="CS294" s="1329"/>
      <c r="CT294" s="1328"/>
      <c r="CU294" s="1328"/>
      <c r="CV294" s="1328"/>
      <c r="CW294" s="1328"/>
      <c r="CX294" s="1328"/>
      <c r="CY294" s="1328"/>
      <c r="CZ294" s="1328"/>
      <c r="DA294" s="1328"/>
      <c r="DB294" s="1328"/>
      <c r="DC294" s="1328"/>
      <c r="DD294" s="1328"/>
      <c r="DE294" s="1328"/>
      <c r="DF294" s="1328"/>
      <c r="DG294" s="1328"/>
      <c r="DH294" s="1328"/>
      <c r="DI294" s="1328"/>
      <c r="DJ294" s="1328"/>
      <c r="DK294" s="1328"/>
    </row>
    <row r="295" spans="1:115" s="614" customFormat="1" ht="20.25" customHeight="1">
      <c r="A295" s="848"/>
      <c r="B295" s="861" t="s">
        <v>1024</v>
      </c>
      <c r="C295" s="1715"/>
      <c r="D295" s="1715"/>
      <c r="E295" s="1715"/>
      <c r="F295" s="1715"/>
      <c r="G295" s="1715"/>
      <c r="H295" s="1715"/>
      <c r="I295" s="1715"/>
      <c r="J295" s="1715"/>
      <c r="K295" s="1715"/>
      <c r="L295" s="849"/>
      <c r="M295" s="849"/>
      <c r="N295" s="849"/>
      <c r="O295" s="849"/>
      <c r="P295" s="849"/>
      <c r="Q295" s="849"/>
      <c r="R295" s="849"/>
      <c r="S295" s="849"/>
      <c r="T295" s="849"/>
      <c r="U295" s="849"/>
      <c r="V295" s="849"/>
      <c r="W295" s="849"/>
      <c r="X295" s="849"/>
      <c r="Y295" s="849"/>
      <c r="Z295" s="849"/>
      <c r="AA295" s="849"/>
      <c r="AB295" s="849"/>
      <c r="AC295" s="849"/>
      <c r="AD295" s="849"/>
      <c r="AE295" s="849"/>
      <c r="AF295" s="849"/>
      <c r="AG295" s="849"/>
      <c r="AH295" s="849"/>
      <c r="AI295" s="849"/>
      <c r="AJ295" s="849"/>
      <c r="AK295" s="849"/>
      <c r="AL295" s="853"/>
      <c r="AM295" s="612"/>
      <c r="AN295" s="610"/>
      <c r="AO295" s="608"/>
      <c r="AP295" s="612"/>
      <c r="AQ295" s="612"/>
      <c r="AZ295" s="615"/>
      <c r="BY295" s="732"/>
      <c r="BZ295" s="732"/>
      <c r="CA295" s="1327"/>
      <c r="CB295" s="1327"/>
      <c r="CC295" s="1327"/>
      <c r="CD295" s="1327"/>
      <c r="CE295" s="1327"/>
      <c r="CF295" s="1327"/>
      <c r="CG295" s="1327"/>
      <c r="CH295" s="1327"/>
      <c r="CI295" s="1327"/>
      <c r="CJ295" s="1327"/>
      <c r="CK295" s="1328"/>
      <c r="CL295" s="1328"/>
      <c r="CM295" s="1329"/>
      <c r="CN295" s="1329"/>
      <c r="CO295" s="1329"/>
      <c r="CP295" s="1329"/>
      <c r="CQ295" s="1329"/>
      <c r="CR295" s="1329"/>
      <c r="CS295" s="1329"/>
      <c r="CT295" s="1328"/>
      <c r="CU295" s="1328"/>
      <c r="CV295" s="1328"/>
      <c r="CW295" s="1328"/>
      <c r="CX295" s="1328"/>
      <c r="CY295" s="1328"/>
      <c r="CZ295" s="1328"/>
      <c r="DA295" s="1328"/>
      <c r="DB295" s="1328"/>
      <c r="DC295" s="1328"/>
      <c r="DD295" s="1328"/>
      <c r="DE295" s="1328"/>
      <c r="DF295" s="1328"/>
      <c r="DG295" s="1328"/>
      <c r="DH295" s="1328"/>
      <c r="DI295" s="1328"/>
      <c r="DJ295" s="1328"/>
      <c r="DK295" s="1328"/>
    </row>
    <row r="296" spans="1:115" s="614" customFormat="1" ht="20.25" customHeight="1">
      <c r="A296" s="848"/>
      <c r="B296" s="1719"/>
      <c r="C296" s="1715"/>
      <c r="D296" s="1715"/>
      <c r="E296" s="1715"/>
      <c r="F296" s="1715"/>
      <c r="G296" s="1715"/>
      <c r="H296" s="1715"/>
      <c r="I296" s="1715"/>
      <c r="J296" s="1715"/>
      <c r="K296" s="1715"/>
      <c r="L296" s="849"/>
      <c r="M296" s="849"/>
      <c r="N296" s="849"/>
      <c r="O296" s="849"/>
      <c r="P296" s="849"/>
      <c r="Q296" s="849"/>
      <c r="R296" s="849"/>
      <c r="S296" s="849"/>
      <c r="T296" s="849"/>
      <c r="U296" s="849"/>
      <c r="V296" s="849"/>
      <c r="W296" s="849"/>
      <c r="X296" s="849"/>
      <c r="Y296" s="849"/>
      <c r="Z296" s="849"/>
      <c r="AA296" s="849"/>
      <c r="AB296" s="849"/>
      <c r="AC296" s="849"/>
      <c r="AD296" s="849"/>
      <c r="AE296" s="849"/>
      <c r="AF296" s="849"/>
      <c r="AG296" s="849"/>
      <c r="AH296" s="849"/>
      <c r="AI296" s="849"/>
      <c r="AJ296" s="849"/>
      <c r="AK296" s="849"/>
      <c r="AL296" s="853"/>
      <c r="AM296" s="612"/>
      <c r="AN296" s="610"/>
      <c r="AO296" s="608"/>
      <c r="AP296" s="612"/>
      <c r="AQ296" s="612"/>
      <c r="AZ296" s="615"/>
      <c r="BY296" s="732"/>
      <c r="BZ296" s="732"/>
      <c r="CA296" s="1327"/>
      <c r="CB296" s="1327"/>
      <c r="CC296" s="1327"/>
      <c r="CD296" s="1327"/>
      <c r="CE296" s="1327"/>
      <c r="CF296" s="1327"/>
      <c r="CG296" s="1327"/>
      <c r="CH296" s="1327"/>
      <c r="CI296" s="1327"/>
      <c r="CJ296" s="1327"/>
      <c r="CK296" s="1328"/>
      <c r="CL296" s="1328"/>
      <c r="CM296" s="1329"/>
      <c r="CN296" s="1329"/>
      <c r="CO296" s="1329"/>
      <c r="CP296" s="1329"/>
      <c r="CQ296" s="1329"/>
      <c r="CR296" s="1329"/>
      <c r="CS296" s="1329"/>
      <c r="CT296" s="1328"/>
      <c r="CU296" s="1328"/>
      <c r="CV296" s="1328"/>
      <c r="CW296" s="1328"/>
      <c r="CX296" s="1328"/>
      <c r="CY296" s="1328"/>
      <c r="CZ296" s="1328"/>
      <c r="DA296" s="1328"/>
      <c r="DB296" s="1328"/>
      <c r="DC296" s="1328"/>
      <c r="DD296" s="1328"/>
      <c r="DE296" s="1328"/>
      <c r="DF296" s="1328"/>
      <c r="DG296" s="1328"/>
      <c r="DH296" s="1328"/>
      <c r="DI296" s="1328"/>
      <c r="DJ296" s="1328"/>
      <c r="DK296" s="1328"/>
    </row>
    <row r="297" spans="1:115" s="614" customFormat="1" ht="20.25" hidden="1" customHeight="1">
      <c r="A297" s="848"/>
      <c r="B297" s="848"/>
      <c r="C297" s="3032" t="s">
        <v>705</v>
      </c>
      <c r="D297" s="3032"/>
      <c r="E297" s="3032" t="s">
        <v>706</v>
      </c>
      <c r="F297" s="3032"/>
      <c r="G297" s="3032"/>
      <c r="H297" s="1428"/>
      <c r="I297" s="1428"/>
      <c r="J297" s="1428"/>
      <c r="K297" s="1428"/>
      <c r="L297" s="849"/>
      <c r="M297" s="849"/>
      <c r="N297" s="849"/>
      <c r="O297" s="849"/>
      <c r="P297" s="849"/>
      <c r="Q297" s="849"/>
      <c r="R297" s="849"/>
      <c r="S297" s="849"/>
      <c r="T297" s="849"/>
      <c r="U297" s="849"/>
      <c r="V297" s="849"/>
      <c r="W297" s="849"/>
      <c r="X297" s="849"/>
      <c r="Y297" s="849"/>
      <c r="Z297" s="849"/>
      <c r="AA297" s="849"/>
      <c r="AB297" s="849"/>
      <c r="AC297" s="849"/>
      <c r="AD297" s="849"/>
      <c r="AE297" s="849"/>
      <c r="AF297" s="849"/>
      <c r="AG297" s="849"/>
      <c r="AH297" s="849"/>
      <c r="AI297" s="849"/>
      <c r="AJ297" s="849"/>
      <c r="AK297" s="849"/>
      <c r="AL297" s="853"/>
      <c r="AM297" s="612"/>
      <c r="AN297" s="610"/>
      <c r="AO297" s="608"/>
      <c r="AP297" s="612"/>
      <c r="AQ297" s="612"/>
      <c r="AZ297" s="615"/>
      <c r="BY297" s="732"/>
      <c r="BZ297" s="732"/>
      <c r="CA297" s="1327"/>
      <c r="CB297" s="1327"/>
      <c r="CC297" s="1327"/>
      <c r="CD297" s="1327"/>
      <c r="CE297" s="1327"/>
      <c r="CF297" s="1327"/>
      <c r="CG297" s="1327"/>
      <c r="CH297" s="1327"/>
      <c r="CI297" s="1327"/>
      <c r="CJ297" s="1327"/>
      <c r="CK297" s="1328"/>
      <c r="CL297" s="1328"/>
      <c r="CM297" s="1329"/>
      <c r="CN297" s="1329"/>
      <c r="CO297" s="1329"/>
      <c r="CP297" s="1329"/>
      <c r="CQ297" s="1329"/>
      <c r="CR297" s="1329"/>
      <c r="CS297" s="1329"/>
      <c r="CT297" s="1328"/>
      <c r="CU297" s="1328"/>
      <c r="CV297" s="1328"/>
      <c r="CW297" s="1328"/>
      <c r="CX297" s="1328"/>
      <c r="CY297" s="1328"/>
      <c r="CZ297" s="1328"/>
      <c r="DA297" s="1328"/>
      <c r="DB297" s="1328"/>
      <c r="DC297" s="1328"/>
      <c r="DD297" s="1328"/>
      <c r="DE297" s="1328"/>
      <c r="DF297" s="1328"/>
      <c r="DG297" s="1328"/>
      <c r="DH297" s="1328"/>
      <c r="DI297" s="1328"/>
      <c r="DJ297" s="1328"/>
      <c r="DK297" s="1328"/>
    </row>
    <row r="298" spans="1:115" s="614" customFormat="1" ht="20.25" hidden="1" customHeight="1">
      <c r="A298" s="848"/>
      <c r="B298" s="848" t="s">
        <v>707</v>
      </c>
      <c r="C298" s="1428"/>
      <c r="D298" s="1428">
        <f>E248+F248</f>
        <v>6938</v>
      </c>
      <c r="E298" s="1428"/>
      <c r="F298" s="1428">
        <f>I248</f>
        <v>453</v>
      </c>
      <c r="G298" s="1428"/>
      <c r="H298" s="1428"/>
      <c r="I298" s="1428"/>
      <c r="J298" s="1428"/>
      <c r="K298" s="1428"/>
      <c r="L298" s="849"/>
      <c r="M298" s="849">
        <f>M248</f>
        <v>574557</v>
      </c>
      <c r="N298" s="849"/>
      <c r="O298" s="3032">
        <f>N248+O248+P248</f>
        <v>100021</v>
      </c>
      <c r="P298" s="3032"/>
      <c r="Q298" s="849"/>
      <c r="R298" s="849"/>
      <c r="S298" s="849"/>
      <c r="T298" s="849"/>
      <c r="U298" s="849"/>
      <c r="V298" s="849"/>
      <c r="W298" s="849"/>
      <c r="X298" s="849"/>
      <c r="Y298" s="849"/>
      <c r="Z298" s="849"/>
      <c r="AA298" s="849"/>
      <c r="AB298" s="849"/>
      <c r="AC298" s="849"/>
      <c r="AD298" s="849"/>
      <c r="AE298" s="849"/>
      <c r="AF298" s="849"/>
      <c r="AG298" s="849"/>
      <c r="AH298" s="849"/>
      <c r="AI298" s="849"/>
      <c r="AJ298" s="849"/>
      <c r="AK298" s="849"/>
      <c r="AL298" s="853"/>
      <c r="AM298" s="612"/>
      <c r="AN298" s="610"/>
      <c r="AO298" s="608"/>
      <c r="AP298" s="612"/>
      <c r="AQ298" s="612"/>
      <c r="AZ298" s="615"/>
      <c r="BY298" s="732"/>
      <c r="BZ298" s="732"/>
      <c r="CA298" s="1327"/>
      <c r="CB298" s="1327"/>
      <c r="CC298" s="1327"/>
      <c r="CD298" s="1327"/>
      <c r="CE298" s="1327"/>
      <c r="CF298" s="1327"/>
      <c r="CG298" s="1327"/>
      <c r="CH298" s="1327"/>
      <c r="CI298" s="1327"/>
      <c r="CJ298" s="1327"/>
      <c r="CK298" s="1328"/>
      <c r="CL298" s="1328"/>
      <c r="CM298" s="1329"/>
      <c r="CN298" s="1329"/>
      <c r="CO298" s="1329"/>
      <c r="CP298" s="1329"/>
      <c r="CQ298" s="1329"/>
      <c r="CR298" s="1329"/>
      <c r="CS298" s="1329"/>
      <c r="CT298" s="1328"/>
      <c r="CU298" s="1328"/>
      <c r="CV298" s="1328"/>
      <c r="CW298" s="1328"/>
      <c r="CX298" s="1328"/>
      <c r="CY298" s="1328"/>
      <c r="CZ298" s="1328"/>
      <c r="DA298" s="1328"/>
      <c r="DB298" s="1328"/>
      <c r="DC298" s="1328"/>
      <c r="DD298" s="1328"/>
      <c r="DE298" s="1328"/>
      <c r="DF298" s="1328"/>
      <c r="DG298" s="1328"/>
      <c r="DH298" s="1328"/>
      <c r="DI298" s="1328"/>
      <c r="DJ298" s="1328"/>
      <c r="DK298" s="1328"/>
    </row>
    <row r="299" spans="1:115" s="614" customFormat="1" ht="20.25" hidden="1" customHeight="1">
      <c r="A299" s="848"/>
      <c r="B299" s="848" t="s">
        <v>708</v>
      </c>
      <c r="C299" s="1428"/>
      <c r="D299" s="1428">
        <f>AS248+AT248</f>
        <v>8412</v>
      </c>
      <c r="E299" s="1428"/>
      <c r="F299" s="1428">
        <f>AW248</f>
        <v>606</v>
      </c>
      <c r="G299" s="1428"/>
      <c r="H299" s="1428"/>
      <c r="I299" s="1428"/>
      <c r="J299" s="1428"/>
      <c r="K299" s="1428"/>
      <c r="L299" s="849"/>
      <c r="M299" s="849">
        <v>577817</v>
      </c>
      <c r="N299" s="849"/>
      <c r="O299" s="3032">
        <f>BA248+BB248+BC248</f>
        <v>104703</v>
      </c>
      <c r="P299" s="3032"/>
      <c r="Q299" s="849"/>
      <c r="R299" s="849"/>
      <c r="S299" s="849"/>
      <c r="T299" s="849"/>
      <c r="U299" s="849"/>
      <c r="V299" s="849"/>
      <c r="W299" s="849"/>
      <c r="X299" s="849"/>
      <c r="Y299" s="849"/>
      <c r="Z299" s="849"/>
      <c r="AA299" s="849"/>
      <c r="AB299" s="849"/>
      <c r="AC299" s="849"/>
      <c r="AD299" s="849"/>
      <c r="AE299" s="849"/>
      <c r="AF299" s="849"/>
      <c r="AG299" s="849"/>
      <c r="AH299" s="849"/>
      <c r="AI299" s="849"/>
      <c r="AJ299" s="849"/>
      <c r="AK299" s="849"/>
      <c r="AL299" s="853"/>
      <c r="AM299" s="612"/>
      <c r="AN299" s="610"/>
      <c r="AO299" s="608"/>
      <c r="AP299" s="612"/>
      <c r="AQ299" s="612"/>
      <c r="AZ299" s="615"/>
      <c r="BY299" s="732"/>
      <c r="BZ299" s="732"/>
      <c r="CA299" s="1327"/>
      <c r="CB299" s="1327"/>
      <c r="CC299" s="1327"/>
      <c r="CD299" s="1327"/>
      <c r="CE299" s="1327"/>
      <c r="CF299" s="1327"/>
      <c r="CG299" s="1327"/>
      <c r="CH299" s="1327"/>
      <c r="CI299" s="1327"/>
      <c r="CJ299" s="1327"/>
      <c r="CK299" s="1328"/>
      <c r="CL299" s="1328"/>
      <c r="CM299" s="1329"/>
      <c r="CN299" s="1329"/>
      <c r="CO299" s="1329"/>
      <c r="CP299" s="1329"/>
      <c r="CQ299" s="1329"/>
      <c r="CR299" s="1329"/>
      <c r="CS299" s="1329"/>
      <c r="CT299" s="1328"/>
      <c r="CU299" s="1328"/>
      <c r="CV299" s="1328"/>
      <c r="CW299" s="1328"/>
      <c r="CX299" s="1328"/>
      <c r="CY299" s="1328"/>
      <c r="CZ299" s="1328"/>
      <c r="DA299" s="1328"/>
      <c r="DB299" s="1328"/>
      <c r="DC299" s="1328"/>
      <c r="DD299" s="1328"/>
      <c r="DE299" s="1328"/>
      <c r="DF299" s="1328"/>
      <c r="DG299" s="1328"/>
      <c r="DH299" s="1328"/>
      <c r="DI299" s="1328"/>
      <c r="DJ299" s="1328"/>
      <c r="DK299" s="1328"/>
    </row>
    <row r="300" spans="1:115" s="614" customFormat="1" ht="20.25" customHeight="1">
      <c r="A300" s="848"/>
      <c r="B300" s="848"/>
      <c r="C300" s="1428"/>
      <c r="D300" s="1428"/>
      <c r="E300" s="1428"/>
      <c r="F300" s="1428"/>
      <c r="G300" s="1428"/>
      <c r="H300" s="1428"/>
      <c r="I300" s="1428"/>
      <c r="J300" s="1428"/>
      <c r="K300" s="1428"/>
      <c r="L300" s="849"/>
      <c r="M300" s="849"/>
      <c r="N300" s="849"/>
      <c r="O300" s="849"/>
      <c r="P300" s="849"/>
      <c r="Q300" s="849"/>
      <c r="R300" s="849"/>
      <c r="S300" s="849"/>
      <c r="T300" s="849"/>
      <c r="U300" s="849"/>
      <c r="V300" s="849"/>
      <c r="W300" s="849"/>
      <c r="X300" s="849"/>
      <c r="Y300" s="849"/>
      <c r="Z300" s="849"/>
      <c r="AA300" s="849"/>
      <c r="AB300" s="849"/>
      <c r="AC300" s="849"/>
      <c r="AD300" s="849"/>
      <c r="AE300" s="849"/>
      <c r="AF300" s="849"/>
      <c r="AG300" s="849"/>
      <c r="AH300" s="849"/>
      <c r="AI300" s="849"/>
      <c r="AJ300" s="849"/>
      <c r="AK300" s="849"/>
      <c r="AL300" s="853"/>
      <c r="AM300" s="612"/>
      <c r="AN300" s="610"/>
      <c r="AO300" s="608"/>
      <c r="AP300" s="612"/>
      <c r="AQ300" s="612"/>
      <c r="AZ300" s="615"/>
      <c r="BY300" s="732"/>
      <c r="BZ300" s="732"/>
      <c r="CA300" s="1327"/>
      <c r="CB300" s="1327"/>
      <c r="CC300" s="1327"/>
      <c r="CD300" s="1327"/>
      <c r="CE300" s="1327"/>
      <c r="CF300" s="1327"/>
      <c r="CG300" s="1327"/>
      <c r="CH300" s="1327"/>
      <c r="CI300" s="1327"/>
      <c r="CJ300" s="1327"/>
      <c r="CK300" s="1328"/>
      <c r="CL300" s="1328"/>
      <c r="CM300" s="1329"/>
      <c r="CN300" s="1329"/>
      <c r="CO300" s="1329"/>
      <c r="CP300" s="1329"/>
      <c r="CQ300" s="1329"/>
      <c r="CR300" s="1329"/>
      <c r="CS300" s="1329"/>
      <c r="CT300" s="1328"/>
      <c r="CU300" s="1328"/>
      <c r="CV300" s="1328"/>
      <c r="CW300" s="1328"/>
      <c r="CX300" s="1328"/>
      <c r="CY300" s="1328"/>
      <c r="CZ300" s="1328"/>
      <c r="DA300" s="1328"/>
      <c r="DB300" s="1328"/>
      <c r="DC300" s="1328"/>
      <c r="DD300" s="1328"/>
      <c r="DE300" s="1328"/>
      <c r="DF300" s="1328"/>
      <c r="DG300" s="1328"/>
      <c r="DH300" s="1328"/>
      <c r="DI300" s="1328"/>
      <c r="DJ300" s="1328"/>
      <c r="DK300" s="1328"/>
    </row>
    <row r="301" spans="1:115" s="614" customFormat="1" ht="20.25" customHeight="1">
      <c r="A301" s="848"/>
      <c r="B301" s="848"/>
      <c r="C301" s="1428"/>
      <c r="D301" s="1428"/>
      <c r="E301" s="1428"/>
      <c r="F301" s="1428"/>
      <c r="G301" s="1428"/>
      <c r="H301" s="1428"/>
      <c r="I301" s="1428"/>
      <c r="J301" s="1428"/>
      <c r="K301" s="1428"/>
      <c r="L301" s="849"/>
      <c r="M301" s="849"/>
      <c r="N301" s="849"/>
      <c r="O301" s="849"/>
      <c r="P301" s="849"/>
      <c r="Q301" s="849"/>
      <c r="R301" s="849"/>
      <c r="S301" s="849"/>
      <c r="T301" s="849"/>
      <c r="U301" s="849"/>
      <c r="V301" s="849"/>
      <c r="W301" s="849"/>
      <c r="X301" s="849"/>
      <c r="Y301" s="849"/>
      <c r="Z301" s="849"/>
      <c r="AA301" s="849"/>
      <c r="AB301" s="849"/>
      <c r="AC301" s="849"/>
      <c r="AD301" s="849"/>
      <c r="AE301" s="849"/>
      <c r="AF301" s="849"/>
      <c r="AG301" s="849"/>
      <c r="AH301" s="849"/>
      <c r="AI301" s="849"/>
      <c r="AJ301" s="849"/>
      <c r="AK301" s="849"/>
      <c r="AL301" s="853"/>
      <c r="AM301" s="612"/>
      <c r="AN301" s="610"/>
      <c r="AO301" s="608"/>
      <c r="AP301" s="612"/>
      <c r="AQ301" s="612"/>
      <c r="AZ301" s="615"/>
      <c r="BY301" s="732"/>
      <c r="BZ301" s="732"/>
      <c r="CA301" s="1327"/>
      <c r="CB301" s="1327"/>
      <c r="CC301" s="1327"/>
      <c r="CD301" s="1327"/>
      <c r="CE301" s="1327"/>
      <c r="CF301" s="1327"/>
      <c r="CG301" s="1327"/>
      <c r="CH301" s="1327"/>
      <c r="CI301" s="1327"/>
      <c r="CJ301" s="1327"/>
      <c r="CK301" s="1328"/>
      <c r="CL301" s="1328"/>
      <c r="CM301" s="1329"/>
      <c r="CN301" s="1329"/>
      <c r="CO301" s="1329"/>
      <c r="CP301" s="1329"/>
      <c r="CQ301" s="1329"/>
      <c r="CR301" s="1329"/>
      <c r="CS301" s="1329"/>
      <c r="CT301" s="1328"/>
      <c r="CU301" s="1328"/>
      <c r="CV301" s="1328"/>
      <c r="CW301" s="1328"/>
      <c r="CX301" s="1328"/>
      <c r="CY301" s="1328"/>
      <c r="CZ301" s="1328"/>
      <c r="DA301" s="1328"/>
      <c r="DB301" s="1328"/>
      <c r="DC301" s="1328"/>
      <c r="DD301" s="1328"/>
      <c r="DE301" s="1328"/>
      <c r="DF301" s="1328"/>
      <c r="DG301" s="1328"/>
      <c r="DH301" s="1328"/>
      <c r="DI301" s="1328"/>
      <c r="DJ301" s="1328"/>
      <c r="DK301" s="1328"/>
    </row>
    <row r="302" spans="1:115" s="614" customFormat="1" ht="20.25" hidden="1" customHeight="1">
      <c r="A302" s="848"/>
      <c r="B302" s="848"/>
      <c r="C302" s="1428"/>
      <c r="D302" s="1428"/>
      <c r="E302" s="1428"/>
      <c r="F302" s="1428"/>
      <c r="G302" s="1428"/>
      <c r="H302" s="1428"/>
      <c r="I302" s="1428"/>
      <c r="J302" s="1428"/>
      <c r="K302" s="1428"/>
      <c r="L302" s="849"/>
      <c r="M302" s="849">
        <f>M298-M299</f>
        <v>-3260</v>
      </c>
      <c r="N302" s="849"/>
      <c r="O302" s="849">
        <f>O298-O299</f>
        <v>-4682</v>
      </c>
      <c r="P302" s="849"/>
      <c r="Q302" s="849"/>
      <c r="R302" s="849"/>
      <c r="S302" s="849"/>
      <c r="T302" s="849"/>
      <c r="U302" s="849"/>
      <c r="V302" s="849"/>
      <c r="W302" s="849"/>
      <c r="X302" s="849"/>
      <c r="Y302" s="849"/>
      <c r="Z302" s="849"/>
      <c r="AA302" s="849"/>
      <c r="AB302" s="849"/>
      <c r="AC302" s="849"/>
      <c r="AD302" s="849"/>
      <c r="AE302" s="849"/>
      <c r="AF302" s="849"/>
      <c r="AG302" s="849"/>
      <c r="AH302" s="849"/>
      <c r="AI302" s="849"/>
      <c r="AJ302" s="849"/>
      <c r="AK302" s="849"/>
      <c r="AL302" s="853"/>
      <c r="AM302" s="612"/>
      <c r="AN302" s="610"/>
      <c r="AO302" s="608"/>
      <c r="AP302" s="612"/>
      <c r="AQ302" s="612"/>
      <c r="AZ302" s="615"/>
      <c r="BY302" s="732"/>
      <c r="BZ302" s="732"/>
      <c r="CA302" s="1327"/>
      <c r="CB302" s="1327"/>
      <c r="CC302" s="1327"/>
      <c r="CD302" s="1327"/>
      <c r="CE302" s="1327"/>
      <c r="CF302" s="1327"/>
      <c r="CG302" s="1327"/>
      <c r="CH302" s="1327"/>
      <c r="CI302" s="1327"/>
      <c r="CJ302" s="1327"/>
      <c r="CK302" s="1328"/>
      <c r="CL302" s="1328"/>
      <c r="CM302" s="1329"/>
      <c r="CN302" s="1329"/>
      <c r="CO302" s="1329"/>
      <c r="CP302" s="1329"/>
      <c r="CQ302" s="1329"/>
      <c r="CR302" s="1329"/>
      <c r="CS302" s="1329"/>
      <c r="CT302" s="1328"/>
      <c r="CU302" s="1328"/>
      <c r="CV302" s="1328"/>
      <c r="CW302" s="1328"/>
      <c r="CX302" s="1328"/>
      <c r="CY302" s="1328"/>
      <c r="CZ302" s="1328"/>
      <c r="DA302" s="1328"/>
      <c r="DB302" s="1328"/>
      <c r="DC302" s="1328"/>
      <c r="DD302" s="1328"/>
      <c r="DE302" s="1328"/>
      <c r="DF302" s="1328"/>
      <c r="DG302" s="1328"/>
      <c r="DH302" s="1328"/>
      <c r="DI302" s="1328"/>
      <c r="DJ302" s="1328"/>
      <c r="DK302" s="1328"/>
    </row>
    <row r="303" spans="1:115" s="614" customFormat="1" ht="20.25" customHeight="1">
      <c r="A303" s="848"/>
      <c r="B303" s="848"/>
      <c r="C303" s="1428"/>
      <c r="D303" s="1428"/>
      <c r="E303" s="1428"/>
      <c r="F303" s="1428"/>
      <c r="G303" s="1428"/>
      <c r="H303" s="1428"/>
      <c r="I303" s="1428"/>
      <c r="J303" s="1428"/>
      <c r="K303" s="1428"/>
      <c r="L303" s="849"/>
      <c r="M303" s="849"/>
      <c r="N303" s="849"/>
      <c r="O303" s="849"/>
      <c r="P303" s="849"/>
      <c r="Q303" s="849"/>
      <c r="R303" s="849"/>
      <c r="S303" s="849"/>
      <c r="T303" s="849"/>
      <c r="U303" s="849"/>
      <c r="V303" s="849"/>
      <c r="W303" s="849"/>
      <c r="X303" s="849"/>
      <c r="Y303" s="849"/>
      <c r="Z303" s="849"/>
      <c r="AA303" s="849"/>
      <c r="AB303" s="849"/>
      <c r="AC303" s="849"/>
      <c r="AD303" s="849"/>
      <c r="AE303" s="849"/>
      <c r="AF303" s="849"/>
      <c r="AG303" s="849"/>
      <c r="AH303" s="849"/>
      <c r="AI303" s="849"/>
      <c r="AJ303" s="849"/>
      <c r="AK303" s="849"/>
      <c r="AL303" s="853"/>
      <c r="AM303" s="612"/>
      <c r="AN303" s="610"/>
      <c r="AO303" s="608"/>
      <c r="AP303" s="612"/>
      <c r="AQ303" s="612"/>
      <c r="AZ303" s="615"/>
      <c r="BY303" s="732"/>
      <c r="BZ303" s="732"/>
      <c r="CA303" s="1327"/>
      <c r="CB303" s="1327"/>
      <c r="CC303" s="1327"/>
      <c r="CD303" s="1327"/>
      <c r="CE303" s="1327"/>
      <c r="CF303" s="1327"/>
      <c r="CG303" s="1327"/>
      <c r="CH303" s="1327"/>
      <c r="CI303" s="1327"/>
      <c r="CJ303" s="1327"/>
      <c r="CK303" s="1328"/>
      <c r="CL303" s="1328"/>
      <c r="CM303" s="1329"/>
      <c r="CN303" s="1329"/>
      <c r="CO303" s="1329"/>
      <c r="CP303" s="1329"/>
      <c r="CQ303" s="1329"/>
      <c r="CR303" s="1329"/>
      <c r="CS303" s="1329"/>
      <c r="CT303" s="1328"/>
      <c r="CU303" s="1328"/>
      <c r="CV303" s="1328"/>
      <c r="CW303" s="1328"/>
      <c r="CX303" s="1328"/>
      <c r="CY303" s="1328"/>
      <c r="CZ303" s="1328"/>
      <c r="DA303" s="1328"/>
      <c r="DB303" s="1328"/>
      <c r="DC303" s="1328"/>
      <c r="DD303" s="1328"/>
      <c r="DE303" s="1328"/>
      <c r="DF303" s="1328"/>
      <c r="DG303" s="1328"/>
      <c r="DH303" s="1328"/>
      <c r="DI303" s="1328"/>
      <c r="DJ303" s="1328"/>
      <c r="DK303" s="1328"/>
    </row>
    <row r="304" spans="1:115" s="614" customFormat="1" ht="20.25" hidden="1" customHeight="1">
      <c r="A304" s="848"/>
      <c r="B304" s="848"/>
      <c r="C304" s="1428"/>
      <c r="D304" s="1428"/>
      <c r="E304" s="1428"/>
      <c r="F304" s="1428"/>
      <c r="G304" s="1428"/>
      <c r="H304" s="1428"/>
      <c r="I304" s="1428"/>
      <c r="J304" s="1428"/>
      <c r="K304" s="1428"/>
      <c r="L304" s="849"/>
      <c r="M304" s="849"/>
      <c r="N304" s="849"/>
      <c r="O304" s="849"/>
      <c r="P304" s="849"/>
      <c r="Q304" s="849"/>
      <c r="R304" s="849"/>
      <c r="S304" s="849"/>
      <c r="T304" s="849"/>
      <c r="U304" s="849"/>
      <c r="V304" s="849"/>
      <c r="W304" s="849"/>
      <c r="X304" s="849"/>
      <c r="Y304" s="849"/>
      <c r="Z304" s="849"/>
      <c r="AA304" s="849"/>
      <c r="AB304" s="849"/>
      <c r="AC304" s="849"/>
      <c r="AD304" s="849"/>
      <c r="AE304" s="849"/>
      <c r="AF304" s="849"/>
      <c r="AG304" s="849"/>
      <c r="AH304" s="849"/>
      <c r="AI304" s="849"/>
      <c r="AJ304" s="849"/>
      <c r="AK304" s="849"/>
      <c r="AL304" s="853"/>
      <c r="AM304" s="612"/>
      <c r="AN304" s="610"/>
      <c r="AO304" s="608"/>
      <c r="AP304" s="612"/>
      <c r="AQ304" s="612"/>
      <c r="AZ304" s="615"/>
      <c r="BY304" s="732"/>
      <c r="BZ304" s="732"/>
      <c r="CA304" s="1327"/>
      <c r="CB304" s="1327"/>
      <c r="CC304" s="1327"/>
      <c r="CD304" s="1327"/>
      <c r="CE304" s="1327"/>
      <c r="CF304" s="1327"/>
      <c r="CG304" s="1327"/>
      <c r="CH304" s="1327"/>
      <c r="CI304" s="1327"/>
      <c r="CJ304" s="1327"/>
      <c r="CK304" s="1328"/>
      <c r="CL304" s="1328"/>
      <c r="CM304" s="1329"/>
      <c r="CN304" s="1329"/>
      <c r="CO304" s="1329"/>
      <c r="CP304" s="1329"/>
      <c r="CQ304" s="1329"/>
      <c r="CR304" s="1329"/>
      <c r="CS304" s="1329"/>
      <c r="CT304" s="1328"/>
      <c r="CU304" s="1328"/>
      <c r="CV304" s="1328"/>
      <c r="CW304" s="1328"/>
      <c r="CX304" s="1328"/>
      <c r="CY304" s="1328"/>
      <c r="CZ304" s="1328"/>
      <c r="DA304" s="1328"/>
      <c r="DB304" s="1328"/>
      <c r="DC304" s="1328"/>
      <c r="DD304" s="1328"/>
      <c r="DE304" s="1328"/>
      <c r="DF304" s="1328"/>
      <c r="DG304" s="1328"/>
      <c r="DH304" s="1328"/>
      <c r="DI304" s="1328"/>
      <c r="DJ304" s="1328"/>
      <c r="DK304" s="1328"/>
    </row>
    <row r="305" spans="1:152" s="614" customFormat="1" ht="20.25" hidden="1" customHeight="1">
      <c r="A305" s="848"/>
      <c r="B305" s="848"/>
      <c r="C305" s="1428"/>
      <c r="D305" s="1428"/>
      <c r="E305" s="1428"/>
      <c r="F305" s="1428"/>
      <c r="G305" s="1428"/>
      <c r="H305" s="1428">
        <v>2019</v>
      </c>
      <c r="I305" s="1428"/>
      <c r="J305" s="1428">
        <v>77</v>
      </c>
      <c r="K305" s="1428"/>
      <c r="L305" s="849">
        <v>66</v>
      </c>
      <c r="M305" s="849">
        <v>7642</v>
      </c>
      <c r="N305" s="849">
        <v>1282</v>
      </c>
      <c r="O305" s="849">
        <v>368</v>
      </c>
      <c r="P305" s="849">
        <v>330</v>
      </c>
      <c r="Q305" s="849"/>
      <c r="R305" s="849">
        <f>N305+O305+P305</f>
        <v>1980</v>
      </c>
      <c r="S305" s="849"/>
      <c r="T305" s="849"/>
      <c r="U305" s="849"/>
      <c r="V305" s="849"/>
      <c r="W305" s="849"/>
      <c r="X305" s="849"/>
      <c r="Y305" s="849"/>
      <c r="Z305" s="849"/>
      <c r="AA305" s="849"/>
      <c r="AB305" s="849"/>
      <c r="AC305" s="849"/>
      <c r="AD305" s="849"/>
      <c r="AE305" s="849"/>
      <c r="AF305" s="849"/>
      <c r="AG305" s="849"/>
      <c r="AH305" s="849"/>
      <c r="AI305" s="849"/>
      <c r="AJ305" s="849"/>
      <c r="AK305" s="849"/>
      <c r="AL305" s="853"/>
      <c r="AM305" s="612"/>
      <c r="AN305" s="610"/>
      <c r="AO305" s="608"/>
      <c r="AP305" s="612"/>
      <c r="AQ305" s="612"/>
      <c r="AZ305" s="615"/>
      <c r="BY305" s="732"/>
      <c r="BZ305" s="732"/>
      <c r="CA305" s="1327"/>
      <c r="CB305" s="1327"/>
      <c r="CC305" s="1327"/>
      <c r="CD305" s="1327"/>
      <c r="CE305" s="1327"/>
      <c r="CF305" s="1327"/>
      <c r="CG305" s="1327"/>
      <c r="CH305" s="1327"/>
      <c r="CI305" s="1327"/>
      <c r="CJ305" s="1327"/>
      <c r="CK305" s="1328"/>
      <c r="CL305" s="1328"/>
      <c r="CM305" s="1329"/>
      <c r="CN305" s="1329"/>
      <c r="CO305" s="1329"/>
      <c r="CP305" s="1329"/>
      <c r="CQ305" s="1329"/>
      <c r="CR305" s="1329"/>
      <c r="CS305" s="1329"/>
      <c r="CT305" s="1328"/>
      <c r="CU305" s="1328"/>
      <c r="CV305" s="1328"/>
      <c r="CW305" s="1328"/>
      <c r="CX305" s="1328"/>
      <c r="CY305" s="1328"/>
      <c r="CZ305" s="1328"/>
      <c r="DA305" s="1328"/>
      <c r="DB305" s="1328"/>
      <c r="DC305" s="1328"/>
      <c r="DD305" s="1328"/>
      <c r="DE305" s="1328"/>
      <c r="DF305" s="1328"/>
      <c r="DG305" s="1328"/>
      <c r="DH305" s="1328"/>
      <c r="DI305" s="1328"/>
      <c r="DJ305" s="1328"/>
      <c r="DK305" s="1328"/>
    </row>
    <row r="306" spans="1:152" s="614" customFormat="1" ht="20.25" hidden="1" customHeight="1">
      <c r="A306" s="848"/>
      <c r="B306" s="848"/>
      <c r="C306" s="1428"/>
      <c r="D306" s="1428"/>
      <c r="E306" s="1428"/>
      <c r="F306" s="1428"/>
      <c r="G306" s="1428"/>
      <c r="H306" s="1428">
        <v>2018</v>
      </c>
      <c r="I306" s="1428"/>
      <c r="J306" s="1428">
        <v>79</v>
      </c>
      <c r="K306" s="1428"/>
      <c r="L306" s="849">
        <v>67</v>
      </c>
      <c r="M306" s="849">
        <v>7025</v>
      </c>
      <c r="N306" s="849">
        <v>1307</v>
      </c>
      <c r="O306" s="849">
        <v>368</v>
      </c>
      <c r="P306" s="849">
        <v>320</v>
      </c>
      <c r="Q306" s="849"/>
      <c r="R306" s="849">
        <f>N306+O306+P306</f>
        <v>1995</v>
      </c>
      <c r="S306" s="849"/>
      <c r="T306" s="849"/>
      <c r="U306" s="849"/>
      <c r="V306" s="849"/>
      <c r="W306" s="849"/>
      <c r="X306" s="849"/>
      <c r="Y306" s="849"/>
      <c r="Z306" s="849"/>
      <c r="AA306" s="849"/>
      <c r="AB306" s="849"/>
      <c r="AC306" s="849"/>
      <c r="AD306" s="849"/>
      <c r="AE306" s="849"/>
      <c r="AF306" s="849"/>
      <c r="AG306" s="849"/>
      <c r="AH306" s="849"/>
      <c r="AI306" s="849"/>
      <c r="AJ306" s="849"/>
      <c r="AK306" s="849"/>
      <c r="AL306" s="853"/>
      <c r="AM306" s="612"/>
      <c r="AN306" s="610"/>
      <c r="AO306" s="608"/>
      <c r="AP306" s="612"/>
      <c r="AQ306" s="612"/>
      <c r="AZ306" s="615"/>
      <c r="BY306" s="732"/>
      <c r="BZ306" s="732"/>
      <c r="CA306" s="1327"/>
      <c r="CB306" s="1327"/>
      <c r="CC306" s="1327"/>
      <c r="CD306" s="1327"/>
      <c r="CE306" s="1327"/>
      <c r="CF306" s="1327"/>
      <c r="CG306" s="1327"/>
      <c r="CH306" s="1327"/>
      <c r="CI306" s="1327"/>
      <c r="CJ306" s="1327"/>
      <c r="CK306" s="1328"/>
      <c r="CL306" s="1328"/>
      <c r="CM306" s="1329"/>
      <c r="CN306" s="1329"/>
      <c r="CO306" s="1329"/>
      <c r="CP306" s="1329"/>
      <c r="CQ306" s="1329"/>
      <c r="CR306" s="1329"/>
      <c r="CS306" s="1329"/>
      <c r="CT306" s="1328"/>
      <c r="CU306" s="1328"/>
      <c r="CV306" s="1328"/>
      <c r="CW306" s="1328"/>
      <c r="CX306" s="1328"/>
      <c r="CY306" s="1328"/>
      <c r="CZ306" s="1328"/>
      <c r="DA306" s="1328"/>
      <c r="DB306" s="1328"/>
      <c r="DC306" s="1328"/>
      <c r="DD306" s="1328"/>
      <c r="DE306" s="1328"/>
      <c r="DF306" s="1328"/>
      <c r="DG306" s="1328"/>
      <c r="DH306" s="1328"/>
      <c r="DI306" s="1328"/>
      <c r="DJ306" s="1328"/>
      <c r="DK306" s="1328"/>
    </row>
    <row r="307" spans="1:152" s="614" customFormat="1" ht="20.25" hidden="1" customHeight="1">
      <c r="A307" s="831"/>
      <c r="B307" s="878"/>
      <c r="C307" s="1428"/>
      <c r="D307" s="1428"/>
      <c r="E307" s="1428"/>
      <c r="F307" s="1428"/>
      <c r="G307" s="1428"/>
      <c r="H307" s="1428"/>
      <c r="I307" s="1428"/>
      <c r="J307" s="1428"/>
      <c r="K307" s="1428"/>
      <c r="L307" s="849"/>
      <c r="M307" s="849"/>
      <c r="N307" s="849"/>
      <c r="O307" s="849"/>
      <c r="P307" s="849"/>
      <c r="Q307" s="849"/>
      <c r="R307" s="849"/>
      <c r="S307" s="849"/>
      <c r="T307" s="849"/>
      <c r="U307" s="849"/>
      <c r="V307" s="849"/>
      <c r="W307" s="849"/>
      <c r="X307" s="849"/>
      <c r="Y307" s="849"/>
      <c r="Z307" s="849"/>
      <c r="AA307" s="849"/>
      <c r="AB307" s="849"/>
      <c r="AC307" s="849"/>
      <c r="AD307" s="849"/>
      <c r="AE307" s="849"/>
      <c r="AF307" s="849"/>
      <c r="AG307" s="849"/>
      <c r="AH307" s="849"/>
      <c r="AI307" s="849"/>
      <c r="AJ307" s="849"/>
      <c r="AK307" s="849"/>
      <c r="AL307" s="853"/>
      <c r="AM307" s="612"/>
      <c r="AN307" s="610"/>
      <c r="AO307" s="608"/>
      <c r="AP307" s="612"/>
      <c r="AQ307" s="612"/>
      <c r="AZ307" s="615"/>
      <c r="BY307" s="732"/>
      <c r="BZ307" s="732"/>
      <c r="CA307" s="1327"/>
      <c r="CB307" s="1327"/>
      <c r="CC307" s="1327"/>
      <c r="CD307" s="1327"/>
      <c r="CE307" s="1327"/>
      <c r="CF307" s="1327"/>
      <c r="CG307" s="1327"/>
      <c r="CH307" s="1327"/>
      <c r="CI307" s="1327"/>
      <c r="CJ307" s="1327"/>
      <c r="CK307" s="1328"/>
      <c r="CL307" s="1328"/>
      <c r="CM307" s="1329"/>
      <c r="CN307" s="1329"/>
      <c r="CO307" s="1329"/>
      <c r="CP307" s="1329"/>
      <c r="CQ307" s="1329"/>
      <c r="CR307" s="1329"/>
      <c r="CS307" s="1329"/>
      <c r="CT307" s="1328"/>
      <c r="CU307" s="1328"/>
      <c r="CV307" s="1328"/>
      <c r="CW307" s="1328"/>
      <c r="CX307" s="1328"/>
      <c r="CY307" s="1328"/>
      <c r="CZ307" s="1328"/>
      <c r="DA307" s="1328"/>
      <c r="DB307" s="1328"/>
      <c r="DC307" s="1328"/>
      <c r="DD307" s="1328"/>
      <c r="DE307" s="1328"/>
      <c r="DF307" s="1328"/>
      <c r="DG307" s="1328"/>
      <c r="DH307" s="1328"/>
      <c r="DI307" s="1328"/>
      <c r="DJ307" s="1328"/>
      <c r="DK307" s="1328"/>
    </row>
    <row r="308" spans="1:152" s="614" customFormat="1" ht="20.25" hidden="1" customHeight="1">
      <c r="A308" s="831"/>
      <c r="B308" s="878"/>
      <c r="C308" s="1428"/>
      <c r="D308" s="1428"/>
      <c r="E308" s="1428"/>
      <c r="F308" s="1428"/>
      <c r="G308" s="1428"/>
      <c r="H308" s="1428"/>
      <c r="I308" s="1428"/>
      <c r="J308" s="1428"/>
      <c r="K308" s="1428"/>
      <c r="L308" s="849"/>
      <c r="M308" s="849">
        <f t="shared" ref="M308:R308" si="457">M305-M306</f>
        <v>617</v>
      </c>
      <c r="N308" s="849">
        <f t="shared" si="457"/>
        <v>-25</v>
      </c>
      <c r="O308" s="849">
        <f t="shared" si="457"/>
        <v>0</v>
      </c>
      <c r="P308" s="849">
        <f t="shared" si="457"/>
        <v>10</v>
      </c>
      <c r="Q308" s="849">
        <f t="shared" si="457"/>
        <v>0</v>
      </c>
      <c r="R308" s="849">
        <f t="shared" si="457"/>
        <v>-15</v>
      </c>
      <c r="S308" s="849"/>
      <c r="T308" s="849"/>
      <c r="U308" s="849"/>
      <c r="V308" s="849"/>
      <c r="W308" s="849"/>
      <c r="X308" s="849"/>
      <c r="Y308" s="849"/>
      <c r="Z308" s="849"/>
      <c r="AA308" s="849"/>
      <c r="AB308" s="849"/>
      <c r="AC308" s="849"/>
      <c r="AD308" s="849"/>
      <c r="AE308" s="849"/>
      <c r="AF308" s="849"/>
      <c r="AG308" s="849"/>
      <c r="AH308" s="849"/>
      <c r="AI308" s="849"/>
      <c r="AJ308" s="849"/>
      <c r="AK308" s="849"/>
      <c r="AL308" s="853"/>
      <c r="AM308" s="612"/>
      <c r="AN308" s="610"/>
      <c r="AO308" s="608"/>
      <c r="AP308" s="612"/>
      <c r="AQ308" s="612"/>
      <c r="AZ308" s="615"/>
      <c r="BY308" s="732"/>
      <c r="BZ308" s="732"/>
      <c r="CA308" s="1327"/>
      <c r="CB308" s="1327"/>
      <c r="CC308" s="1327"/>
      <c r="CD308" s="1327"/>
      <c r="CE308" s="1327"/>
      <c r="CF308" s="1327"/>
      <c r="CG308" s="1327"/>
      <c r="CH308" s="1327"/>
      <c r="CI308" s="1327"/>
      <c r="CJ308" s="1327"/>
      <c r="CK308" s="1328"/>
      <c r="CL308" s="1328"/>
      <c r="CM308" s="1329"/>
      <c r="CN308" s="1329"/>
      <c r="CO308" s="1329"/>
      <c r="CP308" s="1329"/>
      <c r="CQ308" s="1329"/>
      <c r="CR308" s="1329"/>
      <c r="CS308" s="1329"/>
      <c r="CT308" s="1328"/>
      <c r="CU308" s="1328"/>
      <c r="CV308" s="1328"/>
      <c r="CW308" s="1328"/>
      <c r="CX308" s="1328"/>
      <c r="CY308" s="1328"/>
      <c r="CZ308" s="1328"/>
      <c r="DA308" s="1328"/>
      <c r="DB308" s="1328"/>
      <c r="DC308" s="1328"/>
      <c r="DD308" s="1328"/>
      <c r="DE308" s="1328"/>
      <c r="DF308" s="1328"/>
      <c r="DG308" s="1328"/>
      <c r="DH308" s="1328"/>
      <c r="DI308" s="1328"/>
      <c r="DJ308" s="1328"/>
      <c r="DK308" s="1328"/>
    </row>
    <row r="309" spans="1:152" s="614" customFormat="1" ht="20.25" customHeight="1">
      <c r="A309" s="831"/>
      <c r="B309" s="878"/>
      <c r="C309" s="1428"/>
      <c r="D309" s="1428"/>
      <c r="E309" s="1428"/>
      <c r="F309" s="1428"/>
      <c r="G309" s="1428"/>
      <c r="H309" s="1428"/>
      <c r="I309" s="1428"/>
      <c r="J309" s="1428"/>
      <c r="K309" s="1428"/>
      <c r="L309" s="849"/>
      <c r="M309" s="849"/>
      <c r="N309" s="849"/>
      <c r="O309" s="849"/>
      <c r="P309" s="849"/>
      <c r="Q309" s="849"/>
      <c r="R309" s="849"/>
      <c r="S309" s="849"/>
      <c r="T309" s="849"/>
      <c r="U309" s="849"/>
      <c r="V309" s="849"/>
      <c r="W309" s="849"/>
      <c r="X309" s="849"/>
      <c r="Y309" s="849"/>
      <c r="Z309" s="849"/>
      <c r="AA309" s="849"/>
      <c r="AB309" s="849"/>
      <c r="AC309" s="849"/>
      <c r="AD309" s="849"/>
      <c r="AE309" s="849"/>
      <c r="AF309" s="849"/>
      <c r="AG309" s="849"/>
      <c r="AH309" s="849"/>
      <c r="AI309" s="849"/>
      <c r="AJ309" s="849"/>
      <c r="AK309" s="849"/>
      <c r="AL309" s="853"/>
      <c r="AM309" s="612"/>
      <c r="AN309" s="610"/>
      <c r="AO309" s="608"/>
      <c r="AP309" s="612"/>
      <c r="AQ309" s="612"/>
      <c r="AZ309" s="615"/>
      <c r="BY309" s="732"/>
      <c r="BZ309" s="732"/>
      <c r="CA309" s="1327"/>
      <c r="CB309" s="1327"/>
      <c r="CC309" s="1327"/>
      <c r="CD309" s="1327"/>
      <c r="CE309" s="1327"/>
      <c r="CF309" s="1327"/>
      <c r="CG309" s="1327"/>
      <c r="CH309" s="1327"/>
      <c r="CI309" s="1327"/>
      <c r="CJ309" s="1327"/>
      <c r="CK309" s="1328"/>
      <c r="CL309" s="1328"/>
      <c r="CM309" s="1329"/>
      <c r="CN309" s="1329"/>
      <c r="CO309" s="1329"/>
      <c r="CP309" s="1329"/>
      <c r="CQ309" s="1329"/>
      <c r="CR309" s="1329"/>
      <c r="CS309" s="1329"/>
      <c r="CT309" s="1328"/>
      <c r="CU309" s="1328"/>
      <c r="CV309" s="1328"/>
      <c r="CW309" s="1328"/>
      <c r="CX309" s="1328"/>
      <c r="CY309" s="1328"/>
      <c r="CZ309" s="1328"/>
      <c r="DA309" s="1328"/>
      <c r="DB309" s="1328"/>
      <c r="DC309" s="1328"/>
      <c r="DD309" s="1328"/>
      <c r="DE309" s="1328"/>
      <c r="DF309" s="1328"/>
      <c r="DG309" s="1328"/>
      <c r="DH309" s="1328"/>
      <c r="DI309" s="1328"/>
      <c r="DJ309" s="1328"/>
      <c r="DK309" s="1328"/>
    </row>
    <row r="310" spans="1:152" s="614" customFormat="1" ht="20.25" customHeight="1">
      <c r="A310" s="831"/>
      <c r="B310" s="878"/>
      <c r="C310" s="1428"/>
      <c r="D310" s="1428"/>
      <c r="E310" s="1428"/>
      <c r="F310" s="1428"/>
      <c r="G310" s="1428"/>
      <c r="H310" s="1428"/>
      <c r="I310" s="1428"/>
      <c r="J310" s="1428"/>
      <c r="K310" s="1428"/>
      <c r="L310" s="849"/>
      <c r="M310" s="849"/>
      <c r="N310" s="849"/>
      <c r="O310" s="849"/>
      <c r="P310" s="849"/>
      <c r="Q310" s="849"/>
      <c r="R310" s="849"/>
      <c r="S310" s="849"/>
      <c r="T310" s="849"/>
      <c r="U310" s="849"/>
      <c r="V310" s="849"/>
      <c r="W310" s="849"/>
      <c r="X310" s="849"/>
      <c r="Y310" s="849"/>
      <c r="Z310" s="849"/>
      <c r="AA310" s="849"/>
      <c r="AB310" s="849"/>
      <c r="AC310" s="849"/>
      <c r="AD310" s="849"/>
      <c r="AE310" s="849"/>
      <c r="AF310" s="849"/>
      <c r="AG310" s="849"/>
      <c r="AH310" s="849"/>
      <c r="AI310" s="849"/>
      <c r="AJ310" s="849"/>
      <c r="AK310" s="849"/>
      <c r="AL310" s="853"/>
      <c r="AM310" s="612"/>
      <c r="AN310" s="610"/>
      <c r="AO310" s="608"/>
      <c r="AP310" s="612"/>
      <c r="AQ310" s="612"/>
      <c r="AZ310" s="615"/>
      <c r="BY310" s="732"/>
      <c r="BZ310" s="732"/>
      <c r="CA310" s="1327"/>
      <c r="CB310" s="1327"/>
      <c r="CC310" s="1327"/>
      <c r="CD310" s="1327"/>
      <c r="CE310" s="1327"/>
      <c r="CF310" s="1327"/>
      <c r="CG310" s="1327"/>
      <c r="CH310" s="1327"/>
      <c r="CI310" s="1327"/>
      <c r="CJ310" s="1327"/>
      <c r="CK310" s="1328"/>
      <c r="CL310" s="1328"/>
      <c r="CM310" s="1329"/>
      <c r="CN310" s="1329"/>
      <c r="CO310" s="1329"/>
      <c r="CP310" s="1329"/>
      <c r="CQ310" s="1329"/>
      <c r="CR310" s="1329"/>
      <c r="CS310" s="1329"/>
      <c r="CT310" s="1328"/>
      <c r="CU310" s="1328"/>
      <c r="CV310" s="1328"/>
      <c r="CW310" s="1328"/>
      <c r="CX310" s="1328"/>
      <c r="CY310" s="1328"/>
      <c r="CZ310" s="1328"/>
      <c r="DA310" s="1328"/>
      <c r="DB310" s="1328"/>
      <c r="DC310" s="1328"/>
      <c r="DD310" s="1328"/>
      <c r="DE310" s="1328"/>
      <c r="DF310" s="1328"/>
      <c r="DG310" s="1328"/>
      <c r="DH310" s="1328"/>
      <c r="DI310" s="1328"/>
      <c r="DJ310" s="1328"/>
      <c r="DK310" s="1328"/>
    </row>
    <row r="311" spans="1:152" s="614" customFormat="1" ht="20.25" customHeight="1">
      <c r="A311" s="831"/>
      <c r="B311" s="878"/>
      <c r="C311" s="1428"/>
      <c r="D311" s="1428"/>
      <c r="E311" s="1428"/>
      <c r="F311" s="1428"/>
      <c r="G311" s="1428"/>
      <c r="H311" s="1428"/>
      <c r="I311" s="1428"/>
      <c r="J311" s="1428"/>
      <c r="K311" s="1428"/>
      <c r="L311" s="849"/>
      <c r="M311" s="849"/>
      <c r="N311" s="849"/>
      <c r="O311" s="849"/>
      <c r="P311" s="849"/>
      <c r="Q311" s="849"/>
      <c r="R311" s="849"/>
      <c r="S311" s="849"/>
      <c r="T311" s="849"/>
      <c r="U311" s="849"/>
      <c r="V311" s="849"/>
      <c r="W311" s="849"/>
      <c r="X311" s="849"/>
      <c r="Y311" s="849"/>
      <c r="Z311" s="849"/>
      <c r="AA311" s="849"/>
      <c r="AB311" s="849"/>
      <c r="AC311" s="849"/>
      <c r="AD311" s="849"/>
      <c r="AE311" s="849"/>
      <c r="AF311" s="849"/>
      <c r="AG311" s="849"/>
      <c r="AH311" s="849"/>
      <c r="AI311" s="849"/>
      <c r="AJ311" s="849"/>
      <c r="AK311" s="849"/>
      <c r="AL311" s="853"/>
      <c r="AM311" s="612"/>
      <c r="AN311" s="610"/>
      <c r="AO311" s="608"/>
      <c r="AP311" s="612"/>
      <c r="AQ311" s="612"/>
      <c r="AZ311" s="615"/>
      <c r="BY311" s="732"/>
      <c r="BZ311" s="732"/>
      <c r="CA311" s="1327"/>
      <c r="CB311" s="1327"/>
      <c r="CC311" s="1327"/>
      <c r="CD311" s="1327"/>
      <c r="CE311" s="1327"/>
      <c r="CF311" s="1327"/>
      <c r="CG311" s="1327"/>
      <c r="CH311" s="1327"/>
      <c r="CI311" s="1327"/>
      <c r="CJ311" s="1327"/>
      <c r="CK311" s="1328"/>
      <c r="CL311" s="1328"/>
      <c r="CM311" s="1329"/>
      <c r="CN311" s="1329"/>
      <c r="CO311" s="1329"/>
      <c r="CP311" s="1329"/>
      <c r="CQ311" s="1329"/>
      <c r="CR311" s="1329"/>
      <c r="CS311" s="1329"/>
      <c r="CT311" s="1328"/>
      <c r="CU311" s="1328"/>
      <c r="CV311" s="1328"/>
      <c r="CW311" s="1328"/>
      <c r="CX311" s="1328"/>
      <c r="CY311" s="1328"/>
      <c r="CZ311" s="1328"/>
      <c r="DA311" s="1328"/>
      <c r="DB311" s="1328"/>
      <c r="DC311" s="1328"/>
      <c r="DD311" s="1328"/>
      <c r="DE311" s="1328"/>
      <c r="DF311" s="1328"/>
      <c r="DG311" s="1328"/>
      <c r="DH311" s="1328"/>
      <c r="DI311" s="1328"/>
      <c r="DJ311" s="1328"/>
      <c r="DK311" s="1328"/>
    </row>
    <row r="312" spans="1:152" s="614" customFormat="1" ht="20.25" customHeight="1">
      <c r="A312" s="831"/>
      <c r="B312" s="878"/>
      <c r="C312" s="1428"/>
      <c r="D312" s="1428"/>
      <c r="E312" s="1428"/>
      <c r="F312" s="1428"/>
      <c r="G312" s="1428"/>
      <c r="H312" s="1428"/>
      <c r="I312" s="1428"/>
      <c r="J312" s="1428"/>
      <c r="K312" s="1428"/>
      <c r="L312" s="849"/>
      <c r="M312" s="849"/>
      <c r="N312" s="849"/>
      <c r="O312" s="849"/>
      <c r="P312" s="849"/>
      <c r="Q312" s="849"/>
      <c r="R312" s="849"/>
      <c r="S312" s="849"/>
      <c r="T312" s="849"/>
      <c r="U312" s="849"/>
      <c r="V312" s="849"/>
      <c r="W312" s="849"/>
      <c r="X312" s="849"/>
      <c r="Y312" s="849"/>
      <c r="Z312" s="849"/>
      <c r="AA312" s="849"/>
      <c r="AB312" s="849"/>
      <c r="AC312" s="849"/>
      <c r="AD312" s="849"/>
      <c r="AE312" s="849"/>
      <c r="AF312" s="849"/>
      <c r="AG312" s="849"/>
      <c r="AH312" s="849"/>
      <c r="AI312" s="849"/>
      <c r="AJ312" s="849"/>
      <c r="AK312" s="849"/>
      <c r="AL312" s="853"/>
      <c r="AM312" s="612"/>
      <c r="AN312" s="610"/>
      <c r="AO312" s="608"/>
      <c r="AP312" s="612"/>
      <c r="AQ312" s="612"/>
      <c r="AZ312" s="615"/>
      <c r="BY312" s="732"/>
      <c r="BZ312" s="732"/>
      <c r="CA312" s="1327"/>
      <c r="CB312" s="1327"/>
      <c r="CC312" s="1327"/>
      <c r="CD312" s="1327"/>
      <c r="CE312" s="1327"/>
      <c r="CF312" s="1327"/>
      <c r="CG312" s="1327"/>
      <c r="CH312" s="1327"/>
      <c r="CI312" s="1327"/>
      <c r="CJ312" s="1327"/>
      <c r="CK312" s="1328"/>
      <c r="CL312" s="1328"/>
      <c r="CM312" s="1329"/>
      <c r="CN312" s="1329"/>
      <c r="CO312" s="1329"/>
      <c r="CP312" s="1329"/>
      <c r="CQ312" s="1329"/>
      <c r="CR312" s="1329"/>
      <c r="CS312" s="1329"/>
      <c r="CT312" s="1328"/>
      <c r="CU312" s="1328"/>
      <c r="CV312" s="1328"/>
      <c r="CW312" s="1328"/>
      <c r="CX312" s="1328"/>
      <c r="CY312" s="1328"/>
      <c r="CZ312" s="1328"/>
      <c r="DA312" s="1328"/>
      <c r="DB312" s="1328"/>
      <c r="DC312" s="1328"/>
      <c r="DD312" s="1328"/>
      <c r="DE312" s="1328"/>
      <c r="DF312" s="1328"/>
      <c r="DG312" s="1328"/>
      <c r="DH312" s="1328"/>
      <c r="DI312" s="1328"/>
      <c r="DJ312" s="1328"/>
      <c r="DK312" s="1328"/>
    </row>
    <row r="313" spans="1:152" s="614" customFormat="1" ht="20.25" customHeight="1">
      <c r="A313" s="831"/>
      <c r="B313" s="878"/>
      <c r="C313" s="1428"/>
      <c r="D313" s="1428"/>
      <c r="E313" s="1428"/>
      <c r="F313" s="1428"/>
      <c r="G313" s="1428"/>
      <c r="H313" s="1428"/>
      <c r="I313" s="1428"/>
      <c r="J313" s="1428"/>
      <c r="K313" s="1428"/>
      <c r="L313" s="849"/>
      <c r="M313" s="849"/>
      <c r="N313" s="849"/>
      <c r="O313" s="849"/>
      <c r="P313" s="849"/>
      <c r="Q313" s="849"/>
      <c r="R313" s="849"/>
      <c r="S313" s="849"/>
      <c r="T313" s="849"/>
      <c r="U313" s="849"/>
      <c r="V313" s="849"/>
      <c r="W313" s="849"/>
      <c r="X313" s="849"/>
      <c r="Y313" s="849"/>
      <c r="Z313" s="849"/>
      <c r="AA313" s="849"/>
      <c r="AB313" s="849"/>
      <c r="AC313" s="849"/>
      <c r="AD313" s="849"/>
      <c r="AE313" s="849"/>
      <c r="AF313" s="849"/>
      <c r="AG313" s="849"/>
      <c r="AH313" s="849"/>
      <c r="AI313" s="849"/>
      <c r="AJ313" s="849"/>
      <c r="AK313" s="849"/>
      <c r="AL313" s="853"/>
      <c r="AM313" s="612"/>
      <c r="AN313" s="610"/>
      <c r="AO313" s="608"/>
      <c r="AP313" s="612"/>
      <c r="AQ313" s="612"/>
      <c r="AZ313" s="615"/>
      <c r="BY313" s="732"/>
      <c r="BZ313" s="732"/>
      <c r="CA313" s="1327"/>
      <c r="CB313" s="1327"/>
      <c r="CC313" s="1327"/>
      <c r="CD313" s="1327"/>
      <c r="CE313" s="1327"/>
      <c r="CF313" s="1327"/>
      <c r="CG313" s="1327"/>
      <c r="CH313" s="1327"/>
      <c r="CI313" s="1327"/>
      <c r="CJ313" s="1327"/>
      <c r="CK313" s="1328"/>
      <c r="CL313" s="1328"/>
      <c r="CM313" s="1329"/>
      <c r="CN313" s="1329"/>
      <c r="CO313" s="1329"/>
      <c r="CP313" s="1329"/>
      <c r="CQ313" s="1329"/>
      <c r="CR313" s="1329"/>
      <c r="CS313" s="1329"/>
      <c r="CT313" s="1328"/>
      <c r="CU313" s="1328"/>
      <c r="CV313" s="1328"/>
      <c r="CW313" s="1328"/>
      <c r="CX313" s="1328"/>
      <c r="CY313" s="1328"/>
      <c r="CZ313" s="1328"/>
      <c r="DA313" s="1328"/>
      <c r="DB313" s="1328"/>
      <c r="DC313" s="1328"/>
      <c r="DD313" s="1328"/>
      <c r="DE313" s="1328"/>
      <c r="DF313" s="1328"/>
      <c r="DG313" s="1328"/>
      <c r="DH313" s="1328"/>
      <c r="DI313" s="1328"/>
      <c r="DJ313" s="1328"/>
      <c r="DK313" s="1328"/>
    </row>
    <row r="314" spans="1:152" s="614" customFormat="1" ht="20.25" customHeight="1">
      <c r="A314" s="831"/>
      <c r="B314" s="878"/>
      <c r="C314" s="1428"/>
      <c r="D314" s="1428"/>
      <c r="E314" s="1428"/>
      <c r="F314" s="1428"/>
      <c r="G314" s="1428"/>
      <c r="H314" s="1428"/>
      <c r="I314" s="1428"/>
      <c r="J314" s="1428"/>
      <c r="K314" s="1428"/>
      <c r="L314" s="849"/>
      <c r="M314" s="849"/>
      <c r="N314" s="849"/>
      <c r="O314" s="849"/>
      <c r="P314" s="849"/>
      <c r="Q314" s="849"/>
      <c r="R314" s="849"/>
      <c r="S314" s="849"/>
      <c r="T314" s="849"/>
      <c r="U314" s="849"/>
      <c r="V314" s="849"/>
      <c r="W314" s="849"/>
      <c r="X314" s="849"/>
      <c r="Y314" s="849"/>
      <c r="Z314" s="849"/>
      <c r="AA314" s="849"/>
      <c r="AB314" s="849"/>
      <c r="AC314" s="849"/>
      <c r="AD314" s="849"/>
      <c r="AE314" s="849"/>
      <c r="AF314" s="849"/>
      <c r="AG314" s="849"/>
      <c r="AH314" s="849"/>
      <c r="AI314" s="849"/>
      <c r="AJ314" s="849"/>
      <c r="AK314" s="849"/>
      <c r="AL314" s="853"/>
      <c r="AM314" s="612"/>
      <c r="AN314" s="610"/>
      <c r="AO314" s="608"/>
      <c r="AP314" s="612"/>
      <c r="AQ314" s="612"/>
      <c r="AZ314" s="615"/>
      <c r="BY314" s="732"/>
      <c r="BZ314" s="732"/>
      <c r="CA314" s="1327"/>
      <c r="CB314" s="1327"/>
      <c r="CC314" s="1327"/>
      <c r="CD314" s="1327"/>
      <c r="CE314" s="1327"/>
      <c r="CF314" s="1327"/>
      <c r="CG314" s="1327"/>
      <c r="CH314" s="1327"/>
      <c r="CI314" s="1327"/>
      <c r="CJ314" s="1327"/>
      <c r="CK314" s="1328"/>
      <c r="CL314" s="1328"/>
      <c r="CM314" s="1329"/>
      <c r="CN314" s="1329"/>
      <c r="CO314" s="1329"/>
      <c r="CP314" s="1329"/>
      <c r="CQ314" s="1329"/>
      <c r="CR314" s="1329"/>
      <c r="CS314" s="1329"/>
      <c r="CT314" s="1328"/>
      <c r="CU314" s="1328"/>
      <c r="CV314" s="1328"/>
      <c r="CW314" s="1328"/>
      <c r="CX314" s="1328"/>
      <c r="CY314" s="1328"/>
      <c r="CZ314" s="1328"/>
      <c r="DA314" s="1328"/>
      <c r="DB314" s="1328"/>
      <c r="DC314" s="1328"/>
      <c r="DD314" s="1328"/>
      <c r="DE314" s="1328"/>
      <c r="DF314" s="1328"/>
      <c r="DG314" s="1328"/>
      <c r="DH314" s="1328"/>
      <c r="DI314" s="1328"/>
      <c r="DJ314" s="1328"/>
      <c r="DK314" s="1328"/>
    </row>
    <row r="315" spans="1:152" s="797" customFormat="1">
      <c r="A315" s="879"/>
      <c r="B315" s="831"/>
      <c r="C315" s="848"/>
      <c r="D315" s="848"/>
      <c r="E315" s="1428"/>
      <c r="F315" s="1428"/>
      <c r="G315" s="1428"/>
      <c r="H315" s="1428"/>
      <c r="I315" s="1428"/>
      <c r="J315" s="1428"/>
      <c r="K315" s="1428"/>
      <c r="L315" s="880"/>
      <c r="M315" s="781"/>
      <c r="N315" s="781"/>
      <c r="O315" s="781"/>
      <c r="P315" s="781"/>
      <c r="Q315" s="781"/>
      <c r="R315" s="781"/>
      <c r="S315" s="781"/>
      <c r="T315" s="781"/>
      <c r="U315" s="781"/>
      <c r="V315" s="781"/>
      <c r="W315" s="781"/>
      <c r="X315" s="781"/>
      <c r="Y315" s="781"/>
      <c r="Z315" s="781"/>
      <c r="AA315" s="781"/>
      <c r="AB315" s="781"/>
      <c r="AC315" s="781"/>
      <c r="AD315" s="781"/>
      <c r="AE315" s="781"/>
      <c r="AF315" s="781"/>
      <c r="AG315" s="781"/>
      <c r="AH315" s="781"/>
      <c r="AI315" s="781"/>
      <c r="AJ315" s="781"/>
      <c r="AK315" s="781"/>
      <c r="AL315" s="883"/>
      <c r="AM315" s="884"/>
      <c r="AN315" s="885"/>
      <c r="AO315" s="884"/>
      <c r="AP315" s="884"/>
      <c r="AQ315" s="884"/>
      <c r="AZ315" s="886"/>
      <c r="BY315" s="1378"/>
      <c r="BZ315" s="1378"/>
      <c r="CA315" s="1398"/>
      <c r="CB315" s="1398"/>
      <c r="CC315" s="1398"/>
      <c r="CD315" s="1398"/>
      <c r="CE315" s="1398"/>
      <c r="CF315" s="1398"/>
      <c r="CG315" s="1398"/>
      <c r="CH315" s="1398"/>
      <c r="CI315" s="1398"/>
      <c r="CJ315" s="1398"/>
      <c r="CK315" s="1399"/>
      <c r="CL315" s="1399"/>
      <c r="CM315" s="1400"/>
      <c r="CN315" s="1400"/>
      <c r="CO315" s="1400"/>
      <c r="CP315" s="1400"/>
      <c r="CQ315" s="1400"/>
      <c r="CR315" s="1400"/>
      <c r="CS315" s="1400"/>
      <c r="CT315" s="1399"/>
      <c r="CU315" s="1399"/>
      <c r="CV315" s="1399"/>
      <c r="CW315" s="1399"/>
      <c r="CX315" s="1399"/>
      <c r="CY315" s="1399"/>
      <c r="CZ315" s="1399"/>
      <c r="DA315" s="1399"/>
      <c r="DB315" s="1399"/>
      <c r="DC315" s="1399"/>
      <c r="DD315" s="1399"/>
      <c r="DE315" s="1399"/>
      <c r="DF315" s="1399"/>
      <c r="DG315" s="1399"/>
      <c r="DH315" s="1399"/>
      <c r="DI315" s="1399"/>
      <c r="DJ315" s="1399"/>
      <c r="DK315" s="1399"/>
    </row>
    <row r="316" spans="1:152" s="797" customFormat="1" hidden="1">
      <c r="A316" s="879"/>
      <c r="B316" s="831"/>
      <c r="C316" s="848"/>
      <c r="D316" s="848"/>
      <c r="E316" s="1428"/>
      <c r="F316" s="1428"/>
      <c r="G316" s="1428"/>
      <c r="H316" s="1428"/>
      <c r="I316" s="1428"/>
      <c r="J316" s="1428"/>
      <c r="K316" s="1428"/>
      <c r="L316" s="887"/>
      <c r="M316" s="781"/>
      <c r="N316" s="781"/>
      <c r="O316" s="781"/>
      <c r="P316" s="781"/>
      <c r="Q316" s="781"/>
      <c r="R316" s="781"/>
      <c r="S316" s="781"/>
      <c r="T316" s="781"/>
      <c r="U316" s="781"/>
      <c r="V316" s="781"/>
      <c r="W316" s="781"/>
      <c r="X316" s="781"/>
      <c r="Y316" s="781"/>
      <c r="Z316" s="781"/>
      <c r="AA316" s="781"/>
      <c r="AB316" s="781"/>
      <c r="AC316" s="781"/>
      <c r="AD316" s="781"/>
      <c r="AE316" s="781"/>
      <c r="AF316" s="781"/>
      <c r="AG316" s="781"/>
      <c r="AH316" s="781"/>
      <c r="AI316" s="781"/>
      <c r="AJ316" s="781"/>
      <c r="AK316" s="781"/>
      <c r="AL316" s="883"/>
      <c r="AM316" s="884"/>
      <c r="AN316" s="885"/>
      <c r="AO316" s="884"/>
      <c r="AP316" s="884"/>
      <c r="AQ316" s="884"/>
      <c r="AZ316" s="886"/>
      <c r="BY316" s="1378"/>
      <c r="BZ316" s="1378"/>
      <c r="CA316" s="1398"/>
      <c r="CB316" s="1398"/>
      <c r="CC316" s="1398"/>
      <c r="CD316" s="1398"/>
      <c r="CE316" s="1398"/>
      <c r="CF316" s="1398"/>
      <c r="CG316" s="1398"/>
      <c r="CH316" s="1398"/>
      <c r="CI316" s="1398"/>
      <c r="CJ316" s="1398"/>
      <c r="CK316" s="1399"/>
      <c r="CL316" s="1399"/>
      <c r="CM316" s="1400"/>
      <c r="CN316" s="1400"/>
      <c r="CO316" s="1400"/>
      <c r="CP316" s="1400"/>
      <c r="CQ316" s="1400"/>
      <c r="CR316" s="1400"/>
      <c r="CS316" s="1400"/>
      <c r="CT316" s="1399"/>
      <c r="CU316" s="1399"/>
      <c r="CV316" s="1399"/>
      <c r="CW316" s="1399"/>
      <c r="CX316" s="1399"/>
      <c r="CY316" s="1399"/>
      <c r="CZ316" s="1399"/>
      <c r="DA316" s="1399"/>
      <c r="DB316" s="1399"/>
      <c r="DC316" s="1399"/>
      <c r="DD316" s="1399"/>
      <c r="DE316" s="1399"/>
      <c r="DF316" s="1399"/>
      <c r="DG316" s="1399"/>
      <c r="DH316" s="1399"/>
      <c r="DI316" s="1399"/>
      <c r="DJ316" s="1399"/>
      <c r="DK316" s="1399"/>
    </row>
    <row r="317" spans="1:152" s="797" customFormat="1" ht="28.5" hidden="1" customHeight="1">
      <c r="A317" s="879"/>
      <c r="B317" s="831"/>
      <c r="C317" s="1428">
        <f t="shared" ref="C317:J317" si="458">SUM(C237:C238,C222:C230,C205:C219,C203,C200:C201,C198,C196,C193,C191,C188:C189,C183:C185,C174:C181,C171:C172,C167:C169,C157:C165,C152:C155,C142:C147,C134:C139)</f>
        <v>1509</v>
      </c>
      <c r="D317" s="1428">
        <f t="shared" si="458"/>
        <v>1351</v>
      </c>
      <c r="E317" s="1428">
        <f t="shared" si="458"/>
        <v>1077</v>
      </c>
      <c r="F317" s="1428">
        <f t="shared" si="458"/>
        <v>274</v>
      </c>
      <c r="G317" s="1428">
        <f t="shared" si="458"/>
        <v>1003</v>
      </c>
      <c r="H317" s="1428">
        <f t="shared" si="458"/>
        <v>301</v>
      </c>
      <c r="I317" s="1428">
        <f t="shared" si="458"/>
        <v>158</v>
      </c>
      <c r="J317" s="1428">
        <f t="shared" si="458"/>
        <v>152</v>
      </c>
      <c r="K317" s="1428"/>
      <c r="L317" s="849">
        <f t="shared" ref="L317:AL317" si="459">SUM(L237:L238,L222:L230,L205:L219,L203,L200:L201,L198,L196,L193,L191,L188:L189,L183:L185,L174:L181,L171:L172,L167:L169,L157:L165,L152:L155,L142:L147,L134:L139)</f>
        <v>402514</v>
      </c>
      <c r="M317" s="1428">
        <f t="shared" si="459"/>
        <v>151791</v>
      </c>
      <c r="N317" s="1428">
        <f t="shared" si="459"/>
        <v>29179</v>
      </c>
      <c r="O317" s="1428">
        <f t="shared" si="459"/>
        <v>5521</v>
      </c>
      <c r="P317" s="1428">
        <f t="shared" si="459"/>
        <v>1818</v>
      </c>
      <c r="Q317" s="1428">
        <f t="shared" si="459"/>
        <v>24</v>
      </c>
      <c r="R317" s="1428">
        <f t="shared" si="459"/>
        <v>45.300000000000004</v>
      </c>
      <c r="S317" s="1428">
        <f t="shared" si="459"/>
        <v>4319</v>
      </c>
      <c r="T317" s="1428">
        <f t="shared" si="459"/>
        <v>4389</v>
      </c>
      <c r="U317" s="1428">
        <f t="shared" si="459"/>
        <v>183920</v>
      </c>
      <c r="V317" s="1428">
        <f t="shared" si="459"/>
        <v>192796</v>
      </c>
      <c r="W317" s="1428">
        <f t="shared" si="459"/>
        <v>17771</v>
      </c>
      <c r="X317" s="1428">
        <f t="shared" si="459"/>
        <v>20</v>
      </c>
      <c r="Y317" s="1428">
        <f t="shared" si="459"/>
        <v>1766.2000000000003</v>
      </c>
      <c r="Z317" s="1428">
        <f t="shared" si="459"/>
        <v>11313.8</v>
      </c>
      <c r="AA317" s="1428">
        <f t="shared" si="459"/>
        <v>8648</v>
      </c>
      <c r="AB317" s="1428">
        <f t="shared" si="459"/>
        <v>10435</v>
      </c>
      <c r="AC317" s="1428">
        <f t="shared" si="459"/>
        <v>200132</v>
      </c>
      <c r="AD317" s="1428">
        <f t="shared" si="459"/>
        <v>17162</v>
      </c>
      <c r="AE317" s="1428">
        <f t="shared" si="459"/>
        <v>1300</v>
      </c>
      <c r="AF317" s="1428">
        <f t="shared" si="459"/>
        <v>0</v>
      </c>
      <c r="AG317" s="1428">
        <f t="shared" si="459"/>
        <v>3630</v>
      </c>
      <c r="AH317" s="1428">
        <f t="shared" si="459"/>
        <v>2658</v>
      </c>
      <c r="AI317" s="1428">
        <f t="shared" si="459"/>
        <v>5377</v>
      </c>
      <c r="AJ317" s="1428">
        <f t="shared" si="459"/>
        <v>15695</v>
      </c>
      <c r="AK317" s="1428">
        <f t="shared" si="459"/>
        <v>127222</v>
      </c>
      <c r="AL317" s="1319">
        <f t="shared" si="459"/>
        <v>0</v>
      </c>
      <c r="AM317" s="884"/>
      <c r="AN317" s="885"/>
      <c r="AO317" s="884"/>
      <c r="AP317" s="884"/>
      <c r="AQ317" s="884"/>
      <c r="AZ317" s="886"/>
      <c r="BY317" s="1378"/>
      <c r="BZ317" s="1378"/>
      <c r="CA317" s="1398"/>
      <c r="CB317" s="1398"/>
      <c r="CC317" s="1398"/>
      <c r="CD317" s="1398"/>
      <c r="CE317" s="1398"/>
      <c r="CF317" s="1398"/>
      <c r="CG317" s="1398"/>
      <c r="CH317" s="1398"/>
      <c r="CI317" s="1398"/>
      <c r="CJ317" s="1398"/>
      <c r="CK317" s="1399"/>
      <c r="CL317" s="1399"/>
      <c r="CM317" s="1400"/>
      <c r="CN317" s="1400"/>
      <c r="CO317" s="1400"/>
      <c r="CP317" s="1400"/>
      <c r="CQ317" s="1400"/>
      <c r="CR317" s="1400"/>
      <c r="CS317" s="1400"/>
      <c r="CT317" s="1399"/>
      <c r="CU317" s="1399"/>
      <c r="CV317" s="1399"/>
      <c r="CW317" s="1399"/>
      <c r="CX317" s="1399"/>
      <c r="CY317" s="1399"/>
      <c r="CZ317" s="1399"/>
      <c r="DA317" s="1399"/>
      <c r="DB317" s="1399"/>
      <c r="DC317" s="1399"/>
      <c r="DD317" s="1399"/>
      <c r="DE317" s="1399"/>
      <c r="DF317" s="1399"/>
      <c r="DG317" s="1399"/>
      <c r="DH317" s="1399"/>
      <c r="DI317" s="1399"/>
      <c r="DJ317" s="1399"/>
      <c r="DK317" s="1399"/>
    </row>
    <row r="318" spans="1:152" s="797" customFormat="1" ht="28.5" hidden="1" customHeight="1">
      <c r="A318" s="879"/>
      <c r="B318" s="831"/>
      <c r="C318" s="1428">
        <f t="shared" ref="C318:J318" si="460">SUM(C131,C123:C129,C103:C114,C100:C101,C98,C96,C83:C93,C63:C73,C59:C61,C49:C53,C44:C47,C36:C40,C31:C32,C16:C27,C11:C14)</f>
        <v>5882</v>
      </c>
      <c r="D318" s="1428">
        <f t="shared" si="460"/>
        <v>5587</v>
      </c>
      <c r="E318" s="1428">
        <f t="shared" si="460"/>
        <v>118</v>
      </c>
      <c r="F318" s="1428">
        <f t="shared" si="460"/>
        <v>5469</v>
      </c>
      <c r="G318" s="1428">
        <f t="shared" si="460"/>
        <v>111</v>
      </c>
      <c r="H318" s="1428">
        <f t="shared" si="460"/>
        <v>5036</v>
      </c>
      <c r="I318" s="1428">
        <f t="shared" si="460"/>
        <v>295</v>
      </c>
      <c r="J318" s="1428">
        <f t="shared" si="460"/>
        <v>255</v>
      </c>
      <c r="K318" s="1428"/>
      <c r="L318" s="849">
        <f t="shared" ref="L318:AL318" si="461">SUM(L131,L123:L129,L103:L114,L100:L101,L98,L96,L83:L93,L63:L73,L59:L61,L49:L53,L44:L47,L36:L40,L31:L32,L16:L27,L11:L14)</f>
        <v>850505</v>
      </c>
      <c r="M318" s="1428">
        <f t="shared" si="461"/>
        <v>422766</v>
      </c>
      <c r="N318" s="1428">
        <f t="shared" si="461"/>
        <v>60045</v>
      </c>
      <c r="O318" s="1428">
        <f t="shared" si="461"/>
        <v>3458</v>
      </c>
      <c r="P318" s="1428">
        <f t="shared" si="461"/>
        <v>0</v>
      </c>
      <c r="Q318" s="1428">
        <f t="shared" si="461"/>
        <v>100</v>
      </c>
      <c r="R318" s="1428">
        <f t="shared" si="461"/>
        <v>671.9</v>
      </c>
      <c r="S318" s="1428">
        <f t="shared" si="461"/>
        <v>3385.8888888888887</v>
      </c>
      <c r="T318" s="1428">
        <f t="shared" si="461"/>
        <v>4159</v>
      </c>
      <c r="U318" s="1428">
        <f t="shared" si="461"/>
        <v>482110</v>
      </c>
      <c r="V318" s="1428">
        <f t="shared" si="461"/>
        <v>326088</v>
      </c>
      <c r="W318" s="1428">
        <f t="shared" si="461"/>
        <v>22004</v>
      </c>
      <c r="X318" s="1428">
        <f t="shared" si="461"/>
        <v>136</v>
      </c>
      <c r="Y318" s="1428">
        <f t="shared" si="461"/>
        <v>4578.8</v>
      </c>
      <c r="Z318" s="1428">
        <f t="shared" si="461"/>
        <v>11053.900000000001</v>
      </c>
      <c r="AA318" s="1428">
        <f t="shared" si="461"/>
        <v>6930</v>
      </c>
      <c r="AB318" s="1428">
        <f t="shared" si="461"/>
        <v>11647</v>
      </c>
      <c r="AC318" s="1428">
        <f t="shared" si="461"/>
        <v>336445</v>
      </c>
      <c r="AD318" s="1428">
        <f t="shared" si="461"/>
        <v>31950</v>
      </c>
      <c r="AE318" s="1428">
        <f t="shared" si="461"/>
        <v>0</v>
      </c>
      <c r="AF318" s="1428">
        <f t="shared" si="461"/>
        <v>0</v>
      </c>
      <c r="AG318" s="1428">
        <f t="shared" si="461"/>
        <v>6419</v>
      </c>
      <c r="AH318" s="1428">
        <f t="shared" si="461"/>
        <v>80</v>
      </c>
      <c r="AI318" s="1428">
        <f t="shared" si="461"/>
        <v>170</v>
      </c>
      <c r="AJ318" s="1428">
        <f t="shared" si="461"/>
        <v>8380</v>
      </c>
      <c r="AK318" s="1428">
        <f t="shared" si="461"/>
        <v>957</v>
      </c>
      <c r="AL318" s="1319">
        <f t="shared" si="461"/>
        <v>0</v>
      </c>
      <c r="AM318" s="884"/>
      <c r="AN318" s="885"/>
      <c r="AO318" s="884"/>
      <c r="AP318" s="884"/>
      <c r="AQ318" s="884"/>
      <c r="AZ318" s="886"/>
      <c r="BY318" s="1378"/>
      <c r="BZ318" s="1378"/>
      <c r="CA318" s="1398"/>
      <c r="CB318" s="1398"/>
      <c r="CC318" s="1398"/>
      <c r="CD318" s="1398"/>
      <c r="CE318" s="1398"/>
      <c r="CF318" s="1398"/>
      <c r="CG318" s="1398"/>
      <c r="CH318" s="1398"/>
      <c r="CI318" s="1398"/>
      <c r="CJ318" s="1398"/>
      <c r="CK318" s="1399"/>
      <c r="CL318" s="1399"/>
      <c r="CM318" s="1400"/>
      <c r="CN318" s="1400"/>
      <c r="CO318" s="1400"/>
      <c r="CP318" s="1400"/>
      <c r="CQ318" s="1400"/>
      <c r="CR318" s="1400"/>
      <c r="CS318" s="1400"/>
      <c r="CT318" s="1399"/>
      <c r="CU318" s="1399"/>
      <c r="CV318" s="1399"/>
      <c r="CW318" s="1399"/>
      <c r="CX318" s="1399"/>
      <c r="CY318" s="1399"/>
      <c r="CZ318" s="1399"/>
      <c r="DA318" s="1399"/>
      <c r="DB318" s="1399"/>
      <c r="DC318" s="1399"/>
      <c r="DD318" s="1399"/>
      <c r="DE318" s="1399"/>
      <c r="DF318" s="1399"/>
      <c r="DG318" s="1399"/>
      <c r="DH318" s="1399"/>
      <c r="DI318" s="1399"/>
      <c r="DJ318" s="1399"/>
      <c r="DK318" s="1399"/>
      <c r="DV318" s="797">
        <v>-3751</v>
      </c>
      <c r="DW318" s="797">
        <v>-6585</v>
      </c>
      <c r="DX318" s="797">
        <v>-1176</v>
      </c>
      <c r="DY318" s="797">
        <v>70</v>
      </c>
      <c r="DZ318" s="797">
        <v>0</v>
      </c>
      <c r="EA318" s="797">
        <v>124</v>
      </c>
      <c r="EB318" s="797">
        <v>-62.400000000000091</v>
      </c>
      <c r="EC318" s="797">
        <v>0</v>
      </c>
      <c r="ED318" s="797">
        <v>60</v>
      </c>
      <c r="EE318" s="797">
        <v>-7751</v>
      </c>
      <c r="EF318" s="797">
        <v>-314</v>
      </c>
      <c r="EG318" s="797">
        <v>-830</v>
      </c>
      <c r="EH318" s="797">
        <v>156</v>
      </c>
      <c r="EI318" s="797">
        <v>-4472.3999999999996</v>
      </c>
      <c r="EJ318" s="797">
        <v>22337.7</v>
      </c>
      <c r="EK318" s="797">
        <v>0</v>
      </c>
      <c r="EL318" s="797">
        <v>-4317</v>
      </c>
      <c r="EM318" s="797">
        <v>3173</v>
      </c>
      <c r="EN318" s="797">
        <v>827</v>
      </c>
      <c r="EO318" s="797">
        <v>0</v>
      </c>
      <c r="EP318" s="797">
        <v>0</v>
      </c>
      <c r="EQ318" s="797">
        <v>0</v>
      </c>
      <c r="ER318" s="797">
        <v>0</v>
      </c>
      <c r="ES318" s="797">
        <v>0</v>
      </c>
      <c r="ET318" s="797">
        <v>0</v>
      </c>
      <c r="EU318" s="797">
        <v>0</v>
      </c>
      <c r="EV318" s="797">
        <v>0</v>
      </c>
    </row>
    <row r="319" spans="1:152" s="797" customFormat="1" ht="28.5" hidden="1" customHeight="1">
      <c r="A319" s="879"/>
      <c r="B319" s="831"/>
      <c r="C319" s="1401">
        <f t="shared" ref="C319:J319" si="462">C248-(C317+C318)</f>
        <v>0</v>
      </c>
      <c r="D319" s="1401">
        <f t="shared" si="462"/>
        <v>0</v>
      </c>
      <c r="E319" s="1401">
        <f t="shared" si="462"/>
        <v>0</v>
      </c>
      <c r="F319" s="1401">
        <f t="shared" si="462"/>
        <v>0</v>
      </c>
      <c r="G319" s="1401">
        <f t="shared" si="462"/>
        <v>0</v>
      </c>
      <c r="H319" s="1401">
        <f t="shared" si="462"/>
        <v>0</v>
      </c>
      <c r="I319" s="1401">
        <f t="shared" si="462"/>
        <v>0</v>
      </c>
      <c r="J319" s="1401">
        <f t="shared" si="462"/>
        <v>0</v>
      </c>
      <c r="K319" s="1401"/>
      <c r="L319" s="1739">
        <f t="shared" ref="L319:AL319" si="463">L248-(L317+L318)</f>
        <v>-18736</v>
      </c>
      <c r="M319" s="1401">
        <f t="shared" si="463"/>
        <v>0</v>
      </c>
      <c r="N319" s="1401">
        <f t="shared" si="463"/>
        <v>0</v>
      </c>
      <c r="O319" s="1401">
        <f t="shared" si="463"/>
        <v>0</v>
      </c>
      <c r="P319" s="1401">
        <f t="shared" si="463"/>
        <v>0</v>
      </c>
      <c r="Q319" s="1401">
        <f t="shared" si="463"/>
        <v>0</v>
      </c>
      <c r="R319" s="1401">
        <f t="shared" si="463"/>
        <v>0</v>
      </c>
      <c r="S319" s="1401">
        <f t="shared" si="463"/>
        <v>0</v>
      </c>
      <c r="T319" s="1401">
        <f t="shared" si="463"/>
        <v>0</v>
      </c>
      <c r="U319" s="1401">
        <f t="shared" si="463"/>
        <v>0</v>
      </c>
      <c r="V319" s="1401">
        <f t="shared" si="463"/>
        <v>-6736</v>
      </c>
      <c r="W319" s="1401">
        <f t="shared" si="463"/>
        <v>0</v>
      </c>
      <c r="X319" s="1401">
        <f t="shared" si="463"/>
        <v>0</v>
      </c>
      <c r="Y319" s="1401">
        <f t="shared" si="463"/>
        <v>0</v>
      </c>
      <c r="Z319" s="1401">
        <f t="shared" si="463"/>
        <v>0</v>
      </c>
      <c r="AA319" s="1401">
        <f t="shared" si="463"/>
        <v>0</v>
      </c>
      <c r="AB319" s="1401">
        <f t="shared" si="463"/>
        <v>0</v>
      </c>
      <c r="AC319" s="1401">
        <f t="shared" si="463"/>
        <v>-6736</v>
      </c>
      <c r="AD319" s="1401">
        <f t="shared" si="463"/>
        <v>-12000</v>
      </c>
      <c r="AE319" s="1401">
        <f t="shared" si="463"/>
        <v>0</v>
      </c>
      <c r="AF319" s="1401">
        <f t="shared" si="463"/>
        <v>0</v>
      </c>
      <c r="AG319" s="1401">
        <f t="shared" si="463"/>
        <v>0</v>
      </c>
      <c r="AH319" s="1401">
        <f t="shared" si="463"/>
        <v>0</v>
      </c>
      <c r="AI319" s="1401">
        <f t="shared" si="463"/>
        <v>0</v>
      </c>
      <c r="AJ319" s="1401">
        <f t="shared" si="463"/>
        <v>29244</v>
      </c>
      <c r="AK319" s="1401">
        <f t="shared" si="463"/>
        <v>-18094</v>
      </c>
      <c r="AL319" s="1401">
        <f t="shared" si="463"/>
        <v>0</v>
      </c>
      <c r="AM319" s="884"/>
      <c r="AN319" s="885"/>
      <c r="AO319" s="884"/>
      <c r="AP319" s="884"/>
      <c r="AQ319" s="884"/>
      <c r="AZ319" s="886"/>
      <c r="BY319" s="1378"/>
      <c r="BZ319" s="1378"/>
      <c r="CA319" s="1398"/>
      <c r="CB319" s="1398"/>
      <c r="CC319" s="1398"/>
      <c r="CD319" s="1398"/>
      <c r="CE319" s="1398"/>
      <c r="CF319" s="1398"/>
      <c r="CG319" s="1398"/>
      <c r="CH319" s="1398"/>
      <c r="CI319" s="1398"/>
      <c r="CJ319" s="1398"/>
      <c r="CK319" s="1399"/>
      <c r="CL319" s="1399"/>
      <c r="CM319" s="1400"/>
      <c r="CN319" s="1400"/>
      <c r="CO319" s="1400"/>
      <c r="CP319" s="1400"/>
      <c r="CQ319" s="1400"/>
      <c r="CR319" s="1400"/>
      <c r="CS319" s="1400"/>
      <c r="CT319" s="1399"/>
      <c r="CU319" s="1399"/>
      <c r="CV319" s="1399"/>
      <c r="CW319" s="1399"/>
      <c r="CX319" s="1399"/>
      <c r="CY319" s="1399"/>
      <c r="CZ319" s="1399"/>
      <c r="DA319" s="1399"/>
      <c r="DB319" s="1399"/>
      <c r="DC319" s="1399"/>
      <c r="DD319" s="1399"/>
      <c r="DE319" s="1399"/>
      <c r="DF319" s="1399"/>
      <c r="DG319" s="1399"/>
      <c r="DH319" s="1399"/>
      <c r="DI319" s="1399"/>
      <c r="DJ319" s="1399"/>
      <c r="DK319" s="1399"/>
    </row>
    <row r="320" spans="1:152" ht="31.5" hidden="1" customHeight="1">
      <c r="B320" s="619"/>
      <c r="E320" s="618" t="e">
        <f>SUM(#REF!)</f>
        <v>#REF!</v>
      </c>
      <c r="F320" s="618" t="e">
        <f>SUM(#REF!)</f>
        <v>#REF!</v>
      </c>
    </row>
    <row r="321" spans="1:115" ht="31.5" customHeight="1">
      <c r="B321" s="619"/>
      <c r="AD321" s="619" t="s">
        <v>915</v>
      </c>
    </row>
    <row r="327" spans="1:115" ht="31.5" customHeight="1"/>
    <row r="328" spans="1:115">
      <c r="B328" s="890"/>
    </row>
    <row r="329" spans="1:115" hidden="1">
      <c r="B329" s="612"/>
      <c r="L329" s="1738">
        <f t="shared" ref="L329:AL329" si="464">L248-L334</f>
        <v>15266</v>
      </c>
      <c r="M329" s="618">
        <f t="shared" si="464"/>
        <v>2282</v>
      </c>
      <c r="N329" s="618">
        <f t="shared" si="464"/>
        <v>-2183</v>
      </c>
      <c r="O329" s="618">
        <f t="shared" si="464"/>
        <v>70</v>
      </c>
      <c r="P329" s="618">
        <f t="shared" si="464"/>
        <v>-16</v>
      </c>
      <c r="Q329" s="618">
        <f t="shared" si="464"/>
        <v>124</v>
      </c>
      <c r="R329" s="618">
        <f t="shared" si="464"/>
        <v>-51.700000000000045</v>
      </c>
      <c r="S329" s="618">
        <f t="shared" si="464"/>
        <v>0</v>
      </c>
      <c r="T329" s="618">
        <f t="shared" si="464"/>
        <v>70</v>
      </c>
      <c r="U329" s="618">
        <f t="shared" si="464"/>
        <v>83</v>
      </c>
      <c r="V329" s="618">
        <f t="shared" si="464"/>
        <v>-1501</v>
      </c>
      <c r="W329" s="618">
        <f t="shared" si="464"/>
        <v>-480</v>
      </c>
      <c r="X329" s="618">
        <f t="shared" si="464"/>
        <v>156</v>
      </c>
      <c r="Y329" s="618">
        <f t="shared" si="464"/>
        <v>-4420.5000000000018</v>
      </c>
      <c r="Z329" s="618">
        <f t="shared" si="464"/>
        <v>22367.699999999993</v>
      </c>
      <c r="AA329" s="618">
        <f t="shared" si="464"/>
        <v>-42</v>
      </c>
      <c r="AB329" s="618">
        <f t="shared" si="464"/>
        <v>-4307</v>
      </c>
      <c r="AC329" s="618">
        <f t="shared" si="464"/>
        <v>2326</v>
      </c>
      <c r="AD329" s="618">
        <f t="shared" si="464"/>
        <v>12857</v>
      </c>
      <c r="AE329" s="618">
        <f t="shared" si="464"/>
        <v>0</v>
      </c>
      <c r="AF329" s="618">
        <f t="shared" si="464"/>
        <v>0</v>
      </c>
      <c r="AG329" s="618">
        <f t="shared" si="464"/>
        <v>8477</v>
      </c>
      <c r="AH329" s="618">
        <f t="shared" si="464"/>
        <v>304</v>
      </c>
      <c r="AI329" s="618">
        <f t="shared" si="464"/>
        <v>2977</v>
      </c>
      <c r="AJ329" s="618">
        <f t="shared" si="464"/>
        <v>53319</v>
      </c>
      <c r="AK329" s="618">
        <f t="shared" si="464"/>
        <v>110085</v>
      </c>
      <c r="AL329" s="618">
        <f t="shared" si="464"/>
        <v>0</v>
      </c>
    </row>
    <row r="333" spans="1:115" s="841" customFormat="1" ht="31.5" hidden="1" customHeight="1">
      <c r="A333" s="3110" t="s">
        <v>893</v>
      </c>
      <c r="B333" s="3110"/>
      <c r="C333" s="1326">
        <v>7800</v>
      </c>
      <c r="D333" s="1326">
        <v>7320</v>
      </c>
      <c r="E333" s="1326">
        <v>1221</v>
      </c>
      <c r="F333" s="1326">
        <v>6099</v>
      </c>
      <c r="G333" s="1326">
        <v>1120</v>
      </c>
      <c r="H333" s="1326">
        <v>5861</v>
      </c>
      <c r="I333" s="1326">
        <v>480</v>
      </c>
      <c r="J333" s="1326">
        <v>434</v>
      </c>
      <c r="K333" s="1326"/>
      <c r="L333" s="1740">
        <v>1215266</v>
      </c>
      <c r="M333" s="1402">
        <v>565690</v>
      </c>
      <c r="N333" s="1402">
        <v>90231</v>
      </c>
      <c r="O333" s="1402">
        <v>8979</v>
      </c>
      <c r="P333" s="1402">
        <v>1834</v>
      </c>
      <c r="Q333" s="1402">
        <v>124</v>
      </c>
      <c r="R333" s="1402">
        <v>706.50000000000011</v>
      </c>
      <c r="S333" s="1402">
        <v>7704.8888888888887</v>
      </c>
      <c r="T333" s="1402">
        <v>8538</v>
      </c>
      <c r="U333" s="1402">
        <v>658196</v>
      </c>
      <c r="V333" s="1402">
        <v>513335</v>
      </c>
      <c r="W333" s="1402">
        <v>39425</v>
      </c>
      <c r="X333" s="1402">
        <v>156</v>
      </c>
      <c r="Y333" s="1402">
        <v>6293.1</v>
      </c>
      <c r="Z333" s="1402">
        <v>22337.7</v>
      </c>
      <c r="AA333" s="1402">
        <v>15620</v>
      </c>
      <c r="AB333" s="1402">
        <v>22072</v>
      </c>
      <c r="AC333" s="1402">
        <v>530688</v>
      </c>
      <c r="AD333" s="1402">
        <v>25082</v>
      </c>
      <c r="AE333" s="1402">
        <v>1300</v>
      </c>
      <c r="AF333" s="1402">
        <v>0</v>
      </c>
      <c r="AG333" s="1402">
        <v>10049</v>
      </c>
      <c r="AH333" s="1402">
        <v>2658</v>
      </c>
      <c r="AI333" s="1402">
        <v>5477</v>
      </c>
      <c r="AJ333" s="1402">
        <v>0</v>
      </c>
      <c r="AK333" s="1402">
        <v>0</v>
      </c>
      <c r="AL333" s="1403"/>
      <c r="AM333" s="1404"/>
      <c r="AN333" s="1405"/>
      <c r="AO333" s="1404"/>
      <c r="AP333" s="1404"/>
      <c r="AQ333" s="1404"/>
      <c r="AZ333" s="1406"/>
      <c r="BY333" s="1407"/>
      <c r="BZ333" s="1407"/>
      <c r="CA333" s="1408"/>
      <c r="CB333" s="1408"/>
      <c r="CC333" s="1408"/>
      <c r="CD333" s="1408"/>
      <c r="CE333" s="1408"/>
      <c r="CF333" s="1408"/>
      <c r="CG333" s="1408"/>
      <c r="CH333" s="1408"/>
      <c r="CI333" s="1408"/>
      <c r="CJ333" s="1408"/>
      <c r="CK333" s="1409"/>
      <c r="CL333" s="1409"/>
      <c r="CM333" s="1410"/>
      <c r="CN333" s="1410"/>
      <c r="CO333" s="1410"/>
      <c r="CP333" s="1410"/>
      <c r="CQ333" s="1410"/>
      <c r="CR333" s="1410"/>
      <c r="CS333" s="1410"/>
      <c r="CT333" s="1409"/>
      <c r="CU333" s="1409"/>
      <c r="CV333" s="1409"/>
      <c r="CW333" s="1409"/>
      <c r="CX333" s="1409"/>
      <c r="CY333" s="1409"/>
      <c r="CZ333" s="1409"/>
      <c r="DA333" s="1409"/>
      <c r="DB333" s="1409"/>
      <c r="DC333" s="1409"/>
      <c r="DD333" s="1409"/>
      <c r="DE333" s="1409"/>
      <c r="DF333" s="1409"/>
      <c r="DG333" s="1409"/>
      <c r="DH333" s="1409"/>
      <c r="DI333" s="1409"/>
      <c r="DJ333" s="1409"/>
      <c r="DK333" s="1409"/>
    </row>
    <row r="334" spans="1:115" s="614" customFormat="1" ht="46.5" hidden="1" customHeight="1">
      <c r="A334" s="3031" t="s">
        <v>894</v>
      </c>
      <c r="B334" s="3031"/>
      <c r="C334" s="607"/>
      <c r="D334" s="607"/>
      <c r="E334" s="607"/>
      <c r="F334" s="607">
        <f>F10+F27+F31+F32+F35+F44+F47+F50+F51+F59+F61+F65+F67+F68+F80+F122+F131+F133+F141+F151+F156+F166+F173+F187</f>
        <v>5559</v>
      </c>
      <c r="G334" s="607"/>
      <c r="H334" s="607"/>
      <c r="I334" s="607"/>
      <c r="J334" s="607"/>
      <c r="K334" s="607"/>
      <c r="L334" s="1737">
        <v>1219017</v>
      </c>
      <c r="M334" s="608">
        <v>572275</v>
      </c>
      <c r="N334" s="608">
        <v>91407</v>
      </c>
      <c r="O334" s="608">
        <v>8909</v>
      </c>
      <c r="P334" s="608">
        <v>1834</v>
      </c>
      <c r="Q334" s="608">
        <v>0</v>
      </c>
      <c r="R334" s="608">
        <v>768.9000000000002</v>
      </c>
      <c r="S334" s="608">
        <v>7704.8888888888887</v>
      </c>
      <c r="T334" s="608">
        <v>8478</v>
      </c>
      <c r="U334" s="608">
        <v>665947</v>
      </c>
      <c r="V334" s="608">
        <v>513649</v>
      </c>
      <c r="W334" s="608">
        <v>40255</v>
      </c>
      <c r="X334" s="608">
        <v>0</v>
      </c>
      <c r="Y334" s="608">
        <v>10765.5</v>
      </c>
      <c r="Z334" s="608"/>
      <c r="AA334" s="608">
        <v>15620</v>
      </c>
      <c r="AB334" s="608">
        <v>26389</v>
      </c>
      <c r="AC334" s="608">
        <v>527515</v>
      </c>
      <c r="AD334" s="608">
        <v>24255</v>
      </c>
      <c r="AE334" s="608">
        <v>1300</v>
      </c>
      <c r="AF334" s="608">
        <v>0</v>
      </c>
      <c r="AG334" s="608">
        <v>1572</v>
      </c>
      <c r="AH334" s="608">
        <v>2434</v>
      </c>
      <c r="AI334" s="608">
        <v>2570</v>
      </c>
      <c r="AJ334" s="608">
        <v>0</v>
      </c>
      <c r="AK334" s="608">
        <v>0</v>
      </c>
      <c r="AL334" s="611">
        <v>0</v>
      </c>
      <c r="AM334" s="612"/>
      <c r="AN334" s="613"/>
      <c r="AO334" s="612"/>
      <c r="AP334" s="612"/>
      <c r="AQ334" s="612"/>
      <c r="AZ334" s="615"/>
      <c r="BY334" s="732"/>
      <c r="BZ334" s="732"/>
      <c r="CA334" s="1327"/>
      <c r="CB334" s="1327"/>
      <c r="CC334" s="1327"/>
      <c r="CD334" s="1327"/>
      <c r="CE334" s="1327"/>
      <c r="CF334" s="1327"/>
      <c r="CG334" s="1327"/>
      <c r="CH334" s="1327"/>
      <c r="CI334" s="1327"/>
      <c r="CJ334" s="1327"/>
      <c r="CK334" s="1328"/>
      <c r="CL334" s="1328"/>
      <c r="CM334" s="1329"/>
      <c r="CN334" s="1329"/>
      <c r="CO334" s="1329"/>
      <c r="CP334" s="1329"/>
      <c r="CQ334" s="1329"/>
      <c r="CR334" s="1329"/>
      <c r="CS334" s="1329"/>
      <c r="CT334" s="1328"/>
      <c r="CU334" s="1328"/>
      <c r="CV334" s="1328"/>
      <c r="CW334" s="1328"/>
      <c r="CX334" s="1328"/>
      <c r="CY334" s="1328"/>
      <c r="CZ334" s="1328"/>
      <c r="DA334" s="1328"/>
      <c r="DB334" s="1328"/>
      <c r="DC334" s="1328"/>
      <c r="DD334" s="1328"/>
      <c r="DE334" s="1328"/>
      <c r="DF334" s="1328"/>
      <c r="DG334" s="1328"/>
      <c r="DH334" s="1328"/>
      <c r="DI334" s="1328"/>
      <c r="DJ334" s="1328"/>
      <c r="DK334" s="1328"/>
    </row>
    <row r="335" spans="1:115" ht="25.5" hidden="1" customHeight="1"/>
    <row r="336" spans="1:115" ht="25.5" hidden="1" customHeight="1"/>
    <row r="337" spans="1:43" ht="25.5" hidden="1" customHeight="1"/>
    <row r="338" spans="1:43" ht="25.5" customHeight="1"/>
    <row r="350" spans="1:43">
      <c r="A350" s="625"/>
      <c r="H350" s="625"/>
      <c r="I350" s="625"/>
      <c r="J350" s="625"/>
      <c r="K350" s="625"/>
      <c r="L350" s="1741"/>
      <c r="M350" s="625"/>
      <c r="N350" s="625"/>
      <c r="O350" s="625"/>
      <c r="P350" s="625"/>
      <c r="Q350" s="625"/>
      <c r="R350" s="625"/>
      <c r="S350" s="625"/>
      <c r="T350" s="625"/>
      <c r="U350" s="625"/>
      <c r="V350" s="625"/>
      <c r="W350" s="625"/>
      <c r="X350" s="625"/>
      <c r="Y350" s="625"/>
      <c r="Z350" s="625"/>
      <c r="AA350" s="625"/>
      <c r="AB350" s="625"/>
      <c r="AC350" s="625"/>
      <c r="AD350" s="625"/>
      <c r="AE350" s="625"/>
      <c r="AF350" s="625"/>
      <c r="AG350" s="625"/>
      <c r="AH350" s="625"/>
      <c r="AI350" s="625"/>
      <c r="AJ350" s="625"/>
      <c r="AK350" s="625"/>
      <c r="AL350" s="892"/>
      <c r="AM350" s="625"/>
      <c r="AN350" s="698"/>
      <c r="AO350" s="625"/>
      <c r="AP350" s="625"/>
      <c r="AQ350" s="625"/>
    </row>
    <row r="351" spans="1:43">
      <c r="A351" s="625"/>
      <c r="H351" s="625"/>
      <c r="I351" s="625"/>
      <c r="J351" s="625"/>
      <c r="K351" s="625"/>
      <c r="L351" s="1741"/>
      <c r="M351" s="625"/>
      <c r="N351" s="625"/>
      <c r="O351" s="625"/>
      <c r="P351" s="625"/>
      <c r="Q351" s="625"/>
      <c r="R351" s="625"/>
      <c r="S351" s="625"/>
      <c r="T351" s="625"/>
      <c r="U351" s="625"/>
      <c r="V351" s="625"/>
      <c r="W351" s="625"/>
      <c r="X351" s="625"/>
      <c r="Y351" s="625"/>
      <c r="Z351" s="625"/>
      <c r="AA351" s="625"/>
      <c r="AB351" s="625"/>
      <c r="AC351" s="625"/>
      <c r="AD351" s="625"/>
      <c r="AE351" s="625"/>
      <c r="AF351" s="625"/>
      <c r="AG351" s="625"/>
      <c r="AH351" s="625"/>
      <c r="AI351" s="625"/>
      <c r="AJ351" s="625"/>
      <c r="AK351" s="625"/>
      <c r="AL351" s="892"/>
      <c r="AM351" s="625"/>
      <c r="AN351" s="698"/>
      <c r="AO351" s="625"/>
      <c r="AP351" s="625"/>
      <c r="AQ351" s="625"/>
    </row>
    <row r="352" spans="1:43">
      <c r="A352" s="625"/>
      <c r="H352" s="625"/>
      <c r="I352" s="625"/>
      <c r="J352" s="625"/>
      <c r="K352" s="625"/>
      <c r="L352" s="1741"/>
      <c r="M352" s="625"/>
      <c r="N352" s="625"/>
      <c r="O352" s="625"/>
      <c r="P352" s="625"/>
      <c r="Q352" s="625"/>
      <c r="R352" s="625"/>
      <c r="S352" s="625"/>
      <c r="T352" s="625"/>
      <c r="U352" s="625"/>
      <c r="V352" s="625"/>
      <c r="W352" s="625"/>
      <c r="X352" s="625"/>
      <c r="Y352" s="625"/>
      <c r="Z352" s="625"/>
      <c r="AA352" s="625"/>
      <c r="AB352" s="625"/>
      <c r="AC352" s="625"/>
      <c r="AD352" s="625"/>
      <c r="AE352" s="625"/>
      <c r="AF352" s="625"/>
      <c r="AG352" s="625"/>
      <c r="AH352" s="625"/>
      <c r="AI352" s="625"/>
      <c r="AJ352" s="625"/>
      <c r="AK352" s="625"/>
      <c r="AL352" s="892"/>
      <c r="AM352" s="625"/>
      <c r="AN352" s="698"/>
      <c r="AO352" s="625"/>
      <c r="AP352" s="625"/>
      <c r="AQ352" s="625"/>
    </row>
  </sheetData>
  <mergeCells count="85">
    <mergeCell ref="B271:P271"/>
    <mergeCell ref="B278:P278"/>
    <mergeCell ref="AD5:AD6"/>
    <mergeCell ref="AR5:AR6"/>
    <mergeCell ref="AE5:AE6"/>
    <mergeCell ref="AF5:AF6"/>
    <mergeCell ref="AG5:AG6"/>
    <mergeCell ref="AK5:AK6"/>
    <mergeCell ref="AL5:AL6"/>
    <mergeCell ref="A5:A6"/>
    <mergeCell ref="B5:B6"/>
    <mergeCell ref="C5:C6"/>
    <mergeCell ref="D5:D6"/>
    <mergeCell ref="V5:AC5"/>
    <mergeCell ref="BR5:BR6"/>
    <mergeCell ref="BS5:BS6"/>
    <mergeCell ref="CU5:DB5"/>
    <mergeCell ref="DC5:DC6"/>
    <mergeCell ref="A1:B1"/>
    <mergeCell ref="A2:AL2"/>
    <mergeCell ref="AO5:AO6"/>
    <mergeCell ref="AP5:AP6"/>
    <mergeCell ref="AQ5:AQ6"/>
    <mergeCell ref="AI1:AJ1"/>
    <mergeCell ref="AH5:AH6"/>
    <mergeCell ref="AI5:AI6"/>
    <mergeCell ref="AJ5:AJ6"/>
    <mergeCell ref="AO2:BW2"/>
    <mergeCell ref="A3:AL3"/>
    <mergeCell ref="AI4:AJ4"/>
    <mergeCell ref="EV5:EV6"/>
    <mergeCell ref="A248:B248"/>
    <mergeCell ref="AO248:AP248"/>
    <mergeCell ref="DT248:DU248"/>
    <mergeCell ref="EP5:EP6"/>
    <mergeCell ref="EQ5:EQ6"/>
    <mergeCell ref="ER5:ER6"/>
    <mergeCell ref="ES5:ES6"/>
    <mergeCell ref="ET5:ET6"/>
    <mergeCell ref="EU5:EU6"/>
    <mergeCell ref="DU5:DU6"/>
    <mergeCell ref="DV5:DV6"/>
    <mergeCell ref="DW5:EE5"/>
    <mergeCell ref="DH5:DH6"/>
    <mergeCell ref="DI5:DI6"/>
    <mergeCell ref="BT5:BT6"/>
    <mergeCell ref="EN5:EN6"/>
    <mergeCell ref="EO5:EO6"/>
    <mergeCell ref="DJ5:DJ6"/>
    <mergeCell ref="DK5:DK6"/>
    <mergeCell ref="DD5:DD6"/>
    <mergeCell ref="DE5:DE6"/>
    <mergeCell ref="DG5:DG6"/>
    <mergeCell ref="O299:P299"/>
    <mergeCell ref="A333:B333"/>
    <mergeCell ref="L5:L6"/>
    <mergeCell ref="M5:U5"/>
    <mergeCell ref="EF5:EM5"/>
    <mergeCell ref="DT5:DT6"/>
    <mergeCell ref="DF5:DF6"/>
    <mergeCell ref="AS5:AT5"/>
    <mergeCell ref="AU5:AV5"/>
    <mergeCell ref="AW5:AX5"/>
    <mergeCell ref="AY5:AY6"/>
    <mergeCell ref="AZ5:BG5"/>
    <mergeCell ref="BH5:BN5"/>
    <mergeCell ref="BO5:BO6"/>
    <mergeCell ref="BP5:BP6"/>
    <mergeCell ref="BQ5:BQ6"/>
    <mergeCell ref="CK5:CK6"/>
    <mergeCell ref="CL5:CT5"/>
    <mergeCell ref="A334:B334"/>
    <mergeCell ref="K5:K6"/>
    <mergeCell ref="C297:D297"/>
    <mergeCell ref="E297:G297"/>
    <mergeCell ref="G5:H5"/>
    <mergeCell ref="I5:J5"/>
    <mergeCell ref="E5:F5"/>
    <mergeCell ref="B253:I253"/>
    <mergeCell ref="BU5:BU6"/>
    <mergeCell ref="BV5:BV6"/>
    <mergeCell ref="BW5:BW6"/>
    <mergeCell ref="CA5:CA6"/>
    <mergeCell ref="CB5:CB6"/>
    <mergeCell ref="O298:P298"/>
  </mergeCells>
  <pageMargins left="0.53" right="0.15748031496063" top="0.27559055118110198" bottom="0.42" header="0.196850393700787" footer="0.17"/>
  <pageSetup paperSize="9" scale="43" orientation="landscape" blackAndWhite="1" r:id="rId1"/>
  <headerFooter differentFirst="1" alignWithMargins="0">
    <oddFooter>&amp;C&amp;7&amp;Z&amp;F&amp;P</oddFooter>
  </headerFooter>
  <colBreaks count="1" manualBreakCount="1">
    <brk id="37"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L86"/>
  <sheetViews>
    <sheetView zoomScale="106" zoomScaleNormal="106" workbookViewId="0">
      <selection activeCell="A64" sqref="A64"/>
    </sheetView>
  </sheetViews>
  <sheetFormatPr defaultColWidth="7.109375" defaultRowHeight="13.2"/>
  <cols>
    <col min="1" max="1" width="4.88671875" style="2299" customWidth="1"/>
    <col min="2" max="2" width="37.33203125" style="2308" customWidth="1"/>
    <col min="3" max="3" width="13.44140625" style="2301" customWidth="1"/>
    <col min="4" max="4" width="13" style="2301" customWidth="1"/>
    <col min="5" max="5" width="8.77734375" style="2301" customWidth="1"/>
    <col min="6" max="6" width="14.5546875" style="2301" customWidth="1"/>
    <col min="7" max="7" width="14" style="2303" customWidth="1"/>
    <col min="8" max="8" width="17.109375" style="2303" hidden="1" customWidth="1"/>
    <col min="9" max="9" width="8.5546875" style="2303" customWidth="1"/>
    <col min="10" max="10" width="8.21875" style="2303" customWidth="1"/>
    <col min="11" max="11" width="14.33203125" style="2304" customWidth="1"/>
    <col min="12" max="12" width="12.5546875" style="2303" customWidth="1"/>
    <col min="13" max="256" width="7.109375" style="2303"/>
    <col min="257" max="257" width="4.88671875" style="2303" customWidth="1"/>
    <col min="258" max="258" width="37.33203125" style="2303" customWidth="1"/>
    <col min="259" max="259" width="13.44140625" style="2303" customWidth="1"/>
    <col min="260" max="260" width="13" style="2303" customWidth="1"/>
    <col min="261" max="261" width="8.77734375" style="2303" customWidth="1"/>
    <col min="262" max="262" width="14.5546875" style="2303" customWidth="1"/>
    <col min="263" max="263" width="14" style="2303" customWidth="1"/>
    <col min="264" max="264" width="0" style="2303" hidden="1" customWidth="1"/>
    <col min="265" max="265" width="8.5546875" style="2303" customWidth="1"/>
    <col min="266" max="266" width="8.21875" style="2303" customWidth="1"/>
    <col min="267" max="267" width="14.33203125" style="2303" customWidth="1"/>
    <col min="268" max="268" width="12.5546875" style="2303" customWidth="1"/>
    <col min="269" max="512" width="7.109375" style="2303"/>
    <col min="513" max="513" width="4.88671875" style="2303" customWidth="1"/>
    <col min="514" max="514" width="37.33203125" style="2303" customWidth="1"/>
    <col min="515" max="515" width="13.44140625" style="2303" customWidth="1"/>
    <col min="516" max="516" width="13" style="2303" customWidth="1"/>
    <col min="517" max="517" width="8.77734375" style="2303" customWidth="1"/>
    <col min="518" max="518" width="14.5546875" style="2303" customWidth="1"/>
    <col min="519" max="519" width="14" style="2303" customWidth="1"/>
    <col min="520" max="520" width="0" style="2303" hidden="1" customWidth="1"/>
    <col min="521" max="521" width="8.5546875" style="2303" customWidth="1"/>
    <col min="522" max="522" width="8.21875" style="2303" customWidth="1"/>
    <col min="523" max="523" width="14.33203125" style="2303" customWidth="1"/>
    <col min="524" max="524" width="12.5546875" style="2303" customWidth="1"/>
    <col min="525" max="768" width="7.109375" style="2303"/>
    <col min="769" max="769" width="4.88671875" style="2303" customWidth="1"/>
    <col min="770" max="770" width="37.33203125" style="2303" customWidth="1"/>
    <col min="771" max="771" width="13.44140625" style="2303" customWidth="1"/>
    <col min="772" max="772" width="13" style="2303" customWidth="1"/>
    <col min="773" max="773" width="8.77734375" style="2303" customWidth="1"/>
    <col min="774" max="774" width="14.5546875" style="2303" customWidth="1"/>
    <col min="775" max="775" width="14" style="2303" customWidth="1"/>
    <col min="776" max="776" width="0" style="2303" hidden="1" customWidth="1"/>
    <col min="777" max="777" width="8.5546875" style="2303" customWidth="1"/>
    <col min="778" max="778" width="8.21875" style="2303" customWidth="1"/>
    <col min="779" max="779" width="14.33203125" style="2303" customWidth="1"/>
    <col min="780" max="780" width="12.5546875" style="2303" customWidth="1"/>
    <col min="781" max="1024" width="7.109375" style="2303"/>
    <col min="1025" max="1025" width="4.88671875" style="2303" customWidth="1"/>
    <col min="1026" max="1026" width="37.33203125" style="2303" customWidth="1"/>
    <col min="1027" max="1027" width="13.44140625" style="2303" customWidth="1"/>
    <col min="1028" max="1028" width="13" style="2303" customWidth="1"/>
    <col min="1029" max="1029" width="8.77734375" style="2303" customWidth="1"/>
    <col min="1030" max="1030" width="14.5546875" style="2303" customWidth="1"/>
    <col min="1031" max="1031" width="14" style="2303" customWidth="1"/>
    <col min="1032" max="1032" width="0" style="2303" hidden="1" customWidth="1"/>
    <col min="1033" max="1033" width="8.5546875" style="2303" customWidth="1"/>
    <col min="1034" max="1034" width="8.21875" style="2303" customWidth="1"/>
    <col min="1035" max="1035" width="14.33203125" style="2303" customWidth="1"/>
    <col min="1036" max="1036" width="12.5546875" style="2303" customWidth="1"/>
    <col min="1037" max="1280" width="7.109375" style="2303"/>
    <col min="1281" max="1281" width="4.88671875" style="2303" customWidth="1"/>
    <col min="1282" max="1282" width="37.33203125" style="2303" customWidth="1"/>
    <col min="1283" max="1283" width="13.44140625" style="2303" customWidth="1"/>
    <col min="1284" max="1284" width="13" style="2303" customWidth="1"/>
    <col min="1285" max="1285" width="8.77734375" style="2303" customWidth="1"/>
    <col min="1286" max="1286" width="14.5546875" style="2303" customWidth="1"/>
    <col min="1287" max="1287" width="14" style="2303" customWidth="1"/>
    <col min="1288" max="1288" width="0" style="2303" hidden="1" customWidth="1"/>
    <col min="1289" max="1289" width="8.5546875" style="2303" customWidth="1"/>
    <col min="1290" max="1290" width="8.21875" style="2303" customWidth="1"/>
    <col min="1291" max="1291" width="14.33203125" style="2303" customWidth="1"/>
    <col min="1292" max="1292" width="12.5546875" style="2303" customWidth="1"/>
    <col min="1293" max="1536" width="7.109375" style="2303"/>
    <col min="1537" max="1537" width="4.88671875" style="2303" customWidth="1"/>
    <col min="1538" max="1538" width="37.33203125" style="2303" customWidth="1"/>
    <col min="1539" max="1539" width="13.44140625" style="2303" customWidth="1"/>
    <col min="1540" max="1540" width="13" style="2303" customWidth="1"/>
    <col min="1541" max="1541" width="8.77734375" style="2303" customWidth="1"/>
    <col min="1542" max="1542" width="14.5546875" style="2303" customWidth="1"/>
    <col min="1543" max="1543" width="14" style="2303" customWidth="1"/>
    <col min="1544" max="1544" width="0" style="2303" hidden="1" customWidth="1"/>
    <col min="1545" max="1545" width="8.5546875" style="2303" customWidth="1"/>
    <col min="1546" max="1546" width="8.21875" style="2303" customWidth="1"/>
    <col min="1547" max="1547" width="14.33203125" style="2303" customWidth="1"/>
    <col min="1548" max="1548" width="12.5546875" style="2303" customWidth="1"/>
    <col min="1549" max="1792" width="7.109375" style="2303"/>
    <col min="1793" max="1793" width="4.88671875" style="2303" customWidth="1"/>
    <col min="1794" max="1794" width="37.33203125" style="2303" customWidth="1"/>
    <col min="1795" max="1795" width="13.44140625" style="2303" customWidth="1"/>
    <col min="1796" max="1796" width="13" style="2303" customWidth="1"/>
    <col min="1797" max="1797" width="8.77734375" style="2303" customWidth="1"/>
    <col min="1798" max="1798" width="14.5546875" style="2303" customWidth="1"/>
    <col min="1799" max="1799" width="14" style="2303" customWidth="1"/>
    <col min="1800" max="1800" width="0" style="2303" hidden="1" customWidth="1"/>
    <col min="1801" max="1801" width="8.5546875" style="2303" customWidth="1"/>
    <col min="1802" max="1802" width="8.21875" style="2303" customWidth="1"/>
    <col min="1803" max="1803" width="14.33203125" style="2303" customWidth="1"/>
    <col min="1804" max="1804" width="12.5546875" style="2303" customWidth="1"/>
    <col min="1805" max="2048" width="7.109375" style="2303"/>
    <col min="2049" max="2049" width="4.88671875" style="2303" customWidth="1"/>
    <col min="2050" max="2050" width="37.33203125" style="2303" customWidth="1"/>
    <col min="2051" max="2051" width="13.44140625" style="2303" customWidth="1"/>
    <col min="2052" max="2052" width="13" style="2303" customWidth="1"/>
    <col min="2053" max="2053" width="8.77734375" style="2303" customWidth="1"/>
    <col min="2054" max="2054" width="14.5546875" style="2303" customWidth="1"/>
    <col min="2055" max="2055" width="14" style="2303" customWidth="1"/>
    <col min="2056" max="2056" width="0" style="2303" hidden="1" customWidth="1"/>
    <col min="2057" max="2057" width="8.5546875" style="2303" customWidth="1"/>
    <col min="2058" max="2058" width="8.21875" style="2303" customWidth="1"/>
    <col min="2059" max="2059" width="14.33203125" style="2303" customWidth="1"/>
    <col min="2060" max="2060" width="12.5546875" style="2303" customWidth="1"/>
    <col min="2061" max="2304" width="7.109375" style="2303"/>
    <col min="2305" max="2305" width="4.88671875" style="2303" customWidth="1"/>
    <col min="2306" max="2306" width="37.33203125" style="2303" customWidth="1"/>
    <col min="2307" max="2307" width="13.44140625" style="2303" customWidth="1"/>
    <col min="2308" max="2308" width="13" style="2303" customWidth="1"/>
    <col min="2309" max="2309" width="8.77734375" style="2303" customWidth="1"/>
    <col min="2310" max="2310" width="14.5546875" style="2303" customWidth="1"/>
    <col min="2311" max="2311" width="14" style="2303" customWidth="1"/>
    <col min="2312" max="2312" width="0" style="2303" hidden="1" customWidth="1"/>
    <col min="2313" max="2313" width="8.5546875" style="2303" customWidth="1"/>
    <col min="2314" max="2314" width="8.21875" style="2303" customWidth="1"/>
    <col min="2315" max="2315" width="14.33203125" style="2303" customWidth="1"/>
    <col min="2316" max="2316" width="12.5546875" style="2303" customWidth="1"/>
    <col min="2317" max="2560" width="7.109375" style="2303"/>
    <col min="2561" max="2561" width="4.88671875" style="2303" customWidth="1"/>
    <col min="2562" max="2562" width="37.33203125" style="2303" customWidth="1"/>
    <col min="2563" max="2563" width="13.44140625" style="2303" customWidth="1"/>
    <col min="2564" max="2564" width="13" style="2303" customWidth="1"/>
    <col min="2565" max="2565" width="8.77734375" style="2303" customWidth="1"/>
    <col min="2566" max="2566" width="14.5546875" style="2303" customWidth="1"/>
    <col min="2567" max="2567" width="14" style="2303" customWidth="1"/>
    <col min="2568" max="2568" width="0" style="2303" hidden="1" customWidth="1"/>
    <col min="2569" max="2569" width="8.5546875" style="2303" customWidth="1"/>
    <col min="2570" max="2570" width="8.21875" style="2303" customWidth="1"/>
    <col min="2571" max="2571" width="14.33203125" style="2303" customWidth="1"/>
    <col min="2572" max="2572" width="12.5546875" style="2303" customWidth="1"/>
    <col min="2573" max="2816" width="7.109375" style="2303"/>
    <col min="2817" max="2817" width="4.88671875" style="2303" customWidth="1"/>
    <col min="2818" max="2818" width="37.33203125" style="2303" customWidth="1"/>
    <col min="2819" max="2819" width="13.44140625" style="2303" customWidth="1"/>
    <col min="2820" max="2820" width="13" style="2303" customWidth="1"/>
    <col min="2821" max="2821" width="8.77734375" style="2303" customWidth="1"/>
    <col min="2822" max="2822" width="14.5546875" style="2303" customWidth="1"/>
    <col min="2823" max="2823" width="14" style="2303" customWidth="1"/>
    <col min="2824" max="2824" width="0" style="2303" hidden="1" customWidth="1"/>
    <col min="2825" max="2825" width="8.5546875" style="2303" customWidth="1"/>
    <col min="2826" max="2826" width="8.21875" style="2303" customWidth="1"/>
    <col min="2827" max="2827" width="14.33203125" style="2303" customWidth="1"/>
    <col min="2828" max="2828" width="12.5546875" style="2303" customWidth="1"/>
    <col min="2829" max="3072" width="7.109375" style="2303"/>
    <col min="3073" max="3073" width="4.88671875" style="2303" customWidth="1"/>
    <col min="3074" max="3074" width="37.33203125" style="2303" customWidth="1"/>
    <col min="3075" max="3075" width="13.44140625" style="2303" customWidth="1"/>
    <col min="3076" max="3076" width="13" style="2303" customWidth="1"/>
    <col min="3077" max="3077" width="8.77734375" style="2303" customWidth="1"/>
    <col min="3078" max="3078" width="14.5546875" style="2303" customWidth="1"/>
    <col min="3079" max="3079" width="14" style="2303" customWidth="1"/>
    <col min="3080" max="3080" width="0" style="2303" hidden="1" customWidth="1"/>
    <col min="3081" max="3081" width="8.5546875" style="2303" customWidth="1"/>
    <col min="3082" max="3082" width="8.21875" style="2303" customWidth="1"/>
    <col min="3083" max="3083" width="14.33203125" style="2303" customWidth="1"/>
    <col min="3084" max="3084" width="12.5546875" style="2303" customWidth="1"/>
    <col min="3085" max="3328" width="7.109375" style="2303"/>
    <col min="3329" max="3329" width="4.88671875" style="2303" customWidth="1"/>
    <col min="3330" max="3330" width="37.33203125" style="2303" customWidth="1"/>
    <col min="3331" max="3331" width="13.44140625" style="2303" customWidth="1"/>
    <col min="3332" max="3332" width="13" style="2303" customWidth="1"/>
    <col min="3333" max="3333" width="8.77734375" style="2303" customWidth="1"/>
    <col min="3334" max="3334" width="14.5546875" style="2303" customWidth="1"/>
    <col min="3335" max="3335" width="14" style="2303" customWidth="1"/>
    <col min="3336" max="3336" width="0" style="2303" hidden="1" customWidth="1"/>
    <col min="3337" max="3337" width="8.5546875" style="2303" customWidth="1"/>
    <col min="3338" max="3338" width="8.21875" style="2303" customWidth="1"/>
    <col min="3339" max="3339" width="14.33203125" style="2303" customWidth="1"/>
    <col min="3340" max="3340" width="12.5546875" style="2303" customWidth="1"/>
    <col min="3341" max="3584" width="7.109375" style="2303"/>
    <col min="3585" max="3585" width="4.88671875" style="2303" customWidth="1"/>
    <col min="3586" max="3586" width="37.33203125" style="2303" customWidth="1"/>
    <col min="3587" max="3587" width="13.44140625" style="2303" customWidth="1"/>
    <col min="3588" max="3588" width="13" style="2303" customWidth="1"/>
    <col min="3589" max="3589" width="8.77734375" style="2303" customWidth="1"/>
    <col min="3590" max="3590" width="14.5546875" style="2303" customWidth="1"/>
    <col min="3591" max="3591" width="14" style="2303" customWidth="1"/>
    <col min="3592" max="3592" width="0" style="2303" hidden="1" customWidth="1"/>
    <col min="3593" max="3593" width="8.5546875" style="2303" customWidth="1"/>
    <col min="3594" max="3594" width="8.21875" style="2303" customWidth="1"/>
    <col min="3595" max="3595" width="14.33203125" style="2303" customWidth="1"/>
    <col min="3596" max="3596" width="12.5546875" style="2303" customWidth="1"/>
    <col min="3597" max="3840" width="7.109375" style="2303"/>
    <col min="3841" max="3841" width="4.88671875" style="2303" customWidth="1"/>
    <col min="3842" max="3842" width="37.33203125" style="2303" customWidth="1"/>
    <col min="3843" max="3843" width="13.44140625" style="2303" customWidth="1"/>
    <col min="3844" max="3844" width="13" style="2303" customWidth="1"/>
    <col min="3845" max="3845" width="8.77734375" style="2303" customWidth="1"/>
    <col min="3846" max="3846" width="14.5546875" style="2303" customWidth="1"/>
    <col min="3847" max="3847" width="14" style="2303" customWidth="1"/>
    <col min="3848" max="3848" width="0" style="2303" hidden="1" customWidth="1"/>
    <col min="3849" max="3849" width="8.5546875" style="2303" customWidth="1"/>
    <col min="3850" max="3850" width="8.21875" style="2303" customWidth="1"/>
    <col min="3851" max="3851" width="14.33203125" style="2303" customWidth="1"/>
    <col min="3852" max="3852" width="12.5546875" style="2303" customWidth="1"/>
    <col min="3853" max="4096" width="7.109375" style="2303"/>
    <col min="4097" max="4097" width="4.88671875" style="2303" customWidth="1"/>
    <col min="4098" max="4098" width="37.33203125" style="2303" customWidth="1"/>
    <col min="4099" max="4099" width="13.44140625" style="2303" customWidth="1"/>
    <col min="4100" max="4100" width="13" style="2303" customWidth="1"/>
    <col min="4101" max="4101" width="8.77734375" style="2303" customWidth="1"/>
    <col min="4102" max="4102" width="14.5546875" style="2303" customWidth="1"/>
    <col min="4103" max="4103" width="14" style="2303" customWidth="1"/>
    <col min="4104" max="4104" width="0" style="2303" hidden="1" customWidth="1"/>
    <col min="4105" max="4105" width="8.5546875" style="2303" customWidth="1"/>
    <col min="4106" max="4106" width="8.21875" style="2303" customWidth="1"/>
    <col min="4107" max="4107" width="14.33203125" style="2303" customWidth="1"/>
    <col min="4108" max="4108" width="12.5546875" style="2303" customWidth="1"/>
    <col min="4109" max="4352" width="7.109375" style="2303"/>
    <col min="4353" max="4353" width="4.88671875" style="2303" customWidth="1"/>
    <col min="4354" max="4354" width="37.33203125" style="2303" customWidth="1"/>
    <col min="4355" max="4355" width="13.44140625" style="2303" customWidth="1"/>
    <col min="4356" max="4356" width="13" style="2303" customWidth="1"/>
    <col min="4357" max="4357" width="8.77734375" style="2303" customWidth="1"/>
    <col min="4358" max="4358" width="14.5546875" style="2303" customWidth="1"/>
    <col min="4359" max="4359" width="14" style="2303" customWidth="1"/>
    <col min="4360" max="4360" width="0" style="2303" hidden="1" customWidth="1"/>
    <col min="4361" max="4361" width="8.5546875" style="2303" customWidth="1"/>
    <col min="4362" max="4362" width="8.21875" style="2303" customWidth="1"/>
    <col min="4363" max="4363" width="14.33203125" style="2303" customWidth="1"/>
    <col min="4364" max="4364" width="12.5546875" style="2303" customWidth="1"/>
    <col min="4365" max="4608" width="7.109375" style="2303"/>
    <col min="4609" max="4609" width="4.88671875" style="2303" customWidth="1"/>
    <col min="4610" max="4610" width="37.33203125" style="2303" customWidth="1"/>
    <col min="4611" max="4611" width="13.44140625" style="2303" customWidth="1"/>
    <col min="4612" max="4612" width="13" style="2303" customWidth="1"/>
    <col min="4613" max="4613" width="8.77734375" style="2303" customWidth="1"/>
    <col min="4614" max="4614" width="14.5546875" style="2303" customWidth="1"/>
    <col min="4615" max="4615" width="14" style="2303" customWidth="1"/>
    <col min="4616" max="4616" width="0" style="2303" hidden="1" customWidth="1"/>
    <col min="4617" max="4617" width="8.5546875" style="2303" customWidth="1"/>
    <col min="4618" max="4618" width="8.21875" style="2303" customWidth="1"/>
    <col min="4619" max="4619" width="14.33203125" style="2303" customWidth="1"/>
    <col min="4620" max="4620" width="12.5546875" style="2303" customWidth="1"/>
    <col min="4621" max="4864" width="7.109375" style="2303"/>
    <col min="4865" max="4865" width="4.88671875" style="2303" customWidth="1"/>
    <col min="4866" max="4866" width="37.33203125" style="2303" customWidth="1"/>
    <col min="4867" max="4867" width="13.44140625" style="2303" customWidth="1"/>
    <col min="4868" max="4868" width="13" style="2303" customWidth="1"/>
    <col min="4869" max="4869" width="8.77734375" style="2303" customWidth="1"/>
    <col min="4870" max="4870" width="14.5546875" style="2303" customWidth="1"/>
    <col min="4871" max="4871" width="14" style="2303" customWidth="1"/>
    <col min="4872" max="4872" width="0" style="2303" hidden="1" customWidth="1"/>
    <col min="4873" max="4873" width="8.5546875" style="2303" customWidth="1"/>
    <col min="4874" max="4874" width="8.21875" style="2303" customWidth="1"/>
    <col min="4875" max="4875" width="14.33203125" style="2303" customWidth="1"/>
    <col min="4876" max="4876" width="12.5546875" style="2303" customWidth="1"/>
    <col min="4877" max="5120" width="7.109375" style="2303"/>
    <col min="5121" max="5121" width="4.88671875" style="2303" customWidth="1"/>
    <col min="5122" max="5122" width="37.33203125" style="2303" customWidth="1"/>
    <col min="5123" max="5123" width="13.44140625" style="2303" customWidth="1"/>
    <col min="5124" max="5124" width="13" style="2303" customWidth="1"/>
    <col min="5125" max="5125" width="8.77734375" style="2303" customWidth="1"/>
    <col min="5126" max="5126" width="14.5546875" style="2303" customWidth="1"/>
    <col min="5127" max="5127" width="14" style="2303" customWidth="1"/>
    <col min="5128" max="5128" width="0" style="2303" hidden="1" customWidth="1"/>
    <col min="5129" max="5129" width="8.5546875" style="2303" customWidth="1"/>
    <col min="5130" max="5130" width="8.21875" style="2303" customWidth="1"/>
    <col min="5131" max="5131" width="14.33203125" style="2303" customWidth="1"/>
    <col min="5132" max="5132" width="12.5546875" style="2303" customWidth="1"/>
    <col min="5133" max="5376" width="7.109375" style="2303"/>
    <col min="5377" max="5377" width="4.88671875" style="2303" customWidth="1"/>
    <col min="5378" max="5378" width="37.33203125" style="2303" customWidth="1"/>
    <col min="5379" max="5379" width="13.44140625" style="2303" customWidth="1"/>
    <col min="5380" max="5380" width="13" style="2303" customWidth="1"/>
    <col min="5381" max="5381" width="8.77734375" style="2303" customWidth="1"/>
    <col min="5382" max="5382" width="14.5546875" style="2303" customWidth="1"/>
    <col min="5383" max="5383" width="14" style="2303" customWidth="1"/>
    <col min="5384" max="5384" width="0" style="2303" hidden="1" customWidth="1"/>
    <col min="5385" max="5385" width="8.5546875" style="2303" customWidth="1"/>
    <col min="5386" max="5386" width="8.21875" style="2303" customWidth="1"/>
    <col min="5387" max="5387" width="14.33203125" style="2303" customWidth="1"/>
    <col min="5388" max="5388" width="12.5546875" style="2303" customWidth="1"/>
    <col min="5389" max="5632" width="7.109375" style="2303"/>
    <col min="5633" max="5633" width="4.88671875" style="2303" customWidth="1"/>
    <col min="5634" max="5634" width="37.33203125" style="2303" customWidth="1"/>
    <col min="5635" max="5635" width="13.44140625" style="2303" customWidth="1"/>
    <col min="5636" max="5636" width="13" style="2303" customWidth="1"/>
    <col min="5637" max="5637" width="8.77734375" style="2303" customWidth="1"/>
    <col min="5638" max="5638" width="14.5546875" style="2303" customWidth="1"/>
    <col min="5639" max="5639" width="14" style="2303" customWidth="1"/>
    <col min="5640" max="5640" width="0" style="2303" hidden="1" customWidth="1"/>
    <col min="5641" max="5641" width="8.5546875" style="2303" customWidth="1"/>
    <col min="5642" max="5642" width="8.21875" style="2303" customWidth="1"/>
    <col min="5643" max="5643" width="14.33203125" style="2303" customWidth="1"/>
    <col min="5644" max="5644" width="12.5546875" style="2303" customWidth="1"/>
    <col min="5645" max="5888" width="7.109375" style="2303"/>
    <col min="5889" max="5889" width="4.88671875" style="2303" customWidth="1"/>
    <col min="5890" max="5890" width="37.33203125" style="2303" customWidth="1"/>
    <col min="5891" max="5891" width="13.44140625" style="2303" customWidth="1"/>
    <col min="5892" max="5892" width="13" style="2303" customWidth="1"/>
    <col min="5893" max="5893" width="8.77734375" style="2303" customWidth="1"/>
    <col min="5894" max="5894" width="14.5546875" style="2303" customWidth="1"/>
    <col min="5895" max="5895" width="14" style="2303" customWidth="1"/>
    <col min="5896" max="5896" width="0" style="2303" hidden="1" customWidth="1"/>
    <col min="5897" max="5897" width="8.5546875" style="2303" customWidth="1"/>
    <col min="5898" max="5898" width="8.21875" style="2303" customWidth="1"/>
    <col min="5899" max="5899" width="14.33203125" style="2303" customWidth="1"/>
    <col min="5900" max="5900" width="12.5546875" style="2303" customWidth="1"/>
    <col min="5901" max="6144" width="7.109375" style="2303"/>
    <col min="6145" max="6145" width="4.88671875" style="2303" customWidth="1"/>
    <col min="6146" max="6146" width="37.33203125" style="2303" customWidth="1"/>
    <col min="6147" max="6147" width="13.44140625" style="2303" customWidth="1"/>
    <col min="6148" max="6148" width="13" style="2303" customWidth="1"/>
    <col min="6149" max="6149" width="8.77734375" style="2303" customWidth="1"/>
    <col min="6150" max="6150" width="14.5546875" style="2303" customWidth="1"/>
    <col min="6151" max="6151" width="14" style="2303" customWidth="1"/>
    <col min="6152" max="6152" width="0" style="2303" hidden="1" customWidth="1"/>
    <col min="6153" max="6153" width="8.5546875" style="2303" customWidth="1"/>
    <col min="6154" max="6154" width="8.21875" style="2303" customWidth="1"/>
    <col min="6155" max="6155" width="14.33203125" style="2303" customWidth="1"/>
    <col min="6156" max="6156" width="12.5546875" style="2303" customWidth="1"/>
    <col min="6157" max="6400" width="7.109375" style="2303"/>
    <col min="6401" max="6401" width="4.88671875" style="2303" customWidth="1"/>
    <col min="6402" max="6402" width="37.33203125" style="2303" customWidth="1"/>
    <col min="6403" max="6403" width="13.44140625" style="2303" customWidth="1"/>
    <col min="6404" max="6404" width="13" style="2303" customWidth="1"/>
    <col min="6405" max="6405" width="8.77734375" style="2303" customWidth="1"/>
    <col min="6406" max="6406" width="14.5546875" style="2303" customWidth="1"/>
    <col min="6407" max="6407" width="14" style="2303" customWidth="1"/>
    <col min="6408" max="6408" width="0" style="2303" hidden="1" customWidth="1"/>
    <col min="6409" max="6409" width="8.5546875" style="2303" customWidth="1"/>
    <col min="6410" max="6410" width="8.21875" style="2303" customWidth="1"/>
    <col min="6411" max="6411" width="14.33203125" style="2303" customWidth="1"/>
    <col min="6412" max="6412" width="12.5546875" style="2303" customWidth="1"/>
    <col min="6413" max="6656" width="7.109375" style="2303"/>
    <col min="6657" max="6657" width="4.88671875" style="2303" customWidth="1"/>
    <col min="6658" max="6658" width="37.33203125" style="2303" customWidth="1"/>
    <col min="6659" max="6659" width="13.44140625" style="2303" customWidth="1"/>
    <col min="6660" max="6660" width="13" style="2303" customWidth="1"/>
    <col min="6661" max="6661" width="8.77734375" style="2303" customWidth="1"/>
    <col min="6662" max="6662" width="14.5546875" style="2303" customWidth="1"/>
    <col min="6663" max="6663" width="14" style="2303" customWidth="1"/>
    <col min="6664" max="6664" width="0" style="2303" hidden="1" customWidth="1"/>
    <col min="6665" max="6665" width="8.5546875" style="2303" customWidth="1"/>
    <col min="6666" max="6666" width="8.21875" style="2303" customWidth="1"/>
    <col min="6667" max="6667" width="14.33203125" style="2303" customWidth="1"/>
    <col min="6668" max="6668" width="12.5546875" style="2303" customWidth="1"/>
    <col min="6669" max="6912" width="7.109375" style="2303"/>
    <col min="6913" max="6913" width="4.88671875" style="2303" customWidth="1"/>
    <col min="6914" max="6914" width="37.33203125" style="2303" customWidth="1"/>
    <col min="6915" max="6915" width="13.44140625" style="2303" customWidth="1"/>
    <col min="6916" max="6916" width="13" style="2303" customWidth="1"/>
    <col min="6917" max="6917" width="8.77734375" style="2303" customWidth="1"/>
    <col min="6918" max="6918" width="14.5546875" style="2303" customWidth="1"/>
    <col min="6919" max="6919" width="14" style="2303" customWidth="1"/>
    <col min="6920" max="6920" width="0" style="2303" hidden="1" customWidth="1"/>
    <col min="6921" max="6921" width="8.5546875" style="2303" customWidth="1"/>
    <col min="6922" max="6922" width="8.21875" style="2303" customWidth="1"/>
    <col min="6923" max="6923" width="14.33203125" style="2303" customWidth="1"/>
    <col min="6924" max="6924" width="12.5546875" style="2303" customWidth="1"/>
    <col min="6925" max="7168" width="7.109375" style="2303"/>
    <col min="7169" max="7169" width="4.88671875" style="2303" customWidth="1"/>
    <col min="7170" max="7170" width="37.33203125" style="2303" customWidth="1"/>
    <col min="7171" max="7171" width="13.44140625" style="2303" customWidth="1"/>
    <col min="7172" max="7172" width="13" style="2303" customWidth="1"/>
    <col min="7173" max="7173" width="8.77734375" style="2303" customWidth="1"/>
    <col min="7174" max="7174" width="14.5546875" style="2303" customWidth="1"/>
    <col min="7175" max="7175" width="14" style="2303" customWidth="1"/>
    <col min="7176" max="7176" width="0" style="2303" hidden="1" customWidth="1"/>
    <col min="7177" max="7177" width="8.5546875" style="2303" customWidth="1"/>
    <col min="7178" max="7178" width="8.21875" style="2303" customWidth="1"/>
    <col min="7179" max="7179" width="14.33203125" style="2303" customWidth="1"/>
    <col min="7180" max="7180" width="12.5546875" style="2303" customWidth="1"/>
    <col min="7181" max="7424" width="7.109375" style="2303"/>
    <col min="7425" max="7425" width="4.88671875" style="2303" customWidth="1"/>
    <col min="7426" max="7426" width="37.33203125" style="2303" customWidth="1"/>
    <col min="7427" max="7427" width="13.44140625" style="2303" customWidth="1"/>
    <col min="7428" max="7428" width="13" style="2303" customWidth="1"/>
    <col min="7429" max="7429" width="8.77734375" style="2303" customWidth="1"/>
    <col min="7430" max="7430" width="14.5546875" style="2303" customWidth="1"/>
    <col min="7431" max="7431" width="14" style="2303" customWidth="1"/>
    <col min="7432" max="7432" width="0" style="2303" hidden="1" customWidth="1"/>
    <col min="7433" max="7433" width="8.5546875" style="2303" customWidth="1"/>
    <col min="7434" max="7434" width="8.21875" style="2303" customWidth="1"/>
    <col min="7435" max="7435" width="14.33203125" style="2303" customWidth="1"/>
    <col min="7436" max="7436" width="12.5546875" style="2303" customWidth="1"/>
    <col min="7437" max="7680" width="7.109375" style="2303"/>
    <col min="7681" max="7681" width="4.88671875" style="2303" customWidth="1"/>
    <col min="7682" max="7682" width="37.33203125" style="2303" customWidth="1"/>
    <col min="7683" max="7683" width="13.44140625" style="2303" customWidth="1"/>
    <col min="7684" max="7684" width="13" style="2303" customWidth="1"/>
    <col min="7685" max="7685" width="8.77734375" style="2303" customWidth="1"/>
    <col min="7686" max="7686" width="14.5546875" style="2303" customWidth="1"/>
    <col min="7687" max="7687" width="14" style="2303" customWidth="1"/>
    <col min="7688" max="7688" width="0" style="2303" hidden="1" customWidth="1"/>
    <col min="7689" max="7689" width="8.5546875" style="2303" customWidth="1"/>
    <col min="7690" max="7690" width="8.21875" style="2303" customWidth="1"/>
    <col min="7691" max="7691" width="14.33203125" style="2303" customWidth="1"/>
    <col min="7692" max="7692" width="12.5546875" style="2303" customWidth="1"/>
    <col min="7693" max="7936" width="7.109375" style="2303"/>
    <col min="7937" max="7937" width="4.88671875" style="2303" customWidth="1"/>
    <col min="7938" max="7938" width="37.33203125" style="2303" customWidth="1"/>
    <col min="7939" max="7939" width="13.44140625" style="2303" customWidth="1"/>
    <col min="7940" max="7940" width="13" style="2303" customWidth="1"/>
    <col min="7941" max="7941" width="8.77734375" style="2303" customWidth="1"/>
    <col min="7942" max="7942" width="14.5546875" style="2303" customWidth="1"/>
    <col min="7943" max="7943" width="14" style="2303" customWidth="1"/>
    <col min="7944" max="7944" width="0" style="2303" hidden="1" customWidth="1"/>
    <col min="7945" max="7945" width="8.5546875" style="2303" customWidth="1"/>
    <col min="7946" max="7946" width="8.21875" style="2303" customWidth="1"/>
    <col min="7947" max="7947" width="14.33203125" style="2303" customWidth="1"/>
    <col min="7948" max="7948" width="12.5546875" style="2303" customWidth="1"/>
    <col min="7949" max="8192" width="7.109375" style="2303"/>
    <col min="8193" max="8193" width="4.88671875" style="2303" customWidth="1"/>
    <col min="8194" max="8194" width="37.33203125" style="2303" customWidth="1"/>
    <col min="8195" max="8195" width="13.44140625" style="2303" customWidth="1"/>
    <col min="8196" max="8196" width="13" style="2303" customWidth="1"/>
    <col min="8197" max="8197" width="8.77734375" style="2303" customWidth="1"/>
    <col min="8198" max="8198" width="14.5546875" style="2303" customWidth="1"/>
    <col min="8199" max="8199" width="14" style="2303" customWidth="1"/>
    <col min="8200" max="8200" width="0" style="2303" hidden="1" customWidth="1"/>
    <col min="8201" max="8201" width="8.5546875" style="2303" customWidth="1"/>
    <col min="8202" max="8202" width="8.21875" style="2303" customWidth="1"/>
    <col min="8203" max="8203" width="14.33203125" style="2303" customWidth="1"/>
    <col min="8204" max="8204" width="12.5546875" style="2303" customWidth="1"/>
    <col min="8205" max="8448" width="7.109375" style="2303"/>
    <col min="8449" max="8449" width="4.88671875" style="2303" customWidth="1"/>
    <col min="8450" max="8450" width="37.33203125" style="2303" customWidth="1"/>
    <col min="8451" max="8451" width="13.44140625" style="2303" customWidth="1"/>
    <col min="8452" max="8452" width="13" style="2303" customWidth="1"/>
    <col min="8453" max="8453" width="8.77734375" style="2303" customWidth="1"/>
    <col min="8454" max="8454" width="14.5546875" style="2303" customWidth="1"/>
    <col min="8455" max="8455" width="14" style="2303" customWidth="1"/>
    <col min="8456" max="8456" width="0" style="2303" hidden="1" customWidth="1"/>
    <col min="8457" max="8457" width="8.5546875" style="2303" customWidth="1"/>
    <col min="8458" max="8458" width="8.21875" style="2303" customWidth="1"/>
    <col min="8459" max="8459" width="14.33203125" style="2303" customWidth="1"/>
    <col min="8460" max="8460" width="12.5546875" style="2303" customWidth="1"/>
    <col min="8461" max="8704" width="7.109375" style="2303"/>
    <col min="8705" max="8705" width="4.88671875" style="2303" customWidth="1"/>
    <col min="8706" max="8706" width="37.33203125" style="2303" customWidth="1"/>
    <col min="8707" max="8707" width="13.44140625" style="2303" customWidth="1"/>
    <col min="8708" max="8708" width="13" style="2303" customWidth="1"/>
    <col min="8709" max="8709" width="8.77734375" style="2303" customWidth="1"/>
    <col min="8710" max="8710" width="14.5546875" style="2303" customWidth="1"/>
    <col min="8711" max="8711" width="14" style="2303" customWidth="1"/>
    <col min="8712" max="8712" width="0" style="2303" hidden="1" customWidth="1"/>
    <col min="8713" max="8713" width="8.5546875" style="2303" customWidth="1"/>
    <col min="8714" max="8714" width="8.21875" style="2303" customWidth="1"/>
    <col min="8715" max="8715" width="14.33203125" style="2303" customWidth="1"/>
    <col min="8716" max="8716" width="12.5546875" style="2303" customWidth="1"/>
    <col min="8717" max="8960" width="7.109375" style="2303"/>
    <col min="8961" max="8961" width="4.88671875" style="2303" customWidth="1"/>
    <col min="8962" max="8962" width="37.33203125" style="2303" customWidth="1"/>
    <col min="8963" max="8963" width="13.44140625" style="2303" customWidth="1"/>
    <col min="8964" max="8964" width="13" style="2303" customWidth="1"/>
    <col min="8965" max="8965" width="8.77734375" style="2303" customWidth="1"/>
    <col min="8966" max="8966" width="14.5546875" style="2303" customWidth="1"/>
    <col min="8967" max="8967" width="14" style="2303" customWidth="1"/>
    <col min="8968" max="8968" width="0" style="2303" hidden="1" customWidth="1"/>
    <col min="8969" max="8969" width="8.5546875" style="2303" customWidth="1"/>
    <col min="8970" max="8970" width="8.21875" style="2303" customWidth="1"/>
    <col min="8971" max="8971" width="14.33203125" style="2303" customWidth="1"/>
    <col min="8972" max="8972" width="12.5546875" style="2303" customWidth="1"/>
    <col min="8973" max="9216" width="7.109375" style="2303"/>
    <col min="9217" max="9217" width="4.88671875" style="2303" customWidth="1"/>
    <col min="9218" max="9218" width="37.33203125" style="2303" customWidth="1"/>
    <col min="9219" max="9219" width="13.44140625" style="2303" customWidth="1"/>
    <col min="9220" max="9220" width="13" style="2303" customWidth="1"/>
    <col min="9221" max="9221" width="8.77734375" style="2303" customWidth="1"/>
    <col min="9222" max="9222" width="14.5546875" style="2303" customWidth="1"/>
    <col min="9223" max="9223" width="14" style="2303" customWidth="1"/>
    <col min="9224" max="9224" width="0" style="2303" hidden="1" customWidth="1"/>
    <col min="9225" max="9225" width="8.5546875" style="2303" customWidth="1"/>
    <col min="9226" max="9226" width="8.21875" style="2303" customWidth="1"/>
    <col min="9227" max="9227" width="14.33203125" style="2303" customWidth="1"/>
    <col min="9228" max="9228" width="12.5546875" style="2303" customWidth="1"/>
    <col min="9229" max="9472" width="7.109375" style="2303"/>
    <col min="9473" max="9473" width="4.88671875" style="2303" customWidth="1"/>
    <col min="9474" max="9474" width="37.33203125" style="2303" customWidth="1"/>
    <col min="9475" max="9475" width="13.44140625" style="2303" customWidth="1"/>
    <col min="9476" max="9476" width="13" style="2303" customWidth="1"/>
    <col min="9477" max="9477" width="8.77734375" style="2303" customWidth="1"/>
    <col min="9478" max="9478" width="14.5546875" style="2303" customWidth="1"/>
    <col min="9479" max="9479" width="14" style="2303" customWidth="1"/>
    <col min="9480" max="9480" width="0" style="2303" hidden="1" customWidth="1"/>
    <col min="9481" max="9481" width="8.5546875" style="2303" customWidth="1"/>
    <col min="9482" max="9482" width="8.21875" style="2303" customWidth="1"/>
    <col min="9483" max="9483" width="14.33203125" style="2303" customWidth="1"/>
    <col min="9484" max="9484" width="12.5546875" style="2303" customWidth="1"/>
    <col min="9485" max="9728" width="7.109375" style="2303"/>
    <col min="9729" max="9729" width="4.88671875" style="2303" customWidth="1"/>
    <col min="9730" max="9730" width="37.33203125" style="2303" customWidth="1"/>
    <col min="9731" max="9731" width="13.44140625" style="2303" customWidth="1"/>
    <col min="9732" max="9732" width="13" style="2303" customWidth="1"/>
    <col min="9733" max="9733" width="8.77734375" style="2303" customWidth="1"/>
    <col min="9734" max="9734" width="14.5546875" style="2303" customWidth="1"/>
    <col min="9735" max="9735" width="14" style="2303" customWidth="1"/>
    <col min="9736" max="9736" width="0" style="2303" hidden="1" customWidth="1"/>
    <col min="9737" max="9737" width="8.5546875" style="2303" customWidth="1"/>
    <col min="9738" max="9738" width="8.21875" style="2303" customWidth="1"/>
    <col min="9739" max="9739" width="14.33203125" style="2303" customWidth="1"/>
    <col min="9740" max="9740" width="12.5546875" style="2303" customWidth="1"/>
    <col min="9741" max="9984" width="7.109375" style="2303"/>
    <col min="9985" max="9985" width="4.88671875" style="2303" customWidth="1"/>
    <col min="9986" max="9986" width="37.33203125" style="2303" customWidth="1"/>
    <col min="9987" max="9987" width="13.44140625" style="2303" customWidth="1"/>
    <col min="9988" max="9988" width="13" style="2303" customWidth="1"/>
    <col min="9989" max="9989" width="8.77734375" style="2303" customWidth="1"/>
    <col min="9990" max="9990" width="14.5546875" style="2303" customWidth="1"/>
    <col min="9991" max="9991" width="14" style="2303" customWidth="1"/>
    <col min="9992" max="9992" width="0" style="2303" hidden="1" customWidth="1"/>
    <col min="9993" max="9993" width="8.5546875" style="2303" customWidth="1"/>
    <col min="9994" max="9994" width="8.21875" style="2303" customWidth="1"/>
    <col min="9995" max="9995" width="14.33203125" style="2303" customWidth="1"/>
    <col min="9996" max="9996" width="12.5546875" style="2303" customWidth="1"/>
    <col min="9997" max="10240" width="7.109375" style="2303"/>
    <col min="10241" max="10241" width="4.88671875" style="2303" customWidth="1"/>
    <col min="10242" max="10242" width="37.33203125" style="2303" customWidth="1"/>
    <col min="10243" max="10243" width="13.44140625" style="2303" customWidth="1"/>
    <col min="10244" max="10244" width="13" style="2303" customWidth="1"/>
    <col min="10245" max="10245" width="8.77734375" style="2303" customWidth="1"/>
    <col min="10246" max="10246" width="14.5546875" style="2303" customWidth="1"/>
    <col min="10247" max="10247" width="14" style="2303" customWidth="1"/>
    <col min="10248" max="10248" width="0" style="2303" hidden="1" customWidth="1"/>
    <col min="10249" max="10249" width="8.5546875" style="2303" customWidth="1"/>
    <col min="10250" max="10250" width="8.21875" style="2303" customWidth="1"/>
    <col min="10251" max="10251" width="14.33203125" style="2303" customWidth="1"/>
    <col min="10252" max="10252" width="12.5546875" style="2303" customWidth="1"/>
    <col min="10253" max="10496" width="7.109375" style="2303"/>
    <col min="10497" max="10497" width="4.88671875" style="2303" customWidth="1"/>
    <col min="10498" max="10498" width="37.33203125" style="2303" customWidth="1"/>
    <col min="10499" max="10499" width="13.44140625" style="2303" customWidth="1"/>
    <col min="10500" max="10500" width="13" style="2303" customWidth="1"/>
    <col min="10501" max="10501" width="8.77734375" style="2303" customWidth="1"/>
    <col min="10502" max="10502" width="14.5546875" style="2303" customWidth="1"/>
    <col min="10503" max="10503" width="14" style="2303" customWidth="1"/>
    <col min="10504" max="10504" width="0" style="2303" hidden="1" customWidth="1"/>
    <col min="10505" max="10505" width="8.5546875" style="2303" customWidth="1"/>
    <col min="10506" max="10506" width="8.21875" style="2303" customWidth="1"/>
    <col min="10507" max="10507" width="14.33203125" style="2303" customWidth="1"/>
    <col min="10508" max="10508" width="12.5546875" style="2303" customWidth="1"/>
    <col min="10509" max="10752" width="7.109375" style="2303"/>
    <col min="10753" max="10753" width="4.88671875" style="2303" customWidth="1"/>
    <col min="10754" max="10754" width="37.33203125" style="2303" customWidth="1"/>
    <col min="10755" max="10755" width="13.44140625" style="2303" customWidth="1"/>
    <col min="10756" max="10756" width="13" style="2303" customWidth="1"/>
    <col min="10757" max="10757" width="8.77734375" style="2303" customWidth="1"/>
    <col min="10758" max="10758" width="14.5546875" style="2303" customWidth="1"/>
    <col min="10759" max="10759" width="14" style="2303" customWidth="1"/>
    <col min="10760" max="10760" width="0" style="2303" hidden="1" customWidth="1"/>
    <col min="10761" max="10761" width="8.5546875" style="2303" customWidth="1"/>
    <col min="10762" max="10762" width="8.21875" style="2303" customWidth="1"/>
    <col min="10763" max="10763" width="14.33203125" style="2303" customWidth="1"/>
    <col min="10764" max="10764" width="12.5546875" style="2303" customWidth="1"/>
    <col min="10765" max="11008" width="7.109375" style="2303"/>
    <col min="11009" max="11009" width="4.88671875" style="2303" customWidth="1"/>
    <col min="11010" max="11010" width="37.33203125" style="2303" customWidth="1"/>
    <col min="11011" max="11011" width="13.44140625" style="2303" customWidth="1"/>
    <col min="11012" max="11012" width="13" style="2303" customWidth="1"/>
    <col min="11013" max="11013" width="8.77734375" style="2303" customWidth="1"/>
    <col min="11014" max="11014" width="14.5546875" style="2303" customWidth="1"/>
    <col min="11015" max="11015" width="14" style="2303" customWidth="1"/>
    <col min="11016" max="11016" width="0" style="2303" hidden="1" customWidth="1"/>
    <col min="11017" max="11017" width="8.5546875" style="2303" customWidth="1"/>
    <col min="11018" max="11018" width="8.21875" style="2303" customWidth="1"/>
    <col min="11019" max="11019" width="14.33203125" style="2303" customWidth="1"/>
    <col min="11020" max="11020" width="12.5546875" style="2303" customWidth="1"/>
    <col min="11021" max="11264" width="7.109375" style="2303"/>
    <col min="11265" max="11265" width="4.88671875" style="2303" customWidth="1"/>
    <col min="11266" max="11266" width="37.33203125" style="2303" customWidth="1"/>
    <col min="11267" max="11267" width="13.44140625" style="2303" customWidth="1"/>
    <col min="11268" max="11268" width="13" style="2303" customWidth="1"/>
    <col min="11269" max="11269" width="8.77734375" style="2303" customWidth="1"/>
    <col min="11270" max="11270" width="14.5546875" style="2303" customWidth="1"/>
    <col min="11271" max="11271" width="14" style="2303" customWidth="1"/>
    <col min="11272" max="11272" width="0" style="2303" hidden="1" customWidth="1"/>
    <col min="11273" max="11273" width="8.5546875" style="2303" customWidth="1"/>
    <col min="11274" max="11274" width="8.21875" style="2303" customWidth="1"/>
    <col min="11275" max="11275" width="14.33203125" style="2303" customWidth="1"/>
    <col min="11276" max="11276" width="12.5546875" style="2303" customWidth="1"/>
    <col min="11277" max="11520" width="7.109375" style="2303"/>
    <col min="11521" max="11521" width="4.88671875" style="2303" customWidth="1"/>
    <col min="11522" max="11522" width="37.33203125" style="2303" customWidth="1"/>
    <col min="11523" max="11523" width="13.44140625" style="2303" customWidth="1"/>
    <col min="11524" max="11524" width="13" style="2303" customWidth="1"/>
    <col min="11525" max="11525" width="8.77734375" style="2303" customWidth="1"/>
    <col min="11526" max="11526" width="14.5546875" style="2303" customWidth="1"/>
    <col min="11527" max="11527" width="14" style="2303" customWidth="1"/>
    <col min="11528" max="11528" width="0" style="2303" hidden="1" customWidth="1"/>
    <col min="11529" max="11529" width="8.5546875" style="2303" customWidth="1"/>
    <col min="11530" max="11530" width="8.21875" style="2303" customWidth="1"/>
    <col min="11531" max="11531" width="14.33203125" style="2303" customWidth="1"/>
    <col min="11532" max="11532" width="12.5546875" style="2303" customWidth="1"/>
    <col min="11533" max="11776" width="7.109375" style="2303"/>
    <col min="11777" max="11777" width="4.88671875" style="2303" customWidth="1"/>
    <col min="11778" max="11778" width="37.33203125" style="2303" customWidth="1"/>
    <col min="11779" max="11779" width="13.44140625" style="2303" customWidth="1"/>
    <col min="11780" max="11780" width="13" style="2303" customWidth="1"/>
    <col min="11781" max="11781" width="8.77734375" style="2303" customWidth="1"/>
    <col min="11782" max="11782" width="14.5546875" style="2303" customWidth="1"/>
    <col min="11783" max="11783" width="14" style="2303" customWidth="1"/>
    <col min="11784" max="11784" width="0" style="2303" hidden="1" customWidth="1"/>
    <col min="11785" max="11785" width="8.5546875" style="2303" customWidth="1"/>
    <col min="11786" max="11786" width="8.21875" style="2303" customWidth="1"/>
    <col min="11787" max="11787" width="14.33203125" style="2303" customWidth="1"/>
    <col min="11788" max="11788" width="12.5546875" style="2303" customWidth="1"/>
    <col min="11789" max="12032" width="7.109375" style="2303"/>
    <col min="12033" max="12033" width="4.88671875" style="2303" customWidth="1"/>
    <col min="12034" max="12034" width="37.33203125" style="2303" customWidth="1"/>
    <col min="12035" max="12035" width="13.44140625" style="2303" customWidth="1"/>
    <col min="12036" max="12036" width="13" style="2303" customWidth="1"/>
    <col min="12037" max="12037" width="8.77734375" style="2303" customWidth="1"/>
    <col min="12038" max="12038" width="14.5546875" style="2303" customWidth="1"/>
    <col min="12039" max="12039" width="14" style="2303" customWidth="1"/>
    <col min="12040" max="12040" width="0" style="2303" hidden="1" customWidth="1"/>
    <col min="12041" max="12041" width="8.5546875" style="2303" customWidth="1"/>
    <col min="12042" max="12042" width="8.21875" style="2303" customWidth="1"/>
    <col min="12043" max="12043" width="14.33203125" style="2303" customWidth="1"/>
    <col min="12044" max="12044" width="12.5546875" style="2303" customWidth="1"/>
    <col min="12045" max="12288" width="7.109375" style="2303"/>
    <col min="12289" max="12289" width="4.88671875" style="2303" customWidth="1"/>
    <col min="12290" max="12290" width="37.33203125" style="2303" customWidth="1"/>
    <col min="12291" max="12291" width="13.44140625" style="2303" customWidth="1"/>
    <col min="12292" max="12292" width="13" style="2303" customWidth="1"/>
    <col min="12293" max="12293" width="8.77734375" style="2303" customWidth="1"/>
    <col min="12294" max="12294" width="14.5546875" style="2303" customWidth="1"/>
    <col min="12295" max="12295" width="14" style="2303" customWidth="1"/>
    <col min="12296" max="12296" width="0" style="2303" hidden="1" customWidth="1"/>
    <col min="12297" max="12297" width="8.5546875" style="2303" customWidth="1"/>
    <col min="12298" max="12298" width="8.21875" style="2303" customWidth="1"/>
    <col min="12299" max="12299" width="14.33203125" style="2303" customWidth="1"/>
    <col min="12300" max="12300" width="12.5546875" style="2303" customWidth="1"/>
    <col min="12301" max="12544" width="7.109375" style="2303"/>
    <col min="12545" max="12545" width="4.88671875" style="2303" customWidth="1"/>
    <col min="12546" max="12546" width="37.33203125" style="2303" customWidth="1"/>
    <col min="12547" max="12547" width="13.44140625" style="2303" customWidth="1"/>
    <col min="12548" max="12548" width="13" style="2303" customWidth="1"/>
    <col min="12549" max="12549" width="8.77734375" style="2303" customWidth="1"/>
    <col min="12550" max="12550" width="14.5546875" style="2303" customWidth="1"/>
    <col min="12551" max="12551" width="14" style="2303" customWidth="1"/>
    <col min="12552" max="12552" width="0" style="2303" hidden="1" customWidth="1"/>
    <col min="12553" max="12553" width="8.5546875" style="2303" customWidth="1"/>
    <col min="12554" max="12554" width="8.21875" style="2303" customWidth="1"/>
    <col min="12555" max="12555" width="14.33203125" style="2303" customWidth="1"/>
    <col min="12556" max="12556" width="12.5546875" style="2303" customWidth="1"/>
    <col min="12557" max="12800" width="7.109375" style="2303"/>
    <col min="12801" max="12801" width="4.88671875" style="2303" customWidth="1"/>
    <col min="12802" max="12802" width="37.33203125" style="2303" customWidth="1"/>
    <col min="12803" max="12803" width="13.44140625" style="2303" customWidth="1"/>
    <col min="12804" max="12804" width="13" style="2303" customWidth="1"/>
    <col min="12805" max="12805" width="8.77734375" style="2303" customWidth="1"/>
    <col min="12806" max="12806" width="14.5546875" style="2303" customWidth="1"/>
    <col min="12807" max="12807" width="14" style="2303" customWidth="1"/>
    <col min="12808" max="12808" width="0" style="2303" hidden="1" customWidth="1"/>
    <col min="12809" max="12809" width="8.5546875" style="2303" customWidth="1"/>
    <col min="12810" max="12810" width="8.21875" style="2303" customWidth="1"/>
    <col min="12811" max="12811" width="14.33203125" style="2303" customWidth="1"/>
    <col min="12812" max="12812" width="12.5546875" style="2303" customWidth="1"/>
    <col min="12813" max="13056" width="7.109375" style="2303"/>
    <col min="13057" max="13057" width="4.88671875" style="2303" customWidth="1"/>
    <col min="13058" max="13058" width="37.33203125" style="2303" customWidth="1"/>
    <col min="13059" max="13059" width="13.44140625" style="2303" customWidth="1"/>
    <col min="13060" max="13060" width="13" style="2303" customWidth="1"/>
    <col min="13061" max="13061" width="8.77734375" style="2303" customWidth="1"/>
    <col min="13062" max="13062" width="14.5546875" style="2303" customWidth="1"/>
    <col min="13063" max="13063" width="14" style="2303" customWidth="1"/>
    <col min="13064" max="13064" width="0" style="2303" hidden="1" customWidth="1"/>
    <col min="13065" max="13065" width="8.5546875" style="2303" customWidth="1"/>
    <col min="13066" max="13066" width="8.21875" style="2303" customWidth="1"/>
    <col min="13067" max="13067" width="14.33203125" style="2303" customWidth="1"/>
    <col min="13068" max="13068" width="12.5546875" style="2303" customWidth="1"/>
    <col min="13069" max="13312" width="7.109375" style="2303"/>
    <col min="13313" max="13313" width="4.88671875" style="2303" customWidth="1"/>
    <col min="13314" max="13314" width="37.33203125" style="2303" customWidth="1"/>
    <col min="13315" max="13315" width="13.44140625" style="2303" customWidth="1"/>
    <col min="13316" max="13316" width="13" style="2303" customWidth="1"/>
    <col min="13317" max="13317" width="8.77734375" style="2303" customWidth="1"/>
    <col min="13318" max="13318" width="14.5546875" style="2303" customWidth="1"/>
    <col min="13319" max="13319" width="14" style="2303" customWidth="1"/>
    <col min="13320" max="13320" width="0" style="2303" hidden="1" customWidth="1"/>
    <col min="13321" max="13321" width="8.5546875" style="2303" customWidth="1"/>
    <col min="13322" max="13322" width="8.21875" style="2303" customWidth="1"/>
    <col min="13323" max="13323" width="14.33203125" style="2303" customWidth="1"/>
    <col min="13324" max="13324" width="12.5546875" style="2303" customWidth="1"/>
    <col min="13325" max="13568" width="7.109375" style="2303"/>
    <col min="13569" max="13569" width="4.88671875" style="2303" customWidth="1"/>
    <col min="13570" max="13570" width="37.33203125" style="2303" customWidth="1"/>
    <col min="13571" max="13571" width="13.44140625" style="2303" customWidth="1"/>
    <col min="13572" max="13572" width="13" style="2303" customWidth="1"/>
    <col min="13573" max="13573" width="8.77734375" style="2303" customWidth="1"/>
    <col min="13574" max="13574" width="14.5546875" style="2303" customWidth="1"/>
    <col min="13575" max="13575" width="14" style="2303" customWidth="1"/>
    <col min="13576" max="13576" width="0" style="2303" hidden="1" customWidth="1"/>
    <col min="13577" max="13577" width="8.5546875" style="2303" customWidth="1"/>
    <col min="13578" max="13578" width="8.21875" style="2303" customWidth="1"/>
    <col min="13579" max="13579" width="14.33203125" style="2303" customWidth="1"/>
    <col min="13580" max="13580" width="12.5546875" style="2303" customWidth="1"/>
    <col min="13581" max="13824" width="7.109375" style="2303"/>
    <col min="13825" max="13825" width="4.88671875" style="2303" customWidth="1"/>
    <col min="13826" max="13826" width="37.33203125" style="2303" customWidth="1"/>
    <col min="13827" max="13827" width="13.44140625" style="2303" customWidth="1"/>
    <col min="13828" max="13828" width="13" style="2303" customWidth="1"/>
    <col min="13829" max="13829" width="8.77734375" style="2303" customWidth="1"/>
    <col min="13830" max="13830" width="14.5546875" style="2303" customWidth="1"/>
    <col min="13831" max="13831" width="14" style="2303" customWidth="1"/>
    <col min="13832" max="13832" width="0" style="2303" hidden="1" customWidth="1"/>
    <col min="13833" max="13833" width="8.5546875" style="2303" customWidth="1"/>
    <col min="13834" max="13834" width="8.21875" style="2303" customWidth="1"/>
    <col min="13835" max="13835" width="14.33203125" style="2303" customWidth="1"/>
    <col min="13836" max="13836" width="12.5546875" style="2303" customWidth="1"/>
    <col min="13837" max="14080" width="7.109375" style="2303"/>
    <col min="14081" max="14081" width="4.88671875" style="2303" customWidth="1"/>
    <col min="14082" max="14082" width="37.33203125" style="2303" customWidth="1"/>
    <col min="14083" max="14083" width="13.44140625" style="2303" customWidth="1"/>
    <col min="14084" max="14084" width="13" style="2303" customWidth="1"/>
    <col min="14085" max="14085" width="8.77734375" style="2303" customWidth="1"/>
    <col min="14086" max="14086" width="14.5546875" style="2303" customWidth="1"/>
    <col min="14087" max="14087" width="14" style="2303" customWidth="1"/>
    <col min="14088" max="14088" width="0" style="2303" hidden="1" customWidth="1"/>
    <col min="14089" max="14089" width="8.5546875" style="2303" customWidth="1"/>
    <col min="14090" max="14090" width="8.21875" style="2303" customWidth="1"/>
    <col min="14091" max="14091" width="14.33203125" style="2303" customWidth="1"/>
    <col min="14092" max="14092" width="12.5546875" style="2303" customWidth="1"/>
    <col min="14093" max="14336" width="7.109375" style="2303"/>
    <col min="14337" max="14337" width="4.88671875" style="2303" customWidth="1"/>
    <col min="14338" max="14338" width="37.33203125" style="2303" customWidth="1"/>
    <col min="14339" max="14339" width="13.44140625" style="2303" customWidth="1"/>
    <col min="14340" max="14340" width="13" style="2303" customWidth="1"/>
    <col min="14341" max="14341" width="8.77734375" style="2303" customWidth="1"/>
    <col min="14342" max="14342" width="14.5546875" style="2303" customWidth="1"/>
    <col min="14343" max="14343" width="14" style="2303" customWidth="1"/>
    <col min="14344" max="14344" width="0" style="2303" hidden="1" customWidth="1"/>
    <col min="14345" max="14345" width="8.5546875" style="2303" customWidth="1"/>
    <col min="14346" max="14346" width="8.21875" style="2303" customWidth="1"/>
    <col min="14347" max="14347" width="14.33203125" style="2303" customWidth="1"/>
    <col min="14348" max="14348" width="12.5546875" style="2303" customWidth="1"/>
    <col min="14349" max="14592" width="7.109375" style="2303"/>
    <col min="14593" max="14593" width="4.88671875" style="2303" customWidth="1"/>
    <col min="14594" max="14594" width="37.33203125" style="2303" customWidth="1"/>
    <col min="14595" max="14595" width="13.44140625" style="2303" customWidth="1"/>
    <col min="14596" max="14596" width="13" style="2303" customWidth="1"/>
    <col min="14597" max="14597" width="8.77734375" style="2303" customWidth="1"/>
    <col min="14598" max="14598" width="14.5546875" style="2303" customWidth="1"/>
    <col min="14599" max="14599" width="14" style="2303" customWidth="1"/>
    <col min="14600" max="14600" width="0" style="2303" hidden="1" customWidth="1"/>
    <col min="14601" max="14601" width="8.5546875" style="2303" customWidth="1"/>
    <col min="14602" max="14602" width="8.21875" style="2303" customWidth="1"/>
    <col min="14603" max="14603" width="14.33203125" style="2303" customWidth="1"/>
    <col min="14604" max="14604" width="12.5546875" style="2303" customWidth="1"/>
    <col min="14605" max="14848" width="7.109375" style="2303"/>
    <col min="14849" max="14849" width="4.88671875" style="2303" customWidth="1"/>
    <col min="14850" max="14850" width="37.33203125" style="2303" customWidth="1"/>
    <col min="14851" max="14851" width="13.44140625" style="2303" customWidth="1"/>
    <col min="14852" max="14852" width="13" style="2303" customWidth="1"/>
    <col min="14853" max="14853" width="8.77734375" style="2303" customWidth="1"/>
    <col min="14854" max="14854" width="14.5546875" style="2303" customWidth="1"/>
    <col min="14855" max="14855" width="14" style="2303" customWidth="1"/>
    <col min="14856" max="14856" width="0" style="2303" hidden="1" customWidth="1"/>
    <col min="14857" max="14857" width="8.5546875" style="2303" customWidth="1"/>
    <col min="14858" max="14858" width="8.21875" style="2303" customWidth="1"/>
    <col min="14859" max="14859" width="14.33203125" style="2303" customWidth="1"/>
    <col min="14860" max="14860" width="12.5546875" style="2303" customWidth="1"/>
    <col min="14861" max="15104" width="7.109375" style="2303"/>
    <col min="15105" max="15105" width="4.88671875" style="2303" customWidth="1"/>
    <col min="15106" max="15106" width="37.33203125" style="2303" customWidth="1"/>
    <col min="15107" max="15107" width="13.44140625" style="2303" customWidth="1"/>
    <col min="15108" max="15108" width="13" style="2303" customWidth="1"/>
    <col min="15109" max="15109" width="8.77734375" style="2303" customWidth="1"/>
    <col min="15110" max="15110" width="14.5546875" style="2303" customWidth="1"/>
    <col min="15111" max="15111" width="14" style="2303" customWidth="1"/>
    <col min="15112" max="15112" width="0" style="2303" hidden="1" customWidth="1"/>
    <col min="15113" max="15113" width="8.5546875" style="2303" customWidth="1"/>
    <col min="15114" max="15114" width="8.21875" style="2303" customWidth="1"/>
    <col min="15115" max="15115" width="14.33203125" style="2303" customWidth="1"/>
    <col min="15116" max="15116" width="12.5546875" style="2303" customWidth="1"/>
    <col min="15117" max="15360" width="7.109375" style="2303"/>
    <col min="15361" max="15361" width="4.88671875" style="2303" customWidth="1"/>
    <col min="15362" max="15362" width="37.33203125" style="2303" customWidth="1"/>
    <col min="15363" max="15363" width="13.44140625" style="2303" customWidth="1"/>
    <col min="15364" max="15364" width="13" style="2303" customWidth="1"/>
    <col min="15365" max="15365" width="8.77734375" style="2303" customWidth="1"/>
    <col min="15366" max="15366" width="14.5546875" style="2303" customWidth="1"/>
    <col min="15367" max="15367" width="14" style="2303" customWidth="1"/>
    <col min="15368" max="15368" width="0" style="2303" hidden="1" customWidth="1"/>
    <col min="15369" max="15369" width="8.5546875" style="2303" customWidth="1"/>
    <col min="15370" max="15370" width="8.21875" style="2303" customWidth="1"/>
    <col min="15371" max="15371" width="14.33203125" style="2303" customWidth="1"/>
    <col min="15372" max="15372" width="12.5546875" style="2303" customWidth="1"/>
    <col min="15373" max="15616" width="7.109375" style="2303"/>
    <col min="15617" max="15617" width="4.88671875" style="2303" customWidth="1"/>
    <col min="15618" max="15618" width="37.33203125" style="2303" customWidth="1"/>
    <col min="15619" max="15619" width="13.44140625" style="2303" customWidth="1"/>
    <col min="15620" max="15620" width="13" style="2303" customWidth="1"/>
    <col min="15621" max="15621" width="8.77734375" style="2303" customWidth="1"/>
    <col min="15622" max="15622" width="14.5546875" style="2303" customWidth="1"/>
    <col min="15623" max="15623" width="14" style="2303" customWidth="1"/>
    <col min="15624" max="15624" width="0" style="2303" hidden="1" customWidth="1"/>
    <col min="15625" max="15625" width="8.5546875" style="2303" customWidth="1"/>
    <col min="15626" max="15626" width="8.21875" style="2303" customWidth="1"/>
    <col min="15627" max="15627" width="14.33203125" style="2303" customWidth="1"/>
    <col min="15628" max="15628" width="12.5546875" style="2303" customWidth="1"/>
    <col min="15629" max="15872" width="7.109375" style="2303"/>
    <col min="15873" max="15873" width="4.88671875" style="2303" customWidth="1"/>
    <col min="15874" max="15874" width="37.33203125" style="2303" customWidth="1"/>
    <col min="15875" max="15875" width="13.44140625" style="2303" customWidth="1"/>
    <col min="15876" max="15876" width="13" style="2303" customWidth="1"/>
    <col min="15877" max="15877" width="8.77734375" style="2303" customWidth="1"/>
    <col min="15878" max="15878" width="14.5546875" style="2303" customWidth="1"/>
    <col min="15879" max="15879" width="14" style="2303" customWidth="1"/>
    <col min="15880" max="15880" width="0" style="2303" hidden="1" customWidth="1"/>
    <col min="15881" max="15881" width="8.5546875" style="2303" customWidth="1"/>
    <col min="15882" max="15882" width="8.21875" style="2303" customWidth="1"/>
    <col min="15883" max="15883" width="14.33203125" style="2303" customWidth="1"/>
    <col min="15884" max="15884" width="12.5546875" style="2303" customWidth="1"/>
    <col min="15885" max="16128" width="7.109375" style="2303"/>
    <col min="16129" max="16129" width="4.88671875" style="2303" customWidth="1"/>
    <col min="16130" max="16130" width="37.33203125" style="2303" customWidth="1"/>
    <col min="16131" max="16131" width="13.44140625" style="2303" customWidth="1"/>
    <col min="16132" max="16132" width="13" style="2303" customWidth="1"/>
    <col min="16133" max="16133" width="8.77734375" style="2303" customWidth="1"/>
    <col min="16134" max="16134" width="14.5546875" style="2303" customWidth="1"/>
    <col min="16135" max="16135" width="14" style="2303" customWidth="1"/>
    <col min="16136" max="16136" width="0" style="2303" hidden="1" customWidth="1"/>
    <col min="16137" max="16137" width="8.5546875" style="2303" customWidth="1"/>
    <col min="16138" max="16138" width="8.21875" style="2303" customWidth="1"/>
    <col min="16139" max="16139" width="14.33203125" style="2303" customWidth="1"/>
    <col min="16140" max="16140" width="12.5546875" style="2303" customWidth="1"/>
    <col min="16141" max="16384" width="7.109375" style="2303"/>
  </cols>
  <sheetData>
    <row r="1" spans="1:12">
      <c r="B1" s="2300" t="s">
        <v>69</v>
      </c>
      <c r="E1" s="2302"/>
      <c r="F1" s="2933" t="s">
        <v>1313</v>
      </c>
      <c r="G1" s="2933"/>
    </row>
    <row r="2" spans="1:12">
      <c r="B2" s="2305"/>
      <c r="E2" s="2302"/>
      <c r="F2" s="2306"/>
      <c r="G2" s="2306"/>
    </row>
    <row r="3" spans="1:12" ht="29.4" customHeight="1">
      <c r="A3" s="2934" t="s">
        <v>1314</v>
      </c>
      <c r="B3" s="2934"/>
      <c r="C3" s="2934"/>
      <c r="D3" s="2934"/>
      <c r="E3" s="2934"/>
      <c r="F3" s="2934"/>
      <c r="G3" s="2934"/>
    </row>
    <row r="4" spans="1:12" ht="12.6" customHeight="1">
      <c r="A4" s="2933" t="s">
        <v>1315</v>
      </c>
      <c r="B4" s="2933"/>
      <c r="C4" s="2933"/>
      <c r="D4" s="2933"/>
      <c r="E4" s="2933"/>
      <c r="F4" s="2933"/>
      <c r="G4" s="2933"/>
    </row>
    <row r="5" spans="1:12" ht="12.6" customHeight="1">
      <c r="A5" s="2306"/>
      <c r="B5" s="2307"/>
      <c r="C5" s="2306"/>
      <c r="D5" s="2306"/>
      <c r="E5" s="2306"/>
      <c r="F5" s="2306"/>
      <c r="G5" s="2306"/>
    </row>
    <row r="6" spans="1:12">
      <c r="C6" s="2097"/>
      <c r="D6" s="2309"/>
      <c r="E6" s="2309"/>
      <c r="F6" s="2310"/>
      <c r="G6" s="2310" t="s">
        <v>1056</v>
      </c>
    </row>
    <row r="7" spans="1:12" s="2311" customFormat="1" ht="20.25" customHeight="1">
      <c r="A7" s="2935" t="s">
        <v>49</v>
      </c>
      <c r="B7" s="2938" t="s">
        <v>257</v>
      </c>
      <c r="C7" s="2938" t="s">
        <v>1273</v>
      </c>
      <c r="D7" s="2938" t="s">
        <v>1275</v>
      </c>
      <c r="E7" s="2938" t="s">
        <v>1316</v>
      </c>
      <c r="F7" s="2938" t="s">
        <v>1276</v>
      </c>
      <c r="G7" s="2938" t="s">
        <v>1278</v>
      </c>
      <c r="I7" s="2931" t="s">
        <v>1271</v>
      </c>
      <c r="J7" s="2931"/>
      <c r="K7" s="2932" t="s">
        <v>1279</v>
      </c>
    </row>
    <row r="8" spans="1:12" s="2311" customFormat="1" ht="20.25" customHeight="1">
      <c r="A8" s="2936"/>
      <c r="B8" s="2939"/>
      <c r="C8" s="2939"/>
      <c r="D8" s="2939"/>
      <c r="E8" s="2939"/>
      <c r="F8" s="2939"/>
      <c r="G8" s="2939"/>
      <c r="I8" s="2932" t="s">
        <v>1281</v>
      </c>
      <c r="J8" s="2932" t="s">
        <v>1282</v>
      </c>
      <c r="K8" s="2932"/>
    </row>
    <row r="9" spans="1:12" s="2311" customFormat="1" ht="20.25" customHeight="1">
      <c r="A9" s="2936"/>
      <c r="B9" s="2939"/>
      <c r="C9" s="2939"/>
      <c r="D9" s="2939"/>
      <c r="E9" s="2939"/>
      <c r="F9" s="2939"/>
      <c r="G9" s="2939"/>
      <c r="I9" s="2932"/>
      <c r="J9" s="2932"/>
      <c r="K9" s="2932"/>
    </row>
    <row r="10" spans="1:12" s="2299" customFormat="1" ht="29.25" customHeight="1">
      <c r="A10" s="2937"/>
      <c r="B10" s="2940"/>
      <c r="C10" s="2940"/>
      <c r="D10" s="2940"/>
      <c r="E10" s="2940"/>
      <c r="F10" s="2940"/>
      <c r="G10" s="2940"/>
      <c r="I10" s="2932"/>
      <c r="J10" s="2932"/>
      <c r="K10" s="2932"/>
    </row>
    <row r="11" spans="1:12" s="2317" customFormat="1" ht="17.25" customHeight="1">
      <c r="A11" s="2312" t="s">
        <v>80</v>
      </c>
      <c r="B11" s="2313" t="s">
        <v>81</v>
      </c>
      <c r="C11" s="2110">
        <v>1</v>
      </c>
      <c r="D11" s="2314">
        <v>2</v>
      </c>
      <c r="E11" s="2315" t="s">
        <v>1209</v>
      </c>
      <c r="F11" s="2316">
        <v>4</v>
      </c>
      <c r="G11" s="2316">
        <v>5</v>
      </c>
      <c r="I11" s="2318" t="s">
        <v>1104</v>
      </c>
      <c r="J11" s="2318" t="s">
        <v>1317</v>
      </c>
      <c r="K11" s="2319" t="s">
        <v>1318</v>
      </c>
    </row>
    <row r="12" spans="1:12" s="2317" customFormat="1" ht="17.25" customHeight="1">
      <c r="A12" s="2320"/>
      <c r="B12" s="2321" t="s">
        <v>1319</v>
      </c>
      <c r="C12" s="2322">
        <f>SUM(C14,C42,C45,C48,C51,C55)</f>
        <v>9576953.0999999996</v>
      </c>
      <c r="D12" s="2322">
        <f>SUM(D14,D42,D45,D48,D51,D54,D55)</f>
        <v>9481526</v>
      </c>
      <c r="E12" s="2323">
        <f>D12/C12%</f>
        <v>99.003575573529744</v>
      </c>
      <c r="F12" s="2322">
        <f>SUM(F14,F42,F45,F48,F51,F55)</f>
        <v>9705858</v>
      </c>
      <c r="G12" s="2322">
        <f>SUM(G14,G42,G45,G48,G51,G55)</f>
        <v>8326964.0400000019</v>
      </c>
      <c r="H12" s="2324">
        <f>D12+F12+G12</f>
        <v>27514348.040000003</v>
      </c>
      <c r="I12" s="2325">
        <f>F12/D12%</f>
        <v>102.36599045343546</v>
      </c>
      <c r="J12" s="2325">
        <f>G12/F12%</f>
        <v>85.793178099246887</v>
      </c>
      <c r="K12" s="2326">
        <f>SUM(D12,F12,G12)</f>
        <v>27514348.040000003</v>
      </c>
      <c r="L12" s="2324"/>
    </row>
    <row r="13" spans="1:12" s="2317" customFormat="1" ht="17.25" customHeight="1">
      <c r="A13" s="2327"/>
      <c r="B13" s="2328" t="s">
        <v>1320</v>
      </c>
      <c r="C13" s="2329">
        <f>'[3]02-08'!F14</f>
        <v>9354353.0999999996</v>
      </c>
      <c r="D13" s="2329">
        <f>'[3]02-08'!H14</f>
        <v>9166448</v>
      </c>
      <c r="E13" s="2330">
        <f>D13/C13%</f>
        <v>97.991255001909209</v>
      </c>
      <c r="F13" s="2329">
        <f>'[3]02-08'!I14</f>
        <v>9353030.6400000006</v>
      </c>
      <c r="G13" s="2329">
        <f>'[3]02-08'!J14</f>
        <v>7931857.3968000002</v>
      </c>
      <c r="H13" s="2324">
        <f>D13+F13+G13</f>
        <v>26451336.036800001</v>
      </c>
      <c r="I13" s="2331">
        <f t="shared" ref="I13:I55" si="0">F13/D13%</f>
        <v>102.03549553763902</v>
      </c>
      <c r="J13" s="2331">
        <f t="shared" ref="J13:J55" si="1">G13/F13%</f>
        <v>84.80521129566192</v>
      </c>
      <c r="K13" s="2332">
        <f t="shared" ref="K13:K54" si="2">SUM(D13,F13,G13)</f>
        <v>26451336.036800001</v>
      </c>
    </row>
    <row r="14" spans="1:12" s="2335" customFormat="1" ht="24.75" customHeight="1">
      <c r="A14" s="2327" t="s">
        <v>54</v>
      </c>
      <c r="B14" s="2333" t="s">
        <v>1321</v>
      </c>
      <c r="C14" s="2334">
        <f>SUM(C20,C42,C45,C48)</f>
        <v>3514860</v>
      </c>
      <c r="D14" s="2334">
        <f>SUM(D20,D42,D45,D48)</f>
        <v>3771800</v>
      </c>
      <c r="E14" s="2330">
        <f>D14/C14%</f>
        <v>107.31010623467222</v>
      </c>
      <c r="F14" s="2334">
        <f>SUM(F20,F42,F45,F48)</f>
        <v>4050132</v>
      </c>
      <c r="G14" s="2334">
        <f>SUM(G20,G42,G45,G48)</f>
        <v>4418864.0400000019</v>
      </c>
      <c r="H14" s="2324">
        <f>D14+F14+G14</f>
        <v>12240796.040000003</v>
      </c>
      <c r="I14" s="2331">
        <f t="shared" si="0"/>
        <v>107.37928840341482</v>
      </c>
      <c r="J14" s="2331">
        <f t="shared" si="1"/>
        <v>109.10419808539578</v>
      </c>
      <c r="K14" s="2332">
        <f t="shared" si="2"/>
        <v>12240796.040000003</v>
      </c>
    </row>
    <row r="15" spans="1:12" s="2335" customFormat="1" ht="24.75" customHeight="1">
      <c r="A15" s="2327"/>
      <c r="B15" s="2336" t="s">
        <v>1322</v>
      </c>
      <c r="C15" s="2334">
        <f>'[3]02-08'!F16</f>
        <v>3292260</v>
      </c>
      <c r="D15" s="2334">
        <f>'[3]02-08'!H16</f>
        <v>3456722</v>
      </c>
      <c r="E15" s="2330"/>
      <c r="F15" s="2334">
        <f>'[3]02-08'!I16</f>
        <v>3697304.64</v>
      </c>
      <c r="G15" s="2334">
        <f>'[3]02-08'!J16</f>
        <v>4023757.3967999998</v>
      </c>
      <c r="H15" s="2324">
        <f>D15+F15+G15</f>
        <v>11177784.036800001</v>
      </c>
      <c r="I15" s="2331">
        <f t="shared" si="0"/>
        <v>106.95984924445762</v>
      </c>
      <c r="J15" s="2331">
        <f t="shared" si="1"/>
        <v>108.82947954215642</v>
      </c>
      <c r="K15" s="2332">
        <f t="shared" si="2"/>
        <v>11177784.036800001</v>
      </c>
    </row>
    <row r="16" spans="1:12" s="2335" customFormat="1" ht="39" customHeight="1">
      <c r="A16" s="2327"/>
      <c r="B16" s="2337" t="s">
        <v>1323</v>
      </c>
      <c r="C16" s="2334">
        <f>C15-C31-C32</f>
        <v>2262260</v>
      </c>
      <c r="D16" s="2334">
        <f>D15-D31-D32</f>
        <v>2356722</v>
      </c>
      <c r="E16" s="2330">
        <f>D16/C16%</f>
        <v>104.17555895432002</v>
      </c>
      <c r="F16" s="2334">
        <f>F15-F31-F32</f>
        <v>2617304.64</v>
      </c>
      <c r="G16" s="2334">
        <f>G15-G31-G32</f>
        <v>2913757.3967999998</v>
      </c>
      <c r="H16" s="2324">
        <f>D16+F16+G16</f>
        <v>7887784.0368000008</v>
      </c>
      <c r="I16" s="2331">
        <f t="shared" si="0"/>
        <v>111.05699526715497</v>
      </c>
      <c r="J16" s="2331">
        <f t="shared" si="1"/>
        <v>111.32664315301101</v>
      </c>
      <c r="K16" s="2332">
        <f t="shared" si="2"/>
        <v>7887784.0368000008</v>
      </c>
    </row>
    <row r="17" spans="1:12" s="2335" customFormat="1" ht="24.75" customHeight="1">
      <c r="A17" s="2327"/>
      <c r="B17" s="2333" t="s">
        <v>1324</v>
      </c>
      <c r="C17" s="2334">
        <v>46596000</v>
      </c>
      <c r="D17" s="2329">
        <v>51960000</v>
      </c>
      <c r="E17" s="2330">
        <f>D17/C17%</f>
        <v>111.51171774401236</v>
      </c>
      <c r="F17" s="2329">
        <f>D17*112%</f>
        <v>58195200.000000007</v>
      </c>
      <c r="G17" s="2329">
        <f>F17*112%</f>
        <v>65178624.000000015</v>
      </c>
      <c r="I17" s="2331">
        <f t="shared" si="0"/>
        <v>112.00000000000001</v>
      </c>
      <c r="J17" s="2331">
        <f t="shared" si="1"/>
        <v>112</v>
      </c>
      <c r="K17" s="2332">
        <f t="shared" si="2"/>
        <v>175333824</v>
      </c>
    </row>
    <row r="18" spans="1:12" s="2341" customFormat="1" ht="24.75" customHeight="1">
      <c r="A18" s="2338"/>
      <c r="B18" s="2339" t="s">
        <v>1325</v>
      </c>
      <c r="C18" s="2340">
        <f>C14/C17%</f>
        <v>7.5432655163533351</v>
      </c>
      <c r="D18" s="2340">
        <f>D14/D17%</f>
        <v>7.2590454195535026</v>
      </c>
      <c r="E18" s="2340"/>
      <c r="F18" s="2340">
        <f>F14/F17%</f>
        <v>6.9595636753546675</v>
      </c>
      <c r="G18" s="2340">
        <f>G14/G17%</f>
        <v>6.7796215519983996</v>
      </c>
      <c r="I18" s="2331"/>
      <c r="J18" s="2331"/>
      <c r="K18" s="2332"/>
    </row>
    <row r="19" spans="1:12" s="2341" customFormat="1" ht="24.75" customHeight="1">
      <c r="A19" s="2338"/>
      <c r="B19" s="2339" t="s">
        <v>1326</v>
      </c>
      <c r="C19" s="2340">
        <f>SUM(C24,C25,C26,C27,C28,C29,C30,C33,C40)/C17%</f>
        <v>4.8932097175723239</v>
      </c>
      <c r="D19" s="2340">
        <f>SUM(D24,D25,D26,D27,D28,D29,D30,D33,D40)/D17%</f>
        <v>4.7765588914549655</v>
      </c>
      <c r="E19" s="2340"/>
      <c r="F19" s="2340">
        <f>SUM(F24,F25,F26,F27,F28,F29,F30,F33,F40)/F17%</f>
        <v>4.7388856812933016</v>
      </c>
      <c r="G19" s="2340">
        <f>SUM(G24,G25,G26,G27,G28,G29,G30,G33,G40)/G17%</f>
        <v>4.7107921149117837</v>
      </c>
      <c r="I19" s="2331"/>
      <c r="J19" s="2331"/>
      <c r="K19" s="2332"/>
    </row>
    <row r="20" spans="1:12" s="2344" customFormat="1" ht="24.75" hidden="1" customHeight="1">
      <c r="A20" s="2327" t="s">
        <v>54</v>
      </c>
      <c r="B20" s="2342" t="s">
        <v>1106</v>
      </c>
      <c r="C20" s="2343">
        <f>SUM(C24:C41)</f>
        <v>3514860</v>
      </c>
      <c r="D20" s="2343">
        <f>SUM(D24:D41)</f>
        <v>3771800</v>
      </c>
      <c r="E20" s="2330">
        <f>D20/C20%</f>
        <v>107.31010623467222</v>
      </c>
      <c r="F20" s="2343">
        <f>SUM(F24:F41)</f>
        <v>4050132</v>
      </c>
      <c r="G20" s="2343">
        <f>SUM(G24:G41)</f>
        <v>4418864.0400000019</v>
      </c>
      <c r="I20" s="2331"/>
      <c r="J20" s="2331"/>
      <c r="K20" s="2332"/>
    </row>
    <row r="21" spans="1:12" s="2341" customFormat="1" ht="24.75" customHeight="1">
      <c r="A21" s="2338"/>
      <c r="B21" s="2339" t="s">
        <v>1327</v>
      </c>
      <c r="C21" s="2345"/>
      <c r="D21" s="2340">
        <v>7.37</v>
      </c>
      <c r="E21" s="2340"/>
      <c r="F21" s="2340">
        <f>F20/D20*100-100</f>
        <v>7.3792884034148187</v>
      </c>
      <c r="G21" s="2340"/>
      <c r="I21" s="2331"/>
      <c r="J21" s="2331"/>
      <c r="K21" s="2332"/>
      <c r="L21" s="2346"/>
    </row>
    <row r="22" spans="1:12" s="2341" customFormat="1" ht="24.75" customHeight="1">
      <c r="A22" s="2338"/>
      <c r="B22" s="2339" t="s">
        <v>1328</v>
      </c>
      <c r="C22" s="2340">
        <f>C20/C14*100</f>
        <v>100</v>
      </c>
      <c r="D22" s="2340">
        <f>D20/D14*100</f>
        <v>100</v>
      </c>
      <c r="E22" s="2340"/>
      <c r="F22" s="2340">
        <f>F20/F14*100</f>
        <v>100</v>
      </c>
      <c r="G22" s="2340">
        <f>G20/G14*100</f>
        <v>100</v>
      </c>
      <c r="I22" s="2331"/>
      <c r="J22" s="2331"/>
      <c r="K22" s="2332"/>
    </row>
    <row r="23" spans="1:12" s="2341" customFormat="1" ht="24.75" customHeight="1">
      <c r="A23" s="2338"/>
      <c r="B23" s="2339" t="s">
        <v>1329</v>
      </c>
      <c r="C23" s="2347"/>
      <c r="D23" s="2348"/>
      <c r="E23" s="2348"/>
      <c r="F23" s="2347"/>
      <c r="G23" s="2347"/>
      <c r="I23" s="2331"/>
      <c r="J23" s="2331"/>
      <c r="K23" s="2332"/>
    </row>
    <row r="24" spans="1:12" s="2353" customFormat="1" ht="28.2" customHeight="1">
      <c r="A24" s="2327">
        <v>1</v>
      </c>
      <c r="B24" s="2349" t="s">
        <v>1330</v>
      </c>
      <c r="C24" s="2350">
        <f>'[3]02-08'!F18</f>
        <v>970000</v>
      </c>
      <c r="D24" s="2351">
        <f>'[3]02-08'!H18</f>
        <v>925800</v>
      </c>
      <c r="E24" s="2352">
        <f>D24/C24%</f>
        <v>95.44329896907216</v>
      </c>
      <c r="F24" s="2350">
        <f>'[3]02-08'!I18</f>
        <v>981348</v>
      </c>
      <c r="G24" s="2350">
        <f>'[3]02-08'!J18</f>
        <v>1099109.7600000002</v>
      </c>
      <c r="I24" s="2354">
        <f t="shared" si="0"/>
        <v>106</v>
      </c>
      <c r="J24" s="2354">
        <f t="shared" si="1"/>
        <v>112.00000000000003</v>
      </c>
      <c r="K24" s="2355">
        <f t="shared" si="2"/>
        <v>3006257.7600000002</v>
      </c>
    </row>
    <row r="25" spans="1:12" s="2353" customFormat="1" ht="29.4" customHeight="1">
      <c r="A25" s="2327">
        <v>2</v>
      </c>
      <c r="B25" s="2349" t="s">
        <v>1331</v>
      </c>
      <c r="C25" s="2350">
        <f>'[3]02-08'!F26</f>
        <v>60000</v>
      </c>
      <c r="D25" s="2351">
        <f>'[3]02-08'!H26</f>
        <v>68000</v>
      </c>
      <c r="E25" s="2352">
        <f t="shared" ref="E25:E40" si="3">D25/C25%</f>
        <v>113.33333333333333</v>
      </c>
      <c r="F25" s="2350">
        <f>'[3]02-08'!I26</f>
        <v>76160</v>
      </c>
      <c r="G25" s="2350">
        <f>'[3]02-08'!J26</f>
        <v>85299.200000000012</v>
      </c>
      <c r="I25" s="2354">
        <f t="shared" si="0"/>
        <v>112</v>
      </c>
      <c r="J25" s="2354">
        <f t="shared" si="1"/>
        <v>112.00000000000001</v>
      </c>
      <c r="K25" s="2355">
        <f t="shared" si="2"/>
        <v>229459.20000000001</v>
      </c>
    </row>
    <row r="26" spans="1:12" s="2353" customFormat="1" ht="30" customHeight="1">
      <c r="A26" s="2327">
        <v>3</v>
      </c>
      <c r="B26" s="2349" t="s">
        <v>1107</v>
      </c>
      <c r="C26" s="2350">
        <f>'[3]02-08'!F32</f>
        <v>170000</v>
      </c>
      <c r="D26" s="2351">
        <f>'[3]02-08'!H32</f>
        <v>232000</v>
      </c>
      <c r="E26" s="2352">
        <f t="shared" si="3"/>
        <v>136.47058823529412</v>
      </c>
      <c r="F26" s="2350">
        <f>'[3]02-08'!I32</f>
        <v>293464</v>
      </c>
      <c r="G26" s="2350">
        <f>'[3]02-08'!J32</f>
        <v>328679.68000000005</v>
      </c>
      <c r="I26" s="2354">
        <f t="shared" si="0"/>
        <v>126.49310344827586</v>
      </c>
      <c r="J26" s="2354">
        <f t="shared" si="1"/>
        <v>112.00000000000003</v>
      </c>
      <c r="K26" s="2355">
        <f t="shared" si="2"/>
        <v>854143.68</v>
      </c>
    </row>
    <row r="27" spans="1:12" s="2353" customFormat="1" ht="27.6" customHeight="1">
      <c r="A27" s="2327">
        <v>4</v>
      </c>
      <c r="B27" s="2349" t="s">
        <v>1108</v>
      </c>
      <c r="C27" s="2350">
        <f>'[3]02-08'!F44</f>
        <v>350000</v>
      </c>
      <c r="D27" s="2351">
        <f>'[3]02-08'!H44</f>
        <v>350000</v>
      </c>
      <c r="E27" s="2352">
        <f t="shared" si="3"/>
        <v>100</v>
      </c>
      <c r="F27" s="2350">
        <f>'[3]02-08'!I44</f>
        <v>392000</v>
      </c>
      <c r="G27" s="2350">
        <f>'[3]02-08'!J44</f>
        <v>439040.00000000006</v>
      </c>
      <c r="I27" s="2354">
        <f t="shared" si="0"/>
        <v>112</v>
      </c>
      <c r="J27" s="2354">
        <f t="shared" si="1"/>
        <v>112.00000000000001</v>
      </c>
      <c r="K27" s="2355">
        <f t="shared" si="2"/>
        <v>1181040</v>
      </c>
    </row>
    <row r="28" spans="1:12" s="2353" customFormat="1" ht="24.75" customHeight="1">
      <c r="A28" s="2327">
        <v>5</v>
      </c>
      <c r="B28" s="2349" t="s">
        <v>216</v>
      </c>
      <c r="C28" s="2350">
        <f>'[3]02-08'!F53</f>
        <v>273000</v>
      </c>
      <c r="D28" s="2351">
        <f>'[3]02-08'!H53</f>
        <v>335000</v>
      </c>
      <c r="E28" s="2352">
        <f t="shared" si="3"/>
        <v>122.71062271062272</v>
      </c>
      <c r="F28" s="2350">
        <f>'[3]02-08'!I53</f>
        <v>375200.00000000006</v>
      </c>
      <c r="G28" s="2350">
        <f>'[3]02-08'!J53</f>
        <v>400000</v>
      </c>
      <c r="I28" s="2354">
        <f t="shared" si="0"/>
        <v>112.00000000000001</v>
      </c>
      <c r="J28" s="2354">
        <f t="shared" si="1"/>
        <v>106.6098081023454</v>
      </c>
      <c r="K28" s="2355">
        <f t="shared" si="2"/>
        <v>1110200</v>
      </c>
    </row>
    <row r="29" spans="1:12" s="2353" customFormat="1" ht="24.75" customHeight="1">
      <c r="A29" s="2327">
        <v>6</v>
      </c>
      <c r="B29" s="2349" t="s">
        <v>217</v>
      </c>
      <c r="C29" s="2350">
        <f>'[3]02-08'!F54</f>
        <v>250000</v>
      </c>
      <c r="D29" s="2356">
        <f>'[3]02-08'!H54</f>
        <v>366000</v>
      </c>
      <c r="E29" s="2352">
        <f t="shared" si="3"/>
        <v>146.4</v>
      </c>
      <c r="F29" s="2350">
        <f>'[3]02-08'!I54</f>
        <v>409920</v>
      </c>
      <c r="G29" s="2350">
        <f>'[3]02-08'!J54</f>
        <v>459110.40000000008</v>
      </c>
      <c r="I29" s="2354">
        <f t="shared" si="0"/>
        <v>112</v>
      </c>
      <c r="J29" s="2354">
        <f t="shared" si="1"/>
        <v>112.00000000000003</v>
      </c>
      <c r="K29" s="2355">
        <f t="shared" si="2"/>
        <v>1235030.4000000001</v>
      </c>
    </row>
    <row r="30" spans="1:12" s="2353" customFormat="1" ht="24.75" customHeight="1">
      <c r="A30" s="2327">
        <v>7</v>
      </c>
      <c r="B30" s="2349" t="s">
        <v>218</v>
      </c>
      <c r="C30" s="2350">
        <f>'[3]02-08'!F50</f>
        <v>112630</v>
      </c>
      <c r="D30" s="2351">
        <f>'[3]02-08'!H50</f>
        <v>115000</v>
      </c>
      <c r="E30" s="2352">
        <f t="shared" si="3"/>
        <v>102.10423510609962</v>
      </c>
      <c r="F30" s="2350">
        <f>'[3]02-08'!I50</f>
        <v>128800.00000000001</v>
      </c>
      <c r="G30" s="2350">
        <f>'[3]02-08'!J50</f>
        <v>144265.00000000003</v>
      </c>
      <c r="I30" s="2354">
        <f t="shared" si="0"/>
        <v>112.00000000000001</v>
      </c>
      <c r="J30" s="2354">
        <f t="shared" si="1"/>
        <v>112.00698757763975</v>
      </c>
      <c r="K30" s="2355">
        <f t="shared" si="2"/>
        <v>388065</v>
      </c>
    </row>
    <row r="31" spans="1:12" s="2353" customFormat="1" ht="24.75" customHeight="1">
      <c r="A31" s="2327">
        <v>8</v>
      </c>
      <c r="B31" s="2357" t="s">
        <v>224</v>
      </c>
      <c r="C31" s="2350">
        <f>'[3]02-08'!F61</f>
        <v>130000</v>
      </c>
      <c r="D31" s="2356">
        <f>'[3]02-08'!H61</f>
        <v>140000</v>
      </c>
      <c r="E31" s="2352">
        <f t="shared" si="3"/>
        <v>107.69230769230769</v>
      </c>
      <c r="F31" s="2350">
        <f>'[3]02-08'!I61</f>
        <v>120000</v>
      </c>
      <c r="G31" s="2350">
        <f>'[3]02-08'!J61</f>
        <v>110000</v>
      </c>
      <c r="I31" s="2354">
        <f t="shared" si="0"/>
        <v>85.714285714285708</v>
      </c>
      <c r="J31" s="2354">
        <f t="shared" si="1"/>
        <v>91.666666666666671</v>
      </c>
      <c r="K31" s="2355">
        <f t="shared" si="2"/>
        <v>370000</v>
      </c>
    </row>
    <row r="32" spans="1:12" s="2353" customFormat="1" ht="24.75" customHeight="1">
      <c r="A32" s="2327">
        <v>9</v>
      </c>
      <c r="B32" s="2349" t="s">
        <v>1332</v>
      </c>
      <c r="C32" s="2350">
        <f>'[3]02-08'!F85</f>
        <v>900000</v>
      </c>
      <c r="D32" s="2351">
        <f>'[3]02-08'!H85</f>
        <v>960000</v>
      </c>
      <c r="E32" s="2352">
        <f t="shared" si="3"/>
        <v>106.66666666666667</v>
      </c>
      <c r="F32" s="2350">
        <f>'[3]02-08'!I85</f>
        <v>960000</v>
      </c>
      <c r="G32" s="2350">
        <f>'[3]02-08'!J85</f>
        <v>1000000</v>
      </c>
      <c r="I32" s="2354">
        <f t="shared" si="0"/>
        <v>100</v>
      </c>
      <c r="J32" s="2354">
        <f t="shared" si="1"/>
        <v>104.16666666666667</v>
      </c>
      <c r="K32" s="2355">
        <f t="shared" si="2"/>
        <v>2920000</v>
      </c>
    </row>
    <row r="33" spans="1:11" s="2353" customFormat="1" ht="24.75" customHeight="1">
      <c r="A33" s="2327">
        <v>10</v>
      </c>
      <c r="B33" s="2349" t="s">
        <v>1109</v>
      </c>
      <c r="C33" s="2350">
        <f>'[3]02-08'!F57</f>
        <v>90000</v>
      </c>
      <c r="D33" s="2351">
        <f>'[3]02-08'!H57</f>
        <v>85000</v>
      </c>
      <c r="E33" s="2352">
        <f t="shared" si="3"/>
        <v>94.444444444444443</v>
      </c>
      <c r="F33" s="2350">
        <f>'[3]02-08'!I57</f>
        <v>95200</v>
      </c>
      <c r="G33" s="2350">
        <f>'[3]02-08'!J57</f>
        <v>108527.99999999999</v>
      </c>
      <c r="I33" s="2354">
        <f t="shared" si="0"/>
        <v>112</v>
      </c>
      <c r="J33" s="2354">
        <f t="shared" si="1"/>
        <v>113.99999999999999</v>
      </c>
      <c r="K33" s="2355">
        <f t="shared" si="2"/>
        <v>288728</v>
      </c>
    </row>
    <row r="34" spans="1:11" s="2353" customFormat="1" ht="24.75" customHeight="1">
      <c r="A34" s="2327">
        <v>11</v>
      </c>
      <c r="B34" s="2349" t="s">
        <v>1333</v>
      </c>
      <c r="C34" s="2350">
        <f>'[3]02-08'!F64</f>
        <v>23000</v>
      </c>
      <c r="D34" s="2351">
        <f>'[3]02-08'!H64</f>
        <v>28000</v>
      </c>
      <c r="E34" s="2352">
        <f t="shared" si="3"/>
        <v>121.73913043478261</v>
      </c>
      <c r="F34" s="2350">
        <f>'[3]02-08'!I64</f>
        <v>31360.000000000004</v>
      </c>
      <c r="G34" s="2350">
        <f>'[3]02-08'!J64</f>
        <v>35750.400000000001</v>
      </c>
      <c r="I34" s="2354">
        <f t="shared" si="0"/>
        <v>112.00000000000001</v>
      </c>
      <c r="J34" s="2354">
        <f t="shared" si="1"/>
        <v>114</v>
      </c>
      <c r="K34" s="2355">
        <f t="shared" si="2"/>
        <v>95110.399999999994</v>
      </c>
    </row>
    <row r="35" spans="1:11" s="2353" customFormat="1" ht="24.75" customHeight="1">
      <c r="A35" s="2327">
        <v>12</v>
      </c>
      <c r="B35" s="2349" t="s">
        <v>1334</v>
      </c>
      <c r="C35" s="2350">
        <f>'[3]02-08'!F74</f>
        <v>1000</v>
      </c>
      <c r="D35" s="2351">
        <f>'[3]02-08'!H74</f>
        <v>500</v>
      </c>
      <c r="E35" s="2352">
        <f t="shared" si="3"/>
        <v>50</v>
      </c>
      <c r="F35" s="2350">
        <f>'[3]02-08'!I74</f>
        <v>560</v>
      </c>
      <c r="G35" s="2350">
        <f>'[3]02-08'!J74</f>
        <v>627.20000000000005</v>
      </c>
      <c r="I35" s="2354">
        <f t="shared" si="0"/>
        <v>112</v>
      </c>
      <c r="J35" s="2354">
        <f t="shared" si="1"/>
        <v>112.00000000000001</v>
      </c>
      <c r="K35" s="2355">
        <f t="shared" si="2"/>
        <v>1687.2</v>
      </c>
    </row>
    <row r="36" spans="1:11" s="2353" customFormat="1" ht="24.75" customHeight="1">
      <c r="A36" s="2327">
        <v>13</v>
      </c>
      <c r="B36" s="2349" t="s">
        <v>1111</v>
      </c>
      <c r="C36" s="2350">
        <f>'[3]02-08'!F75</f>
        <v>176500</v>
      </c>
      <c r="D36" s="2351">
        <f>'[3]02-08'!H75</f>
        <v>155000</v>
      </c>
      <c r="E36" s="2352">
        <f t="shared" si="3"/>
        <v>87.818696883852695</v>
      </c>
      <c r="F36" s="2350">
        <f>'[3]02-08'!I75</f>
        <v>173600</v>
      </c>
      <c r="G36" s="2350">
        <f>'[3]02-08'!J75</f>
        <v>194432.00000000003</v>
      </c>
      <c r="I36" s="2354">
        <f t="shared" si="0"/>
        <v>112</v>
      </c>
      <c r="J36" s="2354">
        <f t="shared" si="1"/>
        <v>112.00000000000001</v>
      </c>
      <c r="K36" s="2355">
        <f t="shared" si="2"/>
        <v>523032</v>
      </c>
    </row>
    <row r="37" spans="1:11" s="2353" customFormat="1" ht="24.75" customHeight="1">
      <c r="A37" s="2327">
        <v>14</v>
      </c>
      <c r="B37" s="2349" t="s">
        <v>1110</v>
      </c>
      <c r="C37" s="2350"/>
      <c r="D37" s="2351">
        <f>'[3]02-08'!H80</f>
        <v>4500</v>
      </c>
      <c r="E37" s="2352"/>
      <c r="F37" s="2350">
        <f>'[3]02-08'!I80</f>
        <v>4770</v>
      </c>
      <c r="G37" s="2350">
        <f>'[3]02-08'!J80</f>
        <v>5342.4000000000005</v>
      </c>
      <c r="I37" s="2354">
        <f t="shared" si="0"/>
        <v>106</v>
      </c>
      <c r="J37" s="2354">
        <f t="shared" si="1"/>
        <v>112</v>
      </c>
      <c r="K37" s="2355">
        <f t="shared" si="2"/>
        <v>14612.400000000001</v>
      </c>
    </row>
    <row r="38" spans="1:11" s="2353" customFormat="1" ht="24.75" customHeight="1">
      <c r="A38" s="2327">
        <v>15</v>
      </c>
      <c r="B38" s="2349" t="s">
        <v>1335</v>
      </c>
      <c r="C38" s="2350">
        <f>'[3]02-08'!F83</f>
        <v>4320</v>
      </c>
      <c r="D38" s="2351">
        <f>'[3]02-08'!H83</f>
        <v>100</v>
      </c>
      <c r="E38" s="2352">
        <f t="shared" si="3"/>
        <v>2.3148148148148149</v>
      </c>
      <c r="F38" s="2350">
        <f>'[3]02-08'!I83</f>
        <v>112.00000000000001</v>
      </c>
      <c r="G38" s="2350">
        <f>'[3]02-08'!J83</f>
        <v>125.44000000000003</v>
      </c>
      <c r="I38" s="2354">
        <f t="shared" si="0"/>
        <v>112.00000000000001</v>
      </c>
      <c r="J38" s="2354">
        <f t="shared" si="1"/>
        <v>112.00000000000001</v>
      </c>
      <c r="K38" s="2355">
        <f t="shared" si="2"/>
        <v>337.44000000000005</v>
      </c>
    </row>
    <row r="39" spans="1:11" s="2353" customFormat="1" ht="24.75" customHeight="1">
      <c r="A39" s="2327">
        <v>16</v>
      </c>
      <c r="B39" s="2358" t="s">
        <v>1336</v>
      </c>
      <c r="C39" s="2350"/>
      <c r="D39" s="2351">
        <f>'[3]02-08'!H84</f>
        <v>1800</v>
      </c>
      <c r="E39" s="2352"/>
      <c r="F39" s="2350">
        <f>'[3]02-08'!I84</f>
        <v>1926</v>
      </c>
      <c r="G39" s="2350">
        <f>'[3]02-08'!J84</f>
        <v>2157.1200000000003</v>
      </c>
      <c r="I39" s="2354">
        <f t="shared" si="0"/>
        <v>107</v>
      </c>
      <c r="J39" s="2354">
        <f t="shared" si="1"/>
        <v>112.00000000000001</v>
      </c>
      <c r="K39" s="2355">
        <f t="shared" si="2"/>
        <v>5883.1200000000008</v>
      </c>
    </row>
    <row r="40" spans="1:11" s="2353" customFormat="1" ht="24.75" customHeight="1">
      <c r="A40" s="2327">
        <v>17</v>
      </c>
      <c r="B40" s="2349" t="s">
        <v>222</v>
      </c>
      <c r="C40" s="2350">
        <f>'[3]02-08'!F52</f>
        <v>4410</v>
      </c>
      <c r="D40" s="2351">
        <f>'[3]02-08'!H52</f>
        <v>5100</v>
      </c>
      <c r="E40" s="2352">
        <f t="shared" si="3"/>
        <v>115.64625850340136</v>
      </c>
      <c r="F40" s="2350">
        <f>'[3]02-08'!I52</f>
        <v>5712.0000000000009</v>
      </c>
      <c r="G40" s="2350">
        <f>'[3]02-08'!J52</f>
        <v>6397.4400000000014</v>
      </c>
      <c r="I40" s="2354">
        <f t="shared" si="0"/>
        <v>112.00000000000001</v>
      </c>
      <c r="J40" s="2354">
        <f t="shared" si="1"/>
        <v>112</v>
      </c>
      <c r="K40" s="2355">
        <f t="shared" si="2"/>
        <v>17209.440000000002</v>
      </c>
    </row>
    <row r="41" spans="1:11" s="2353" customFormat="1" ht="24.75" hidden="1" customHeight="1">
      <c r="A41" s="2327">
        <v>17</v>
      </c>
      <c r="B41" s="2349" t="s">
        <v>221</v>
      </c>
      <c r="C41" s="2350"/>
      <c r="D41" s="2351"/>
      <c r="E41" s="2351"/>
      <c r="F41" s="2350"/>
      <c r="G41" s="2350"/>
      <c r="I41" s="2331" t="e">
        <f t="shared" si="0"/>
        <v>#DIV/0!</v>
      </c>
      <c r="J41" s="2331" t="e">
        <f t="shared" si="1"/>
        <v>#DIV/0!</v>
      </c>
      <c r="K41" s="2332">
        <f t="shared" si="2"/>
        <v>0</v>
      </c>
    </row>
    <row r="42" spans="1:11" s="2344" customFormat="1" ht="24.75" customHeight="1">
      <c r="A42" s="2327" t="s">
        <v>60</v>
      </c>
      <c r="B42" s="2342" t="s">
        <v>1112</v>
      </c>
      <c r="C42" s="2359"/>
      <c r="D42" s="2343"/>
      <c r="E42" s="2343"/>
      <c r="F42" s="2359"/>
      <c r="G42" s="2359"/>
      <c r="I42" s="2331"/>
      <c r="J42" s="2331"/>
      <c r="K42" s="2332">
        <f t="shared" si="2"/>
        <v>0</v>
      </c>
    </row>
    <row r="43" spans="1:11" s="2341" customFormat="1" ht="24.75" customHeight="1">
      <c r="A43" s="2338"/>
      <c r="B43" s="2339" t="s">
        <v>1327</v>
      </c>
      <c r="C43" s="2347"/>
      <c r="D43" s="2348"/>
      <c r="E43" s="2348"/>
      <c r="F43" s="2347"/>
      <c r="G43" s="2347"/>
      <c r="I43" s="2331"/>
      <c r="J43" s="2331"/>
      <c r="K43" s="2332">
        <f t="shared" si="2"/>
        <v>0</v>
      </c>
    </row>
    <row r="44" spans="1:11" s="2341" customFormat="1" ht="24.75" customHeight="1">
      <c r="A44" s="2338"/>
      <c r="B44" s="2339" t="s">
        <v>1328</v>
      </c>
      <c r="C44" s="2347"/>
      <c r="D44" s="2348"/>
      <c r="E44" s="2348"/>
      <c r="F44" s="2347"/>
      <c r="G44" s="2347"/>
      <c r="I44" s="2331"/>
      <c r="J44" s="2331"/>
      <c r="K44" s="2332">
        <f t="shared" si="2"/>
        <v>0</v>
      </c>
    </row>
    <row r="45" spans="1:11" s="2344" customFormat="1" ht="24.75" customHeight="1">
      <c r="A45" s="2327" t="s">
        <v>315</v>
      </c>
      <c r="B45" s="2360" t="s">
        <v>1113</v>
      </c>
      <c r="C45" s="2359"/>
      <c r="D45" s="2343"/>
      <c r="E45" s="2343"/>
      <c r="F45" s="2359"/>
      <c r="G45" s="2359"/>
      <c r="I45" s="2331"/>
      <c r="J45" s="2331"/>
      <c r="K45" s="2332">
        <f t="shared" si="2"/>
        <v>0</v>
      </c>
    </row>
    <row r="46" spans="1:11" s="2341" customFormat="1" ht="24.75" customHeight="1">
      <c r="A46" s="2338"/>
      <c r="B46" s="2339" t="s">
        <v>1327</v>
      </c>
      <c r="C46" s="2347"/>
      <c r="D46" s="2348"/>
      <c r="E46" s="2348"/>
      <c r="F46" s="2347"/>
      <c r="G46" s="2347"/>
      <c r="I46" s="2331"/>
      <c r="J46" s="2331"/>
      <c r="K46" s="2332">
        <f t="shared" si="2"/>
        <v>0</v>
      </c>
    </row>
    <row r="47" spans="1:11" s="2341" customFormat="1" ht="24.75" customHeight="1">
      <c r="A47" s="2338"/>
      <c r="B47" s="2339" t="s">
        <v>1328</v>
      </c>
      <c r="C47" s="2347"/>
      <c r="D47" s="2348"/>
      <c r="E47" s="2348"/>
      <c r="F47" s="2347"/>
      <c r="G47" s="2347"/>
      <c r="I47" s="2331"/>
      <c r="J47" s="2331"/>
      <c r="K47" s="2332">
        <f t="shared" si="2"/>
        <v>0</v>
      </c>
    </row>
    <row r="48" spans="1:11" s="2344" customFormat="1" ht="24.75" customHeight="1">
      <c r="A48" s="2327" t="s">
        <v>317</v>
      </c>
      <c r="B48" s="2360" t="s">
        <v>1114</v>
      </c>
      <c r="C48" s="2359"/>
      <c r="D48" s="2343"/>
      <c r="E48" s="2343"/>
      <c r="F48" s="2359"/>
      <c r="G48" s="2359"/>
      <c r="I48" s="2331"/>
      <c r="J48" s="2331"/>
      <c r="K48" s="2332">
        <f t="shared" si="2"/>
        <v>0</v>
      </c>
    </row>
    <row r="49" spans="1:11" s="2341" customFormat="1" ht="24.75" customHeight="1">
      <c r="A49" s="2338"/>
      <c r="B49" s="2339" t="s">
        <v>1327</v>
      </c>
      <c r="C49" s="2347"/>
      <c r="D49" s="2348"/>
      <c r="E49" s="2348"/>
      <c r="F49" s="2347"/>
      <c r="G49" s="2347"/>
      <c r="I49" s="2331"/>
      <c r="J49" s="2331"/>
      <c r="K49" s="2332">
        <f t="shared" si="2"/>
        <v>0</v>
      </c>
    </row>
    <row r="50" spans="1:11" s="2341" customFormat="1" ht="24.75" customHeight="1">
      <c r="A50" s="2338"/>
      <c r="B50" s="2339" t="s">
        <v>1328</v>
      </c>
      <c r="C50" s="2347"/>
      <c r="D50" s="2348"/>
      <c r="E50" s="2348"/>
      <c r="F50" s="2347"/>
      <c r="G50" s="2347"/>
      <c r="I50" s="2331"/>
      <c r="J50" s="2331"/>
      <c r="K50" s="2332">
        <f t="shared" si="2"/>
        <v>0</v>
      </c>
    </row>
    <row r="51" spans="1:11">
      <c r="A51" s="2361" t="s">
        <v>317</v>
      </c>
      <c r="B51" s="2362" t="s">
        <v>1062</v>
      </c>
      <c r="C51" s="2363">
        <f>C52+C53</f>
        <v>5577424</v>
      </c>
      <c r="D51" s="2363">
        <f>D52+D53</f>
        <v>5555726</v>
      </c>
      <c r="E51" s="2330">
        <f>D51/C51%</f>
        <v>99.610967356973404</v>
      </c>
      <c r="F51" s="2363">
        <f>F52+F53</f>
        <v>5555726</v>
      </c>
      <c r="G51" s="2363">
        <f>G52+G53</f>
        <v>3808100</v>
      </c>
      <c r="H51" s="2324">
        <f>D51+F51+G51</f>
        <v>14919552</v>
      </c>
      <c r="I51" s="2331">
        <f t="shared" si="0"/>
        <v>100</v>
      </c>
      <c r="J51" s="2331">
        <f t="shared" si="1"/>
        <v>68.543697079373601</v>
      </c>
      <c r="K51" s="2332">
        <f t="shared" si="2"/>
        <v>14919552</v>
      </c>
    </row>
    <row r="52" spans="1:11">
      <c r="A52" s="2364"/>
      <c r="B52" s="2365" t="s">
        <v>1294</v>
      </c>
      <c r="C52" s="2366">
        <f>'[3]02-08'!F94</f>
        <v>3682602</v>
      </c>
      <c r="D52" s="2366">
        <f>'[3]02-08'!H94</f>
        <v>3808100</v>
      </c>
      <c r="E52" s="2352">
        <f>D52/C52%</f>
        <v>103.40786215833262</v>
      </c>
      <c r="F52" s="2366">
        <f>'[3]02-08'!I94</f>
        <v>3808100</v>
      </c>
      <c r="G52" s="2367">
        <f>'[3]02-08'!J94</f>
        <v>3808100</v>
      </c>
      <c r="H52" s="2324">
        <f>D52+F52+G52</f>
        <v>11424300</v>
      </c>
      <c r="I52" s="2354">
        <f t="shared" si="0"/>
        <v>100</v>
      </c>
      <c r="J52" s="2354">
        <f t="shared" si="1"/>
        <v>100</v>
      </c>
      <c r="K52" s="2355">
        <f t="shared" si="2"/>
        <v>11424300</v>
      </c>
    </row>
    <row r="53" spans="1:11">
      <c r="A53" s="2364"/>
      <c r="B53" s="2365" t="s">
        <v>1064</v>
      </c>
      <c r="C53" s="2366">
        <f>'[3]02-08'!F95</f>
        <v>1894822</v>
      </c>
      <c r="D53" s="2366">
        <f>'[3]02-08'!H95</f>
        <v>1747626</v>
      </c>
      <c r="E53" s="2352">
        <f>D53/C53%</f>
        <v>92.231671365436952</v>
      </c>
      <c r="F53" s="2366">
        <f>'[3]02-08'!I95</f>
        <v>1747626</v>
      </c>
      <c r="G53" s="2367">
        <f>'[3]02-08'!J95</f>
        <v>0</v>
      </c>
      <c r="H53" s="2324">
        <f>D53+F53+G53</f>
        <v>3495252</v>
      </c>
      <c r="I53" s="2354">
        <f t="shared" si="0"/>
        <v>100.00000000000001</v>
      </c>
      <c r="J53" s="2354">
        <f t="shared" si="1"/>
        <v>0</v>
      </c>
      <c r="K53" s="2355">
        <f t="shared" si="2"/>
        <v>3495252</v>
      </c>
    </row>
    <row r="54" spans="1:11" ht="26.4" hidden="1">
      <c r="A54" s="2368" t="s">
        <v>319</v>
      </c>
      <c r="B54" s="2369" t="s">
        <v>1337</v>
      </c>
      <c r="C54" s="2370"/>
      <c r="D54" s="2371">
        <f>'[3]02-08'!H96</f>
        <v>0</v>
      </c>
      <c r="E54" s="2352" t="e">
        <f>D54/C54%</f>
        <v>#DIV/0!</v>
      </c>
      <c r="F54" s="2370"/>
      <c r="G54" s="2372"/>
      <c r="H54" s="2324"/>
      <c r="I54" s="2331" t="e">
        <f t="shared" si="0"/>
        <v>#DIV/0!</v>
      </c>
      <c r="J54" s="2331" t="e">
        <f t="shared" si="1"/>
        <v>#DIV/0!</v>
      </c>
      <c r="K54" s="2332">
        <f t="shared" si="2"/>
        <v>0</v>
      </c>
    </row>
    <row r="55" spans="1:11">
      <c r="A55" s="2373" t="s">
        <v>321</v>
      </c>
      <c r="B55" s="2374" t="s">
        <v>1338</v>
      </c>
      <c r="C55" s="2375">
        <v>484669.1</v>
      </c>
      <c r="D55" s="2376">
        <f>'[3]02-08'!H97</f>
        <v>154000</v>
      </c>
      <c r="E55" s="2330">
        <f>D55/C55%</f>
        <v>31.774255878907898</v>
      </c>
      <c r="F55" s="2376">
        <f>'[3]02-08'!I97</f>
        <v>100000</v>
      </c>
      <c r="G55" s="2376">
        <f>'[3]02-08'!J97</f>
        <v>100000</v>
      </c>
      <c r="I55" s="2377">
        <f t="shared" si="0"/>
        <v>64.935064935064929</v>
      </c>
      <c r="J55" s="2377">
        <f t="shared" si="1"/>
        <v>100</v>
      </c>
      <c r="K55" s="2378"/>
    </row>
    <row r="58" spans="1:11">
      <c r="B58" s="2096"/>
      <c r="C58" s="2379"/>
    </row>
    <row r="59" spans="1:11">
      <c r="B59" s="2096"/>
      <c r="C59" s="2379"/>
    </row>
    <row r="60" spans="1:11">
      <c r="B60" s="2096"/>
      <c r="C60" s="2379"/>
    </row>
    <row r="61" spans="1:11">
      <c r="B61" s="2096"/>
      <c r="C61" s="2379"/>
    </row>
    <row r="62" spans="1:11">
      <c r="B62" s="2380"/>
      <c r="C62" s="2379"/>
    </row>
    <row r="63" spans="1:11">
      <c r="B63" s="2380"/>
      <c r="C63" s="2379"/>
      <c r="D63" s="2381"/>
      <c r="E63" s="2381"/>
      <c r="F63" s="2381"/>
    </row>
    <row r="64" spans="1:11">
      <c r="B64" s="2382"/>
      <c r="C64" s="2379"/>
    </row>
    <row r="86" spans="4:6">
      <c r="D86" s="2383"/>
      <c r="E86" s="2383"/>
      <c r="F86" s="2383"/>
    </row>
  </sheetData>
  <mergeCells count="14">
    <mergeCell ref="I7:J7"/>
    <mergeCell ref="K7:K10"/>
    <mergeCell ref="I8:I10"/>
    <mergeCell ref="J8:J10"/>
    <mergeCell ref="F1:G1"/>
    <mergeCell ref="A3:G3"/>
    <mergeCell ref="A4:G4"/>
    <mergeCell ref="A7:A10"/>
    <mergeCell ref="B7:B10"/>
    <mergeCell ref="C7:C10"/>
    <mergeCell ref="D7:D10"/>
    <mergeCell ref="E7:E10"/>
    <mergeCell ref="F7:F10"/>
    <mergeCell ref="G7:G10"/>
  </mergeCells>
  <pageMargins left="0.36" right="0.15748031496063" top="0.35433070866141703" bottom="0.27559055118110198" header="0.31496062992126" footer="0.31496062992126"/>
  <pageSetup paperSize="9" scale="75" orientation="portrait" blackAndWhite="1"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9"/>
  <sheetViews>
    <sheetView zoomScale="85" zoomScaleNormal="85" workbookViewId="0">
      <selection activeCell="B140" sqref="B140"/>
    </sheetView>
  </sheetViews>
  <sheetFormatPr defaultColWidth="16.5546875" defaultRowHeight="15.6"/>
  <cols>
    <col min="1" max="1" width="5.5546875" style="1118" customWidth="1"/>
    <col min="2" max="2" width="49.44140625" style="1159" customWidth="1"/>
    <col min="3" max="3" width="15.6640625" style="1119" customWidth="1"/>
    <col min="4" max="4" width="18" style="1118" customWidth="1"/>
    <col min="5" max="5" width="14.44140625" style="1158" customWidth="1"/>
    <col min="6" max="6" width="13" style="1118" customWidth="1"/>
    <col min="7" max="7" width="18.109375" style="1118" hidden="1" customWidth="1"/>
    <col min="8" max="8" width="0" style="1118" hidden="1" customWidth="1"/>
    <col min="9" max="9" width="11.88671875" style="1118" hidden="1" customWidth="1"/>
    <col min="10" max="10" width="10.33203125" style="1118" customWidth="1"/>
    <col min="11" max="16384" width="16.5546875" style="1118"/>
  </cols>
  <sheetData>
    <row r="1" spans="1:11">
      <c r="E1" s="3125" t="s">
        <v>112</v>
      </c>
      <c r="F1" s="3125"/>
    </row>
    <row r="2" spans="1:11">
      <c r="B2" s="3129" t="s">
        <v>16</v>
      </c>
      <c r="C2" s="3129"/>
      <c r="D2" s="3129"/>
      <c r="E2" s="3129"/>
      <c r="F2" s="3129"/>
    </row>
    <row r="3" spans="1:11" s="3" customFormat="1">
      <c r="B3" s="3130" t="s">
        <v>18</v>
      </c>
      <c r="C3" s="3130"/>
      <c r="D3" s="3130"/>
      <c r="E3" s="3130"/>
      <c r="F3" s="3130"/>
    </row>
    <row r="4" spans="1:11" s="1121" customFormat="1">
      <c r="B4" s="1160"/>
      <c r="C4" s="1122"/>
      <c r="D4" s="1123"/>
      <c r="E4" s="3131" t="s">
        <v>27</v>
      </c>
      <c r="F4" s="3131"/>
    </row>
    <row r="5" spans="1:11" s="1125" customFormat="1" ht="39" customHeight="1">
      <c r="A5" s="3123" t="s">
        <v>49</v>
      </c>
      <c r="B5" s="3132" t="s">
        <v>0</v>
      </c>
      <c r="C5" s="3134" t="s">
        <v>879</v>
      </c>
      <c r="D5" s="3134" t="s">
        <v>17</v>
      </c>
      <c r="E5" s="3136" t="s">
        <v>26</v>
      </c>
      <c r="F5" s="3137"/>
    </row>
    <row r="6" spans="1:11" s="1125" customFormat="1" ht="41.25" customHeight="1">
      <c r="A6" s="3124"/>
      <c r="B6" s="3133"/>
      <c r="C6" s="3135"/>
      <c r="D6" s="3135"/>
      <c r="E6" s="1126" t="s">
        <v>1</v>
      </c>
      <c r="F6" s="1127" t="s">
        <v>2</v>
      </c>
      <c r="G6" s="1128"/>
      <c r="H6" s="1128"/>
      <c r="I6" s="1128"/>
      <c r="J6" s="1128"/>
      <c r="K6" s="1128"/>
    </row>
    <row r="7" spans="1:11" s="1134" customFormat="1">
      <c r="A7" s="1129"/>
      <c r="B7" s="1161">
        <v>1</v>
      </c>
      <c r="C7" s="1130">
        <v>2</v>
      </c>
      <c r="D7" s="1131">
        <v>3</v>
      </c>
      <c r="E7" s="1132" t="s">
        <v>882</v>
      </c>
      <c r="F7" s="1133" t="s">
        <v>884</v>
      </c>
      <c r="G7" s="1128"/>
      <c r="H7" s="1128"/>
      <c r="I7" s="1128"/>
      <c r="J7" s="1128"/>
      <c r="K7" s="1128"/>
    </row>
    <row r="8" spans="1:11" s="1137" customFormat="1">
      <c r="A8" s="1135" t="s">
        <v>54</v>
      </c>
      <c r="B8" s="1162" t="s">
        <v>812</v>
      </c>
      <c r="C8" s="1102">
        <f>TPTV!C8+'Tra Cu'!C8+'Cau Ngang'!C8+'Chau Thanh'!C8+'Cau Ke'!C8+'Duyen Hai'!C8+'Tieu Can'!C8+'Cang Long'!C8+'TX Duyen Hai'!C8</f>
        <v>3682315.84</v>
      </c>
      <c r="D8" s="1102">
        <f>TPTV!D8+'Tra Cu'!D8+'Cau Ngang'!D8+'Chau Thanh'!D8+'Cau Ke'!D8+'Duyen Hai'!D8+'Tieu Can'!D8+'Cang Long'!D8+'TX Duyen Hai'!D8</f>
        <v>4341805</v>
      </c>
      <c r="E8" s="1102">
        <f t="shared" ref="E8:E16" si="0">D8-C8</f>
        <v>659489.16000000015</v>
      </c>
      <c r="F8" s="1136">
        <f t="shared" ref="F8:F16" si="1">D8/C8%</f>
        <v>117.90963047862836</v>
      </c>
      <c r="G8" s="1128"/>
      <c r="H8" s="1128"/>
      <c r="I8" s="1128"/>
      <c r="J8" s="1128"/>
      <c r="K8" s="1128"/>
    </row>
    <row r="9" spans="1:11" s="1139" customFormat="1">
      <c r="A9" s="1138">
        <v>1</v>
      </c>
      <c r="B9" s="1163" t="s">
        <v>813</v>
      </c>
      <c r="C9" s="1102">
        <f>TPTV!C9+'Tra Cu'!C9+'Cau Ngang'!C9+'Chau Thanh'!C9+'Cau Ke'!C9+'Duyen Hai'!C9+'Tieu Can'!C9+'Cang Long'!C9+'TX Duyen Hai'!C9</f>
        <v>527800</v>
      </c>
      <c r="D9" s="1102">
        <f>TPTV!D9+'Tra Cu'!D9+'Cau Ngang'!D9+'Chau Thanh'!D9+'Cau Ke'!D9+'Duyen Hai'!D9+'Tieu Can'!D9+'Cang Long'!D9+'TX Duyen Hai'!D9</f>
        <v>562200</v>
      </c>
      <c r="E9" s="1102">
        <f t="shared" si="0"/>
        <v>34400</v>
      </c>
      <c r="F9" s="1136">
        <f t="shared" si="1"/>
        <v>106.51762031072376</v>
      </c>
      <c r="G9" s="1128"/>
      <c r="H9" s="1128"/>
      <c r="I9" s="1128"/>
      <c r="J9" s="1128"/>
      <c r="K9" s="1128"/>
    </row>
    <row r="10" spans="1:11" s="1139" customFormat="1" ht="31.2">
      <c r="A10" s="1138"/>
      <c r="B10" s="1163" t="s">
        <v>835</v>
      </c>
      <c r="C10" s="1102">
        <f>TPTV!C10+'Tra Cu'!C10+'Cau Ngang'!C10+'Chau Thanh'!C10+'Cau Ke'!C10+'Duyen Hai'!C10+'Tieu Can'!C10+'Cang Long'!C10+'TX Duyen Hai'!C10</f>
        <v>488800</v>
      </c>
      <c r="D10" s="1102">
        <f>TPTV!D10+'Tra Cu'!D10+'Cau Ngang'!D10+'Chau Thanh'!D10+'Cau Ke'!D10+'Duyen Hai'!D10+'Tieu Can'!D10+'Cang Long'!D10+'TX Duyen Hai'!D10</f>
        <v>509400</v>
      </c>
      <c r="E10" s="1102">
        <f t="shared" si="0"/>
        <v>20600</v>
      </c>
      <c r="F10" s="1136">
        <f t="shared" si="1"/>
        <v>104.21440261865794</v>
      </c>
      <c r="G10" s="1128"/>
      <c r="H10" s="1128"/>
      <c r="I10" s="1128"/>
      <c r="J10" s="1128"/>
      <c r="K10" s="1128"/>
    </row>
    <row r="11" spans="1:11" s="1139" customFormat="1">
      <c r="A11" s="1138">
        <v>2</v>
      </c>
      <c r="B11" s="1163" t="s">
        <v>836</v>
      </c>
      <c r="C11" s="1102">
        <f>TPTV!C11+'Tra Cu'!C11+'Cau Ngang'!C11+'Chau Thanh'!C11+'Cau Ke'!C11+'Duyen Hai'!C11+'Tieu Can'!C11+'Cang Long'!C11+'TX Duyen Hai'!C11</f>
        <v>3061564</v>
      </c>
      <c r="D11" s="1102">
        <f>TPTV!D11+'Tra Cu'!D11+'Cau Ngang'!D11+'Chau Thanh'!D11+'Cau Ke'!D11+'Duyen Hai'!D11+'Tieu Can'!D11+'Cang Long'!D11+'TX Duyen Hai'!D11</f>
        <v>3281298</v>
      </c>
      <c r="E11" s="1102">
        <f t="shared" si="0"/>
        <v>219734</v>
      </c>
      <c r="F11" s="1136">
        <f t="shared" si="1"/>
        <v>107.17718133607529</v>
      </c>
      <c r="G11" s="1128"/>
      <c r="H11" s="1128"/>
      <c r="I11" s="1128"/>
      <c r="J11" s="1128"/>
      <c r="K11" s="1128"/>
    </row>
    <row r="12" spans="1:11" s="1142" customFormat="1">
      <c r="A12" s="1140" t="s">
        <v>351</v>
      </c>
      <c r="B12" s="1143" t="s">
        <v>831</v>
      </c>
      <c r="C12" s="1104">
        <f>TPTV!C12+'Tra Cu'!C12+'Cau Ngang'!C12+'Chau Thanh'!C12+'Cau Ke'!C12+'Duyen Hai'!C12+'Tieu Can'!C12+'Cang Long'!C12+'TX Duyen Hai'!C12</f>
        <v>2842508</v>
      </c>
      <c r="D12" s="1104">
        <f>TPTV!D12+'Tra Cu'!D12+'Cau Ngang'!D12+'Chau Thanh'!D12+'Cau Ke'!D12+'Duyen Hai'!D12+'Tieu Can'!D12+'Cang Long'!D12+'TX Duyen Hai'!D12</f>
        <v>2842508</v>
      </c>
      <c r="E12" s="1098">
        <f t="shared" si="0"/>
        <v>0</v>
      </c>
      <c r="F12" s="1141">
        <f t="shared" si="1"/>
        <v>100</v>
      </c>
      <c r="G12" s="1128"/>
      <c r="H12" s="1128"/>
      <c r="I12" s="1128"/>
      <c r="J12" s="1128"/>
      <c r="K12" s="1128"/>
    </row>
    <row r="13" spans="1:11" s="1142" customFormat="1">
      <c r="A13" s="1140" t="s">
        <v>357</v>
      </c>
      <c r="B13" s="1143" t="s">
        <v>387</v>
      </c>
      <c r="C13" s="1104">
        <f>TPTV!C13+'Tra Cu'!C13+'Cau Ngang'!C13+'Chau Thanh'!C13+'Cau Ke'!C13+'Duyen Hai'!C13+'Tieu Can'!C13+'Cang Long'!C13+'TX Duyen Hai'!C13</f>
        <v>119166</v>
      </c>
      <c r="D13" s="1104">
        <f>TPTV!D13+'Tra Cu'!D13+'Cau Ngang'!D13+'Chau Thanh'!D13+'Cau Ke'!D13+'Duyen Hai'!D13+'Tieu Can'!D13+'Cang Long'!D13+'TX Duyen Hai'!D13</f>
        <v>119166</v>
      </c>
      <c r="E13" s="1098">
        <f t="shared" si="0"/>
        <v>0</v>
      </c>
      <c r="F13" s="1141">
        <f t="shared" si="1"/>
        <v>100</v>
      </c>
      <c r="G13" s="1128"/>
      <c r="H13" s="1128"/>
      <c r="I13" s="1128"/>
      <c r="J13" s="1128"/>
      <c r="K13" s="1128"/>
    </row>
    <row r="14" spans="1:11" s="1142" customFormat="1">
      <c r="A14" s="1140" t="s">
        <v>815</v>
      </c>
      <c r="B14" s="1143" t="s">
        <v>386</v>
      </c>
      <c r="C14" s="1104">
        <f>TPTV!C14+'Tra Cu'!C14+'Cau Ngang'!C14+'Chau Thanh'!C14+'Cau Ke'!C14+'Duyen Hai'!C14+'Tieu Can'!C14+'Cang Long'!C14+'TX Duyen Hai'!C14</f>
        <v>0</v>
      </c>
      <c r="D14" s="1104">
        <f>TPTV!D14+'Tra Cu'!D14+'Cau Ngang'!D14+'Chau Thanh'!D14+'Cau Ke'!D14+'Duyen Hai'!D14+'Tieu Can'!D14+'Cang Long'!D14+'TX Duyen Hai'!D14</f>
        <v>127379</v>
      </c>
      <c r="E14" s="1104">
        <f t="shared" si="0"/>
        <v>127379</v>
      </c>
      <c r="F14" s="1141"/>
      <c r="G14" s="1142" t="s">
        <v>13</v>
      </c>
      <c r="H14" s="1128">
        <v>425</v>
      </c>
      <c r="I14" s="1128"/>
      <c r="J14" s="1128"/>
      <c r="K14" s="1128"/>
    </row>
    <row r="15" spans="1:11" s="1142" customFormat="1">
      <c r="A15" s="1140" t="s">
        <v>816</v>
      </c>
      <c r="B15" s="1143" t="s">
        <v>388</v>
      </c>
      <c r="C15" s="1104">
        <f>TPTV!C15+'Tra Cu'!C15+'Cau Ngang'!C15+'Chau Thanh'!C15+'Cau Ke'!C15+'Duyen Hai'!C15+'Tieu Can'!C15+'Cang Long'!C15+'TX Duyen Hai'!C15</f>
        <v>51800</v>
      </c>
      <c r="D15" s="1104">
        <f>TPTV!D15+'Tra Cu'!D15+'Cau Ngang'!D15+'Chau Thanh'!D15+'Cau Ke'!D15+'Duyen Hai'!D15+'Tieu Can'!D15+'Cang Long'!D15+'TX Duyen Hai'!D15</f>
        <v>93200</v>
      </c>
      <c r="E15" s="1104">
        <f t="shared" si="0"/>
        <v>41400</v>
      </c>
      <c r="F15" s="1141">
        <f t="shared" si="1"/>
        <v>179.92277992277991</v>
      </c>
      <c r="G15" s="1128"/>
      <c r="H15" s="1128"/>
      <c r="I15" s="1128"/>
      <c r="J15" s="1128"/>
      <c r="K15" s="1128"/>
    </row>
    <row r="16" spans="1:11" s="1142" customFormat="1" ht="31.2">
      <c r="A16" s="1140" t="s">
        <v>817</v>
      </c>
      <c r="B16" s="1143" t="s">
        <v>832</v>
      </c>
      <c r="C16" s="1104">
        <f>TPTV!C16+'Tra Cu'!C16+'Cau Ngang'!C16+'Chau Thanh'!C16+'Cau Ke'!C16+'Duyen Hai'!C16+'Tieu Can'!C16+'Cang Long'!C16+'TX Duyen Hai'!C16</f>
        <v>48090</v>
      </c>
      <c r="D16" s="1104">
        <f>TPTV!D16+'Tra Cu'!D16+'Cau Ngang'!D16+'Chau Thanh'!D16+'Cau Ke'!D16+'Duyen Hai'!D16+'Tieu Can'!D16+'Cang Long'!D16+'TX Duyen Hai'!D16</f>
        <v>99045</v>
      </c>
      <c r="E16" s="1104">
        <f t="shared" si="0"/>
        <v>50955</v>
      </c>
      <c r="F16" s="1141">
        <f t="shared" si="1"/>
        <v>205.95757953836556</v>
      </c>
      <c r="G16" s="1128"/>
      <c r="H16" s="1128"/>
      <c r="I16" s="1128"/>
      <c r="J16" s="1128"/>
      <c r="K16" s="1128"/>
    </row>
    <row r="17" spans="1:11" s="1125" customFormat="1">
      <c r="A17" s="1144">
        <v>3</v>
      </c>
      <c r="B17" s="1164" t="s">
        <v>827</v>
      </c>
      <c r="C17" s="1102">
        <f>TPTV!C17+'Tra Cu'!C17+'Cau Ngang'!C17+'Chau Thanh'!C17+'Cau Ke'!C17+'Duyen Hai'!C17+'Tieu Can'!C17+'Cang Long'!C17+'TX Duyen Hai'!C17</f>
        <v>92951.84</v>
      </c>
      <c r="D17" s="1102">
        <f>TPTV!D17+'Tra Cu'!D17+'Cau Ngang'!D17+'Chau Thanh'!D17+'Cau Ke'!D17+'Duyen Hai'!D17+'Tieu Can'!D17+'Cang Long'!D17+'TX Duyen Hai'!D17</f>
        <v>498307</v>
      </c>
      <c r="E17" s="1102">
        <f t="shared" ref="E17:E31" si="2">D17-C17</f>
        <v>405355.16000000003</v>
      </c>
      <c r="F17" s="1136">
        <f t="shared" ref="F17:F31" si="3">D17/C17%</f>
        <v>536.09159323796064</v>
      </c>
      <c r="G17" s="1128"/>
      <c r="H17" s="1128"/>
      <c r="I17" s="1128"/>
      <c r="J17" s="1145">
        <f>D17-D18-D19</f>
        <v>352394</v>
      </c>
      <c r="K17" s="1145"/>
    </row>
    <row r="18" spans="1:11" s="1147" customFormat="1">
      <c r="A18" s="1146" t="s">
        <v>212</v>
      </c>
      <c r="B18" s="579" t="s">
        <v>389</v>
      </c>
      <c r="C18" s="1104">
        <f>TPTV!C18+'Tra Cu'!C18+'Cau Ngang'!C18+'Chau Thanh'!C18+'Cau Ke'!C18+'Duyen Hai'!C18+'Tieu Can'!C18+'Cang Long'!C18+'TX Duyen Hai'!C18</f>
        <v>85475.839999999997</v>
      </c>
      <c r="D18" s="1104">
        <f>TPTV!D18+'Tra Cu'!D18+'Cau Ngang'!D18+'Chau Thanh'!D18+'Cau Ke'!D18+'Duyen Hai'!D18+'Tieu Can'!D18+'Cang Long'!D18+'TX Duyen Hai'!D18</f>
        <v>130706</v>
      </c>
      <c r="E18" s="1104">
        <f t="shared" si="2"/>
        <v>45230.16</v>
      </c>
      <c r="F18" s="1141">
        <f t="shared" si="3"/>
        <v>152.91572449010155</v>
      </c>
      <c r="G18" s="1128"/>
      <c r="H18" s="1128"/>
      <c r="I18" s="1128"/>
      <c r="J18" s="1128"/>
      <c r="K18" s="1145"/>
    </row>
    <row r="19" spans="1:11" s="1147" customFormat="1">
      <c r="A19" s="1146" t="s">
        <v>214</v>
      </c>
      <c r="B19" s="579" t="s">
        <v>826</v>
      </c>
      <c r="C19" s="1104">
        <f>TPTV!C19+'Tra Cu'!C19+'Cau Ngang'!C19+'Chau Thanh'!C19+'Cau Ke'!C19+'Duyen Hai'!C19+'Tieu Can'!C19+'Cang Long'!C19+'TX Duyen Hai'!C19</f>
        <v>7476</v>
      </c>
      <c r="D19" s="1104">
        <f>TPTV!D19+'Tra Cu'!D19+'Cau Ngang'!D19+'Chau Thanh'!D19+'Cau Ke'!D19+'Duyen Hai'!D19+'Tieu Can'!D19+'Cang Long'!D19+'TX Duyen Hai'!D19</f>
        <v>15207</v>
      </c>
      <c r="E19" s="1104">
        <f t="shared" si="2"/>
        <v>7731</v>
      </c>
      <c r="F19" s="1141">
        <f t="shared" si="3"/>
        <v>203.41091492776886</v>
      </c>
      <c r="G19" s="1128"/>
      <c r="H19" s="1128"/>
      <c r="I19" s="1128"/>
      <c r="J19" s="1128"/>
      <c r="K19" s="1145"/>
    </row>
    <row r="20" spans="1:11" s="1147" customFormat="1">
      <c r="A20" s="1146" t="s">
        <v>925</v>
      </c>
      <c r="B20" s="579" t="s">
        <v>949</v>
      </c>
      <c r="C20" s="1104"/>
      <c r="D20" s="1104">
        <f>TPTV!D20+'Tra Cu'!D20+'Cau Ngang'!D20+'Chau Thanh'!D20+'Cau Ke'!D20+'Duyen Hai'!D20+'Tieu Can'!D20+'Cang Long'!D20+'TX Duyen Hai'!D20</f>
        <v>36800</v>
      </c>
      <c r="E20" s="1104">
        <f t="shared" si="2"/>
        <v>36800</v>
      </c>
      <c r="F20" s="1141"/>
      <c r="G20" s="1128"/>
      <c r="H20" s="1128"/>
      <c r="I20" s="1128"/>
      <c r="J20" s="1128"/>
      <c r="K20" s="1145"/>
    </row>
    <row r="21" spans="1:11" s="1147" customFormat="1">
      <c r="A21" s="1019" t="s">
        <v>1041</v>
      </c>
      <c r="B21" s="408" t="s">
        <v>1033</v>
      </c>
      <c r="C21" s="1104"/>
      <c r="D21" s="1104">
        <f>TPTV!D21+'Tra Cu'!D21+'Cau Ngang'!D21+'Chau Thanh'!D21+'Cau Ke'!D21+'Duyen Hai'!D21+'Tieu Can'!D21+'Cang Long'!D21+'TX Duyen Hai'!D21</f>
        <v>5721</v>
      </c>
      <c r="E21" s="1104">
        <f t="shared" si="2"/>
        <v>5721</v>
      </c>
      <c r="F21" s="1141"/>
      <c r="G21" s="1128"/>
      <c r="H21" s="1128"/>
      <c r="I21" s="1128"/>
      <c r="J21" s="1128"/>
      <c r="K21" s="1145"/>
    </row>
    <row r="22" spans="1:11" s="1147" customFormat="1">
      <c r="A22" s="1019" t="s">
        <v>1042</v>
      </c>
      <c r="B22" s="408" t="s">
        <v>1034</v>
      </c>
      <c r="C22" s="1104"/>
      <c r="D22" s="1104">
        <f>TPTV!D22+'Tra Cu'!D22+'Cau Ngang'!D22+'Chau Thanh'!D22+'Cau Ke'!D22+'Duyen Hai'!D22+'Tieu Can'!D22+'Cang Long'!D22+'TX Duyen Hai'!D22</f>
        <v>1014</v>
      </c>
      <c r="E22" s="1104">
        <f t="shared" si="2"/>
        <v>1014</v>
      </c>
      <c r="F22" s="1141"/>
      <c r="G22" s="1128"/>
      <c r="H22" s="1128"/>
      <c r="I22" s="1128"/>
      <c r="J22" s="1128"/>
      <c r="K22" s="1145"/>
    </row>
    <row r="23" spans="1:11" s="1147" customFormat="1">
      <c r="A23" s="1019" t="s">
        <v>1043</v>
      </c>
      <c r="B23" s="408" t="s">
        <v>1035</v>
      </c>
      <c r="C23" s="1104"/>
      <c r="D23" s="1104">
        <f>TPTV!D23+'Tra Cu'!D23+'Cau Ngang'!D23+'Chau Thanh'!D23+'Cau Ke'!D23+'Duyen Hai'!D23+'Tieu Can'!D23+'Cang Long'!D23+'TX Duyen Hai'!D23</f>
        <v>308859</v>
      </c>
      <c r="E23" s="1104">
        <f t="shared" si="2"/>
        <v>308859</v>
      </c>
      <c r="F23" s="1141"/>
      <c r="G23" s="1128"/>
      <c r="H23" s="1128"/>
      <c r="I23" s="1128"/>
      <c r="J23" s="1128"/>
      <c r="K23" s="1145"/>
    </row>
    <row r="24" spans="1:11" s="1148" customFormat="1">
      <c r="A24" s="1135" t="s">
        <v>60</v>
      </c>
      <c r="B24" s="1165" t="s">
        <v>825</v>
      </c>
      <c r="C24" s="1102">
        <f>TPTV!C24+'Tra Cu'!C24+'Cau Ngang'!C24+'Chau Thanh'!C24+'Cau Ke'!C24+'Duyen Hai'!C24+'Tieu Can'!C24+'Cang Long'!C24+'TX Duyen Hai'!C24</f>
        <v>3589363.84</v>
      </c>
      <c r="D24" s="1102">
        <f>TPTV!D24+'Tra Cu'!D24+'Cau Ngang'!D24+'Chau Thanh'!D24+'Cau Ke'!D24+'Duyen Hai'!D24+'Tieu Can'!D24+'Cang Long'!D24+'TX Duyen Hai'!D24</f>
        <v>3843498</v>
      </c>
      <c r="E24" s="1102">
        <f t="shared" si="2"/>
        <v>254134.16000000015</v>
      </c>
      <c r="F24" s="1136">
        <f t="shared" si="3"/>
        <v>107.08020059621485</v>
      </c>
      <c r="G24" s="1128"/>
      <c r="H24" s="1128"/>
      <c r="I24" s="1128"/>
      <c r="J24" s="1128"/>
      <c r="K24" s="1128"/>
    </row>
    <row r="25" spans="1:11" s="3" customFormat="1">
      <c r="A25" s="1144">
        <v>1</v>
      </c>
      <c r="B25" s="1166" t="s">
        <v>824</v>
      </c>
      <c r="C25" s="1102">
        <f>TPTV!C25+'Tra Cu'!C25+'Cau Ngang'!C25+'Chau Thanh'!C25+'Cau Ke'!C25+'Duyen Hai'!C25+'Tieu Can'!C25+'Cang Long'!C25+'TX Duyen Hai'!C25</f>
        <v>351720</v>
      </c>
      <c r="D25" s="1102">
        <f>TPTV!D25+'Tra Cu'!D25+'Cau Ngang'!D25+'Chau Thanh'!D25+'Cau Ke'!D25+'Duyen Hai'!D25+'Tieu Can'!D25+'Cang Long'!D25+'TX Duyen Hai'!D25</f>
        <v>415095</v>
      </c>
      <c r="E25" s="1102">
        <f t="shared" si="2"/>
        <v>63375</v>
      </c>
      <c r="F25" s="1136">
        <f t="shared" si="3"/>
        <v>118.01859433640396</v>
      </c>
      <c r="G25" s="1128"/>
      <c r="H25" s="1128"/>
      <c r="I25" s="1128"/>
      <c r="J25" s="1128"/>
      <c r="K25" s="1128"/>
    </row>
    <row r="26" spans="1:11" s="1148" customFormat="1">
      <c r="A26" s="1129" t="s">
        <v>200</v>
      </c>
      <c r="B26" s="1167" t="s">
        <v>823</v>
      </c>
      <c r="C26" s="1104">
        <f>TPTV!C26+'Tra Cu'!C26+'Cau Ngang'!C26+'Chau Thanh'!C26+'Cau Ke'!C26+'Duyen Hai'!C26+'Tieu Can'!C26+'Cang Long'!C26+'TX Duyen Hai'!C26</f>
        <v>113620</v>
      </c>
      <c r="D26" s="1104">
        <f>TPTV!D26+'Tra Cu'!D26+'Cau Ngang'!D26+'Chau Thanh'!D26+'Cau Ke'!D26+'Duyen Hai'!D26+'Tieu Can'!D26+'Cang Long'!D26+'TX Duyen Hai'!D26</f>
        <v>207075</v>
      </c>
      <c r="E26" s="1104">
        <f t="shared" si="2"/>
        <v>93455</v>
      </c>
      <c r="F26" s="1141">
        <f t="shared" si="3"/>
        <v>182.25224432318254</v>
      </c>
      <c r="G26" s="1128"/>
      <c r="H26" s="1128"/>
      <c r="I26" s="1128"/>
      <c r="J26" s="1128"/>
      <c r="K26" s="1128"/>
    </row>
    <row r="27" spans="1:11" s="1148" customFormat="1" ht="46.8">
      <c r="A27" s="1129" t="s">
        <v>208</v>
      </c>
      <c r="B27" s="1149" t="s">
        <v>822</v>
      </c>
      <c r="C27" s="1104">
        <f>TPTV!C30+'Tra Cu'!C30+'Cau Ngang'!C30+'Chau Thanh'!C30+'Cau Ke'!C30+'Duyen Hai'!C30+'Tieu Can'!C30+'Cang Long'!C30+'TX Duyen Hai'!C30</f>
        <v>35100</v>
      </c>
      <c r="D27" s="1104">
        <f>TPTV!D30+'Tra Cu'!D30+'Cau Ngang'!D30+'Chau Thanh'!D30+'Cau Ke'!D30+'Duyen Hai'!D30+'Tieu Can'!D30+'Cang Long'!D30+'TX Duyen Hai'!D30</f>
        <v>47520</v>
      </c>
      <c r="E27" s="1104">
        <f t="shared" si="2"/>
        <v>12420</v>
      </c>
      <c r="F27" s="1141">
        <f t="shared" si="3"/>
        <v>135.38461538461539</v>
      </c>
      <c r="G27" s="1128"/>
      <c r="H27" s="1128"/>
      <c r="I27" s="1128"/>
      <c r="J27" s="1128"/>
      <c r="K27" s="1128"/>
    </row>
    <row r="28" spans="1:11" s="1148" customFormat="1">
      <c r="A28" s="1150"/>
      <c r="B28" s="1167" t="s">
        <v>4</v>
      </c>
      <c r="C28" s="1104">
        <f>TPTV!C31+'Tra Cu'!C31+'Cau Ngang'!C31+'Chau Thanh'!C31+'Cau Ke'!C31+'Duyen Hai'!C31+'Tieu Can'!C31+'Cang Long'!C31+'TX Duyen Hai'!C31</f>
        <v>15600</v>
      </c>
      <c r="D28" s="1104">
        <f>TPTV!D31+'Tra Cu'!D31+'Cau Ngang'!D31+'Chau Thanh'!D31+'Cau Ke'!D31+'Duyen Hai'!D31+'Tieu Can'!D31+'Cang Long'!D31+'TX Duyen Hai'!D31</f>
        <v>21120</v>
      </c>
      <c r="E28" s="1104">
        <f t="shared" si="2"/>
        <v>5520</v>
      </c>
      <c r="F28" s="1141">
        <f t="shared" si="3"/>
        <v>135.38461538461539</v>
      </c>
      <c r="G28" s="1128"/>
      <c r="H28" s="1128"/>
      <c r="I28" s="1128"/>
      <c r="J28" s="1128"/>
      <c r="K28" s="1128"/>
    </row>
    <row r="29" spans="1:11" s="1148" customFormat="1">
      <c r="A29" s="1150"/>
      <c r="B29" s="1167" t="s">
        <v>5</v>
      </c>
      <c r="C29" s="1104">
        <f>TPTV!C32+'Tra Cu'!C32+'Cau Ngang'!C32+'Chau Thanh'!C32+'Cau Ke'!C32+'Duyen Hai'!C32+'Tieu Can'!C32+'Cang Long'!C32+'TX Duyen Hai'!C32</f>
        <v>11700</v>
      </c>
      <c r="D29" s="1104">
        <f>TPTV!D32+'Tra Cu'!D32+'Cau Ngang'!D32+'Chau Thanh'!D32+'Cau Ke'!D32+'Duyen Hai'!D32+'Tieu Can'!D32+'Cang Long'!D32+'TX Duyen Hai'!D32</f>
        <v>15840</v>
      </c>
      <c r="E29" s="1104">
        <f t="shared" si="2"/>
        <v>4140</v>
      </c>
      <c r="F29" s="1141">
        <f t="shared" si="3"/>
        <v>135.38461538461539</v>
      </c>
      <c r="G29" s="1128"/>
      <c r="H29" s="1128"/>
      <c r="I29" s="1128"/>
      <c r="J29" s="1128"/>
      <c r="K29" s="1128"/>
    </row>
    <row r="30" spans="1:11" s="1148" customFormat="1">
      <c r="A30" s="1150"/>
      <c r="B30" s="1167" t="s">
        <v>6</v>
      </c>
      <c r="C30" s="1104">
        <f>TPTV!C33+'Tra Cu'!C33+'Cau Ngang'!C33+'Chau Thanh'!C33+'Cau Ke'!C33+'Duyen Hai'!C33+'Tieu Can'!C33+'Cang Long'!C33+'TX Duyen Hai'!C33</f>
        <v>7800</v>
      </c>
      <c r="D30" s="1104">
        <f>TPTV!D33+'Tra Cu'!D33+'Cau Ngang'!D33+'Chau Thanh'!D33+'Cau Ke'!D33+'Duyen Hai'!D33+'Tieu Can'!D33+'Cang Long'!D33+'TX Duyen Hai'!D33</f>
        <v>10560</v>
      </c>
      <c r="E30" s="1104">
        <f t="shared" si="2"/>
        <v>2760</v>
      </c>
      <c r="F30" s="1141">
        <f t="shared" si="3"/>
        <v>135.38461538461539</v>
      </c>
      <c r="G30" s="1128"/>
      <c r="H30" s="1128"/>
      <c r="I30" s="1128"/>
      <c r="J30" s="1128"/>
      <c r="K30" s="1128"/>
    </row>
    <row r="31" spans="1:11" s="1148" customFormat="1">
      <c r="A31" s="1129" t="s">
        <v>335</v>
      </c>
      <c r="B31" s="1168" t="s">
        <v>821</v>
      </c>
      <c r="C31" s="1104">
        <f>TPTV!C34+'Tra Cu'!C34+'Cau Ngang'!C34+'Chau Thanh'!C34+'Cau Ke'!C34+'Duyen Hai'!C34+'Tieu Can'!C34+'Cang Long'!C34+'TX Duyen Hai'!C34</f>
        <v>203000</v>
      </c>
      <c r="D31" s="1104">
        <f>TPTV!D34+'Tra Cu'!D34+'Cau Ngang'!D34+'Chau Thanh'!D34+'Cau Ke'!D34+'Duyen Hai'!D34+'Tieu Can'!D34+'Cang Long'!D34+'TX Duyen Hai'!D34</f>
        <v>160500</v>
      </c>
      <c r="E31" s="1104">
        <f t="shared" si="2"/>
        <v>-42500</v>
      </c>
      <c r="F31" s="1141">
        <f t="shared" si="3"/>
        <v>79.064039408866989</v>
      </c>
      <c r="G31" s="1128"/>
      <c r="H31" s="1128"/>
      <c r="I31" s="1128"/>
      <c r="J31" s="1128"/>
      <c r="K31" s="1128"/>
    </row>
    <row r="32" spans="1:11" s="1148" customFormat="1" ht="31.2">
      <c r="A32" s="1135"/>
      <c r="B32" s="420" t="s">
        <v>247</v>
      </c>
      <c r="C32" s="1104">
        <f>TPTV!C35+'Tra Cu'!C35+'Cau Ngang'!C35+'Chau Thanh'!C35+'Cau Ke'!C35+'Duyen Hai'!C35+'Tieu Can'!C35+'Cang Long'!C35+'TX Duyen Hai'!C35</f>
        <v>33000</v>
      </c>
      <c r="D32" s="1104">
        <f>TPTV!D35+'Tra Cu'!D35+'Cau Ngang'!D35+'Chau Thanh'!D35+'Cau Ke'!D35+'Duyen Hai'!D35+'Tieu Can'!D35+'Cang Long'!D35+'TX Duyen Hai'!D35</f>
        <v>23000</v>
      </c>
      <c r="E32" s="1104">
        <f t="shared" ref="E32:E36" si="4">D32-C32</f>
        <v>-10000</v>
      </c>
      <c r="F32" s="1141">
        <f t="shared" ref="F32:F36" si="5">D32/C32%</f>
        <v>69.696969696969703</v>
      </c>
      <c r="G32" s="1128"/>
      <c r="H32" s="1128"/>
      <c r="I32" s="1128"/>
      <c r="J32" s="1128"/>
      <c r="K32" s="1128"/>
    </row>
    <row r="33" spans="1:11" s="1148" customFormat="1" ht="31.2">
      <c r="A33" s="1135"/>
      <c r="B33" s="420" t="s">
        <v>863</v>
      </c>
      <c r="C33" s="1104">
        <f>TPTV!C36+'Tra Cu'!C36+'Cau Ngang'!C36+'Chau Thanh'!C36+'Cau Ke'!C36+'Duyen Hai'!C36+'Tieu Can'!C36+'Cang Long'!C36+'TX Duyen Hai'!C36</f>
        <v>5500</v>
      </c>
      <c r="D33" s="1104">
        <f>TPTV!D36+'Tra Cu'!D36+'Cau Ngang'!D36+'Chau Thanh'!D36+'Cau Ke'!D36+'Duyen Hai'!D36+'Tieu Can'!D36+'Cang Long'!D36+'TX Duyen Hai'!D36</f>
        <v>0</v>
      </c>
      <c r="E33" s="1104">
        <f t="shared" si="4"/>
        <v>-5500</v>
      </c>
      <c r="F33" s="1141">
        <f t="shared" si="5"/>
        <v>0</v>
      </c>
      <c r="G33" s="1128"/>
      <c r="H33" s="1128"/>
      <c r="I33" s="1128"/>
      <c r="J33" s="1128"/>
      <c r="K33" s="1128"/>
    </row>
    <row r="34" spans="1:11" s="1148" customFormat="1">
      <c r="A34" s="1135"/>
      <c r="B34" s="420" t="s">
        <v>248</v>
      </c>
      <c r="C34" s="1104">
        <f>TPTV!C37+'Tra Cu'!C37+'Cau Ngang'!C37+'Chau Thanh'!C37+'Cau Ke'!C37+'Duyen Hai'!C37+'Tieu Can'!C37+'Cang Long'!C37+'TX Duyen Hai'!C37</f>
        <v>100000</v>
      </c>
      <c r="D34" s="1104">
        <f>TPTV!D37+'Tra Cu'!D37+'Cau Ngang'!D37+'Chau Thanh'!D37+'Cau Ke'!D37+'Duyen Hai'!D37+'Tieu Can'!D37+'Cang Long'!D37+'TX Duyen Hai'!D37</f>
        <v>96000</v>
      </c>
      <c r="E34" s="1104">
        <f t="shared" si="4"/>
        <v>-4000</v>
      </c>
      <c r="F34" s="1141">
        <f t="shared" si="5"/>
        <v>96</v>
      </c>
      <c r="G34" s="1128"/>
      <c r="H34" s="1128"/>
      <c r="I34" s="1128"/>
      <c r="J34" s="1128"/>
      <c r="K34" s="1128"/>
    </row>
    <row r="35" spans="1:11" s="1148" customFormat="1" ht="31.2">
      <c r="A35" s="1135"/>
      <c r="B35" s="420" t="s">
        <v>249</v>
      </c>
      <c r="C35" s="1104">
        <f>TPTV!C38+'Tra Cu'!C38+'Cau Ngang'!C38+'Chau Thanh'!C38+'Cau Ke'!C38+'Duyen Hai'!C38+'Tieu Can'!C38+'Cang Long'!C38+'TX Duyen Hai'!C38</f>
        <v>40500</v>
      </c>
      <c r="D35" s="1104">
        <f>TPTV!D38+'Tra Cu'!D38+'Cau Ngang'!D38+'Chau Thanh'!D38+'Cau Ke'!D38+'Duyen Hai'!D38+'Tieu Can'!D38+'Cang Long'!D38+'TX Duyen Hai'!D38</f>
        <v>41500</v>
      </c>
      <c r="E35" s="1104">
        <f t="shared" si="4"/>
        <v>1000</v>
      </c>
      <c r="F35" s="1141">
        <f t="shared" si="5"/>
        <v>102.46913580246914</v>
      </c>
      <c r="G35" s="1128"/>
      <c r="H35" s="1128"/>
      <c r="I35" s="1128"/>
      <c r="J35" s="1128"/>
      <c r="K35" s="1128"/>
    </row>
    <row r="36" spans="1:11" s="1148" customFormat="1" ht="31.2">
      <c r="A36" s="1135"/>
      <c r="B36" s="420" t="s">
        <v>852</v>
      </c>
      <c r="C36" s="1104">
        <f>TPTV!C39+'Tra Cu'!C39+'Cau Ngang'!C39+'Chau Thanh'!C39+'Cau Ke'!C39+'Duyen Hai'!C39+'Tieu Can'!C39+'Cang Long'!C39+'TX Duyen Hai'!C39</f>
        <v>24000</v>
      </c>
      <c r="D36" s="1104">
        <f>TPTV!D39+'Tra Cu'!D39+'Cau Ngang'!D39+'Chau Thanh'!D39+'Cau Ke'!D39+'Duyen Hai'!D39+'Tieu Can'!D39+'Cang Long'!D39+'TX Duyen Hai'!D39</f>
        <v>0</v>
      </c>
      <c r="E36" s="1104">
        <f t="shared" si="4"/>
        <v>-24000</v>
      </c>
      <c r="F36" s="1141">
        <f t="shared" si="5"/>
        <v>0</v>
      </c>
      <c r="G36" s="1128"/>
      <c r="H36" s="1128"/>
      <c r="I36" s="1128"/>
      <c r="J36" s="1128"/>
      <c r="K36" s="1128"/>
    </row>
    <row r="37" spans="1:11" s="3" customFormat="1">
      <c r="A37" s="1144">
        <v>2</v>
      </c>
      <c r="B37" s="1166" t="s">
        <v>830</v>
      </c>
      <c r="C37" s="1102">
        <f>TPTV!C40+'Tra Cu'!C40+'Cau Ngang'!C40+'Chau Thanh'!C40+'Cau Ke'!C40+'Duyen Hai'!C40+'Tieu Can'!C40+'Cang Long'!C40+'TX Duyen Hai'!C40</f>
        <v>3163629.84</v>
      </c>
      <c r="D37" s="1102">
        <f>TPTV!D40+'Tra Cu'!D40+'Cau Ngang'!D40+'Chau Thanh'!D40+'Cau Ke'!D40+'Duyen Hai'!D40+'Tieu Can'!D40+'Cang Long'!D40+'TX Duyen Hai'!D40</f>
        <v>3341134</v>
      </c>
      <c r="E37" s="1102">
        <f>D37-C37</f>
        <v>177504.16000000015</v>
      </c>
      <c r="F37" s="1136">
        <f>D37/C37%</f>
        <v>105.61077524796643</v>
      </c>
      <c r="G37" s="1128"/>
      <c r="H37" s="1128"/>
      <c r="I37" s="1128"/>
      <c r="J37" s="1151"/>
      <c r="K37" s="1152"/>
    </row>
    <row r="38" spans="1:11" s="1121" customFormat="1">
      <c r="A38" s="1129" t="s">
        <v>351</v>
      </c>
      <c r="B38" s="1167" t="s">
        <v>820</v>
      </c>
      <c r="C38" s="1104">
        <f>TPTV!C41+'Tra Cu'!C41+'Cau Ngang'!C41+'Chau Thanh'!C41+'Cau Ke'!C41+'Duyen Hai'!C41+'Tieu Can'!C41+'Cang Long'!C41+'TX Duyen Hai'!C41</f>
        <v>1798301</v>
      </c>
      <c r="D38" s="1104">
        <f>TPTV!D41+'Tra Cu'!D41+'Cau Ngang'!D41+'Chau Thanh'!D41+'Cau Ke'!D41+'Duyen Hai'!D41+'Tieu Can'!D41+'Cang Long'!D41+'TX Duyen Hai'!D41</f>
        <v>1884606</v>
      </c>
      <c r="E38" s="1104">
        <f>D38-C38</f>
        <v>86305</v>
      </c>
      <c r="F38" s="1141">
        <f>D38/C38%</f>
        <v>104.79925218303278</v>
      </c>
      <c r="G38" s="1128">
        <f>H14*50%</f>
        <v>212.5</v>
      </c>
      <c r="H38" s="1128"/>
      <c r="I38" s="1128"/>
      <c r="J38" s="1128"/>
      <c r="K38" s="1128"/>
    </row>
    <row r="39" spans="1:11" s="1121" customFormat="1">
      <c r="A39" s="1146"/>
      <c r="B39" s="487" t="s">
        <v>802</v>
      </c>
      <c r="C39" s="1104">
        <f>TPTV!C42+'Tra Cu'!C42+'Cau Ngang'!C42+'Chau Thanh'!C42+'Cau Ke'!C42+'Duyen Hai'!C42+'Tieu Can'!C42+'Cang Long'!C42+'TX Duyen Hai'!C42</f>
        <v>1774991</v>
      </c>
      <c r="D39" s="1104">
        <f>TPTV!D42+'Tra Cu'!D42+'Cau Ngang'!D42+'Chau Thanh'!D42+'Cau Ke'!D42+'Duyen Hai'!D42+'Tieu Can'!D42+'Cang Long'!D42+'TX Duyen Hai'!D42</f>
        <v>1858682</v>
      </c>
      <c r="E39" s="1104"/>
      <c r="F39" s="1141"/>
      <c r="G39" s="1128"/>
      <c r="H39" s="1128"/>
      <c r="I39" s="1128"/>
      <c r="J39" s="1128"/>
      <c r="K39" s="1128"/>
    </row>
    <row r="40" spans="1:11" s="1121" customFormat="1">
      <c r="A40" s="1146"/>
      <c r="B40" s="487" t="s">
        <v>803</v>
      </c>
      <c r="C40" s="1104">
        <f>TPTV!C43+'Tra Cu'!C43+'Cau Ngang'!C43+'Chau Thanh'!C43+'Cau Ke'!C43+'Duyen Hai'!C43+'Tieu Can'!C43+'Cang Long'!C43+'TX Duyen Hai'!C43</f>
        <v>23310</v>
      </c>
      <c r="D40" s="1104">
        <f>TPTV!D43+'Tra Cu'!D43+'Cau Ngang'!D43+'Chau Thanh'!D43+'Cau Ke'!D43+'Duyen Hai'!D43+'Tieu Can'!D43+'Cang Long'!D43+'TX Duyen Hai'!D43</f>
        <v>25924</v>
      </c>
      <c r="E40" s="1104"/>
      <c r="F40" s="1141"/>
      <c r="G40" s="1128"/>
      <c r="H40" s="1128"/>
      <c r="I40" s="1128"/>
      <c r="J40" s="1128"/>
      <c r="K40" s="1128"/>
    </row>
    <row r="41" spans="1:11" s="1121" customFormat="1">
      <c r="A41" s="1129" t="s">
        <v>357</v>
      </c>
      <c r="B41" s="1167" t="s">
        <v>805</v>
      </c>
      <c r="C41" s="1104">
        <f>TPTV!C44+'Tra Cu'!C44+'Cau Ngang'!C44+'Chau Thanh'!C44+'Cau Ke'!C44+'Duyen Hai'!C44+'Tieu Can'!C44+'Cang Long'!C44+'TX Duyen Hai'!C44</f>
        <v>1834</v>
      </c>
      <c r="D41" s="1104">
        <f>TPTV!D44+'Tra Cu'!D44+'Cau Ngang'!D44+'Chau Thanh'!D44+'Cau Ke'!D44+'Duyen Hai'!D44+'Tieu Can'!D44+'Cang Long'!D44+'TX Duyen Hai'!D44</f>
        <v>1852</v>
      </c>
      <c r="E41" s="1104">
        <f t="shared" ref="E41:E67" si="6">D41-C41</f>
        <v>18</v>
      </c>
      <c r="F41" s="1141">
        <f t="shared" ref="F41:F49" si="7">D41/C41%</f>
        <v>100.9814612868048</v>
      </c>
      <c r="G41" s="1128"/>
      <c r="H41" s="1128"/>
      <c r="I41" s="1128"/>
      <c r="J41" s="1128"/>
      <c r="K41" s="1128"/>
    </row>
    <row r="42" spans="1:11" s="1121" customFormat="1">
      <c r="A42" s="1129" t="s">
        <v>815</v>
      </c>
      <c r="B42" s="1169" t="s">
        <v>804</v>
      </c>
      <c r="C42" s="1104">
        <f>TPTV!C45+'Tra Cu'!C45+'Cau Ngang'!C45+'Chau Thanh'!C45+'Cau Ke'!C45+'Duyen Hai'!C45+'Tieu Can'!C45+'Cang Long'!C45+'TX Duyen Hai'!C45</f>
        <v>35904</v>
      </c>
      <c r="D42" s="1104">
        <f>TPTV!D45+'Tra Cu'!D45+'Cau Ngang'!D45+'Chau Thanh'!D45+'Cau Ke'!D45+'Duyen Hai'!D45+'Tieu Can'!D45+'Cang Long'!D45+'TX Duyen Hai'!D45</f>
        <v>36364</v>
      </c>
      <c r="E42" s="1104">
        <f t="shared" si="6"/>
        <v>460</v>
      </c>
      <c r="F42" s="1141">
        <f t="shared" si="7"/>
        <v>101.28119429590018</v>
      </c>
      <c r="G42" s="1128"/>
      <c r="H42" s="1128"/>
      <c r="I42" s="1128"/>
      <c r="J42" s="1128"/>
      <c r="K42" s="1128"/>
    </row>
    <row r="43" spans="1:11" s="1121" customFormat="1">
      <c r="A43" s="1146" t="s">
        <v>816</v>
      </c>
      <c r="B43" s="1149" t="s">
        <v>869</v>
      </c>
      <c r="C43" s="1104">
        <f>TPTV!C46+'Tra Cu'!C46+'Cau Ngang'!C46+'Chau Thanh'!C46+'Cau Ke'!C46+'Duyen Hai'!C46+'Tieu Can'!C46+'Cang Long'!C46+'TX Duyen Hai'!C46</f>
        <v>1327590.8400000001</v>
      </c>
      <c r="D43" s="1104">
        <f>TPTV!D46+'Tra Cu'!D46+'Cau Ngang'!D46+'Chau Thanh'!D46+'Cau Ke'!D46+'Duyen Hai'!D46+'Tieu Can'!D46+'Cang Long'!D46+'TX Duyen Hai'!D46</f>
        <v>1418312</v>
      </c>
      <c r="E43" s="1104">
        <f t="shared" si="6"/>
        <v>90721.159999999916</v>
      </c>
      <c r="F43" s="1141">
        <f t="shared" si="7"/>
        <v>106.83351807398731</v>
      </c>
      <c r="G43" s="60">
        <f>D8-D25-D38-D41-D42-D66-D67</f>
        <v>1418312</v>
      </c>
      <c r="H43" s="1128"/>
      <c r="I43" s="1128"/>
      <c r="J43" s="1128"/>
      <c r="K43" s="1128"/>
    </row>
    <row r="44" spans="1:11" s="1153" customFormat="1" ht="31.2">
      <c r="A44" s="1140"/>
      <c r="B44" s="1170" t="s">
        <v>8</v>
      </c>
      <c r="C44" s="1104">
        <f>TPTV!C47+'Tra Cu'!C47+'Cau Ngang'!C47+'Chau Thanh'!C47+'Cau Ke'!C47+'Duyen Hai'!C47+'Tieu Can'!C47+'Cang Long'!C47+'TX Duyen Hai'!C47</f>
        <v>3900</v>
      </c>
      <c r="D44" s="1104">
        <f>TPTV!D47+'Tra Cu'!D47+'Cau Ngang'!D47+'Chau Thanh'!D47+'Cau Ke'!D47+'Duyen Hai'!D47+'Tieu Can'!D47+'Cang Long'!D47+'TX Duyen Hai'!D47</f>
        <v>5280</v>
      </c>
      <c r="E44" s="1104">
        <f t="shared" si="6"/>
        <v>1380</v>
      </c>
      <c r="F44" s="1141">
        <f t="shared" si="7"/>
        <v>135.38461538461539</v>
      </c>
      <c r="G44" s="1128"/>
      <c r="H44" s="1128"/>
      <c r="I44" s="1128"/>
      <c r="J44" s="1128"/>
      <c r="K44" s="1128"/>
    </row>
    <row r="45" spans="1:11" s="1153" customFormat="1">
      <c r="A45" s="1178" t="s">
        <v>870</v>
      </c>
      <c r="B45" s="464" t="s">
        <v>269</v>
      </c>
      <c r="C45" s="1104">
        <f>TPTV!C48+'Tra Cu'!C48+'Cau Ngang'!C48+'Chau Thanh'!C48+'Cau Ke'!C48+'Duyen Hai'!C48+'Tieu Can'!C48+'Cang Long'!C48+'TX Duyen Hai'!C48</f>
        <v>23972</v>
      </c>
      <c r="D45" s="1104">
        <f>TPTV!D48+'Tra Cu'!D48+'Cau Ngang'!D48+'Chau Thanh'!D48+'Cau Ke'!D48+'Duyen Hai'!D48+'Tieu Can'!D48+'Cang Long'!D48+'TX Duyen Hai'!D48</f>
        <v>23972</v>
      </c>
      <c r="E45" s="1098">
        <f t="shared" ref="E45" si="8">D45-C45</f>
        <v>0</v>
      </c>
      <c r="F45" s="1141">
        <f t="shared" ref="F45" si="9">D45/C45%</f>
        <v>100</v>
      </c>
      <c r="G45" s="1128"/>
      <c r="H45" s="1128"/>
      <c r="I45" s="1128"/>
      <c r="J45" s="1128"/>
      <c r="K45" s="1128"/>
    </row>
    <row r="46" spans="1:11" s="1153" customFormat="1">
      <c r="A46" s="1178" t="s">
        <v>871</v>
      </c>
      <c r="B46" s="464" t="s">
        <v>270</v>
      </c>
      <c r="C46" s="1104">
        <f>TPTV!C49+'Tra Cu'!C49+'Cau Ngang'!C49+'Chau Thanh'!C49+'Cau Ke'!C49+'Duyen Hai'!C49+'Tieu Can'!C49+'Cang Long'!C49+'TX Duyen Hai'!C49</f>
        <v>11824</v>
      </c>
      <c r="D46" s="1104">
        <f>TPTV!D49+'Tra Cu'!D49+'Cau Ngang'!D49+'Chau Thanh'!D49+'Cau Ke'!D49+'Duyen Hai'!D49+'Tieu Can'!D49+'Cang Long'!D49+'TX Duyen Hai'!D49</f>
        <v>11824</v>
      </c>
      <c r="E46" s="1104">
        <f t="shared" si="6"/>
        <v>0</v>
      </c>
      <c r="F46" s="1141">
        <f t="shared" si="7"/>
        <v>100</v>
      </c>
      <c r="G46" s="1128"/>
      <c r="H46" s="1128"/>
      <c r="I46" s="1128"/>
      <c r="J46" s="1128"/>
      <c r="K46" s="1128"/>
    </row>
    <row r="47" spans="1:11" s="1153" customFormat="1">
      <c r="A47" s="1178" t="s">
        <v>872</v>
      </c>
      <c r="B47" s="464" t="s">
        <v>807</v>
      </c>
      <c r="C47" s="1104">
        <f>TPTV!C50+'Tra Cu'!C50+'Cau Ngang'!C50+'Chau Thanh'!C50+'Cau Ke'!C50+'Duyen Hai'!C50+'Tieu Can'!C50+'Cang Long'!C50+'TX Duyen Hai'!C50</f>
        <v>18642.993999999999</v>
      </c>
      <c r="D47" s="1104">
        <f>TPTV!D50+'Tra Cu'!D50+'Cau Ngang'!D50+'Chau Thanh'!D50+'Cau Ke'!D50+'Duyen Hai'!D50+'Tieu Can'!D50+'Cang Long'!D50+'TX Duyen Hai'!D50</f>
        <v>19393.30358</v>
      </c>
      <c r="E47" s="1104">
        <f t="shared" si="6"/>
        <v>750.30958000000101</v>
      </c>
      <c r="F47" s="1141">
        <f t="shared" si="7"/>
        <v>104.02461954340596</v>
      </c>
      <c r="G47" s="1128"/>
      <c r="H47" s="1128"/>
      <c r="I47" s="1128"/>
      <c r="J47" s="1128"/>
      <c r="K47" s="1128"/>
    </row>
    <row r="48" spans="1:11" s="1153" customFormat="1">
      <c r="A48" s="1178" t="s">
        <v>873</v>
      </c>
      <c r="B48" s="464" t="s">
        <v>808</v>
      </c>
      <c r="C48" s="1104">
        <f>TPTV!C51+'Tra Cu'!C51+'Cau Ngang'!C51+'Chau Thanh'!C51+'Cau Ke'!C51+'Duyen Hai'!C51+'Tieu Can'!C51+'Cang Long'!C51+'TX Duyen Hai'!C51</f>
        <v>8288.3289999999997</v>
      </c>
      <c r="D48" s="1104">
        <f>TPTV!D51+'Tra Cu'!D51+'Cau Ngang'!D51+'Chau Thanh'!D51+'Cau Ke'!D51+'Duyen Hai'!D51+'Tieu Can'!D51+'Cang Long'!D51+'TX Duyen Hai'!D51</f>
        <v>8714</v>
      </c>
      <c r="E48" s="1104">
        <f t="shared" si="6"/>
        <v>425.67100000000028</v>
      </c>
      <c r="F48" s="1141">
        <f t="shared" si="7"/>
        <v>105.13578792540692</v>
      </c>
      <c r="G48" s="1128"/>
      <c r="H48" s="1128"/>
      <c r="I48" s="1128"/>
      <c r="J48" s="1128"/>
      <c r="K48" s="1128"/>
    </row>
    <row r="49" spans="1:11" s="1153" customFormat="1">
      <c r="A49" s="1178" t="s">
        <v>874</v>
      </c>
      <c r="B49" s="464" t="s">
        <v>276</v>
      </c>
      <c r="C49" s="1104">
        <f>TPTV!C52+'Tra Cu'!C52+'Cau Ngang'!C52+'Chau Thanh'!C52+'Cau Ke'!C52+'Duyen Hai'!C52+'Tieu Can'!C52+'Cang Long'!C52+'TX Duyen Hai'!C52</f>
        <v>280557</v>
      </c>
      <c r="D49" s="1104">
        <f>TPTV!D52+'Tra Cu'!D52+'Cau Ngang'!D52+'Chau Thanh'!D52+'Cau Ke'!D52+'Duyen Hai'!D52+'Tieu Can'!D52+'Cang Long'!D52+'TX Duyen Hai'!D52</f>
        <v>291855</v>
      </c>
      <c r="E49" s="1104">
        <f t="shared" si="6"/>
        <v>11298</v>
      </c>
      <c r="F49" s="1141">
        <f t="shared" si="7"/>
        <v>104.02698916797655</v>
      </c>
      <c r="G49" s="1128"/>
      <c r="H49" s="1128"/>
      <c r="I49" s="1128"/>
      <c r="J49" s="1128"/>
      <c r="K49" s="1128"/>
    </row>
    <row r="50" spans="1:11" s="1153" customFormat="1">
      <c r="A50" s="1178"/>
      <c r="B50" s="476" t="s">
        <v>297</v>
      </c>
      <c r="C50" s="1104">
        <f>TPTV!C53+'Tra Cu'!C53+'Cau Ngang'!C53+'Chau Thanh'!C53+'Cau Ke'!C53+'Duyen Hai'!C53+'Tieu Can'!C53+'Cang Long'!C53+'TX Duyen Hai'!C53</f>
        <v>0</v>
      </c>
      <c r="D50" s="1104">
        <f>TPTV!D53+'Tra Cu'!D53+'Cau Ngang'!D53+'Chau Thanh'!D53+'Cau Ke'!D53+'Duyen Hai'!D53+'Tieu Can'!D53+'Cang Long'!D53+'TX Duyen Hai'!D53</f>
        <v>0</v>
      </c>
      <c r="E50" s="1104">
        <f t="shared" ref="E50:E54" si="10">D50-C50</f>
        <v>0</v>
      </c>
      <c r="F50" s="1141"/>
      <c r="G50" s="1128"/>
      <c r="H50" s="1128"/>
      <c r="I50" s="1128"/>
      <c r="J50" s="1128"/>
      <c r="K50" s="1128"/>
    </row>
    <row r="51" spans="1:11" s="1153" customFormat="1">
      <c r="A51" s="1178"/>
      <c r="B51" s="476" t="s">
        <v>298</v>
      </c>
      <c r="C51" s="1104">
        <f>TPTV!C54+'Tra Cu'!C54+'Cau Ngang'!C54+'Chau Thanh'!C54+'Cau Ke'!C54+'Duyen Hai'!C54+'Tieu Can'!C54+'Cang Long'!C54+'TX Duyen Hai'!C54</f>
        <v>84235</v>
      </c>
      <c r="D51" s="1104">
        <f>TPTV!D54+'Tra Cu'!D54+'Cau Ngang'!D54+'Chau Thanh'!D54+'Cau Ke'!D54+'Duyen Hai'!D54+'Tieu Can'!D54+'Cang Long'!D54+'TX Duyen Hai'!D54</f>
        <v>84235</v>
      </c>
      <c r="E51" s="1098">
        <f t="shared" si="10"/>
        <v>0</v>
      </c>
      <c r="F51" s="1141">
        <f t="shared" ref="F51:F54" si="11">D51/C51%</f>
        <v>100</v>
      </c>
      <c r="G51" s="1128"/>
      <c r="H51" s="1128"/>
      <c r="I51" s="1128"/>
      <c r="J51" s="1128"/>
      <c r="K51" s="1128"/>
    </row>
    <row r="52" spans="1:11" s="1153" customFormat="1">
      <c r="A52" s="1178"/>
      <c r="B52" s="476" t="s">
        <v>299</v>
      </c>
      <c r="C52" s="1104">
        <f>TPTV!C55+'Tra Cu'!C55+'Cau Ngang'!C55+'Chau Thanh'!C55+'Cau Ke'!C55+'Duyen Hai'!C55+'Tieu Can'!C55+'Cang Long'!C55+'TX Duyen Hai'!C55</f>
        <v>35010</v>
      </c>
      <c r="D52" s="1104">
        <f>TPTV!D55+'Tra Cu'!D55+'Cau Ngang'!D55+'Chau Thanh'!D55+'Cau Ke'!D55+'Duyen Hai'!D55+'Tieu Can'!D55+'Cang Long'!D55+'TX Duyen Hai'!D55</f>
        <v>35010</v>
      </c>
      <c r="E52" s="1098">
        <f t="shared" si="10"/>
        <v>0</v>
      </c>
      <c r="F52" s="1141">
        <f t="shared" si="11"/>
        <v>100</v>
      </c>
      <c r="G52" s="1128"/>
      <c r="H52" s="1128"/>
      <c r="I52" s="1128"/>
      <c r="J52" s="1128"/>
      <c r="K52" s="1128"/>
    </row>
    <row r="53" spans="1:11" s="1153" customFormat="1">
      <c r="A53" s="1178"/>
      <c r="B53" s="476" t="s">
        <v>300</v>
      </c>
      <c r="C53" s="1104">
        <f>TPTV!C56+'Tra Cu'!C56+'Cau Ngang'!C56+'Chau Thanh'!C56+'Cau Ke'!C56+'Duyen Hai'!C56+'Tieu Can'!C56+'Cang Long'!C56+'TX Duyen Hai'!C56</f>
        <v>10800</v>
      </c>
      <c r="D53" s="1104">
        <f>TPTV!D56+'Tra Cu'!D56+'Cau Ngang'!D56+'Chau Thanh'!D56+'Cau Ke'!D56+'Duyen Hai'!D56+'Tieu Can'!D56+'Cang Long'!D56+'TX Duyen Hai'!D56</f>
        <v>10800</v>
      </c>
      <c r="E53" s="1098">
        <f t="shared" si="10"/>
        <v>0</v>
      </c>
      <c r="F53" s="1141">
        <f t="shared" si="11"/>
        <v>100</v>
      </c>
      <c r="G53" s="1128"/>
      <c r="H53" s="1128"/>
      <c r="I53" s="1128"/>
      <c r="J53" s="1128"/>
      <c r="K53" s="1128"/>
    </row>
    <row r="54" spans="1:11" s="1153" customFormat="1">
      <c r="A54" s="1178"/>
      <c r="B54" s="476" t="s">
        <v>301</v>
      </c>
      <c r="C54" s="1104">
        <f>TPTV!C57+'Tra Cu'!C57+'Cau Ngang'!C57+'Chau Thanh'!C57+'Cau Ke'!C57+'Duyen Hai'!C57+'Tieu Can'!C57+'Cang Long'!C57+'TX Duyen Hai'!C57</f>
        <v>55000</v>
      </c>
      <c r="D54" s="1104">
        <f>TPTV!D57+'Tra Cu'!D57+'Cau Ngang'!D57+'Chau Thanh'!D57+'Cau Ke'!D57+'Duyen Hai'!D57+'Tieu Can'!D57+'Cang Long'!D57+'TX Duyen Hai'!D57</f>
        <v>55000</v>
      </c>
      <c r="E54" s="1098">
        <f t="shared" si="10"/>
        <v>0</v>
      </c>
      <c r="F54" s="1141">
        <f t="shared" si="11"/>
        <v>100</v>
      </c>
      <c r="G54" s="1128"/>
      <c r="H54" s="1128"/>
      <c r="I54" s="1128"/>
      <c r="J54" s="1128"/>
      <c r="K54" s="1128"/>
    </row>
    <row r="55" spans="1:11" s="1153" customFormat="1" ht="31.2">
      <c r="A55" s="1178"/>
      <c r="B55" s="476" t="s">
        <v>303</v>
      </c>
      <c r="C55" s="1104">
        <f>TPTV!C58+'Tra Cu'!C58+'Cau Ngang'!C58+'Chau Thanh'!C58+'Cau Ke'!C58+'Duyen Hai'!C58+'Tieu Can'!C58+'Cang Long'!C58+'TX Duyen Hai'!C58</f>
        <v>3900</v>
      </c>
      <c r="D55" s="1104">
        <f>TPTV!D58+'Tra Cu'!D58+'Cau Ngang'!D58+'Chau Thanh'!D58+'Cau Ke'!D58+'Duyen Hai'!D58+'Tieu Can'!D58+'Cang Long'!D58+'TX Duyen Hai'!D58</f>
        <v>5280</v>
      </c>
      <c r="E55" s="1104">
        <f t="shared" si="6"/>
        <v>1380</v>
      </c>
      <c r="F55" s="1141">
        <f t="shared" ref="F55:F57" si="12">D55/C55%</f>
        <v>135.38461538461539</v>
      </c>
      <c r="G55" s="1128"/>
      <c r="H55" s="1128"/>
      <c r="I55" s="1128"/>
      <c r="J55" s="1128"/>
      <c r="K55" s="1128"/>
    </row>
    <row r="56" spans="1:11" s="1153" customFormat="1">
      <c r="A56" s="1178"/>
      <c r="B56" s="476" t="s">
        <v>304</v>
      </c>
      <c r="C56" s="1104">
        <f>TPTV!C59+'Tra Cu'!C59+'Cau Ngang'!C59+'Chau Thanh'!C59+'Cau Ke'!C59+'Duyen Hai'!C59+'Tieu Can'!C59+'Cang Long'!C59+'TX Duyen Hai'!C59</f>
        <v>91612</v>
      </c>
      <c r="D56" s="1104">
        <f>TPTV!D59+'Tra Cu'!D59+'Cau Ngang'!D59+'Chau Thanh'!D59+'Cau Ke'!D59+'Duyen Hai'!D59+'Tieu Can'!D59+'Cang Long'!D59+'TX Duyen Hai'!D59</f>
        <v>101530</v>
      </c>
      <c r="E56" s="1104">
        <f t="shared" si="6"/>
        <v>9918</v>
      </c>
      <c r="F56" s="1141">
        <f t="shared" si="12"/>
        <v>110.82609265161769</v>
      </c>
      <c r="G56" s="1128"/>
      <c r="H56" s="1128"/>
      <c r="I56" s="1128"/>
      <c r="J56" s="1128"/>
      <c r="K56" s="1128"/>
    </row>
    <row r="57" spans="1:11" s="1153" customFormat="1">
      <c r="A57" s="1178" t="s">
        <v>875</v>
      </c>
      <c r="B57" s="464" t="s">
        <v>278</v>
      </c>
      <c r="C57" s="1104">
        <f>TPTV!C60+'Tra Cu'!C60+'Cau Ngang'!C60+'Chau Thanh'!C60+'Cau Ke'!C60+'Duyen Hai'!C60+'Tieu Can'!C60+'Cang Long'!C60+'TX Duyen Hai'!C60</f>
        <v>181323</v>
      </c>
      <c r="D57" s="1104">
        <f>TPTV!D60+'Tra Cu'!D60+'Cau Ngang'!D60+'Chau Thanh'!D60+'Cau Ke'!D60+'Duyen Hai'!D60+'Tieu Can'!D60+'Cang Long'!D60+'TX Duyen Hai'!D60</f>
        <v>181355</v>
      </c>
      <c r="E57" s="1104">
        <f t="shared" si="6"/>
        <v>32</v>
      </c>
      <c r="F57" s="1141">
        <f t="shared" si="12"/>
        <v>100.01764806450367</v>
      </c>
      <c r="G57" s="1128"/>
      <c r="H57" s="1128"/>
      <c r="I57" s="1128"/>
      <c r="J57" s="1128"/>
      <c r="K57" s="1128"/>
    </row>
    <row r="58" spans="1:11" s="1153" customFormat="1">
      <c r="A58" s="1194"/>
      <c r="B58" s="464" t="s">
        <v>290</v>
      </c>
      <c r="C58" s="1104">
        <f>TPTV!C61+'Tra Cu'!C61+'Cau Ngang'!C61+'Chau Thanh'!C61+'Cau Ke'!C61+'Duyen Hai'!C61+'Tieu Can'!C61+'Cang Long'!C61+'TX Duyen Hai'!C61</f>
        <v>0</v>
      </c>
      <c r="D58" s="1104">
        <f>TPTV!D61+'Tra Cu'!D61+'Cau Ngang'!D61+'Chau Thanh'!D61+'Cau Ke'!D61+'Duyen Hai'!D61+'Tieu Can'!D61+'Cang Long'!D61+'TX Duyen Hai'!D61</f>
        <v>0</v>
      </c>
      <c r="E58" s="1104">
        <f t="shared" si="6"/>
        <v>0</v>
      </c>
      <c r="F58" s="1141"/>
      <c r="G58" s="1128"/>
      <c r="H58" s="1128"/>
      <c r="I58" s="1128"/>
      <c r="J58" s="1128"/>
      <c r="K58" s="1128"/>
    </row>
    <row r="59" spans="1:11" s="1153" customFormat="1">
      <c r="A59" s="1194"/>
      <c r="B59" s="484" t="s">
        <v>305</v>
      </c>
      <c r="C59" s="1104">
        <f>TPTV!C62+'Tra Cu'!C62+'Cau Ngang'!C62+'Chau Thanh'!C62+'Cau Ke'!C62+'Duyen Hai'!C62+'Tieu Can'!C62+'Cang Long'!C62+'TX Duyen Hai'!C62</f>
        <v>27140</v>
      </c>
      <c r="D59" s="1104">
        <f>TPTV!D62+'Tra Cu'!D62+'Cau Ngang'!D62+'Chau Thanh'!D62+'Cau Ke'!D62+'Duyen Hai'!D62+'Tieu Can'!D62+'Cang Long'!D62+'TX Duyen Hai'!D62</f>
        <v>27172</v>
      </c>
      <c r="E59" s="1104">
        <f t="shared" si="6"/>
        <v>32</v>
      </c>
      <c r="F59" s="1141">
        <f t="shared" ref="F59:F67" si="13">D59/C59%</f>
        <v>100.11790714812086</v>
      </c>
      <c r="G59" s="1128"/>
      <c r="H59" s="1128"/>
      <c r="I59" s="1128"/>
      <c r="J59" s="1128"/>
      <c r="K59" s="1128"/>
    </row>
    <row r="60" spans="1:11" s="1153" customFormat="1" ht="16.2">
      <c r="A60" s="1196"/>
      <c r="B60" s="484" t="s">
        <v>306</v>
      </c>
      <c r="C60" s="1104">
        <f>TPTV!C63+'Tra Cu'!C63+'Cau Ngang'!C63+'Chau Thanh'!C63+'Cau Ke'!C63+'Duyen Hai'!C63+'Tieu Can'!C63+'Cang Long'!C63+'TX Duyen Hai'!C63</f>
        <v>7082</v>
      </c>
      <c r="D60" s="1104">
        <f>TPTV!D63+'Tra Cu'!D63+'Cau Ngang'!D63+'Chau Thanh'!D63+'Cau Ke'!D63+'Duyen Hai'!D63+'Tieu Can'!D63+'Cang Long'!D63+'TX Duyen Hai'!D63</f>
        <v>7082</v>
      </c>
      <c r="E60" s="1104">
        <f t="shared" si="6"/>
        <v>0</v>
      </c>
      <c r="F60" s="1141">
        <f t="shared" si="13"/>
        <v>100.00000000000001</v>
      </c>
      <c r="G60" s="1128"/>
      <c r="H60" s="1128"/>
      <c r="I60" s="1128"/>
      <c r="J60" s="1128"/>
      <c r="K60" s="1128"/>
    </row>
    <row r="61" spans="1:11" s="1153" customFormat="1" ht="16.2">
      <c r="A61" s="1196"/>
      <c r="B61" s="476" t="s">
        <v>307</v>
      </c>
      <c r="C61" s="1104">
        <f>TPTV!C64+'Tra Cu'!C64+'Cau Ngang'!C64+'Chau Thanh'!C64+'Cau Ke'!C64+'Duyen Hai'!C64+'Tieu Can'!C64+'Cang Long'!C64+'TX Duyen Hai'!C64</f>
        <v>137051</v>
      </c>
      <c r="D61" s="1104">
        <f>TPTV!D64+'Tra Cu'!D64+'Cau Ngang'!D64+'Chau Thanh'!D64+'Cau Ke'!D64+'Duyen Hai'!D64+'Tieu Can'!D64+'Cang Long'!D64+'TX Duyen Hai'!D64</f>
        <v>147101</v>
      </c>
      <c r="E61" s="1104">
        <f t="shared" si="6"/>
        <v>10050</v>
      </c>
      <c r="F61" s="1141">
        <f t="shared" si="13"/>
        <v>107.33303660681061</v>
      </c>
      <c r="G61" s="1128"/>
      <c r="H61" s="1128"/>
      <c r="I61" s="1128"/>
      <c r="J61" s="1128"/>
      <c r="K61" s="1128"/>
    </row>
    <row r="62" spans="1:11" s="1153" customFormat="1" ht="16.2">
      <c r="A62" s="1196"/>
      <c r="B62" s="476" t="s">
        <v>308</v>
      </c>
      <c r="C62" s="1104">
        <f>TPTV!C65+'Tra Cu'!C65+'Cau Ngang'!C65+'Chau Thanh'!C65+'Cau Ke'!C65+'Duyen Hai'!C65+'Tieu Can'!C65+'Cang Long'!C65+'TX Duyen Hai'!C65</f>
        <v>10050</v>
      </c>
      <c r="D62" s="1104">
        <f>TPTV!D65+'Tra Cu'!D65+'Cau Ngang'!D65+'Chau Thanh'!D65+'Cau Ke'!D65+'Duyen Hai'!D65+'Tieu Can'!D65+'Cang Long'!D65+'TX Duyen Hai'!D65</f>
        <v>0</v>
      </c>
      <c r="E62" s="1104">
        <f t="shared" si="6"/>
        <v>-10050</v>
      </c>
      <c r="F62" s="1141">
        <f t="shared" si="13"/>
        <v>0</v>
      </c>
      <c r="G62" s="1128"/>
      <c r="H62" s="1128"/>
      <c r="I62" s="1128"/>
      <c r="J62" s="1128"/>
      <c r="K62" s="1128"/>
    </row>
    <row r="63" spans="1:11" s="1153" customFormat="1" ht="31.2">
      <c r="A63" s="1178" t="s">
        <v>876</v>
      </c>
      <c r="B63" s="464" t="s">
        <v>277</v>
      </c>
      <c r="C63" s="1104">
        <f>TPTV!C66+'Tra Cu'!C66+'Cau Ngang'!C66+'Chau Thanh'!C66+'Cau Ke'!C66+'Duyen Hai'!C66+'Tieu Can'!C66+'Cang Long'!C66+'TX Duyen Hai'!C66</f>
        <v>773111</v>
      </c>
      <c r="D63" s="1104">
        <f>TPTV!D66+'Tra Cu'!D66+'Cau Ngang'!D66+'Chau Thanh'!D66+'Cau Ke'!D66+'Duyen Hai'!D66+'Tieu Can'!D66+'Cang Long'!D66+'TX Duyen Hai'!D66</f>
        <v>855775</v>
      </c>
      <c r="E63" s="1104">
        <f t="shared" si="6"/>
        <v>82664</v>
      </c>
      <c r="F63" s="1141">
        <f t="shared" si="13"/>
        <v>110.69238440534413</v>
      </c>
      <c r="G63" s="1128"/>
      <c r="H63" s="1128"/>
      <c r="I63" s="1128"/>
      <c r="J63" s="1128"/>
      <c r="K63" s="1128">
        <f>E63/2</f>
        <v>41332</v>
      </c>
    </row>
    <row r="64" spans="1:11" s="1153" customFormat="1">
      <c r="A64" s="1178" t="s">
        <v>877</v>
      </c>
      <c r="B64" s="464" t="s">
        <v>720</v>
      </c>
      <c r="C64" s="1104">
        <f>TPTV!C67+'Tra Cu'!C67+'Cau Ngang'!C67+'Chau Thanh'!C67+'Cau Ke'!C67+'Duyen Hai'!C67+'Tieu Can'!C67+'Cang Long'!C67+'TX Duyen Hai'!C67</f>
        <v>29873</v>
      </c>
      <c r="D64" s="1104">
        <f>TPTV!D67+'Tra Cu'!D67+'Cau Ngang'!D67+'Chau Thanh'!D67+'Cau Ke'!D67+'Duyen Hai'!D67+'Tieu Can'!D67+'Cang Long'!D67+'TX Duyen Hai'!D67</f>
        <v>25424</v>
      </c>
      <c r="E64" s="1104">
        <f t="shared" si="6"/>
        <v>-4449</v>
      </c>
      <c r="F64" s="1141">
        <f t="shared" si="13"/>
        <v>85.106952766712411</v>
      </c>
      <c r="G64" s="1128"/>
      <c r="H64" s="1128"/>
      <c r="I64" s="1128"/>
      <c r="J64" s="1128"/>
      <c r="K64" s="1128"/>
    </row>
    <row r="65" spans="1:11" s="1153" customFormat="1">
      <c r="A65" s="1178" t="s">
        <v>878</v>
      </c>
      <c r="B65" s="487" t="s">
        <v>819</v>
      </c>
      <c r="C65" s="1104">
        <f>TPTV!C68+'Tra Cu'!C68+'Cau Ngang'!C68+'Chau Thanh'!C68+'Cau Ke'!C68+'Duyen Hai'!C68+'Tieu Can'!C68+'Cang Long'!C68+'TX Duyen Hai'!C68</f>
        <v>0</v>
      </c>
      <c r="D65" s="1104">
        <f>TPTV!D68+'Tra Cu'!D68+'Cau Ngang'!D68+'Chau Thanh'!D68+'Cau Ke'!D68+'Duyen Hai'!D68+'Tieu Can'!D68+'Cang Long'!D68+'TX Duyen Hai'!D68</f>
        <v>0</v>
      </c>
      <c r="E65" s="1104">
        <f t="shared" si="6"/>
        <v>0</v>
      </c>
      <c r="F65" s="1141"/>
      <c r="G65" s="1128"/>
      <c r="H65" s="1128"/>
      <c r="I65" s="1128"/>
      <c r="J65" s="1128"/>
      <c r="K65" s="1128"/>
    </row>
    <row r="66" spans="1:11" s="3" customFormat="1">
      <c r="A66" s="1144">
        <v>3</v>
      </c>
      <c r="B66" s="1166" t="s">
        <v>320</v>
      </c>
      <c r="C66" s="1102">
        <f>TPTV!C69+'Tra Cu'!C69+'Cau Ngang'!C69+'Chau Thanh'!C69+'Cau Ke'!C69+'Duyen Hai'!C69+'Tieu Can'!C69+'Cang Long'!C69+'TX Duyen Hai'!C69</f>
        <v>74014</v>
      </c>
      <c r="D66" s="1102">
        <f>TPTV!D69+'Tra Cu'!D69+'Cau Ngang'!D69+'Chau Thanh'!D69+'Cau Ke'!D69+'Duyen Hai'!D69+'Tieu Can'!D69+'Cang Long'!D69+'TX Duyen Hai'!D69</f>
        <v>87269</v>
      </c>
      <c r="E66" s="1102">
        <f t="shared" si="6"/>
        <v>13255</v>
      </c>
      <c r="F66" s="1136">
        <f t="shared" si="13"/>
        <v>117.90877401572676</v>
      </c>
      <c r="G66" s="1128">
        <f>D8*2.01%</f>
        <v>87270.280499999979</v>
      </c>
      <c r="H66" s="1128"/>
      <c r="I66" s="1128"/>
      <c r="J66" s="1128"/>
      <c r="K66" s="1128"/>
    </row>
    <row r="67" spans="1:11" s="3" customFormat="1">
      <c r="A67" s="1144" t="s">
        <v>315</v>
      </c>
      <c r="B67" s="1171" t="s">
        <v>818</v>
      </c>
      <c r="C67" s="1102">
        <f>TPTV!C70+'Tra Cu'!C70+'Cau Ngang'!C70+'Chau Thanh'!C70+'Cau Ke'!C70+'Duyen Hai'!C70+'Tieu Can'!C70+'Cang Long'!C70+'TX Duyen Hai'!C70</f>
        <v>92952</v>
      </c>
      <c r="D67" s="1102">
        <f>TPTV!D70+'Tra Cu'!D70+'Cau Ngang'!D70+'Chau Thanh'!D70+'Cau Ke'!D70+'Duyen Hai'!D70+'Tieu Can'!D70+'Cang Long'!D70+'TX Duyen Hai'!D70</f>
        <v>498307</v>
      </c>
      <c r="E67" s="1102">
        <f t="shared" si="6"/>
        <v>405355</v>
      </c>
      <c r="F67" s="1136">
        <f t="shared" si="13"/>
        <v>536.09067045356744</v>
      </c>
      <c r="G67" s="1128"/>
      <c r="H67" s="1128"/>
      <c r="I67" s="1128"/>
      <c r="J67" s="1128"/>
      <c r="K67" s="1128"/>
    </row>
    <row r="68" spans="1:11" s="3" customFormat="1" ht="17.25" customHeight="1">
      <c r="A68" s="1154"/>
      <c r="B68" s="1172" t="s">
        <v>15</v>
      </c>
      <c r="C68" s="1102">
        <f>TPTV!C71+'Tra Cu'!C71+'Cau Ngang'!C71+'Chau Thanh'!C71+'Cau Ke'!C71+'Duyen Hai'!C71+'Tieu Can'!C71+'Cang Long'!C71+'TX Duyen Hai'!C71</f>
        <v>3682315.84</v>
      </c>
      <c r="D68" s="1102">
        <f>TPTV!D71+'Tra Cu'!D71+'Cau Ngang'!D71+'Chau Thanh'!D71+'Cau Ke'!D71+'Duyen Hai'!D71+'Tieu Can'!D71+'Cang Long'!D71+'TX Duyen Hai'!D71</f>
        <v>4341805</v>
      </c>
      <c r="E68" s="1102">
        <f t="shared" ref="E68:E69" si="14">D68-C68</f>
        <v>659489.16000000015</v>
      </c>
      <c r="F68" s="1136">
        <f t="shared" ref="F68:F69" si="15">D68/C68%</f>
        <v>117.90963047862836</v>
      </c>
      <c r="G68" s="1128"/>
      <c r="H68" s="1128"/>
      <c r="I68" s="1128"/>
      <c r="J68" s="1128"/>
      <c r="K68" s="1128"/>
    </row>
    <row r="69" spans="1:11" s="1148" customFormat="1">
      <c r="A69" s="1155"/>
      <c r="B69" s="1173" t="s">
        <v>11</v>
      </c>
      <c r="C69" s="1102">
        <f>TPTV!C72+'Tra Cu'!C72+'Cau Ngang'!C72+'Chau Thanh'!C72+'Cau Ke'!C72+'Duyen Hai'!C72+'Tieu Can'!C72+'Cang Long'!C72+'TX Duyen Hai'!C72</f>
        <v>53193</v>
      </c>
      <c r="D69" s="1102">
        <f>TPTV!D72+'Tra Cu'!D72+'Cau Ngang'!D72+'Chau Thanh'!D72+'Cau Ke'!D72+'Duyen Hai'!D72+'Tieu Can'!D72+'Cang Long'!D72+'TX Duyen Hai'!D72</f>
        <v>54223.5</v>
      </c>
      <c r="E69" s="1102">
        <f t="shared" si="14"/>
        <v>1030.5</v>
      </c>
      <c r="F69" s="1136">
        <f t="shared" si="15"/>
        <v>101.93728498110654</v>
      </c>
      <c r="G69" s="1128"/>
      <c r="H69" s="1128"/>
      <c r="I69" s="1128"/>
      <c r="J69" s="1128"/>
      <c r="K69" s="1128"/>
    </row>
    <row r="70" spans="1:11" s="1156" customFormat="1">
      <c r="A70" s="1128"/>
      <c r="B70" s="1174"/>
      <c r="C70" s="1128"/>
      <c r="D70" s="1128"/>
      <c r="E70" s="1128"/>
      <c r="F70" s="1128"/>
      <c r="G70" s="1128"/>
      <c r="H70" s="1128"/>
      <c r="I70" s="1128"/>
      <c r="J70" s="1128"/>
      <c r="K70" s="1128"/>
    </row>
    <row r="71" spans="1:11">
      <c r="A71" s="1128"/>
      <c r="B71" s="1174"/>
      <c r="C71" s="1128"/>
      <c r="D71" s="1128"/>
      <c r="E71" s="1128"/>
      <c r="F71" s="1128"/>
      <c r="G71" s="1128"/>
      <c r="H71" s="1128"/>
      <c r="I71" s="1128"/>
      <c r="J71" s="1128"/>
      <c r="K71" s="1128"/>
    </row>
    <row r="72" spans="1:11">
      <c r="A72" s="1128"/>
      <c r="B72" s="1174"/>
      <c r="C72" s="1128"/>
      <c r="D72" s="1128"/>
      <c r="E72" s="1128"/>
      <c r="F72" s="1128"/>
      <c r="G72" s="1128"/>
    </row>
    <row r="73" spans="1:11" s="24" customFormat="1">
      <c r="A73" s="1128"/>
      <c r="B73" s="1174"/>
      <c r="C73" s="1128"/>
      <c r="D73" s="1128"/>
      <c r="E73" s="1128"/>
      <c r="F73" s="1128"/>
      <c r="G73" s="1128"/>
      <c r="I73" s="25"/>
    </row>
    <row r="74" spans="1:11" s="24" customFormat="1">
      <c r="B74" s="1175"/>
      <c r="E74" s="3126"/>
      <c r="F74" s="3126"/>
      <c r="H74" s="3126"/>
      <c r="I74" s="3126"/>
      <c r="J74" s="3126"/>
    </row>
    <row r="75" spans="1:11" s="24" customFormat="1">
      <c r="B75" s="1175"/>
      <c r="E75" s="49"/>
      <c r="F75" s="1117"/>
      <c r="H75" s="1117"/>
      <c r="I75" s="1117"/>
      <c r="J75" s="1117"/>
    </row>
    <row r="76" spans="1:11" s="24" customFormat="1">
      <c r="B76" s="1175"/>
      <c r="E76" s="49"/>
      <c r="F76" s="1117"/>
      <c r="H76" s="1117"/>
      <c r="I76" s="1117"/>
      <c r="J76" s="1117"/>
    </row>
    <row r="77" spans="1:11" s="24" customFormat="1">
      <c r="B77" s="1175"/>
      <c r="E77" s="48"/>
      <c r="I77" s="25"/>
    </row>
    <row r="78" spans="1:11" s="26" customFormat="1">
      <c r="B78" s="1176"/>
      <c r="E78" s="50"/>
      <c r="I78" s="27"/>
    </row>
    <row r="79" spans="1:11" s="1157" customFormat="1">
      <c r="B79" s="3127"/>
      <c r="C79" s="3127"/>
      <c r="E79" s="3128"/>
      <c r="F79" s="3128"/>
      <c r="H79" s="3128"/>
      <c r="I79" s="3128"/>
      <c r="J79" s="3128"/>
    </row>
  </sheetData>
  <mergeCells count="14">
    <mergeCell ref="A5:A6"/>
    <mergeCell ref="E1:F1"/>
    <mergeCell ref="E74:F74"/>
    <mergeCell ref="H74:J74"/>
    <mergeCell ref="B79:C79"/>
    <mergeCell ref="E79:F79"/>
    <mergeCell ref="H79:J79"/>
    <mergeCell ref="B2:F2"/>
    <mergeCell ref="B3:F3"/>
    <mergeCell ref="E4:F4"/>
    <mergeCell ref="B5:B6"/>
    <mergeCell ref="D5:D6"/>
    <mergeCell ref="E5:F5"/>
    <mergeCell ref="C5:C6"/>
  </mergeCells>
  <pageMargins left="0.56999999999999995" right="0.23622047244094491" top="0.83" bottom="0.56000000000000005" header="0.59" footer="0.31496062992125984"/>
  <pageSetup paperSize="9" scale="7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B140" sqref="B140"/>
    </sheetView>
  </sheetViews>
  <sheetFormatPr defaultRowHeight="14.4"/>
  <cols>
    <col min="1" max="1" width="40.5546875" customWidth="1"/>
    <col min="2" max="2" width="16.6640625" customWidth="1"/>
    <col min="3" max="3" width="17.109375" customWidth="1"/>
    <col min="4" max="4" width="11.88671875" hidden="1" customWidth="1"/>
    <col min="5" max="5" width="13.33203125" hidden="1" customWidth="1"/>
    <col min="6" max="6" width="12.88671875" hidden="1" customWidth="1"/>
    <col min="7" max="7" width="15.33203125" hidden="1" customWidth="1"/>
  </cols>
  <sheetData>
    <row r="1" spans="1:8">
      <c r="A1" s="126"/>
      <c r="B1" s="127"/>
      <c r="C1" s="147" t="s">
        <v>112</v>
      </c>
      <c r="D1" s="127"/>
      <c r="E1" s="127"/>
      <c r="F1" s="128"/>
      <c r="G1" s="146"/>
      <c r="H1" s="128"/>
    </row>
    <row r="2" spans="1:8">
      <c r="A2" s="126"/>
      <c r="B2" s="127"/>
      <c r="C2" s="127"/>
      <c r="D2" s="127"/>
      <c r="E2" s="127"/>
      <c r="F2" s="126"/>
      <c r="G2" s="126"/>
      <c r="H2" s="126"/>
    </row>
    <row r="3" spans="1:8">
      <c r="A3" s="3138" t="s">
        <v>94</v>
      </c>
      <c r="B3" s="3138"/>
      <c r="C3" s="3138"/>
      <c r="D3" s="3138"/>
      <c r="E3" s="3138"/>
      <c r="F3" s="3138"/>
      <c r="G3" s="3138"/>
      <c r="H3" s="130"/>
    </row>
    <row r="4" spans="1:8">
      <c r="A4" s="126"/>
      <c r="B4" s="127"/>
      <c r="C4" s="127"/>
      <c r="D4" s="126"/>
      <c r="E4" s="127"/>
      <c r="F4" s="126"/>
      <c r="G4" s="126"/>
      <c r="H4" s="126"/>
    </row>
    <row r="5" spans="1:8">
      <c r="A5" s="126"/>
      <c r="B5" s="129"/>
      <c r="C5" s="129"/>
      <c r="D5" s="129"/>
      <c r="E5" s="129"/>
      <c r="F5" s="129"/>
      <c r="G5" s="129"/>
    </row>
    <row r="6" spans="1:8">
      <c r="A6" s="131" t="s">
        <v>103</v>
      </c>
      <c r="B6" s="132" t="s">
        <v>108</v>
      </c>
      <c r="C6" s="132" t="s">
        <v>107</v>
      </c>
      <c r="D6" s="132" t="s">
        <v>104</v>
      </c>
      <c r="E6" s="132" t="s">
        <v>106</v>
      </c>
      <c r="F6" s="132" t="s">
        <v>105</v>
      </c>
      <c r="G6" s="132" t="s">
        <v>40</v>
      </c>
    </row>
    <row r="7" spans="1:8">
      <c r="A7" s="133" t="s">
        <v>95</v>
      </c>
      <c r="B7" s="183">
        <v>2178355000</v>
      </c>
      <c r="C7" s="183">
        <f>B7*70%</f>
        <v>1524848500</v>
      </c>
      <c r="D7" s="134"/>
      <c r="E7" s="134"/>
      <c r="F7" s="134">
        <v>167200000</v>
      </c>
      <c r="G7" s="135">
        <v>2345555000</v>
      </c>
    </row>
    <row r="8" spans="1:8">
      <c r="A8" s="136" t="s">
        <v>96</v>
      </c>
      <c r="B8" s="183">
        <v>2273989000</v>
      </c>
      <c r="C8" s="183">
        <f t="shared" ref="C8:C15" si="0">B8*70%</f>
        <v>1591792300</v>
      </c>
      <c r="D8" s="134"/>
      <c r="E8" s="134">
        <v>17552000</v>
      </c>
      <c r="F8" s="134">
        <v>75193000</v>
      </c>
      <c r="G8" s="135">
        <v>2366734000</v>
      </c>
    </row>
    <row r="9" spans="1:8">
      <c r="A9" s="136" t="s">
        <v>97</v>
      </c>
      <c r="B9" s="183">
        <v>1658580000</v>
      </c>
      <c r="C9" s="183">
        <f t="shared" si="0"/>
        <v>1161006000</v>
      </c>
      <c r="D9" s="134"/>
      <c r="E9" s="134"/>
      <c r="F9" s="134">
        <v>16190000</v>
      </c>
      <c r="G9" s="135">
        <v>1674770000</v>
      </c>
    </row>
    <row r="10" spans="1:8">
      <c r="A10" s="133" t="s">
        <v>98</v>
      </c>
      <c r="B10" s="183">
        <v>1281851000</v>
      </c>
      <c r="C10" s="183">
        <f t="shared" si="0"/>
        <v>897295700</v>
      </c>
      <c r="D10" s="134"/>
      <c r="E10" s="134"/>
      <c r="F10" s="134">
        <v>6602000</v>
      </c>
      <c r="G10" s="135">
        <v>1288453000</v>
      </c>
    </row>
    <row r="11" spans="1:8">
      <c r="A11" s="133" t="s">
        <v>99</v>
      </c>
      <c r="B11" s="183">
        <v>2387970000</v>
      </c>
      <c r="C11" s="183">
        <f t="shared" si="0"/>
        <v>1671579000</v>
      </c>
      <c r="D11" s="134"/>
      <c r="E11" s="134">
        <v>51000000</v>
      </c>
      <c r="F11" s="134">
        <v>25895000</v>
      </c>
      <c r="G11" s="135">
        <v>2464865000</v>
      </c>
    </row>
    <row r="12" spans="1:8">
      <c r="A12" s="133" t="s">
        <v>100</v>
      </c>
      <c r="B12" s="183">
        <v>3211875000</v>
      </c>
      <c r="C12" s="183">
        <f t="shared" si="0"/>
        <v>2248312500</v>
      </c>
      <c r="D12" s="134"/>
      <c r="E12" s="134"/>
      <c r="F12" s="134">
        <v>46880000</v>
      </c>
      <c r="G12" s="135">
        <v>3258755000</v>
      </c>
    </row>
    <row r="13" spans="1:8">
      <c r="A13" s="133" t="s">
        <v>101</v>
      </c>
      <c r="B13" s="183">
        <v>1270805000</v>
      </c>
      <c r="C13" s="183">
        <f t="shared" si="0"/>
        <v>889563500</v>
      </c>
      <c r="D13" s="134">
        <v>8900000</v>
      </c>
      <c r="E13" s="134">
        <v>24500000</v>
      </c>
      <c r="F13" s="134">
        <v>24490000</v>
      </c>
      <c r="G13" s="135">
        <v>1328695000</v>
      </c>
    </row>
    <row r="14" spans="1:8">
      <c r="A14" s="136" t="s">
        <v>36</v>
      </c>
      <c r="B14" s="183">
        <v>2587855000</v>
      </c>
      <c r="C14" s="183">
        <f t="shared" si="0"/>
        <v>1811498500</v>
      </c>
      <c r="D14" s="134"/>
      <c r="E14" s="134">
        <v>199900000</v>
      </c>
      <c r="F14" s="134">
        <v>320000</v>
      </c>
      <c r="G14" s="135">
        <v>2788075000</v>
      </c>
    </row>
    <row r="15" spans="1:8">
      <c r="A15" s="133" t="s">
        <v>102</v>
      </c>
      <c r="B15" s="183">
        <v>4871840000</v>
      </c>
      <c r="C15" s="183">
        <f t="shared" si="0"/>
        <v>3410288000</v>
      </c>
      <c r="D15" s="134"/>
      <c r="E15" s="134">
        <v>4000000</v>
      </c>
      <c r="F15" s="134"/>
      <c r="G15" s="135">
        <v>4875840000</v>
      </c>
    </row>
    <row r="16" spans="1:8">
      <c r="A16" s="137" t="s">
        <v>40</v>
      </c>
      <c r="B16" s="184">
        <v>21723120000</v>
      </c>
      <c r="C16" s="184">
        <f>SUM(C7:C15)</f>
        <v>15206184000</v>
      </c>
      <c r="D16" s="135">
        <v>8900000</v>
      </c>
      <c r="E16" s="135">
        <v>296952000</v>
      </c>
      <c r="F16" s="135">
        <v>362770000</v>
      </c>
      <c r="G16" s="135">
        <v>22391742000</v>
      </c>
    </row>
  </sheetData>
  <mergeCells count="1">
    <mergeCell ref="A3:G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4"/>
  <sheetViews>
    <sheetView zoomScale="85" zoomScaleNormal="85" workbookViewId="0">
      <pane xSplit="2" ySplit="7" topLeftCell="C15" activePane="bottomRight" state="frozen"/>
      <selection activeCell="B140" sqref="B140"/>
      <selection pane="topRight" activeCell="B140" sqref="B140"/>
      <selection pane="bottomLeft" activeCell="B140" sqref="B140"/>
      <selection pane="bottomRight" activeCell="B140" sqref="B140"/>
    </sheetView>
  </sheetViews>
  <sheetFormatPr defaultColWidth="8.88671875" defaultRowHeight="15.6"/>
  <cols>
    <col min="1" max="1" width="5.6640625" style="308" customWidth="1"/>
    <col min="2" max="2" width="99.33203125" style="308" customWidth="1"/>
    <col min="3" max="3" width="13.33203125" style="308" customWidth="1"/>
    <col min="4" max="5" width="14.109375" style="308" customWidth="1"/>
    <col min="6" max="6" width="12.6640625" style="308" customWidth="1"/>
    <col min="7" max="7" width="11.33203125" style="308" customWidth="1"/>
    <col min="8" max="8" width="11.6640625" style="308" customWidth="1"/>
    <col min="9" max="9" width="10.33203125" style="308" customWidth="1"/>
    <col min="10" max="10" width="11" style="308" customWidth="1"/>
    <col min="11" max="11" width="11.109375" style="308" customWidth="1"/>
    <col min="12" max="12" width="11.44140625" style="308" customWidth="1"/>
    <col min="13" max="13" width="16" style="308" hidden="1" customWidth="1"/>
    <col min="14" max="14" width="18.33203125" style="308" hidden="1" customWidth="1"/>
    <col min="15" max="15" width="29.6640625" style="308" customWidth="1"/>
    <col min="16" max="16" width="21" style="308" customWidth="1"/>
    <col min="17" max="16384" width="8.88671875" style="308"/>
  </cols>
  <sheetData>
    <row r="1" spans="1:15" s="155" customFormat="1" ht="22.2" customHeight="1">
      <c r="A1" s="153"/>
      <c r="B1" s="154"/>
      <c r="C1" s="182">
        <f>C3-C17-C16</f>
        <v>60082</v>
      </c>
      <c r="D1" s="182">
        <f>D3-D17-D16</f>
        <v>5443</v>
      </c>
      <c r="E1" s="182">
        <f t="shared" ref="E1:L1" si="0">E3-E17-E16</f>
        <v>9001</v>
      </c>
      <c r="F1" s="182">
        <f t="shared" si="0"/>
        <v>12761</v>
      </c>
      <c r="G1" s="182">
        <f t="shared" si="0"/>
        <v>4953</v>
      </c>
      <c r="H1" s="182">
        <f t="shared" si="0"/>
        <v>9171</v>
      </c>
      <c r="I1" s="182">
        <f t="shared" si="0"/>
        <v>9296</v>
      </c>
      <c r="J1" s="182">
        <f t="shared" si="0"/>
        <v>7136</v>
      </c>
      <c r="K1" s="182">
        <f t="shared" si="0"/>
        <v>1522</v>
      </c>
      <c r="L1" s="182">
        <f t="shared" si="0"/>
        <v>799</v>
      </c>
      <c r="M1" s="156"/>
      <c r="N1" s="156"/>
    </row>
    <row r="2" spans="1:15" s="155" customFormat="1" ht="26.25" customHeight="1">
      <c r="A2" s="3139" t="s">
        <v>48</v>
      </c>
      <c r="B2" s="3139"/>
      <c r="C2" s="3139"/>
      <c r="D2" s="3139"/>
      <c r="E2" s="3139"/>
      <c r="F2" s="3139"/>
      <c r="G2" s="3139"/>
      <c r="H2" s="3139"/>
      <c r="I2" s="3139"/>
      <c r="J2" s="3139"/>
      <c r="K2" s="3139"/>
      <c r="L2" s="3139"/>
      <c r="M2" s="156"/>
      <c r="N2" s="156"/>
    </row>
    <row r="3" spans="1:15" s="160" customFormat="1" ht="19.95" customHeight="1">
      <c r="A3" s="1745" t="s">
        <v>589</v>
      </c>
      <c r="B3" s="1746" t="s">
        <v>1045</v>
      </c>
      <c r="C3" s="1747">
        <f>C7-C18-C19-C22-C23-C24</f>
        <v>130706</v>
      </c>
      <c r="D3" s="1747">
        <f t="shared" ref="D3:N3" si="1">D7-D18-D19-D22-D23-D24</f>
        <v>9443</v>
      </c>
      <c r="E3" s="1747">
        <f t="shared" si="1"/>
        <v>14001</v>
      </c>
      <c r="F3" s="1747">
        <f t="shared" si="1"/>
        <v>27385</v>
      </c>
      <c r="G3" s="1747">
        <f t="shared" si="1"/>
        <v>28953</v>
      </c>
      <c r="H3" s="1747">
        <f t="shared" si="1"/>
        <v>13171</v>
      </c>
      <c r="I3" s="1747">
        <f t="shared" si="1"/>
        <v>13296</v>
      </c>
      <c r="J3" s="1747">
        <f t="shared" si="1"/>
        <v>11136</v>
      </c>
      <c r="K3" s="1747">
        <f t="shared" si="1"/>
        <v>6522</v>
      </c>
      <c r="L3" s="1747">
        <f t="shared" si="1"/>
        <v>6799</v>
      </c>
      <c r="M3" s="158">
        <f t="shared" si="1"/>
        <v>77244</v>
      </c>
      <c r="N3" s="158">
        <f t="shared" si="1"/>
        <v>17240</v>
      </c>
    </row>
    <row r="4" spans="1:15" s="155" customFormat="1" ht="45.75" customHeight="1">
      <c r="A4" s="1742" t="s">
        <v>49</v>
      </c>
      <c r="B4" s="1743" t="s">
        <v>39</v>
      </c>
      <c r="C4" s="1744" t="s">
        <v>40</v>
      </c>
      <c r="D4" s="1744" t="s">
        <v>47</v>
      </c>
      <c r="E4" s="1744" t="s">
        <v>45</v>
      </c>
      <c r="F4" s="1744" t="s">
        <v>42</v>
      </c>
      <c r="G4" s="1744" t="s">
        <v>46</v>
      </c>
      <c r="H4" s="1744" t="s">
        <v>44</v>
      </c>
      <c r="I4" s="1744" t="s">
        <v>43</v>
      </c>
      <c r="J4" s="1744" t="s">
        <v>50</v>
      </c>
      <c r="K4" s="1744" t="s">
        <v>51</v>
      </c>
      <c r="L4" s="1744" t="s">
        <v>41</v>
      </c>
      <c r="M4" s="161" t="s">
        <v>52</v>
      </c>
      <c r="N4" s="162" t="s">
        <v>53</v>
      </c>
      <c r="O4" s="399" t="s">
        <v>245</v>
      </c>
    </row>
    <row r="5" spans="1:15" s="165" customFormat="1">
      <c r="A5" s="316" t="s">
        <v>80</v>
      </c>
      <c r="B5" s="317" t="s">
        <v>81</v>
      </c>
      <c r="C5" s="316">
        <v>1</v>
      </c>
      <c r="D5" s="316">
        <v>2</v>
      </c>
      <c r="E5" s="316">
        <v>3</v>
      </c>
      <c r="F5" s="316">
        <v>4</v>
      </c>
      <c r="G5" s="316">
        <v>5</v>
      </c>
      <c r="H5" s="316">
        <v>6</v>
      </c>
      <c r="I5" s="316">
        <v>7</v>
      </c>
      <c r="J5" s="316">
        <v>8</v>
      </c>
      <c r="K5" s="316">
        <v>9</v>
      </c>
      <c r="L5" s="316">
        <v>10</v>
      </c>
      <c r="M5" s="164"/>
      <c r="N5" s="105"/>
    </row>
    <row r="6" spans="1:15" s="302" customFormat="1" ht="23.25" customHeight="1">
      <c r="A6" s="309"/>
      <c r="B6" s="310" t="s">
        <v>40</v>
      </c>
      <c r="C6" s="311">
        <f t="shared" ref="C6:N6" si="2">C7+C31</f>
        <v>591507</v>
      </c>
      <c r="D6" s="311">
        <f t="shared" si="2"/>
        <v>48527</v>
      </c>
      <c r="E6" s="311">
        <f t="shared" si="2"/>
        <v>58361</v>
      </c>
      <c r="F6" s="311">
        <f t="shared" si="2"/>
        <v>165195</v>
      </c>
      <c r="G6" s="311">
        <f t="shared" si="2"/>
        <v>62490</v>
      </c>
      <c r="H6" s="311">
        <f t="shared" si="2"/>
        <v>68125</v>
      </c>
      <c r="I6" s="311">
        <f t="shared" si="2"/>
        <v>75465</v>
      </c>
      <c r="J6" s="311">
        <f t="shared" si="2"/>
        <v>51863</v>
      </c>
      <c r="K6" s="311">
        <f t="shared" si="2"/>
        <v>36666</v>
      </c>
      <c r="L6" s="311">
        <f t="shared" si="2"/>
        <v>24815</v>
      </c>
      <c r="M6" s="300" t="e">
        <f t="shared" si="2"/>
        <v>#REF!</v>
      </c>
      <c r="N6" s="301" t="e">
        <f t="shared" si="2"/>
        <v>#REF!</v>
      </c>
    </row>
    <row r="7" spans="1:15" s="155" customFormat="1" ht="23.25" customHeight="1">
      <c r="A7" s="312" t="s">
        <v>54</v>
      </c>
      <c r="B7" s="313" t="s">
        <v>55</v>
      </c>
      <c r="C7" s="314">
        <f>SUM(C8:C19)+C22+C23+C24</f>
        <v>498307</v>
      </c>
      <c r="D7" s="314">
        <f t="shared" ref="D7:N7" si="3">SUM(D8:D19)+D22+D23+D24</f>
        <v>36276</v>
      </c>
      <c r="E7" s="314">
        <f t="shared" si="3"/>
        <v>48214</v>
      </c>
      <c r="F7" s="314">
        <f t="shared" si="3"/>
        <v>151097</v>
      </c>
      <c r="G7" s="314">
        <f t="shared" si="3"/>
        <v>53015</v>
      </c>
      <c r="H7" s="314">
        <f t="shared" si="3"/>
        <v>57155</v>
      </c>
      <c r="I7" s="314">
        <f t="shared" si="3"/>
        <v>63463</v>
      </c>
      <c r="J7" s="314">
        <f t="shared" si="3"/>
        <v>44511</v>
      </c>
      <c r="K7" s="314">
        <f t="shared" si="3"/>
        <v>29827</v>
      </c>
      <c r="L7" s="314">
        <f t="shared" si="3"/>
        <v>14749</v>
      </c>
      <c r="M7" s="314">
        <f t="shared" si="3"/>
        <v>77244</v>
      </c>
      <c r="N7" s="314">
        <f t="shared" si="3"/>
        <v>2033</v>
      </c>
    </row>
    <row r="8" spans="1:15" s="155" customFormat="1" ht="33" customHeight="1">
      <c r="A8" s="163">
        <v>1</v>
      </c>
      <c r="B8" s="168" t="s">
        <v>56</v>
      </c>
      <c r="C8" s="303">
        <f>SUM(D8:L8)</f>
        <v>3038</v>
      </c>
      <c r="D8" s="169">
        <v>126</v>
      </c>
      <c r="E8" s="169"/>
      <c r="F8" s="169">
        <f>5818-4870</f>
        <v>948</v>
      </c>
      <c r="G8" s="169">
        <v>339</v>
      </c>
      <c r="H8" s="169"/>
      <c r="I8" s="169">
        <v>1230</v>
      </c>
      <c r="J8" s="169">
        <f>2358-179-1795</f>
        <v>384</v>
      </c>
      <c r="K8" s="169">
        <v>11</v>
      </c>
      <c r="L8" s="169"/>
      <c r="M8" s="164"/>
      <c r="N8" s="105">
        <f t="shared" ref="N8:N18" si="4">M8-C8</f>
        <v>-3038</v>
      </c>
    </row>
    <row r="9" spans="1:15" s="155" customFormat="1" ht="24" customHeight="1">
      <c r="A9" s="163">
        <v>2</v>
      </c>
      <c r="B9" s="168" t="s">
        <v>57</v>
      </c>
      <c r="C9" s="303">
        <f t="shared" ref="C9:C18" si="5">SUM(D9:L9)</f>
        <v>2881</v>
      </c>
      <c r="D9" s="169">
        <v>2572</v>
      </c>
      <c r="E9" s="169"/>
      <c r="F9" s="169"/>
      <c r="G9" s="169"/>
      <c r="H9" s="169"/>
      <c r="I9" s="169">
        <v>206</v>
      </c>
      <c r="J9" s="169">
        <f>2891-2788</f>
        <v>103</v>
      </c>
      <c r="K9" s="169"/>
      <c r="L9" s="169"/>
      <c r="M9" s="164">
        <v>1655</v>
      </c>
      <c r="N9" s="105">
        <f t="shared" si="4"/>
        <v>-1226</v>
      </c>
    </row>
    <row r="10" spans="1:15" s="155" customFormat="1" ht="36" customHeight="1">
      <c r="A10" s="163">
        <v>3</v>
      </c>
      <c r="B10" s="597" t="s">
        <v>58</v>
      </c>
      <c r="C10" s="303">
        <f t="shared" si="5"/>
        <v>78</v>
      </c>
      <c r="D10" s="169"/>
      <c r="E10" s="169"/>
      <c r="F10" s="169"/>
      <c r="G10" s="169"/>
      <c r="H10" s="169"/>
      <c r="I10" s="169">
        <v>78</v>
      </c>
      <c r="J10" s="169"/>
      <c r="K10" s="169"/>
      <c r="L10" s="169"/>
      <c r="M10" s="164"/>
      <c r="N10" s="105"/>
    </row>
    <row r="11" spans="1:15" s="155" customFormat="1" ht="41.25" customHeight="1">
      <c r="A11" s="163">
        <v>4</v>
      </c>
      <c r="B11" s="304" t="s">
        <v>801</v>
      </c>
      <c r="C11" s="303">
        <f t="shared" si="5"/>
        <v>513</v>
      </c>
      <c r="D11" s="169">
        <v>205</v>
      </c>
      <c r="E11" s="169"/>
      <c r="F11" s="169">
        <f>488-180</f>
        <v>308</v>
      </c>
      <c r="G11" s="169"/>
      <c r="H11" s="169"/>
      <c r="I11" s="169"/>
      <c r="J11" s="169"/>
      <c r="K11" s="169"/>
      <c r="L11" s="169"/>
      <c r="M11" s="164"/>
      <c r="N11" s="105">
        <f t="shared" si="4"/>
        <v>-513</v>
      </c>
    </row>
    <row r="12" spans="1:15" s="155" customFormat="1" ht="39" customHeight="1">
      <c r="A12" s="163">
        <v>5</v>
      </c>
      <c r="B12" s="304" t="s">
        <v>59</v>
      </c>
      <c r="C12" s="303">
        <f t="shared" si="5"/>
        <v>12986</v>
      </c>
      <c r="D12" s="169"/>
      <c r="E12" s="169"/>
      <c r="F12" s="169">
        <f>6345-2140</f>
        <v>4205</v>
      </c>
      <c r="G12" s="169">
        <f>1752-376</f>
        <v>1376</v>
      </c>
      <c r="H12" s="156">
        <f>(3715-645)</f>
        <v>3070</v>
      </c>
      <c r="I12" s="169">
        <f>3071-1580</f>
        <v>1491</v>
      </c>
      <c r="J12" s="384">
        <v>2760</v>
      </c>
      <c r="K12" s="169"/>
      <c r="L12" s="169">
        <v>84</v>
      </c>
      <c r="M12" s="164">
        <v>30519</v>
      </c>
      <c r="N12" s="105">
        <f t="shared" si="4"/>
        <v>17533</v>
      </c>
    </row>
    <row r="13" spans="1:15" s="155" customFormat="1" ht="36" customHeight="1">
      <c r="A13" s="163">
        <v>6</v>
      </c>
      <c r="B13" s="173" t="s">
        <v>250</v>
      </c>
      <c r="C13" s="303">
        <f>ROUND(SUM(D13:L13),0)</f>
        <v>10385</v>
      </c>
      <c r="D13" s="169"/>
      <c r="E13" s="169">
        <f>18631-10439-734</f>
        <v>7458</v>
      </c>
      <c r="F13" s="169">
        <f>20600-17275-2642</f>
        <v>683</v>
      </c>
      <c r="G13" s="169">
        <v>86</v>
      </c>
      <c r="H13" s="169">
        <f>(23279-20073-425-1927)</f>
        <v>854</v>
      </c>
      <c r="I13" s="384"/>
      <c r="J13" s="384"/>
      <c r="K13" s="169">
        <f>6361-5215</f>
        <v>1146</v>
      </c>
      <c r="L13" s="169">
        <v>158</v>
      </c>
      <c r="M13" s="164">
        <v>27009</v>
      </c>
      <c r="N13" s="105">
        <f t="shared" si="4"/>
        <v>16624</v>
      </c>
    </row>
    <row r="14" spans="1:15" s="155" customFormat="1" ht="52.95" customHeight="1">
      <c r="A14" s="163">
        <v>7</v>
      </c>
      <c r="B14" s="304" t="s">
        <v>1027</v>
      </c>
      <c r="C14" s="303">
        <f t="shared" si="5"/>
        <v>21499</v>
      </c>
      <c r="D14" s="169">
        <f>2551-1301+635</f>
        <v>1885</v>
      </c>
      <c r="E14" s="169">
        <f>1605-1195</f>
        <v>410</v>
      </c>
      <c r="F14" s="169">
        <f>6545-1955</f>
        <v>4590</v>
      </c>
      <c r="G14" s="169">
        <f>2456-358</f>
        <v>2098</v>
      </c>
      <c r="H14" s="169">
        <f>4833-1141</f>
        <v>3692</v>
      </c>
      <c r="I14" s="169">
        <f>5916-1197</f>
        <v>4719</v>
      </c>
      <c r="J14" s="169">
        <f>3592-409</f>
        <v>3183</v>
      </c>
      <c r="K14" s="169">
        <f>547-182</f>
        <v>365</v>
      </c>
      <c r="L14" s="169">
        <v>557</v>
      </c>
      <c r="M14" s="164">
        <v>18061</v>
      </c>
      <c r="N14" s="105">
        <f t="shared" si="4"/>
        <v>-3438</v>
      </c>
      <c r="O14" s="154" t="s">
        <v>243</v>
      </c>
    </row>
    <row r="15" spans="1:15" s="406" customFormat="1" ht="25.5" customHeight="1">
      <c r="A15" s="163">
        <v>8</v>
      </c>
      <c r="B15" s="411" t="s">
        <v>1030</v>
      </c>
      <c r="C15" s="412">
        <f t="shared" si="5"/>
        <v>8702</v>
      </c>
      <c r="D15" s="413">
        <f>4094-1338-915-1186</f>
        <v>655</v>
      </c>
      <c r="E15" s="413">
        <f>3835-1051-719-932</f>
        <v>1133</v>
      </c>
      <c r="F15" s="413">
        <f>6203-1625-1111-1440</f>
        <v>2027</v>
      </c>
      <c r="G15" s="413">
        <f>3756-1051-719-932</f>
        <v>1054</v>
      </c>
      <c r="H15" s="413">
        <f>ROUND(4994-(95.58*14)-(65.34*14)-1186,0)</f>
        <v>1555</v>
      </c>
      <c r="I15" s="413">
        <v>1572</v>
      </c>
      <c r="J15" s="413">
        <f>2425-669-457-593</f>
        <v>706</v>
      </c>
      <c r="K15" s="413"/>
      <c r="L15" s="413">
        <f>1069-1069</f>
        <v>0</v>
      </c>
      <c r="M15" s="404"/>
      <c r="N15" s="405">
        <f t="shared" si="4"/>
        <v>-8702</v>
      </c>
      <c r="O15" s="414" t="s">
        <v>244</v>
      </c>
    </row>
    <row r="16" spans="1:15" s="406" customFormat="1" ht="37.5" customHeight="1">
      <c r="A16" s="163">
        <v>9</v>
      </c>
      <c r="B16" s="411" t="s">
        <v>1044</v>
      </c>
      <c r="C16" s="412">
        <f t="shared" si="5"/>
        <v>40000</v>
      </c>
      <c r="D16" s="413">
        <v>4000</v>
      </c>
      <c r="E16" s="413">
        <v>5000</v>
      </c>
      <c r="F16" s="413">
        <v>4000</v>
      </c>
      <c r="G16" s="413">
        <v>4000</v>
      </c>
      <c r="H16" s="413">
        <v>4000</v>
      </c>
      <c r="I16" s="413">
        <v>4000</v>
      </c>
      <c r="J16" s="413">
        <v>4000</v>
      </c>
      <c r="K16" s="413">
        <v>5000</v>
      </c>
      <c r="L16" s="413">
        <v>6000</v>
      </c>
      <c r="M16" s="404"/>
      <c r="N16" s="405"/>
      <c r="O16" s="414"/>
    </row>
    <row r="17" spans="1:15" s="406" customFormat="1" ht="37.5" customHeight="1">
      <c r="A17" s="1625">
        <v>10</v>
      </c>
      <c r="B17" s="1626" t="s">
        <v>982</v>
      </c>
      <c r="C17" s="1627">
        <f t="shared" si="5"/>
        <v>30624</v>
      </c>
      <c r="D17" s="1628"/>
      <c r="E17" s="1628"/>
      <c r="F17" s="1628">
        <v>10624</v>
      </c>
      <c r="G17" s="1628">
        <v>20000</v>
      </c>
      <c r="H17" s="1628"/>
      <c r="I17" s="1628"/>
      <c r="J17" s="1628"/>
      <c r="K17" s="1628"/>
      <c r="L17" s="1628"/>
      <c r="M17" s="404"/>
      <c r="N17" s="405"/>
      <c r="O17" s="414"/>
    </row>
    <row r="18" spans="1:15" s="167" customFormat="1" ht="32.25" customHeight="1">
      <c r="A18" s="163">
        <v>11</v>
      </c>
      <c r="B18" s="168" t="s">
        <v>114</v>
      </c>
      <c r="C18" s="303">
        <f t="shared" si="5"/>
        <v>15207</v>
      </c>
      <c r="D18" s="169">
        <v>1525</v>
      </c>
      <c r="E18" s="169">
        <v>2248</v>
      </c>
      <c r="F18" s="384">
        <v>890</v>
      </c>
      <c r="G18" s="169">
        <v>1592</v>
      </c>
      <c r="H18" s="169">
        <v>897</v>
      </c>
      <c r="I18" s="169">
        <v>1161</v>
      </c>
      <c r="J18" s="169">
        <v>1672</v>
      </c>
      <c r="K18" s="169">
        <v>1812</v>
      </c>
      <c r="L18" s="169">
        <v>3410</v>
      </c>
      <c r="M18" s="166"/>
      <c r="N18" s="105">
        <f t="shared" si="4"/>
        <v>-15207</v>
      </c>
    </row>
    <row r="19" spans="1:15" s="406" customFormat="1" ht="37.5" customHeight="1">
      <c r="A19" s="163">
        <v>12</v>
      </c>
      <c r="B19" s="411" t="s">
        <v>953</v>
      </c>
      <c r="C19" s="412">
        <f>SUM(D19:L19)</f>
        <v>36800</v>
      </c>
      <c r="D19" s="413">
        <f>D20+D21</f>
        <v>1200</v>
      </c>
      <c r="E19" s="413">
        <f t="shared" ref="E19:L19" si="6">E20+E21</f>
        <v>16000</v>
      </c>
      <c r="F19" s="1624">
        <f t="shared" si="6"/>
        <v>1200</v>
      </c>
      <c r="G19" s="413">
        <f t="shared" si="6"/>
        <v>1000</v>
      </c>
      <c r="H19" s="413">
        <f t="shared" si="6"/>
        <v>1200</v>
      </c>
      <c r="I19" s="413">
        <f t="shared" si="6"/>
        <v>1200</v>
      </c>
      <c r="J19" s="413">
        <f t="shared" si="6"/>
        <v>1000</v>
      </c>
      <c r="K19" s="413">
        <f t="shared" si="6"/>
        <v>13000</v>
      </c>
      <c r="L19" s="413">
        <f t="shared" si="6"/>
        <v>1000</v>
      </c>
      <c r="M19" s="404"/>
      <c r="N19" s="405"/>
      <c r="O19" s="414"/>
    </row>
    <row r="20" spans="1:15" s="406" customFormat="1" ht="37.5" customHeight="1">
      <c r="A20" s="163" t="s">
        <v>441</v>
      </c>
      <c r="B20" s="408" t="s">
        <v>954</v>
      </c>
      <c r="C20" s="409">
        <f t="shared" ref="C20:C22" si="7">SUM(D20:L20)</f>
        <v>9800</v>
      </c>
      <c r="D20" s="410">
        <v>1200</v>
      </c>
      <c r="E20" s="410">
        <v>1000</v>
      </c>
      <c r="F20" s="410">
        <v>1200</v>
      </c>
      <c r="G20" s="410">
        <v>1000</v>
      </c>
      <c r="H20" s="410">
        <v>1200</v>
      </c>
      <c r="I20" s="410">
        <v>1200</v>
      </c>
      <c r="J20" s="410">
        <v>1000</v>
      </c>
      <c r="K20" s="410">
        <v>1000</v>
      </c>
      <c r="L20" s="410">
        <v>1000</v>
      </c>
      <c r="M20" s="404"/>
      <c r="N20" s="405"/>
      <c r="O20" s="414"/>
    </row>
    <row r="21" spans="1:15" s="406" customFormat="1" ht="37.5" customHeight="1">
      <c r="A21" s="163" t="s">
        <v>463</v>
      </c>
      <c r="B21" s="408" t="s">
        <v>1032</v>
      </c>
      <c r="C21" s="409">
        <f t="shared" si="7"/>
        <v>27000</v>
      </c>
      <c r="D21" s="410"/>
      <c r="E21" s="410">
        <v>15000</v>
      </c>
      <c r="F21" s="410"/>
      <c r="G21" s="410"/>
      <c r="H21" s="410"/>
      <c r="I21" s="410"/>
      <c r="J21" s="410"/>
      <c r="K21" s="410">
        <v>12000</v>
      </c>
      <c r="L21" s="410"/>
      <c r="M21" s="404"/>
      <c r="N21" s="405"/>
      <c r="O21" s="414"/>
    </row>
    <row r="22" spans="1:15" s="406" customFormat="1">
      <c r="A22" s="163">
        <v>12</v>
      </c>
      <c r="B22" s="408" t="s">
        <v>1033</v>
      </c>
      <c r="C22" s="409">
        <f t="shared" si="7"/>
        <v>5721</v>
      </c>
      <c r="D22" s="410">
        <v>895</v>
      </c>
      <c r="E22" s="410">
        <v>672</v>
      </c>
      <c r="F22" s="410">
        <v>782</v>
      </c>
      <c r="G22" s="410">
        <v>858</v>
      </c>
      <c r="H22" s="410">
        <v>1066</v>
      </c>
      <c r="I22" s="410">
        <v>911</v>
      </c>
      <c r="J22" s="410">
        <v>537</v>
      </c>
      <c r="K22" s="410"/>
      <c r="L22" s="410"/>
      <c r="M22" s="404"/>
      <c r="N22" s="405"/>
      <c r="O22" s="414"/>
    </row>
    <row r="23" spans="1:15" s="406" customFormat="1">
      <c r="A23" s="163">
        <v>13</v>
      </c>
      <c r="B23" s="408" t="s">
        <v>1034</v>
      </c>
      <c r="C23" s="409">
        <f>SUM(D23:L23)</f>
        <v>1014</v>
      </c>
      <c r="D23" s="410">
        <v>150</v>
      </c>
      <c r="E23" s="410">
        <v>102</v>
      </c>
      <c r="F23" s="410">
        <v>150</v>
      </c>
      <c r="G23" s="410">
        <v>102</v>
      </c>
      <c r="H23" s="410">
        <v>126</v>
      </c>
      <c r="I23" s="410">
        <v>126</v>
      </c>
      <c r="J23" s="410">
        <v>102</v>
      </c>
      <c r="K23" s="410">
        <v>78</v>
      </c>
      <c r="L23" s="410">
        <v>78</v>
      </c>
      <c r="M23" s="404"/>
      <c r="N23" s="405"/>
      <c r="O23" s="414"/>
    </row>
    <row r="24" spans="1:15" s="1729" customFormat="1">
      <c r="A24" s="1724">
        <v>14</v>
      </c>
      <c r="B24" s="1725" t="s">
        <v>1035</v>
      </c>
      <c r="C24" s="1726">
        <f>SUM(D24:L24)</f>
        <v>308859</v>
      </c>
      <c r="D24" s="1727">
        <f t="shared" ref="D24:N24" si="8">D25+D28</f>
        <v>23063</v>
      </c>
      <c r="E24" s="1727">
        <f t="shared" si="8"/>
        <v>15191</v>
      </c>
      <c r="F24" s="1727">
        <f t="shared" si="8"/>
        <v>120690</v>
      </c>
      <c r="G24" s="1727">
        <f t="shared" si="8"/>
        <v>20510</v>
      </c>
      <c r="H24" s="1727">
        <f t="shared" si="8"/>
        <v>40695</v>
      </c>
      <c r="I24" s="1727">
        <f t="shared" si="8"/>
        <v>46769</v>
      </c>
      <c r="J24" s="1727">
        <f t="shared" si="8"/>
        <v>30064</v>
      </c>
      <c r="K24" s="1727">
        <f t="shared" si="8"/>
        <v>8415</v>
      </c>
      <c r="L24" s="1727">
        <f t="shared" si="8"/>
        <v>3462</v>
      </c>
      <c r="M24" s="1727">
        <f t="shared" si="8"/>
        <v>0</v>
      </c>
      <c r="N24" s="1727">
        <f t="shared" si="8"/>
        <v>0</v>
      </c>
      <c r="O24" s="1728"/>
    </row>
    <row r="25" spans="1:15" s="1729" customFormat="1">
      <c r="A25" s="1722" t="s">
        <v>1036</v>
      </c>
      <c r="B25" s="1723" t="s">
        <v>325</v>
      </c>
      <c r="C25" s="1726">
        <f t="shared" ref="C25:C30" si="9">SUM(D25:L25)</f>
        <v>250697</v>
      </c>
      <c r="D25" s="1727">
        <f>D26+D27</f>
        <v>18408</v>
      </c>
      <c r="E25" s="1727">
        <f t="shared" ref="E25:N25" si="10">E26+E27</f>
        <v>9564</v>
      </c>
      <c r="F25" s="1727">
        <f t="shared" si="10"/>
        <v>105738</v>
      </c>
      <c r="G25" s="1727">
        <f t="shared" si="10"/>
        <v>14122</v>
      </c>
      <c r="H25" s="1727">
        <f t="shared" si="10"/>
        <v>33613</v>
      </c>
      <c r="I25" s="1727">
        <f t="shared" si="10"/>
        <v>39069</v>
      </c>
      <c r="J25" s="1727">
        <f t="shared" si="10"/>
        <v>22819</v>
      </c>
      <c r="K25" s="1727">
        <f t="shared" si="10"/>
        <v>5508</v>
      </c>
      <c r="L25" s="1727">
        <f t="shared" si="10"/>
        <v>1856</v>
      </c>
      <c r="M25" s="1727">
        <f t="shared" si="10"/>
        <v>0</v>
      </c>
      <c r="N25" s="1727">
        <f t="shared" si="10"/>
        <v>0</v>
      </c>
      <c r="O25" s="1728"/>
    </row>
    <row r="26" spans="1:15" s="406" customFormat="1">
      <c r="A26" s="163" t="s">
        <v>441</v>
      </c>
      <c r="B26" s="408" t="s">
        <v>1037</v>
      </c>
      <c r="C26" s="409">
        <f t="shared" si="9"/>
        <v>99697</v>
      </c>
      <c r="D26" s="410">
        <v>2000</v>
      </c>
      <c r="E26" s="410">
        <v>3184</v>
      </c>
      <c r="F26" s="410">
        <v>67452</v>
      </c>
      <c r="G26" s="410">
        <v>3184</v>
      </c>
      <c r="H26" s="410">
        <v>7046</v>
      </c>
      <c r="I26" s="410">
        <v>9348</v>
      </c>
      <c r="J26" s="410">
        <v>7483</v>
      </c>
      <c r="K26" s="410"/>
      <c r="L26" s="410"/>
      <c r="M26" s="404"/>
      <c r="N26" s="405"/>
      <c r="O26" s="414"/>
    </row>
    <row r="27" spans="1:15" s="406" customFormat="1">
      <c r="A27" s="163" t="s">
        <v>441</v>
      </c>
      <c r="B27" s="408" t="s">
        <v>1039</v>
      </c>
      <c r="C27" s="409">
        <f>SUM(D27:L27)</f>
        <v>151000</v>
      </c>
      <c r="D27" s="410">
        <v>16408</v>
      </c>
      <c r="E27" s="410">
        <v>6380</v>
      </c>
      <c r="F27" s="410">
        <v>38286</v>
      </c>
      <c r="G27" s="410">
        <v>10938</v>
      </c>
      <c r="H27" s="410">
        <v>26567</v>
      </c>
      <c r="I27" s="410">
        <v>29721</v>
      </c>
      <c r="J27" s="410">
        <v>15336</v>
      </c>
      <c r="K27" s="410">
        <v>5508</v>
      </c>
      <c r="L27" s="410">
        <v>1856</v>
      </c>
      <c r="M27" s="404"/>
      <c r="N27" s="405"/>
      <c r="O27" s="414"/>
    </row>
    <row r="28" spans="1:15" s="1733" customFormat="1">
      <c r="A28" s="1722" t="s">
        <v>1038</v>
      </c>
      <c r="B28" s="1723" t="s">
        <v>328</v>
      </c>
      <c r="C28" s="1730">
        <f t="shared" si="9"/>
        <v>58162</v>
      </c>
      <c r="D28" s="1731">
        <f>D29+D30</f>
        <v>4655</v>
      </c>
      <c r="E28" s="1731">
        <f t="shared" ref="E28:N28" si="11">E29+E30</f>
        <v>5627</v>
      </c>
      <c r="F28" s="1731">
        <f t="shared" si="11"/>
        <v>14952</v>
      </c>
      <c r="G28" s="1731">
        <f t="shared" si="11"/>
        <v>6388</v>
      </c>
      <c r="H28" s="1731">
        <f t="shared" si="11"/>
        <v>7082</v>
      </c>
      <c r="I28" s="1731">
        <f t="shared" si="11"/>
        <v>7700</v>
      </c>
      <c r="J28" s="1731">
        <f t="shared" si="11"/>
        <v>7245</v>
      </c>
      <c r="K28" s="1731">
        <f t="shared" si="11"/>
        <v>2907</v>
      </c>
      <c r="L28" s="1731">
        <f t="shared" si="11"/>
        <v>1606</v>
      </c>
      <c r="M28" s="1731">
        <f t="shared" si="11"/>
        <v>0</v>
      </c>
      <c r="N28" s="1731">
        <f t="shared" si="11"/>
        <v>0</v>
      </c>
      <c r="O28" s="1732"/>
    </row>
    <row r="29" spans="1:15" s="406" customFormat="1">
      <c r="A29" s="163" t="s">
        <v>441</v>
      </c>
      <c r="B29" s="408" t="s">
        <v>1037</v>
      </c>
      <c r="C29" s="409">
        <f>SUM(D29:L29)</f>
        <v>22915</v>
      </c>
      <c r="D29" s="410">
        <v>210</v>
      </c>
      <c r="E29" s="410">
        <v>1510</v>
      </c>
      <c r="F29" s="410">
        <v>10184</v>
      </c>
      <c r="G29" s="410">
        <v>1509</v>
      </c>
      <c r="H29" s="410">
        <v>1975</v>
      </c>
      <c r="I29" s="410">
        <v>3222</v>
      </c>
      <c r="J29" s="410">
        <v>4305</v>
      </c>
      <c r="K29" s="410"/>
      <c r="L29" s="410"/>
      <c r="M29" s="404"/>
      <c r="N29" s="405"/>
      <c r="O29" s="414"/>
    </row>
    <row r="30" spans="1:15" s="406" customFormat="1">
      <c r="A30" s="163" t="s">
        <v>441</v>
      </c>
      <c r="B30" s="408" t="s">
        <v>1039</v>
      </c>
      <c r="C30" s="409">
        <f t="shared" si="9"/>
        <v>35247</v>
      </c>
      <c r="D30" s="410">
        <v>4445</v>
      </c>
      <c r="E30" s="410">
        <v>4117</v>
      </c>
      <c r="F30" s="410">
        <v>4768</v>
      </c>
      <c r="G30" s="410">
        <v>4879</v>
      </c>
      <c r="H30" s="410">
        <v>5107</v>
      </c>
      <c r="I30" s="410">
        <v>4478</v>
      </c>
      <c r="J30" s="410">
        <v>2940</v>
      </c>
      <c r="K30" s="410">
        <v>2907</v>
      </c>
      <c r="L30" s="410">
        <v>1606</v>
      </c>
      <c r="M30" s="404"/>
      <c r="N30" s="405"/>
      <c r="O30" s="414"/>
    </row>
    <row r="31" spans="1:15" s="155" customFormat="1" ht="25.5" customHeight="1">
      <c r="A31" s="312" t="s">
        <v>60</v>
      </c>
      <c r="B31" s="313" t="s">
        <v>61</v>
      </c>
      <c r="C31" s="315">
        <f>SUM(C32:C44)</f>
        <v>93200</v>
      </c>
      <c r="D31" s="315">
        <f>SUM(D32:D44)</f>
        <v>12251</v>
      </c>
      <c r="E31" s="315">
        <f t="shared" ref="E31:N31" si="12">SUM(E32:E44)</f>
        <v>10147</v>
      </c>
      <c r="F31" s="315">
        <f t="shared" si="12"/>
        <v>14098</v>
      </c>
      <c r="G31" s="315">
        <f t="shared" si="12"/>
        <v>9475</v>
      </c>
      <c r="H31" s="315">
        <f t="shared" si="12"/>
        <v>10970</v>
      </c>
      <c r="I31" s="315">
        <f t="shared" si="12"/>
        <v>12002</v>
      </c>
      <c r="J31" s="315">
        <f t="shared" si="12"/>
        <v>7352</v>
      </c>
      <c r="K31" s="315">
        <f t="shared" si="12"/>
        <v>6839</v>
      </c>
      <c r="L31" s="315">
        <f t="shared" si="12"/>
        <v>10066</v>
      </c>
      <c r="M31" s="305" t="e">
        <f t="shared" si="12"/>
        <v>#REF!</v>
      </c>
      <c r="N31" s="306" t="e">
        <f t="shared" si="12"/>
        <v>#REF!</v>
      </c>
    </row>
    <row r="32" spans="1:15" s="155" customFormat="1" ht="39" customHeight="1">
      <c r="A32" s="163">
        <v>1</v>
      </c>
      <c r="B32" s="168" t="s">
        <v>62</v>
      </c>
      <c r="C32" s="303">
        <f>SUM(D32:L32)</f>
        <v>160</v>
      </c>
      <c r="D32" s="170"/>
      <c r="E32" s="170"/>
      <c r="F32" s="170">
        <f>1000-840</f>
        <v>160</v>
      </c>
      <c r="G32" s="170"/>
      <c r="H32" s="170"/>
      <c r="I32" s="170"/>
      <c r="J32" s="170"/>
      <c r="K32" s="170"/>
      <c r="L32" s="170"/>
      <c r="M32" s="156"/>
      <c r="N32" s="156"/>
    </row>
    <row r="33" spans="1:14" s="423" customFormat="1" ht="45.75" customHeight="1">
      <c r="A33" s="407">
        <v>2</v>
      </c>
      <c r="B33" s="408" t="s">
        <v>251</v>
      </c>
      <c r="C33" s="409">
        <f>SUM(D33:L33)</f>
        <v>28648</v>
      </c>
      <c r="D33" s="410">
        <v>3570</v>
      </c>
      <c r="E33" s="410">
        <v>3061</v>
      </c>
      <c r="F33" s="410">
        <v>4386</v>
      </c>
      <c r="G33" s="410">
        <v>2907</v>
      </c>
      <c r="H33" s="410">
        <v>3372</v>
      </c>
      <c r="I33" s="410">
        <v>3651</v>
      </c>
      <c r="J33" s="410">
        <v>2661</v>
      </c>
      <c r="K33" s="410">
        <v>2439</v>
      </c>
      <c r="L33" s="410">
        <v>2601</v>
      </c>
      <c r="M33" s="421"/>
      <c r="N33" s="422">
        <f>M33-C33</f>
        <v>-28648</v>
      </c>
    </row>
    <row r="34" spans="1:14" s="155" customFormat="1" ht="28.5" customHeight="1">
      <c r="A34" s="163">
        <v>3</v>
      </c>
      <c r="B34" s="168" t="s">
        <v>63</v>
      </c>
      <c r="C34" s="303">
        <f t="shared" ref="C34:C44" si="13">SUM(D34:L34)</f>
        <v>9792</v>
      </c>
      <c r="D34" s="169">
        <v>1620</v>
      </c>
      <c r="E34" s="169">
        <v>1068</v>
      </c>
      <c r="F34" s="169">
        <v>1656</v>
      </c>
      <c r="G34" s="169">
        <v>840</v>
      </c>
      <c r="H34" s="169">
        <v>1296</v>
      </c>
      <c r="I34" s="169">
        <v>1248</v>
      </c>
      <c r="J34" s="169">
        <v>744</v>
      </c>
      <c r="K34" s="169">
        <v>456</v>
      </c>
      <c r="L34" s="169">
        <v>864</v>
      </c>
      <c r="M34" s="164"/>
      <c r="N34" s="105">
        <f>M34-C34</f>
        <v>-9792</v>
      </c>
    </row>
    <row r="35" spans="1:14" s="155" customFormat="1" ht="41.25" customHeight="1">
      <c r="A35" s="163">
        <v>4</v>
      </c>
      <c r="B35" s="168" t="s">
        <v>240</v>
      </c>
      <c r="C35" s="303">
        <f t="shared" si="13"/>
        <v>704</v>
      </c>
      <c r="D35" s="169">
        <f>13*8</f>
        <v>104</v>
      </c>
      <c r="E35" s="169">
        <f>10*8</f>
        <v>80</v>
      </c>
      <c r="F35" s="169">
        <f>15*8</f>
        <v>120</v>
      </c>
      <c r="G35" s="169">
        <f>10*8</f>
        <v>80</v>
      </c>
      <c r="H35" s="169">
        <f>14*8</f>
        <v>112</v>
      </c>
      <c r="I35" s="169">
        <f>13*8</f>
        <v>104</v>
      </c>
      <c r="J35" s="169">
        <f>7*8</f>
        <v>56</v>
      </c>
      <c r="K35" s="169">
        <f>5*8</f>
        <v>40</v>
      </c>
      <c r="L35" s="169">
        <f>8*1</f>
        <v>8</v>
      </c>
      <c r="M35" s="164"/>
      <c r="N35" s="105">
        <f>M35-C35</f>
        <v>-704</v>
      </c>
    </row>
    <row r="36" spans="1:14" s="155" customFormat="1" ht="30" customHeight="1">
      <c r="A36" s="407">
        <v>5</v>
      </c>
      <c r="B36" s="168" t="s">
        <v>241</v>
      </c>
      <c r="C36" s="303">
        <f t="shared" si="13"/>
        <v>212</v>
      </c>
      <c r="D36" s="169">
        <v>28</v>
      </c>
      <c r="E36" s="169">
        <v>22</v>
      </c>
      <c r="F36" s="169">
        <v>34</v>
      </c>
      <c r="G36" s="172">
        <v>22</v>
      </c>
      <c r="H36" s="169">
        <v>28</v>
      </c>
      <c r="I36" s="170">
        <v>30</v>
      </c>
      <c r="J36" s="170">
        <v>14</v>
      </c>
      <c r="K36" s="169">
        <v>14</v>
      </c>
      <c r="L36" s="173">
        <v>20</v>
      </c>
      <c r="M36" s="174"/>
      <c r="N36" s="175"/>
    </row>
    <row r="37" spans="1:14" s="155" customFormat="1" ht="25.5" customHeight="1">
      <c r="A37" s="163">
        <v>6</v>
      </c>
      <c r="B37" s="168" t="s">
        <v>64</v>
      </c>
      <c r="C37" s="303">
        <f t="shared" si="13"/>
        <v>2668</v>
      </c>
      <c r="D37" s="169">
        <v>352</v>
      </c>
      <c r="E37" s="169">
        <v>188</v>
      </c>
      <c r="F37" s="169">
        <v>473</v>
      </c>
      <c r="G37" s="172">
        <v>292</v>
      </c>
      <c r="H37" s="169">
        <v>368</v>
      </c>
      <c r="I37" s="170">
        <v>393</v>
      </c>
      <c r="J37" s="170">
        <v>201</v>
      </c>
      <c r="K37" s="169">
        <v>159</v>
      </c>
      <c r="L37" s="173">
        <v>242</v>
      </c>
      <c r="M37" s="174"/>
      <c r="N37" s="175"/>
    </row>
    <row r="38" spans="1:14" s="155" customFormat="1" ht="25.5" customHeight="1">
      <c r="A38" s="163">
        <v>7</v>
      </c>
      <c r="B38" s="168" t="s">
        <v>65</v>
      </c>
      <c r="C38" s="303">
        <f t="shared" si="13"/>
        <v>27696</v>
      </c>
      <c r="D38" s="169">
        <v>3635</v>
      </c>
      <c r="E38" s="169">
        <v>2853</v>
      </c>
      <c r="F38" s="169">
        <v>4399</v>
      </c>
      <c r="G38" s="169">
        <v>2893</v>
      </c>
      <c r="H38" s="169">
        <v>3657</v>
      </c>
      <c r="I38" s="169">
        <v>3932</v>
      </c>
      <c r="J38" s="169">
        <v>1845</v>
      </c>
      <c r="K38" s="169">
        <v>1854</v>
      </c>
      <c r="L38" s="384">
        <v>2628</v>
      </c>
      <c r="M38" s="174"/>
      <c r="N38" s="175"/>
    </row>
    <row r="39" spans="1:14" s="423" customFormat="1" ht="30" customHeight="1">
      <c r="A39" s="407">
        <v>8</v>
      </c>
      <c r="B39" s="424" t="s">
        <v>66</v>
      </c>
      <c r="C39" s="409">
        <f t="shared" si="13"/>
        <v>4596</v>
      </c>
      <c r="D39" s="425">
        <v>748</v>
      </c>
      <c r="E39" s="425">
        <v>356</v>
      </c>
      <c r="F39" s="425">
        <v>771</v>
      </c>
      <c r="G39" s="425">
        <v>614</v>
      </c>
      <c r="H39" s="425">
        <v>620</v>
      </c>
      <c r="I39" s="425">
        <v>613</v>
      </c>
      <c r="J39" s="425">
        <v>328</v>
      </c>
      <c r="K39" s="425">
        <v>187</v>
      </c>
      <c r="L39" s="425">
        <v>359</v>
      </c>
      <c r="M39" s="423" t="e">
        <f>#REF!/1000</f>
        <v>#REF!</v>
      </c>
      <c r="N39" s="423" t="e">
        <f>#REF!/1000</f>
        <v>#REF!</v>
      </c>
    </row>
    <row r="40" spans="1:14" s="155" customFormat="1" ht="27.75" customHeight="1">
      <c r="A40" s="163">
        <v>9</v>
      </c>
      <c r="B40" s="168" t="s">
        <v>237</v>
      </c>
      <c r="C40" s="303">
        <f t="shared" si="13"/>
        <v>2544</v>
      </c>
      <c r="D40" s="170">
        <f>24*14</f>
        <v>336</v>
      </c>
      <c r="E40" s="170">
        <f>24*11</f>
        <v>264</v>
      </c>
      <c r="F40" s="170">
        <f>24*17</f>
        <v>408</v>
      </c>
      <c r="G40" s="170">
        <f>24*11</f>
        <v>264</v>
      </c>
      <c r="H40" s="170">
        <f>24*14</f>
        <v>336</v>
      </c>
      <c r="I40" s="170">
        <f>24*15</f>
        <v>360</v>
      </c>
      <c r="J40" s="170">
        <f>24*7</f>
        <v>168</v>
      </c>
      <c r="K40" s="170">
        <f>24*7</f>
        <v>168</v>
      </c>
      <c r="L40" s="170">
        <f>24*10</f>
        <v>240</v>
      </c>
      <c r="M40" s="156"/>
      <c r="N40" s="156"/>
    </row>
    <row r="41" spans="1:14" s="155" customFormat="1" ht="38.25" customHeight="1">
      <c r="A41" s="163">
        <v>10</v>
      </c>
      <c r="B41" s="168" t="s">
        <v>67</v>
      </c>
      <c r="C41" s="303">
        <f t="shared" si="13"/>
        <v>4693</v>
      </c>
      <c r="D41" s="170">
        <v>606</v>
      </c>
      <c r="E41" s="170">
        <v>606</v>
      </c>
      <c r="F41" s="170"/>
      <c r="G41" s="170">
        <v>404</v>
      </c>
      <c r="H41" s="170"/>
      <c r="I41" s="170">
        <v>487</v>
      </c>
      <c r="J41" s="170">
        <v>202</v>
      </c>
      <c r="K41" s="170">
        <v>404</v>
      </c>
      <c r="L41" s="170">
        <v>1984</v>
      </c>
      <c r="M41" s="156"/>
      <c r="N41" s="156"/>
    </row>
    <row r="42" spans="1:14" s="155" customFormat="1" ht="38.25" customHeight="1">
      <c r="A42" s="1724">
        <v>11</v>
      </c>
      <c r="B42" s="1734" t="s">
        <v>1026</v>
      </c>
      <c r="C42" s="303">
        <f t="shared" si="13"/>
        <v>1403</v>
      </c>
      <c r="D42" s="1720">
        <v>212</v>
      </c>
      <c r="E42" s="1720">
        <v>144</v>
      </c>
      <c r="F42" s="1720">
        <v>186</v>
      </c>
      <c r="G42" s="1720">
        <v>153</v>
      </c>
      <c r="H42" s="1720">
        <v>174</v>
      </c>
      <c r="I42" s="1720">
        <v>168</v>
      </c>
      <c r="J42" s="1720">
        <v>128</v>
      </c>
      <c r="K42" s="1720">
        <v>118</v>
      </c>
      <c r="L42" s="1720">
        <v>120</v>
      </c>
      <c r="M42" s="156"/>
      <c r="N42" s="156"/>
    </row>
    <row r="43" spans="1:14" s="155" customFormat="1" ht="38.25" customHeight="1">
      <c r="A43" s="1724">
        <v>12</v>
      </c>
      <c r="B43" s="1734" t="s">
        <v>1031</v>
      </c>
      <c r="C43" s="303">
        <f t="shared" si="13"/>
        <v>84</v>
      </c>
      <c r="D43" s="1720">
        <v>40</v>
      </c>
      <c r="E43" s="1720">
        <v>5</v>
      </c>
      <c r="F43" s="1720">
        <v>5</v>
      </c>
      <c r="G43" s="1720">
        <v>6</v>
      </c>
      <c r="H43" s="1720">
        <v>7</v>
      </c>
      <c r="I43" s="1720">
        <v>16</v>
      </c>
      <c r="J43" s="1720">
        <v>5</v>
      </c>
      <c r="K43" s="1720"/>
      <c r="L43" s="1720"/>
      <c r="M43" s="156"/>
      <c r="N43" s="156"/>
    </row>
    <row r="44" spans="1:14" s="155" customFormat="1" ht="23.25" customHeight="1" thickBot="1">
      <c r="A44" s="407">
        <v>13</v>
      </c>
      <c r="B44" s="176" t="s">
        <v>242</v>
      </c>
      <c r="C44" s="307">
        <f t="shared" si="13"/>
        <v>10000</v>
      </c>
      <c r="D44" s="177">
        <v>1000</v>
      </c>
      <c r="E44" s="177">
        <v>1500</v>
      </c>
      <c r="F44" s="177">
        <v>1500</v>
      </c>
      <c r="G44" s="177">
        <v>1000</v>
      </c>
      <c r="H44" s="177">
        <v>1000</v>
      </c>
      <c r="I44" s="177">
        <v>1000</v>
      </c>
      <c r="J44" s="177">
        <v>1000</v>
      </c>
      <c r="K44" s="177">
        <v>1000</v>
      </c>
      <c r="L44" s="177">
        <v>1000</v>
      </c>
      <c r="M44" s="178"/>
      <c r="N44" s="179"/>
    </row>
    <row r="45" spans="1:14" s="155" customFormat="1">
      <c r="A45" s="308"/>
      <c r="B45" s="308"/>
      <c r="M45" s="156"/>
      <c r="N45" s="156"/>
    </row>
    <row r="46" spans="1:14" s="155" customFormat="1">
      <c r="A46" s="180"/>
      <c r="B46" s="181" t="s">
        <v>68</v>
      </c>
      <c r="C46" s="182">
        <f>C42+C43</f>
        <v>1487</v>
      </c>
      <c r="M46" s="156"/>
      <c r="N46" s="156"/>
    </row>
    <row r="47" spans="1:14" s="155" customFormat="1" ht="36.75" customHeight="1">
      <c r="A47" s="180"/>
      <c r="B47" s="3140" t="s">
        <v>90</v>
      </c>
      <c r="C47" s="3140"/>
      <c r="D47" s="3140"/>
      <c r="E47" s="3140"/>
      <c r="F47" s="3140"/>
      <c r="G47" s="3140"/>
      <c r="H47" s="3140"/>
      <c r="I47" s="3140"/>
      <c r="J47" s="3140"/>
      <c r="K47" s="3140"/>
      <c r="L47" s="3140"/>
      <c r="M47" s="156"/>
      <c r="N47" s="156"/>
    </row>
    <row r="54" spans="3:3">
      <c r="C54" s="1115"/>
    </row>
  </sheetData>
  <mergeCells count="2">
    <mergeCell ref="A2:L2"/>
    <mergeCell ref="B47:L47"/>
  </mergeCells>
  <pageMargins left="0.43307086614173229" right="0.19685039370078741" top="0.23622047244094491" bottom="0.35433070866141736" header="0.15748031496062992" footer="0.15748031496062992"/>
  <pageSetup paperSize="9" scale="60" orientation="landscape" blackAndWhite="1" r:id="rId1"/>
  <headerFooter>
    <oddFooter>&amp;R&amp;P</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zoomScale="86" zoomScaleNormal="86" workbookViewId="0">
      <pane xSplit="2" ySplit="5" topLeftCell="C6" activePane="bottomRight" state="frozen"/>
      <selection activeCell="B140" sqref="B140"/>
      <selection pane="topRight" activeCell="B140" sqref="B140"/>
      <selection pane="bottomLeft" activeCell="B140" sqref="B140"/>
      <selection pane="bottomRight" activeCell="B140" sqref="B140"/>
    </sheetView>
  </sheetViews>
  <sheetFormatPr defaultColWidth="8.88671875" defaultRowHeight="15.6"/>
  <cols>
    <col min="1" max="1" width="4.88671875" style="308" customWidth="1"/>
    <col min="2" max="2" width="70.6640625" style="308" customWidth="1"/>
    <col min="3" max="3" width="13.33203125" style="308" customWidth="1"/>
    <col min="4" max="5" width="14.109375" style="308" customWidth="1"/>
    <col min="6" max="6" width="12.6640625" style="308" customWidth="1"/>
    <col min="7" max="7" width="11.33203125" style="308" customWidth="1"/>
    <col min="8" max="8" width="11.6640625" style="308" customWidth="1"/>
    <col min="9" max="9" width="10.33203125" style="308" customWidth="1"/>
    <col min="10" max="10" width="11" style="308" customWidth="1"/>
    <col min="11" max="11" width="11.109375" style="308" customWidth="1"/>
    <col min="12" max="12" width="11.44140625" style="308" customWidth="1"/>
    <col min="13" max="13" width="16" style="308" hidden="1" customWidth="1"/>
    <col min="14" max="14" width="18.33203125" style="308" hidden="1" customWidth="1"/>
    <col min="15" max="15" width="29.6640625" style="308" customWidth="1"/>
    <col min="16" max="16" width="21" style="308" customWidth="1"/>
    <col min="17" max="16384" width="8.88671875" style="308"/>
  </cols>
  <sheetData>
    <row r="1" spans="1:15" s="155" customFormat="1" ht="22.2" customHeight="1">
      <c r="A1" s="153"/>
      <c r="B1" s="154"/>
      <c r="F1" s="182"/>
      <c r="K1" s="3141" t="s">
        <v>113</v>
      </c>
      <c r="L1" s="3141"/>
      <c r="M1" s="156"/>
      <c r="N1" s="156"/>
    </row>
    <row r="2" spans="1:15" s="155" customFormat="1" ht="26.25" customHeight="1">
      <c r="A2" s="3139" t="s">
        <v>865</v>
      </c>
      <c r="B2" s="3139"/>
      <c r="C2" s="3139"/>
      <c r="D2" s="3139"/>
      <c r="E2" s="3139"/>
      <c r="F2" s="3139"/>
      <c r="G2" s="3139"/>
      <c r="H2" s="3139"/>
      <c r="I2" s="3139"/>
      <c r="J2" s="3139"/>
      <c r="K2" s="3139"/>
      <c r="L2" s="3139"/>
      <c r="M2" s="156"/>
      <c r="N2" s="156"/>
    </row>
    <row r="3" spans="1:15" s="160" customFormat="1" ht="19.95" customHeight="1" thickBot="1">
      <c r="A3" s="601"/>
      <c r="B3" s="157"/>
      <c r="C3" s="158"/>
      <c r="D3" s="158"/>
      <c r="E3" s="158"/>
      <c r="F3" s="158"/>
      <c r="G3" s="158"/>
      <c r="H3" s="158"/>
      <c r="I3" s="158"/>
      <c r="J3" s="158"/>
      <c r="K3" s="158"/>
      <c r="L3" s="158"/>
      <c r="M3" s="159"/>
      <c r="N3" s="159"/>
    </row>
    <row r="4" spans="1:15" s="155" customFormat="1" ht="48" customHeight="1">
      <c r="A4" s="318" t="s">
        <v>49</v>
      </c>
      <c r="B4" s="319" t="s">
        <v>39</v>
      </c>
      <c r="C4" s="319" t="s">
        <v>40</v>
      </c>
      <c r="D4" s="319" t="s">
        <v>47</v>
      </c>
      <c r="E4" s="319" t="s">
        <v>45</v>
      </c>
      <c r="F4" s="319" t="s">
        <v>42</v>
      </c>
      <c r="G4" s="319" t="s">
        <v>46</v>
      </c>
      <c r="H4" s="319" t="s">
        <v>44</v>
      </c>
      <c r="I4" s="319" t="s">
        <v>43</v>
      </c>
      <c r="J4" s="319" t="s">
        <v>50</v>
      </c>
      <c r="K4" s="319" t="s">
        <v>51</v>
      </c>
      <c r="L4" s="319" t="s">
        <v>41</v>
      </c>
      <c r="M4" s="161" t="s">
        <v>52</v>
      </c>
      <c r="N4" s="162" t="s">
        <v>53</v>
      </c>
      <c r="O4" s="601" t="s">
        <v>245</v>
      </c>
    </row>
    <row r="5" spans="1:15" s="165" customFormat="1">
      <c r="A5" s="316" t="s">
        <v>80</v>
      </c>
      <c r="B5" s="317" t="s">
        <v>81</v>
      </c>
      <c r="C5" s="316">
        <v>1</v>
      </c>
      <c r="D5" s="316">
        <v>2</v>
      </c>
      <c r="E5" s="316">
        <v>3</v>
      </c>
      <c r="F5" s="316">
        <v>4</v>
      </c>
      <c r="G5" s="316">
        <v>5</v>
      </c>
      <c r="H5" s="316">
        <v>6</v>
      </c>
      <c r="I5" s="316">
        <v>7</v>
      </c>
      <c r="J5" s="316">
        <v>8</v>
      </c>
      <c r="K5" s="316">
        <v>9</v>
      </c>
      <c r="L5" s="316">
        <v>10</v>
      </c>
      <c r="M5" s="164"/>
      <c r="N5" s="600"/>
    </row>
    <row r="6" spans="1:15" s="155" customFormat="1" ht="28.2" customHeight="1">
      <c r="A6" s="163"/>
      <c r="B6" s="168" t="s">
        <v>246</v>
      </c>
      <c r="C6" s="303">
        <f>SUM(D6:L6)</f>
        <v>99045</v>
      </c>
      <c r="D6" s="171">
        <v>22065</v>
      </c>
      <c r="E6" s="171">
        <v>-864</v>
      </c>
      <c r="F6" s="171">
        <f>12905+7000</f>
        <v>19905</v>
      </c>
      <c r="G6" s="171">
        <v>10400</v>
      </c>
      <c r="H6" s="171">
        <v>19099</v>
      </c>
      <c r="I6" s="171">
        <v>4710</v>
      </c>
      <c r="J6" s="171">
        <v>8095</v>
      </c>
      <c r="K6" s="171">
        <v>5625</v>
      </c>
      <c r="L6" s="171">
        <v>10010</v>
      </c>
      <c r="M6" s="174"/>
      <c r="N6" s="175"/>
    </row>
    <row r="7" spans="1:15" s="155" customFormat="1">
      <c r="A7" s="308"/>
      <c r="B7" s="168" t="s">
        <v>246</v>
      </c>
      <c r="M7" s="156"/>
      <c r="N7" s="156"/>
    </row>
  </sheetData>
  <mergeCells count="2">
    <mergeCell ref="K1:L1"/>
    <mergeCell ref="A2:L2"/>
  </mergeCells>
  <pageMargins left="0.43307086614173201" right="0.196850393700787" top="0.23622047244094499" bottom="0.35433070866141703" header="0.15748031496063" footer="0.15748031496063"/>
  <pageSetup paperSize="9" scale="60" orientation="landscape" blackAndWhite="1" r:id="rId1"/>
  <headerFooter>
    <oddFooter>&amp;R&amp;P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36"/>
  <sheetViews>
    <sheetView topLeftCell="A4" workbookViewId="0">
      <selection activeCell="B140" sqref="B140"/>
    </sheetView>
  </sheetViews>
  <sheetFormatPr defaultColWidth="9.109375" defaultRowHeight="14.4"/>
  <cols>
    <col min="1" max="1" width="5" style="113" customWidth="1"/>
    <col min="2" max="2" width="19.88671875" style="111" customWidth="1"/>
    <col min="3" max="5" width="11.33203125" style="111" customWidth="1"/>
    <col min="6" max="7" width="9.109375" style="111" customWidth="1"/>
    <col min="8" max="8" width="11.33203125" style="111" customWidth="1"/>
    <col min="9" max="10" width="10.109375" style="111" customWidth="1"/>
    <col min="11" max="11" width="11.44140625" style="111" customWidth="1"/>
    <col min="12" max="12" width="9.109375" style="111" customWidth="1"/>
    <col min="13" max="13" width="10.5546875" style="111" customWidth="1"/>
    <col min="14" max="14" width="10.5546875" style="112" customWidth="1"/>
    <col min="15" max="18" width="9.109375" style="111" customWidth="1"/>
    <col min="19" max="19" width="12.44140625" customWidth="1"/>
    <col min="20" max="16384" width="9.109375" style="111"/>
  </cols>
  <sheetData>
    <row r="1" spans="1:25">
      <c r="A1" s="110" t="s">
        <v>69</v>
      </c>
      <c r="O1" s="3142" t="s">
        <v>111</v>
      </c>
      <c r="P1" s="3142"/>
      <c r="Q1" s="1069"/>
      <c r="R1" s="1069"/>
    </row>
    <row r="2" spans="1:25">
      <c r="A2" s="110" t="s">
        <v>70</v>
      </c>
    </row>
    <row r="3" spans="1:25" ht="17.399999999999999">
      <c r="A3" s="3143" t="s">
        <v>71</v>
      </c>
      <c r="B3" s="3143"/>
      <c r="C3" s="3143"/>
      <c r="D3" s="3143"/>
      <c r="E3" s="3143"/>
      <c r="F3" s="3143"/>
      <c r="G3" s="3143"/>
      <c r="H3" s="3143"/>
      <c r="I3" s="3143"/>
      <c r="J3" s="3143"/>
      <c r="K3" s="3143"/>
      <c r="L3" s="3143"/>
      <c r="M3" s="3143"/>
      <c r="N3" s="3143"/>
      <c r="O3" s="3143"/>
      <c r="P3" s="3143"/>
      <c r="Q3" s="1071"/>
      <c r="R3" s="1071"/>
    </row>
    <row r="4" spans="1:25" ht="20.399999999999999">
      <c r="A4" s="1074"/>
      <c r="B4" s="3144"/>
      <c r="C4" s="3144"/>
      <c r="D4" s="3144"/>
      <c r="E4" s="3144"/>
      <c r="F4" s="3144"/>
      <c r="G4" s="3144"/>
      <c r="H4" s="3144"/>
      <c r="I4" s="3144"/>
      <c r="J4" s="3144"/>
      <c r="K4" s="3144"/>
      <c r="L4" s="3144"/>
      <c r="M4" s="3144"/>
      <c r="N4" s="3144"/>
      <c r="O4" s="3144"/>
      <c r="P4" s="3144"/>
      <c r="Q4" s="1075"/>
      <c r="R4" s="1075"/>
    </row>
    <row r="5" spans="1:25">
      <c r="C5" s="124">
        <f>C10-F10</f>
        <v>162050</v>
      </c>
      <c r="H5" s="124">
        <f>H10-K10</f>
        <v>165900</v>
      </c>
      <c r="K5" s="111">
        <f>H5/C5%</f>
        <v>102.37580993520518</v>
      </c>
      <c r="O5" s="3145" t="s">
        <v>837</v>
      </c>
      <c r="P5" s="3145"/>
      <c r="Q5" s="1076"/>
      <c r="R5" s="1076"/>
    </row>
    <row r="6" spans="1:25" s="1069" customFormat="1" ht="24" customHeight="1">
      <c r="A6" s="3146" t="s">
        <v>72</v>
      </c>
      <c r="B6" s="3147" t="s">
        <v>73</v>
      </c>
      <c r="C6" s="3146" t="s">
        <v>14</v>
      </c>
      <c r="D6" s="3146"/>
      <c r="E6" s="3146"/>
      <c r="F6" s="3146"/>
      <c r="G6" s="3146"/>
      <c r="H6" s="3146" t="s">
        <v>74</v>
      </c>
      <c r="I6" s="3146"/>
      <c r="J6" s="3146"/>
      <c r="K6" s="3146"/>
      <c r="L6" s="3146"/>
      <c r="M6" s="3147" t="s">
        <v>838</v>
      </c>
      <c r="N6" s="3147" t="s">
        <v>839</v>
      </c>
      <c r="O6" s="3149" t="s">
        <v>75</v>
      </c>
      <c r="P6" s="3149"/>
      <c r="Q6" s="1077"/>
      <c r="R6" s="1077"/>
      <c r="S6"/>
    </row>
    <row r="7" spans="1:25" s="114" customFormat="1" ht="19.5" customHeight="1">
      <c r="A7" s="3146"/>
      <c r="B7" s="3146"/>
      <c r="C7" s="3147" t="s">
        <v>76</v>
      </c>
      <c r="D7" s="3147" t="s">
        <v>77</v>
      </c>
      <c r="E7" s="3150" t="s">
        <v>236</v>
      </c>
      <c r="F7" s="3146" t="s">
        <v>75</v>
      </c>
      <c r="G7" s="3146"/>
      <c r="H7" s="3147" t="s">
        <v>76</v>
      </c>
      <c r="I7" s="3147" t="s">
        <v>77</v>
      </c>
      <c r="J7" s="3150" t="s">
        <v>236</v>
      </c>
      <c r="K7" s="3146" t="s">
        <v>75</v>
      </c>
      <c r="L7" s="3146"/>
      <c r="M7" s="3146"/>
      <c r="N7" s="3147"/>
      <c r="O7" s="3147" t="s">
        <v>840</v>
      </c>
      <c r="P7" s="3147" t="s">
        <v>841</v>
      </c>
      <c r="Q7" s="1078"/>
      <c r="R7" s="1078"/>
      <c r="S7"/>
    </row>
    <row r="8" spans="1:25" s="114" customFormat="1" ht="115.5" customHeight="1">
      <c r="A8" s="3146"/>
      <c r="B8" s="3146"/>
      <c r="C8" s="3146"/>
      <c r="D8" s="3146"/>
      <c r="E8" s="3151"/>
      <c r="F8" s="1073" t="s">
        <v>78</v>
      </c>
      <c r="G8" s="1072" t="s">
        <v>79</v>
      </c>
      <c r="H8" s="3146"/>
      <c r="I8" s="3146"/>
      <c r="J8" s="3151"/>
      <c r="K8" s="1073" t="s">
        <v>78</v>
      </c>
      <c r="L8" s="1072" t="s">
        <v>79</v>
      </c>
      <c r="M8" s="3146"/>
      <c r="N8" s="3147"/>
      <c r="O8" s="3147"/>
      <c r="P8" s="3147"/>
      <c r="Q8" s="1078" t="s">
        <v>842</v>
      </c>
      <c r="R8" s="1078" t="s">
        <v>843</v>
      </c>
      <c r="S8"/>
    </row>
    <row r="9" spans="1:25" s="1070" customFormat="1" ht="26.4">
      <c r="A9" s="115" t="s">
        <v>80</v>
      </c>
      <c r="B9" s="115" t="s">
        <v>81</v>
      </c>
      <c r="C9" s="115">
        <v>1</v>
      </c>
      <c r="D9" s="115">
        <v>2</v>
      </c>
      <c r="E9" s="1079"/>
      <c r="F9" s="115">
        <v>3</v>
      </c>
      <c r="G9" s="115">
        <v>4</v>
      </c>
      <c r="H9" s="115">
        <v>5</v>
      </c>
      <c r="I9" s="115" t="s">
        <v>91</v>
      </c>
      <c r="J9" s="1079"/>
      <c r="K9" s="115">
        <v>7</v>
      </c>
      <c r="L9" s="115">
        <v>8</v>
      </c>
      <c r="M9" s="115" t="s">
        <v>844</v>
      </c>
      <c r="N9" s="116" t="s">
        <v>845</v>
      </c>
      <c r="O9" s="115" t="s">
        <v>846</v>
      </c>
      <c r="P9" s="115" t="s">
        <v>847</v>
      </c>
      <c r="Q9" s="1080"/>
      <c r="R9" s="1080"/>
      <c r="V9" s="1081">
        <v>0.4</v>
      </c>
      <c r="W9" s="1082">
        <v>0.3</v>
      </c>
      <c r="X9" s="1082">
        <v>0.2</v>
      </c>
      <c r="Y9" s="1082">
        <v>0.1</v>
      </c>
    </row>
    <row r="10" spans="1:25" ht="16.5" customHeight="1">
      <c r="A10" s="117">
        <v>1</v>
      </c>
      <c r="B10" s="118" t="s">
        <v>28</v>
      </c>
      <c r="C10" s="119">
        <v>182050</v>
      </c>
      <c r="D10" s="119">
        <f t="shared" ref="D10:D18" si="0">C10-G10</f>
        <v>176550</v>
      </c>
      <c r="E10" s="1083">
        <f>D10-F10</f>
        <v>156550</v>
      </c>
      <c r="F10" s="119">
        <v>20000</v>
      </c>
      <c r="G10" s="119">
        <v>5500</v>
      </c>
      <c r="H10" s="120">
        <v>195900</v>
      </c>
      <c r="I10" s="119">
        <f>H10-L10</f>
        <v>191900</v>
      </c>
      <c r="J10" s="1083">
        <f>I10-K10</f>
        <v>161900</v>
      </c>
      <c r="K10" s="120">
        <v>30000</v>
      </c>
      <c r="L10" s="119">
        <v>4000</v>
      </c>
      <c r="M10" s="119">
        <f>I10-D10</f>
        <v>15350</v>
      </c>
      <c r="N10" s="119">
        <f>(I10-K10)-(D10-F10)</f>
        <v>5350</v>
      </c>
      <c r="O10" s="119">
        <f>N10*50/100</f>
        <v>2675</v>
      </c>
      <c r="P10" s="119">
        <f>N10-O10</f>
        <v>2675</v>
      </c>
      <c r="Q10" s="1084">
        <f>H10/C10%</f>
        <v>107.60780005492997</v>
      </c>
      <c r="R10" s="1084">
        <f>J10/E10%</f>
        <v>103.41743851804536</v>
      </c>
      <c r="S10" s="141">
        <f>I10-K10</f>
        <v>161900</v>
      </c>
      <c r="T10" s="118" t="s">
        <v>28</v>
      </c>
      <c r="V10" s="1085">
        <f t="shared" ref="V10:V19" si="1">K10*40%</f>
        <v>12000</v>
      </c>
      <c r="W10" s="1085">
        <f t="shared" ref="W10:W19" si="2">K10*30%</f>
        <v>9000</v>
      </c>
      <c r="X10" s="1085">
        <f t="shared" ref="X10:X19" si="3">K10*20%</f>
        <v>6000</v>
      </c>
      <c r="Y10" s="1085">
        <f t="shared" ref="Y10:Y19" si="4">K10*10%</f>
        <v>3000</v>
      </c>
    </row>
    <row r="11" spans="1:25" ht="16.5" customHeight="1">
      <c r="A11" s="117">
        <v>2</v>
      </c>
      <c r="B11" s="118" t="s">
        <v>82</v>
      </c>
      <c r="C11" s="119">
        <v>49000</v>
      </c>
      <c r="D11" s="119">
        <f t="shared" si="0"/>
        <v>48200</v>
      </c>
      <c r="E11" s="1083">
        <f t="shared" ref="E11:E18" si="5">D11-F11</f>
        <v>45200</v>
      </c>
      <c r="F11" s="119">
        <v>3000</v>
      </c>
      <c r="G11" s="119">
        <v>800</v>
      </c>
      <c r="H11" s="119">
        <v>51000</v>
      </c>
      <c r="I11" s="119">
        <f t="shared" ref="I11:I18" si="6">H11-L11</f>
        <v>50200</v>
      </c>
      <c r="J11" s="1083">
        <f t="shared" ref="J11:J18" si="7">I11-K11</f>
        <v>47700</v>
      </c>
      <c r="K11" s="120">
        <f>3500-1000</f>
        <v>2500</v>
      </c>
      <c r="L11" s="119">
        <v>800</v>
      </c>
      <c r="M11" s="119">
        <f t="shared" ref="M11:M18" si="8">I11-D11</f>
        <v>2000</v>
      </c>
      <c r="N11" s="119">
        <f t="shared" ref="N11:N18" si="9">(I11-K11)-(D11-F11)</f>
        <v>2500</v>
      </c>
      <c r="O11" s="119">
        <f t="shared" ref="O11:O18" si="10">N11*50/100</f>
        <v>1250</v>
      </c>
      <c r="P11" s="119">
        <f t="shared" ref="P11:P18" si="11">N11-O11</f>
        <v>1250</v>
      </c>
      <c r="Q11" s="1084">
        <f t="shared" ref="Q11:Q18" si="12">H11/C11%</f>
        <v>104.08163265306122</v>
      </c>
      <c r="R11" s="1084">
        <f t="shared" ref="R11:R18" si="13">J11/E11%</f>
        <v>105.53097345132744</v>
      </c>
      <c r="S11" s="141">
        <f t="shared" ref="S11:S18" si="14">I11-K11</f>
        <v>47700</v>
      </c>
      <c r="T11" s="118" t="s">
        <v>82</v>
      </c>
      <c r="V11" s="1085">
        <f t="shared" si="1"/>
        <v>1000</v>
      </c>
      <c r="W11" s="1085">
        <f t="shared" si="2"/>
        <v>750</v>
      </c>
      <c r="X11" s="1085">
        <f t="shared" si="3"/>
        <v>500</v>
      </c>
      <c r="Y11" s="1085">
        <f t="shared" si="4"/>
        <v>250</v>
      </c>
    </row>
    <row r="12" spans="1:25" ht="16.5" customHeight="1">
      <c r="A12" s="117">
        <v>3</v>
      </c>
      <c r="B12" s="118" t="s">
        <v>83</v>
      </c>
      <c r="C12" s="119">
        <v>38800</v>
      </c>
      <c r="D12" s="119">
        <f t="shared" si="0"/>
        <v>37900</v>
      </c>
      <c r="E12" s="1083">
        <f t="shared" si="5"/>
        <v>36400</v>
      </c>
      <c r="F12" s="119">
        <v>1500</v>
      </c>
      <c r="G12" s="119">
        <v>900</v>
      </c>
      <c r="H12" s="119">
        <v>42200</v>
      </c>
      <c r="I12" s="119">
        <f>H12-L12</f>
        <v>41000</v>
      </c>
      <c r="J12" s="1083">
        <f t="shared" si="7"/>
        <v>39300</v>
      </c>
      <c r="K12" s="120">
        <v>1700</v>
      </c>
      <c r="L12" s="119">
        <v>1200</v>
      </c>
      <c r="M12" s="119">
        <f t="shared" si="8"/>
        <v>3100</v>
      </c>
      <c r="N12" s="119">
        <f t="shared" si="9"/>
        <v>2900</v>
      </c>
      <c r="O12" s="119">
        <f t="shared" si="10"/>
        <v>1450</v>
      </c>
      <c r="P12" s="119">
        <f t="shared" si="11"/>
        <v>1450</v>
      </c>
      <c r="Q12" s="1084">
        <f t="shared" si="12"/>
        <v>108.76288659793815</v>
      </c>
      <c r="R12" s="1084">
        <f t="shared" si="13"/>
        <v>107.96703296703296</v>
      </c>
      <c r="S12" s="141">
        <f t="shared" si="14"/>
        <v>39300</v>
      </c>
      <c r="T12" s="118" t="s">
        <v>83</v>
      </c>
      <c r="V12" s="1085">
        <f t="shared" si="1"/>
        <v>680</v>
      </c>
      <c r="W12" s="1085">
        <f t="shared" si="2"/>
        <v>510</v>
      </c>
      <c r="X12" s="1085">
        <f t="shared" si="3"/>
        <v>340</v>
      </c>
      <c r="Y12" s="1085">
        <f t="shared" si="4"/>
        <v>170</v>
      </c>
    </row>
    <row r="13" spans="1:25" ht="16.5" customHeight="1">
      <c r="A13" s="117">
        <v>4</v>
      </c>
      <c r="B13" s="118" t="s">
        <v>84</v>
      </c>
      <c r="C13" s="119">
        <v>61000</v>
      </c>
      <c r="D13" s="119">
        <f t="shared" si="0"/>
        <v>59700</v>
      </c>
      <c r="E13" s="1083">
        <f t="shared" si="5"/>
        <v>56700</v>
      </c>
      <c r="F13" s="119">
        <v>3000</v>
      </c>
      <c r="G13" s="119">
        <v>1300</v>
      </c>
      <c r="H13" s="119">
        <v>62500</v>
      </c>
      <c r="I13" s="119">
        <f t="shared" si="6"/>
        <v>61200</v>
      </c>
      <c r="J13" s="1083">
        <f t="shared" si="7"/>
        <v>56700</v>
      </c>
      <c r="K13" s="120">
        <v>4500</v>
      </c>
      <c r="L13" s="119">
        <v>1300</v>
      </c>
      <c r="M13" s="119">
        <f t="shared" si="8"/>
        <v>1500</v>
      </c>
      <c r="N13" s="119">
        <f t="shared" si="9"/>
        <v>0</v>
      </c>
      <c r="O13" s="119">
        <f t="shared" si="10"/>
        <v>0</v>
      </c>
      <c r="P13" s="119">
        <f t="shared" si="11"/>
        <v>0</v>
      </c>
      <c r="Q13" s="1084">
        <f t="shared" si="12"/>
        <v>102.45901639344262</v>
      </c>
      <c r="R13" s="1084">
        <f t="shared" si="13"/>
        <v>100</v>
      </c>
      <c r="S13" s="141">
        <f t="shared" si="14"/>
        <v>56700</v>
      </c>
      <c r="T13" s="118" t="s">
        <v>84</v>
      </c>
      <c r="V13" s="1085">
        <f t="shared" si="1"/>
        <v>1800</v>
      </c>
      <c r="W13" s="1085">
        <f t="shared" si="2"/>
        <v>1350</v>
      </c>
      <c r="X13" s="1085">
        <f t="shared" si="3"/>
        <v>900</v>
      </c>
      <c r="Y13" s="1085">
        <f t="shared" si="4"/>
        <v>450</v>
      </c>
    </row>
    <row r="14" spans="1:25" ht="16.5" customHeight="1">
      <c r="A14" s="117">
        <v>5</v>
      </c>
      <c r="B14" s="118" t="s">
        <v>85</v>
      </c>
      <c r="C14" s="119">
        <v>26900</v>
      </c>
      <c r="D14" s="119">
        <f t="shared" si="0"/>
        <v>25900</v>
      </c>
      <c r="E14" s="1083">
        <f t="shared" si="5"/>
        <v>25400</v>
      </c>
      <c r="F14" s="119">
        <v>500</v>
      </c>
      <c r="G14" s="119">
        <v>1000</v>
      </c>
      <c r="H14" s="119">
        <v>27400</v>
      </c>
      <c r="I14" s="119">
        <f t="shared" si="6"/>
        <v>26000</v>
      </c>
      <c r="J14" s="1083">
        <f t="shared" si="7"/>
        <v>25400</v>
      </c>
      <c r="K14" s="120">
        <v>600</v>
      </c>
      <c r="L14" s="119">
        <v>1400</v>
      </c>
      <c r="M14" s="119">
        <f>I14-D14</f>
        <v>100</v>
      </c>
      <c r="N14" s="119">
        <f t="shared" si="9"/>
        <v>0</v>
      </c>
      <c r="O14" s="119">
        <f t="shared" si="10"/>
        <v>0</v>
      </c>
      <c r="P14" s="119">
        <f t="shared" si="11"/>
        <v>0</v>
      </c>
      <c r="Q14" s="1084">
        <f t="shared" si="12"/>
        <v>101.85873605947955</v>
      </c>
      <c r="R14" s="1084">
        <f t="shared" si="13"/>
        <v>100</v>
      </c>
      <c r="S14" s="141">
        <f t="shared" si="14"/>
        <v>25400</v>
      </c>
      <c r="T14" s="118" t="s">
        <v>85</v>
      </c>
      <c r="V14" s="1085">
        <f t="shared" si="1"/>
        <v>240</v>
      </c>
      <c r="W14" s="1085">
        <f t="shared" si="2"/>
        <v>180</v>
      </c>
      <c r="X14" s="1085">
        <f t="shared" si="3"/>
        <v>120</v>
      </c>
      <c r="Y14" s="1085">
        <f t="shared" si="4"/>
        <v>60</v>
      </c>
    </row>
    <row r="15" spans="1:25" ht="16.5" customHeight="1">
      <c r="A15" s="117">
        <v>6</v>
      </c>
      <c r="B15" s="118" t="s">
        <v>86</v>
      </c>
      <c r="C15" s="119">
        <v>37500</v>
      </c>
      <c r="D15" s="119">
        <f t="shared" si="0"/>
        <v>35300</v>
      </c>
      <c r="E15" s="1083">
        <f t="shared" si="5"/>
        <v>33300</v>
      </c>
      <c r="F15" s="119">
        <v>2000</v>
      </c>
      <c r="G15" s="119">
        <v>2200</v>
      </c>
      <c r="H15" s="119">
        <v>43500</v>
      </c>
      <c r="I15" s="119">
        <f t="shared" si="6"/>
        <v>40900</v>
      </c>
      <c r="J15" s="1083">
        <f t="shared" si="7"/>
        <v>37400</v>
      </c>
      <c r="K15" s="120">
        <v>3500</v>
      </c>
      <c r="L15" s="119">
        <v>2600</v>
      </c>
      <c r="M15" s="119">
        <f t="shared" si="8"/>
        <v>5600</v>
      </c>
      <c r="N15" s="119">
        <f t="shared" si="9"/>
        <v>4100</v>
      </c>
      <c r="O15" s="119">
        <f t="shared" si="10"/>
        <v>2050</v>
      </c>
      <c r="P15" s="119">
        <f t="shared" si="11"/>
        <v>2050</v>
      </c>
      <c r="Q15" s="1084">
        <f t="shared" si="12"/>
        <v>116</v>
      </c>
      <c r="R15" s="1084">
        <f t="shared" si="13"/>
        <v>112.31231231231232</v>
      </c>
      <c r="S15" s="141">
        <f t="shared" si="14"/>
        <v>37400</v>
      </c>
      <c r="T15" s="118" t="s">
        <v>86</v>
      </c>
      <c r="V15" s="1085">
        <f t="shared" si="1"/>
        <v>1400</v>
      </c>
      <c r="W15" s="1085">
        <f t="shared" si="2"/>
        <v>1050</v>
      </c>
      <c r="X15" s="1085">
        <f t="shared" si="3"/>
        <v>700</v>
      </c>
      <c r="Y15" s="1085">
        <f t="shared" si="4"/>
        <v>350</v>
      </c>
    </row>
    <row r="16" spans="1:25" ht="16.5" customHeight="1">
      <c r="A16" s="117">
        <v>7</v>
      </c>
      <c r="B16" s="118" t="s">
        <v>87</v>
      </c>
      <c r="C16" s="119">
        <v>28500</v>
      </c>
      <c r="D16" s="119">
        <f t="shared" si="0"/>
        <v>27000</v>
      </c>
      <c r="E16" s="1083">
        <f t="shared" si="5"/>
        <v>26000</v>
      </c>
      <c r="F16" s="119">
        <v>1000</v>
      </c>
      <c r="G16" s="119">
        <v>1500</v>
      </c>
      <c r="H16" s="119">
        <v>31900</v>
      </c>
      <c r="I16" s="119">
        <f t="shared" si="6"/>
        <v>30400</v>
      </c>
      <c r="J16" s="1083">
        <f t="shared" si="7"/>
        <v>27900</v>
      </c>
      <c r="K16" s="120">
        <v>2500</v>
      </c>
      <c r="L16" s="119">
        <v>1500</v>
      </c>
      <c r="M16" s="119">
        <f t="shared" si="8"/>
        <v>3400</v>
      </c>
      <c r="N16" s="119">
        <f t="shared" si="9"/>
        <v>1900</v>
      </c>
      <c r="O16" s="119">
        <f t="shared" si="10"/>
        <v>950</v>
      </c>
      <c r="P16" s="119">
        <f t="shared" si="11"/>
        <v>950</v>
      </c>
      <c r="Q16" s="1084">
        <f t="shared" si="12"/>
        <v>111.92982456140351</v>
      </c>
      <c r="R16" s="1084">
        <f t="shared" si="13"/>
        <v>107.30769230769231</v>
      </c>
      <c r="S16" s="141">
        <f t="shared" si="14"/>
        <v>27900</v>
      </c>
      <c r="T16" s="118" t="s">
        <v>87</v>
      </c>
      <c r="V16" s="1085">
        <f t="shared" si="1"/>
        <v>1000</v>
      </c>
      <c r="W16" s="1085">
        <f t="shared" si="2"/>
        <v>750</v>
      </c>
      <c r="X16" s="1085">
        <f t="shared" si="3"/>
        <v>500</v>
      </c>
      <c r="Y16" s="1085">
        <f t="shared" si="4"/>
        <v>250</v>
      </c>
    </row>
    <row r="17" spans="1:25" ht="16.5" customHeight="1">
      <c r="A17" s="117">
        <v>8</v>
      </c>
      <c r="B17" s="118" t="s">
        <v>88</v>
      </c>
      <c r="C17" s="119">
        <v>57250</v>
      </c>
      <c r="D17" s="119">
        <f t="shared" si="0"/>
        <v>55250</v>
      </c>
      <c r="E17" s="1083">
        <f t="shared" si="5"/>
        <v>50250</v>
      </c>
      <c r="F17" s="119">
        <v>5000</v>
      </c>
      <c r="G17" s="119">
        <v>2000</v>
      </c>
      <c r="H17" s="119">
        <v>57200</v>
      </c>
      <c r="I17" s="119">
        <f t="shared" si="6"/>
        <v>54700</v>
      </c>
      <c r="J17" s="1083">
        <f t="shared" si="7"/>
        <v>50700</v>
      </c>
      <c r="K17" s="285">
        <v>4000</v>
      </c>
      <c r="L17" s="119">
        <v>2500</v>
      </c>
      <c r="M17" s="119">
        <f t="shared" si="8"/>
        <v>-550</v>
      </c>
      <c r="N17" s="119">
        <f t="shared" si="9"/>
        <v>450</v>
      </c>
      <c r="O17" s="119">
        <f t="shared" si="10"/>
        <v>225</v>
      </c>
      <c r="P17" s="119">
        <f t="shared" si="11"/>
        <v>225</v>
      </c>
      <c r="Q17" s="1084">
        <f t="shared" si="12"/>
        <v>99.91266375545851</v>
      </c>
      <c r="R17" s="1084">
        <f t="shared" si="13"/>
        <v>100.8955223880597</v>
      </c>
      <c r="S17" s="141">
        <f t="shared" si="14"/>
        <v>50700</v>
      </c>
      <c r="T17" s="118" t="s">
        <v>88</v>
      </c>
      <c r="V17" s="1085">
        <f t="shared" si="1"/>
        <v>1600</v>
      </c>
      <c r="W17" s="1085">
        <f t="shared" si="2"/>
        <v>1200</v>
      </c>
      <c r="X17" s="1085">
        <f t="shared" si="3"/>
        <v>800</v>
      </c>
      <c r="Y17" s="1085">
        <f t="shared" si="4"/>
        <v>400</v>
      </c>
    </row>
    <row r="18" spans="1:25" ht="16.5" customHeight="1">
      <c r="A18" s="117">
        <v>9</v>
      </c>
      <c r="B18" s="118" t="s">
        <v>36</v>
      </c>
      <c r="C18" s="119">
        <v>64000</v>
      </c>
      <c r="D18" s="119">
        <f t="shared" si="0"/>
        <v>62000</v>
      </c>
      <c r="E18" s="1083">
        <f t="shared" si="5"/>
        <v>59000</v>
      </c>
      <c r="F18" s="119">
        <v>3000</v>
      </c>
      <c r="G18" s="119">
        <v>2000</v>
      </c>
      <c r="H18" s="119">
        <v>68000</v>
      </c>
      <c r="I18" s="119">
        <f t="shared" si="6"/>
        <v>65900</v>
      </c>
      <c r="J18" s="1083">
        <f t="shared" si="7"/>
        <v>62400</v>
      </c>
      <c r="K18" s="120">
        <v>3500</v>
      </c>
      <c r="L18" s="119">
        <v>2100</v>
      </c>
      <c r="M18" s="119">
        <f t="shared" si="8"/>
        <v>3900</v>
      </c>
      <c r="N18" s="119">
        <f t="shared" si="9"/>
        <v>3400</v>
      </c>
      <c r="O18" s="119">
        <f t="shared" si="10"/>
        <v>1700</v>
      </c>
      <c r="P18" s="119">
        <f t="shared" si="11"/>
        <v>1700</v>
      </c>
      <c r="Q18" s="1084">
        <f t="shared" si="12"/>
        <v>106.25</v>
      </c>
      <c r="R18" s="1084">
        <f t="shared" si="13"/>
        <v>105.76271186440678</v>
      </c>
      <c r="S18" s="141">
        <f t="shared" si="14"/>
        <v>62400</v>
      </c>
      <c r="T18" s="118" t="s">
        <v>36</v>
      </c>
      <c r="V18" s="1085">
        <f t="shared" si="1"/>
        <v>1400</v>
      </c>
      <c r="W18" s="1085">
        <f t="shared" si="2"/>
        <v>1050</v>
      </c>
      <c r="X18" s="1085">
        <f t="shared" si="3"/>
        <v>700</v>
      </c>
      <c r="Y18" s="1085">
        <f t="shared" si="4"/>
        <v>350</v>
      </c>
    </row>
    <row r="19" spans="1:25" s="112" customFormat="1" ht="22.5" customHeight="1">
      <c r="A19" s="121"/>
      <c r="B19" s="122" t="s">
        <v>89</v>
      </c>
      <c r="C19" s="123">
        <f t="shared" ref="C19:J19" si="15">SUM(C10:C18)</f>
        <v>545000</v>
      </c>
      <c r="D19" s="123">
        <f t="shared" si="15"/>
        <v>527800</v>
      </c>
      <c r="E19" s="1086">
        <f t="shared" si="15"/>
        <v>488800</v>
      </c>
      <c r="F19" s="123">
        <f t="shared" si="15"/>
        <v>39000</v>
      </c>
      <c r="G19" s="123">
        <f t="shared" si="15"/>
        <v>17200</v>
      </c>
      <c r="H19" s="123">
        <f t="shared" si="15"/>
        <v>579600</v>
      </c>
      <c r="I19" s="123">
        <f t="shared" si="15"/>
        <v>562200</v>
      </c>
      <c r="J19" s="1086">
        <f t="shared" si="15"/>
        <v>509400</v>
      </c>
      <c r="K19" s="123">
        <f t="shared" ref="K19:P19" si="16">SUM(K10:K18)</f>
        <v>52800</v>
      </c>
      <c r="L19" s="123">
        <f t="shared" si="16"/>
        <v>17400</v>
      </c>
      <c r="M19" s="123">
        <f t="shared" si="16"/>
        <v>34400</v>
      </c>
      <c r="N19" s="123">
        <f t="shared" si="16"/>
        <v>20600</v>
      </c>
      <c r="O19" s="123">
        <f t="shared" si="16"/>
        <v>10300</v>
      </c>
      <c r="P19" s="123">
        <f t="shared" si="16"/>
        <v>10300</v>
      </c>
      <c r="Q19" s="1087">
        <f>H19/C19%</f>
        <v>106.34862385321101</v>
      </c>
      <c r="R19" s="1087">
        <f>J19/E19%</f>
        <v>104.21440261865794</v>
      </c>
      <c r="S19" s="1088">
        <f>SUM(S10:S18)</f>
        <v>509400</v>
      </c>
      <c r="U19" s="1089">
        <f>SUM(V19:X19)</f>
        <v>47520</v>
      </c>
      <c r="V19" s="1090">
        <f t="shared" si="1"/>
        <v>21120</v>
      </c>
      <c r="W19" s="112">
        <f t="shared" si="2"/>
        <v>15840</v>
      </c>
      <c r="X19" s="1088">
        <f t="shared" si="3"/>
        <v>10560</v>
      </c>
      <c r="Y19" s="1088">
        <f t="shared" si="4"/>
        <v>5280</v>
      </c>
    </row>
    <row r="20" spans="1:25">
      <c r="D20" s="124"/>
      <c r="E20" s="124"/>
      <c r="H20"/>
      <c r="I20" s="141"/>
      <c r="J20" s="141"/>
      <c r="K20"/>
      <c r="S20" s="141"/>
      <c r="V20" s="3148"/>
      <c r="W20" s="3148"/>
      <c r="X20" s="3148"/>
    </row>
    <row r="21" spans="1:25">
      <c r="D21" s="124"/>
      <c r="E21" s="124"/>
      <c r="F21" s="124"/>
      <c r="H21"/>
      <c r="I21" s="383"/>
      <c r="J21" s="383"/>
      <c r="K21" s="141"/>
      <c r="V21" s="111">
        <f>SUM(V18:X18)</f>
        <v>3150</v>
      </c>
    </row>
    <row r="22" spans="1:25">
      <c r="C22" s="124"/>
      <c r="D22" s="141"/>
      <c r="E22" s="383"/>
      <c r="F22" s="141"/>
      <c r="G22"/>
      <c r="H22"/>
      <c r="I22" s="141"/>
      <c r="J22" s="141"/>
      <c r="K22"/>
      <c r="L22"/>
      <c r="M22"/>
      <c r="O22" s="124"/>
    </row>
    <row r="23" spans="1:25">
      <c r="D23"/>
      <c r="E23" s="141"/>
      <c r="F23"/>
      <c r="G23"/>
      <c r="H23"/>
      <c r="I23"/>
      <c r="J23"/>
      <c r="K23"/>
      <c r="L23"/>
      <c r="M23"/>
    </row>
    <row r="24" spans="1:25">
      <c r="D24"/>
      <c r="E24"/>
      <c r="F24" s="141"/>
      <c r="G24"/>
      <c r="H24"/>
      <c r="I24" s="141"/>
      <c r="J24"/>
      <c r="K24"/>
      <c r="L24"/>
      <c r="M24"/>
    </row>
    <row r="25" spans="1:25">
      <c r="D25"/>
      <c r="E25"/>
      <c r="F25"/>
      <c r="G25"/>
      <c r="H25"/>
      <c r="I25" s="141"/>
      <c r="J25"/>
      <c r="K25"/>
      <c r="L25"/>
      <c r="M25"/>
    </row>
    <row r="26" spans="1:25">
      <c r="D26"/>
      <c r="E26"/>
      <c r="F26"/>
      <c r="G26"/>
      <c r="H26"/>
      <c r="I26"/>
      <c r="J26"/>
      <c r="K26"/>
      <c r="L26"/>
      <c r="M26"/>
    </row>
    <row r="27" spans="1:25">
      <c r="D27"/>
      <c r="E27"/>
      <c r="F27"/>
      <c r="G27"/>
      <c r="H27"/>
      <c r="I27"/>
      <c r="J27"/>
      <c r="K27"/>
      <c r="L27"/>
      <c r="M27"/>
    </row>
    <row r="28" spans="1:25">
      <c r="D28"/>
      <c r="E28"/>
      <c r="F28"/>
      <c r="G28"/>
      <c r="H28"/>
      <c r="I28"/>
      <c r="J28"/>
      <c r="K28"/>
      <c r="L28"/>
      <c r="M28"/>
    </row>
    <row r="29" spans="1:25">
      <c r="D29"/>
      <c r="E29"/>
      <c r="F29"/>
      <c r="G29"/>
      <c r="H29"/>
      <c r="I29"/>
      <c r="J29"/>
      <c r="K29"/>
      <c r="L29"/>
      <c r="M29"/>
    </row>
    <row r="30" spans="1:25">
      <c r="D30"/>
      <c r="E30"/>
      <c r="F30"/>
      <c r="G30"/>
      <c r="H30"/>
      <c r="I30"/>
      <c r="J30"/>
      <c r="K30"/>
      <c r="L30"/>
      <c r="M30"/>
    </row>
    <row r="31" spans="1:25">
      <c r="D31"/>
      <c r="E31"/>
      <c r="F31"/>
      <c r="G31"/>
      <c r="H31"/>
      <c r="I31"/>
      <c r="J31"/>
      <c r="K31"/>
      <c r="L31"/>
      <c r="M31"/>
    </row>
    <row r="32" spans="1:25">
      <c r="D32"/>
      <c r="E32"/>
      <c r="F32"/>
      <c r="G32"/>
      <c r="H32"/>
      <c r="I32"/>
      <c r="J32"/>
      <c r="K32"/>
      <c r="L32"/>
      <c r="M32"/>
    </row>
    <row r="33" spans="4:13">
      <c r="D33"/>
      <c r="E33"/>
      <c r="F33"/>
      <c r="G33"/>
      <c r="H33"/>
      <c r="I33"/>
      <c r="J33"/>
      <c r="K33"/>
      <c r="L33"/>
      <c r="M33"/>
    </row>
    <row r="34" spans="4:13">
      <c r="D34"/>
      <c r="E34"/>
      <c r="F34"/>
      <c r="G34"/>
      <c r="H34"/>
      <c r="I34"/>
      <c r="J34"/>
      <c r="K34"/>
      <c r="L34"/>
      <c r="M34"/>
    </row>
    <row r="35" spans="4:13">
      <c r="D35"/>
      <c r="E35"/>
      <c r="F35"/>
      <c r="G35"/>
      <c r="H35"/>
      <c r="I35"/>
      <c r="J35"/>
      <c r="K35"/>
      <c r="L35"/>
      <c r="M35"/>
    </row>
    <row r="36" spans="4:13">
      <c r="D36"/>
      <c r="E36"/>
      <c r="F36"/>
      <c r="G36"/>
      <c r="H36"/>
      <c r="I36"/>
      <c r="J36"/>
      <c r="K36"/>
      <c r="L36"/>
      <c r="M36"/>
    </row>
  </sheetData>
  <mergeCells count="22">
    <mergeCell ref="V20:X20"/>
    <mergeCell ref="O6:P6"/>
    <mergeCell ref="C7:C8"/>
    <mergeCell ref="D7:D8"/>
    <mergeCell ref="E7:E8"/>
    <mergeCell ref="F7:G7"/>
    <mergeCell ref="H7:H8"/>
    <mergeCell ref="I7:I8"/>
    <mergeCell ref="J7:J8"/>
    <mergeCell ref="K7:L7"/>
    <mergeCell ref="O7:O8"/>
    <mergeCell ref="O1:P1"/>
    <mergeCell ref="A3:P3"/>
    <mergeCell ref="B4:P4"/>
    <mergeCell ref="O5:P5"/>
    <mergeCell ref="A6:A8"/>
    <mergeCell ref="B6:B8"/>
    <mergeCell ref="C6:G6"/>
    <mergeCell ref="H6:L6"/>
    <mergeCell ref="M6:M8"/>
    <mergeCell ref="N6:N8"/>
    <mergeCell ref="P7:P8"/>
  </mergeCells>
  <pageMargins left="0.15748031496062992" right="0.15748031496062992" top="0.31496062992125984" bottom="0.74803149606299213" header="0.31496062992125984" footer="0.31496062992125984"/>
  <pageSetup paperSize="9" scale="85" orientation="landscape"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L81"/>
  <sheetViews>
    <sheetView topLeftCell="A4" zoomScale="88" zoomScaleNormal="88" workbookViewId="0">
      <selection activeCell="B140" sqref="B140"/>
    </sheetView>
  </sheetViews>
  <sheetFormatPr defaultColWidth="16.5546875" defaultRowHeight="23.25" customHeight="1"/>
  <cols>
    <col min="1" max="1" width="6.44140625" style="2" customWidth="1"/>
    <col min="2" max="2" width="53.44140625" style="2" customWidth="1"/>
    <col min="3" max="3" width="17.6640625" style="29" customWidth="1"/>
    <col min="4" max="4" width="19.5546875" style="2" customWidth="1"/>
    <col min="5" max="5" width="13.88671875" style="51" customWidth="1"/>
    <col min="6" max="6" width="12.5546875" style="2" customWidth="1"/>
    <col min="7" max="7" width="25.5546875" style="2" hidden="1" customWidth="1"/>
    <col min="8" max="8" width="18.109375" style="2" customWidth="1"/>
    <col min="9" max="9" width="16.5546875" style="2" customWidth="1"/>
    <col min="10" max="10" width="11.88671875" style="2" customWidth="1"/>
    <col min="11" max="11" width="10.33203125" style="2" customWidth="1"/>
    <col min="12" max="16384" width="16.5546875" style="2"/>
  </cols>
  <sheetData>
    <row r="1" spans="1:12" ht="23.25" customHeight="1">
      <c r="E1" s="3152"/>
      <c r="F1" s="3152"/>
      <c r="G1" s="604"/>
    </row>
    <row r="2" spans="1:12" ht="23.25" customHeight="1">
      <c r="B2" s="3097" t="s">
        <v>16</v>
      </c>
      <c r="C2" s="3097"/>
      <c r="D2" s="3097"/>
      <c r="E2" s="3097"/>
      <c r="F2" s="3097"/>
      <c r="G2" s="605"/>
    </row>
    <row r="3" spans="1:12" s="3" customFormat="1" ht="23.25" customHeight="1">
      <c r="B3" s="3153" t="s">
        <v>10</v>
      </c>
      <c r="C3" s="3153"/>
      <c r="D3" s="3153"/>
      <c r="E3" s="3153"/>
      <c r="F3" s="3153"/>
      <c r="G3" s="606"/>
    </row>
    <row r="4" spans="1:12" s="4" customFormat="1" ht="23.25" customHeight="1">
      <c r="C4" s="5"/>
      <c r="D4" s="125"/>
      <c r="E4" s="3154" t="s">
        <v>27</v>
      </c>
      <c r="F4" s="3154"/>
      <c r="G4" s="1010"/>
    </row>
    <row r="5" spans="1:12" s="1" customFormat="1" ht="43.95" customHeight="1">
      <c r="A5" s="3157" t="s">
        <v>49</v>
      </c>
      <c r="B5" s="3155" t="s">
        <v>0</v>
      </c>
      <c r="C5" s="3134" t="s">
        <v>879</v>
      </c>
      <c r="D5" s="3134" t="s">
        <v>17</v>
      </c>
      <c r="E5" s="3136" t="s">
        <v>26</v>
      </c>
      <c r="F5" s="3123"/>
      <c r="G5" s="3160" t="s">
        <v>811</v>
      </c>
    </row>
    <row r="6" spans="1:12" s="1" customFormat="1" ht="27" customHeight="1">
      <c r="A6" s="3158"/>
      <c r="B6" s="3156"/>
      <c r="C6" s="3135"/>
      <c r="D6" s="3135"/>
      <c r="E6" s="1126" t="s">
        <v>1</v>
      </c>
      <c r="F6" s="1198" t="s">
        <v>2</v>
      </c>
      <c r="G6" s="3161"/>
      <c r="H6"/>
      <c r="I6"/>
      <c r="J6"/>
      <c r="K6"/>
      <c r="L6"/>
    </row>
    <row r="7" spans="1:12" s="7" customFormat="1" ht="21.75" customHeight="1">
      <c r="A7" s="1012"/>
      <c r="B7" s="1129">
        <v>1</v>
      </c>
      <c r="C7" s="1130">
        <v>2</v>
      </c>
      <c r="D7" s="1131">
        <v>3</v>
      </c>
      <c r="E7" s="1132" t="s">
        <v>882</v>
      </c>
      <c r="F7" s="1199" t="s">
        <v>883</v>
      </c>
      <c r="G7" s="1029"/>
      <c r="H7"/>
      <c r="I7"/>
      <c r="J7"/>
      <c r="K7"/>
      <c r="L7"/>
    </row>
    <row r="8" spans="1:12" s="8" customFormat="1" ht="21.75" customHeight="1">
      <c r="A8" s="1013" t="s">
        <v>54</v>
      </c>
      <c r="B8" s="1200" t="s">
        <v>812</v>
      </c>
      <c r="C8" s="14">
        <f>C9+C11+C17</f>
        <v>372020</v>
      </c>
      <c r="D8" s="14">
        <f>D9+D11+D17</f>
        <v>417812</v>
      </c>
      <c r="E8" s="14">
        <f t="shared" ref="E8:E34" si="0">D8-C8</f>
        <v>45792</v>
      </c>
      <c r="F8" s="1201">
        <f t="shared" ref="F8:F13" si="1">D8/C8%</f>
        <v>112.3090156443202</v>
      </c>
      <c r="G8" s="109"/>
      <c r="H8" s="1101">
        <f>D8-D24</f>
        <v>14749</v>
      </c>
      <c r="I8"/>
      <c r="J8"/>
      <c r="K8"/>
      <c r="L8"/>
    </row>
    <row r="9" spans="1:12" s="35" customFormat="1" ht="21.75" customHeight="1">
      <c r="A9" s="1015">
        <v>1</v>
      </c>
      <c r="B9" s="1202" t="s">
        <v>813</v>
      </c>
      <c r="C9" s="32">
        <f>'so thu huyen-R-03'!D10</f>
        <v>176550</v>
      </c>
      <c r="D9" s="32">
        <f>'so thu huyen-R-03'!I10</f>
        <v>191900</v>
      </c>
      <c r="E9" s="1102">
        <f t="shared" si="0"/>
        <v>15350</v>
      </c>
      <c r="F9" s="1201">
        <f t="shared" si="1"/>
        <v>108.69442084395355</v>
      </c>
      <c r="G9" s="109"/>
      <c r="H9"/>
      <c r="I9"/>
      <c r="J9"/>
      <c r="K9"/>
      <c r="L9"/>
    </row>
    <row r="10" spans="1:12" s="35" customFormat="1" ht="37.200000000000003" customHeight="1">
      <c r="A10" s="1015"/>
      <c r="B10" s="1203" t="s">
        <v>109</v>
      </c>
      <c r="C10" s="139">
        <f>C9-'so thu huyen-R-03'!F10</f>
        <v>156550</v>
      </c>
      <c r="D10" s="139">
        <f>D9-'so thu huyen-R-03'!K10</f>
        <v>161900</v>
      </c>
      <c r="E10" s="1102">
        <f t="shared" si="0"/>
        <v>5350</v>
      </c>
      <c r="F10" s="1201">
        <f t="shared" si="1"/>
        <v>103.41743851804536</v>
      </c>
      <c r="G10" s="109"/>
      <c r="H10"/>
      <c r="I10"/>
      <c r="J10"/>
      <c r="K10"/>
      <c r="L10"/>
    </row>
    <row r="11" spans="1:12" s="35" customFormat="1" ht="21.75" customHeight="1">
      <c r="A11" s="1015">
        <v>2</v>
      </c>
      <c r="B11" s="1202" t="s">
        <v>814</v>
      </c>
      <c r="C11" s="32">
        <f>SUM(C12:C16)</f>
        <v>191449</v>
      </c>
      <c r="D11" s="32">
        <f>SUM(D12:D16)</f>
        <v>211163</v>
      </c>
      <c r="E11" s="1102">
        <f t="shared" si="0"/>
        <v>19714</v>
      </c>
      <c r="F11" s="1201">
        <f t="shared" si="1"/>
        <v>110.29725932232606</v>
      </c>
      <c r="G11" s="109"/>
      <c r="H11"/>
      <c r="I11"/>
      <c r="J11"/>
      <c r="K11"/>
      <c r="L11"/>
    </row>
    <row r="12" spans="1:12" s="12" customFormat="1" ht="21.75" customHeight="1">
      <c r="A12" s="1016" t="s">
        <v>351</v>
      </c>
      <c r="B12" s="1204" t="s">
        <v>829</v>
      </c>
      <c r="C12" s="1103">
        <v>175582</v>
      </c>
      <c r="D12" s="1103">
        <f>C12</f>
        <v>175582</v>
      </c>
      <c r="E12" s="1104">
        <f t="shared" si="0"/>
        <v>0</v>
      </c>
      <c r="F12" s="1205">
        <f t="shared" si="1"/>
        <v>100</v>
      </c>
      <c r="G12" s="109"/>
      <c r="H12"/>
      <c r="I12" s="106"/>
      <c r="J12"/>
      <c r="K12"/>
      <c r="L12"/>
    </row>
    <row r="13" spans="1:12" s="1226" customFormat="1" ht="21.75" customHeight="1">
      <c r="A13" s="1224" t="s">
        <v>357</v>
      </c>
      <c r="B13" s="1204" t="s">
        <v>387</v>
      </c>
      <c r="C13" s="1106">
        <v>1511</v>
      </c>
      <c r="D13" s="1106">
        <f>C13</f>
        <v>1511</v>
      </c>
      <c r="E13" s="92">
        <f t="shared" si="0"/>
        <v>0</v>
      </c>
      <c r="F13" s="1227">
        <f t="shared" si="1"/>
        <v>100</v>
      </c>
      <c r="G13" s="109"/>
      <c r="H13" s="1225">
        <f>D13+D14</f>
        <v>15505</v>
      </c>
      <c r="I13" s="1225"/>
      <c r="J13" s="107"/>
      <c r="K13" s="107"/>
      <c r="L13" s="107"/>
    </row>
    <row r="14" spans="1:12" s="12" customFormat="1" ht="21.75" customHeight="1">
      <c r="A14" s="1016" t="s">
        <v>815</v>
      </c>
      <c r="B14" s="1204" t="s">
        <v>386</v>
      </c>
      <c r="C14" s="1103"/>
      <c r="D14" s="299">
        <f>11669-I14+5000</f>
        <v>13994</v>
      </c>
      <c r="E14" s="1104">
        <f t="shared" si="0"/>
        <v>13994</v>
      </c>
      <c r="F14" s="1205"/>
      <c r="G14" s="109"/>
      <c r="H14" s="12" t="s">
        <v>13</v>
      </c>
      <c r="I14">
        <f>'so thu huyen-R-03'!O10</f>
        <v>2675</v>
      </c>
      <c r="J14" s="106">
        <f>D14+I14</f>
        <v>16669</v>
      </c>
      <c r="K14"/>
      <c r="L14"/>
    </row>
    <row r="15" spans="1:12" s="12" customFormat="1" ht="21.75" customHeight="1">
      <c r="A15" s="1016" t="s">
        <v>816</v>
      </c>
      <c r="B15" s="1204" t="s">
        <v>388</v>
      </c>
      <c r="C15" s="1103">
        <v>5016</v>
      </c>
      <c r="D15" s="56">
        <f>'BSCD CDCS 2019 (hoan chinh)-05 '!L31</f>
        <v>10066</v>
      </c>
      <c r="E15" s="1104">
        <f t="shared" si="0"/>
        <v>5050</v>
      </c>
      <c r="F15" s="1205">
        <f t="shared" ref="F15:F34" si="2">D15/C15%</f>
        <v>200.67783094098885</v>
      </c>
      <c r="G15" s="109"/>
      <c r="H15"/>
      <c r="I15"/>
      <c r="J15"/>
      <c r="K15"/>
      <c r="L15"/>
    </row>
    <row r="16" spans="1:12" s="12" customFormat="1" ht="36" customHeight="1">
      <c r="A16" s="1016" t="s">
        <v>817</v>
      </c>
      <c r="B16" s="1143" t="s">
        <v>832</v>
      </c>
      <c r="C16" s="1103">
        <v>9340</v>
      </c>
      <c r="D16" s="56">
        <f>'tang dau tu'!L6</f>
        <v>10010</v>
      </c>
      <c r="E16" s="1104">
        <f t="shared" si="0"/>
        <v>670</v>
      </c>
      <c r="F16" s="1205">
        <f t="shared" si="2"/>
        <v>107.17344753747322</v>
      </c>
      <c r="G16" s="109"/>
      <c r="H16"/>
      <c r="I16"/>
      <c r="J16"/>
      <c r="K16"/>
      <c r="L16"/>
    </row>
    <row r="17" spans="1:12" s="52" customFormat="1" ht="21.75" customHeight="1">
      <c r="A17" s="1018">
        <v>3</v>
      </c>
      <c r="B17" s="1228" t="s">
        <v>827</v>
      </c>
      <c r="C17" s="1102">
        <f>C18+C19</f>
        <v>4021</v>
      </c>
      <c r="D17" s="32">
        <f>SUM(D18:D23)</f>
        <v>14749</v>
      </c>
      <c r="E17" s="1102">
        <f>D17-C17</f>
        <v>10728</v>
      </c>
      <c r="F17" s="1201">
        <f t="shared" si="2"/>
        <v>366.79930365580702</v>
      </c>
      <c r="G17" s="109"/>
      <c r="H17"/>
      <c r="I17" s="106">
        <f>H13+I14</f>
        <v>18180</v>
      </c>
      <c r="J17"/>
      <c r="K17"/>
      <c r="L17"/>
    </row>
    <row r="18" spans="1:12" s="41" customFormat="1" ht="21.75" customHeight="1">
      <c r="A18" s="1019" t="s">
        <v>212</v>
      </c>
      <c r="B18" s="1212" t="s">
        <v>389</v>
      </c>
      <c r="C18" s="39">
        <f>4021-2390</f>
        <v>1631</v>
      </c>
      <c r="D18" s="40">
        <f>'BSCD CDCS 2019 (hoan chinh)-05 '!L3</f>
        <v>6799</v>
      </c>
      <c r="E18" s="1104">
        <f t="shared" si="0"/>
        <v>5168</v>
      </c>
      <c r="F18" s="1205">
        <f t="shared" si="2"/>
        <v>416.86082158185167</v>
      </c>
      <c r="G18" s="109"/>
      <c r="H18"/>
      <c r="I18"/>
      <c r="J18"/>
      <c r="K18"/>
      <c r="L18"/>
    </row>
    <row r="19" spans="1:12" s="41" customFormat="1" ht="21.75" customHeight="1">
      <c r="A19" s="1019" t="s">
        <v>214</v>
      </c>
      <c r="B19" s="1212" t="s">
        <v>390</v>
      </c>
      <c r="C19" s="39">
        <v>2390</v>
      </c>
      <c r="D19" s="40">
        <f>'BSCD CDCS 2019 (hoan chinh)-05 '!L18</f>
        <v>3410</v>
      </c>
      <c r="E19" s="1104">
        <f t="shared" si="0"/>
        <v>1020</v>
      </c>
      <c r="F19" s="1205">
        <f t="shared" si="2"/>
        <v>142.67782426778243</v>
      </c>
      <c r="G19" s="109"/>
      <c r="H19"/>
      <c r="I19">
        <v>150700</v>
      </c>
      <c r="J19">
        <v>162050</v>
      </c>
      <c r="K19">
        <f>I19-J19</f>
        <v>-11350</v>
      </c>
      <c r="L19">
        <f>I19/J19%</f>
        <v>92.995988892317186</v>
      </c>
    </row>
    <row r="20" spans="1:12" s="41" customFormat="1" ht="21.75" customHeight="1">
      <c r="A20" s="1019" t="s">
        <v>925</v>
      </c>
      <c r="B20" s="1212" t="s">
        <v>926</v>
      </c>
      <c r="C20" s="39"/>
      <c r="D20" s="40">
        <f>'BSCD CDCS 2019 (hoan chinh)-05 '!L19</f>
        <v>1000</v>
      </c>
      <c r="E20" s="1104">
        <f t="shared" ref="E20" si="3">D20-C20</f>
        <v>1000</v>
      </c>
      <c r="F20" s="1205"/>
      <c r="G20" s="109"/>
      <c r="H20"/>
      <c r="I20"/>
      <c r="J20"/>
      <c r="K20"/>
      <c r="L20"/>
    </row>
    <row r="21" spans="1:12" s="41" customFormat="1" ht="21.75" customHeight="1">
      <c r="A21" s="1019" t="s">
        <v>1041</v>
      </c>
      <c r="B21" s="408" t="s">
        <v>1033</v>
      </c>
      <c r="C21" s="39"/>
      <c r="D21" s="40">
        <f>'BSCD CDCS 2019 (hoan chinh)-05 '!L22</f>
        <v>0</v>
      </c>
      <c r="E21" s="1104"/>
      <c r="F21" s="1205"/>
      <c r="G21" s="109"/>
      <c r="H21"/>
      <c r="I21"/>
      <c r="J21"/>
      <c r="K21"/>
      <c r="L21"/>
    </row>
    <row r="22" spans="1:12" s="41" customFormat="1" ht="21.75" customHeight="1">
      <c r="A22" s="1019" t="s">
        <v>1042</v>
      </c>
      <c r="B22" s="408" t="s">
        <v>1034</v>
      </c>
      <c r="C22" s="39"/>
      <c r="D22" s="40">
        <f>'BSCD CDCS 2019 (hoan chinh)-05 '!L23</f>
        <v>78</v>
      </c>
      <c r="E22" s="1104"/>
      <c r="F22" s="1205"/>
      <c r="G22" s="109"/>
      <c r="H22"/>
      <c r="I22"/>
      <c r="J22"/>
      <c r="K22"/>
      <c r="L22"/>
    </row>
    <row r="23" spans="1:12" s="41" customFormat="1" ht="21.75" customHeight="1">
      <c r="A23" s="1019" t="s">
        <v>1043</v>
      </c>
      <c r="B23" s="408" t="s">
        <v>1035</v>
      </c>
      <c r="C23" s="39"/>
      <c r="D23" s="40">
        <f>'BSCD CDCS 2019 (hoan chinh)-05 '!L24</f>
        <v>3462</v>
      </c>
      <c r="E23" s="1104"/>
      <c r="F23" s="1205"/>
      <c r="G23" s="109"/>
      <c r="H23"/>
      <c r="I23"/>
      <c r="J23"/>
      <c r="K23"/>
      <c r="L23"/>
    </row>
    <row r="24" spans="1:12" s="15" customFormat="1" ht="21.75" customHeight="1">
      <c r="A24" s="1013" t="s">
        <v>60</v>
      </c>
      <c r="B24" s="1213" t="s">
        <v>825</v>
      </c>
      <c r="C24" s="14">
        <f>C25+C40+C69</f>
        <v>367999</v>
      </c>
      <c r="D24" s="14">
        <f>D25+D40+D69</f>
        <v>403063</v>
      </c>
      <c r="E24" s="1102">
        <f t="shared" si="0"/>
        <v>35064</v>
      </c>
      <c r="F24" s="1201">
        <f t="shared" si="2"/>
        <v>109.52828676164881</v>
      </c>
      <c r="G24" s="109"/>
      <c r="H24"/>
      <c r="I24"/>
      <c r="J24"/>
      <c r="K24"/>
      <c r="L24"/>
    </row>
    <row r="25" spans="1:12" s="33" customFormat="1" ht="21.75" customHeight="1">
      <c r="A25" s="1018">
        <v>1</v>
      </c>
      <c r="B25" s="1109" t="s">
        <v>824</v>
      </c>
      <c r="C25" s="1102">
        <f>C26+C30+C34</f>
        <v>47550</v>
      </c>
      <c r="D25" s="1102">
        <f>D26+D30+D34</f>
        <v>57220</v>
      </c>
      <c r="E25" s="1102">
        <f t="shared" si="0"/>
        <v>9670</v>
      </c>
      <c r="F25" s="1201">
        <f t="shared" si="2"/>
        <v>120.33648790746582</v>
      </c>
      <c r="G25" s="109"/>
      <c r="H25"/>
      <c r="I25"/>
      <c r="J25"/>
      <c r="K25"/>
      <c r="L25"/>
    </row>
    <row r="26" spans="1:12" s="15" customFormat="1" ht="21.75" customHeight="1">
      <c r="A26" s="1012" t="s">
        <v>200</v>
      </c>
      <c r="B26" s="17" t="s">
        <v>823</v>
      </c>
      <c r="C26" s="1104">
        <v>17050</v>
      </c>
      <c r="D26" s="54">
        <f>D27+D28</f>
        <v>25720</v>
      </c>
      <c r="E26" s="1104">
        <f t="shared" si="0"/>
        <v>8670</v>
      </c>
      <c r="F26" s="1205">
        <f t="shared" si="2"/>
        <v>150.85043988269794</v>
      </c>
      <c r="G26" s="109"/>
      <c r="H26"/>
      <c r="I26"/>
      <c r="J26"/>
      <c r="K26"/>
      <c r="L26"/>
    </row>
    <row r="27" spans="1:12" s="598" customFormat="1" ht="21.75" customHeight="1">
      <c r="A27" s="1012"/>
      <c r="B27" s="17" t="s">
        <v>957</v>
      </c>
      <c r="C27" s="1104">
        <v>17050</v>
      </c>
      <c r="D27" s="54">
        <v>23720</v>
      </c>
      <c r="E27" s="1104">
        <f t="shared" ref="E27:E28" si="4">D27-C27</f>
        <v>6670</v>
      </c>
      <c r="F27" s="1205">
        <f t="shared" ref="F27" si="5">D27/C27%</f>
        <v>139.12023460410558</v>
      </c>
      <c r="G27" s="109"/>
      <c r="H27"/>
      <c r="I27"/>
      <c r="J27"/>
      <c r="K27"/>
      <c r="L27"/>
    </row>
    <row r="28" spans="1:12" s="598" customFormat="1" ht="21.75" customHeight="1">
      <c r="A28" s="1012"/>
      <c r="B28" s="17" t="s">
        <v>958</v>
      </c>
      <c r="C28" s="1104"/>
      <c r="D28" s="54">
        <v>2000</v>
      </c>
      <c r="E28" s="1104">
        <f t="shared" si="4"/>
        <v>2000</v>
      </c>
      <c r="F28" s="1205"/>
      <c r="G28" s="109"/>
      <c r="H28"/>
      <c r="I28"/>
      <c r="J28"/>
      <c r="K28"/>
      <c r="L28"/>
    </row>
    <row r="29" spans="1:12" s="598" customFormat="1" ht="21.75" customHeight="1">
      <c r="A29" s="1012"/>
      <c r="B29" s="17"/>
      <c r="C29" s="1104"/>
      <c r="D29" s="54"/>
      <c r="E29" s="1104"/>
      <c r="F29" s="1205"/>
      <c r="G29" s="109"/>
      <c r="H29"/>
      <c r="I29"/>
      <c r="J29"/>
      <c r="K29"/>
      <c r="L29"/>
    </row>
    <row r="30" spans="1:12" s="15" customFormat="1" ht="32.25" customHeight="1">
      <c r="A30" s="1012" t="s">
        <v>208</v>
      </c>
      <c r="B30" s="1149" t="s">
        <v>822</v>
      </c>
      <c r="C30" s="1104">
        <f>SUM(C31:C33)</f>
        <v>18000</v>
      </c>
      <c r="D30" s="1104">
        <f>SUM(D31:D33)</f>
        <v>27000</v>
      </c>
      <c r="E30" s="1104">
        <f t="shared" si="0"/>
        <v>9000</v>
      </c>
      <c r="F30" s="1205">
        <f t="shared" si="2"/>
        <v>150</v>
      </c>
      <c r="G30" s="109"/>
      <c r="H30"/>
      <c r="I30"/>
      <c r="J30"/>
      <c r="K30"/>
      <c r="L30"/>
    </row>
    <row r="31" spans="1:12" s="15" customFormat="1" ht="21.75" customHeight="1">
      <c r="A31" s="1067"/>
      <c r="B31" s="17" t="s">
        <v>4</v>
      </c>
      <c r="C31" s="1104">
        <v>8000</v>
      </c>
      <c r="D31" s="1104">
        <f>'so thu huyen-R-03'!V10</f>
        <v>12000</v>
      </c>
      <c r="E31" s="1104">
        <f t="shared" si="0"/>
        <v>4000</v>
      </c>
      <c r="F31" s="1205">
        <f t="shared" si="2"/>
        <v>150</v>
      </c>
      <c r="G31" s="109"/>
      <c r="H31"/>
      <c r="I31"/>
      <c r="J31"/>
      <c r="K31"/>
      <c r="L31"/>
    </row>
    <row r="32" spans="1:12" s="15" customFormat="1" ht="21.75" customHeight="1">
      <c r="A32" s="1067"/>
      <c r="B32" s="17" t="s">
        <v>5</v>
      </c>
      <c r="C32" s="1104">
        <v>6000</v>
      </c>
      <c r="D32" s="1104">
        <f>'so thu huyen-R-03'!W10</f>
        <v>9000</v>
      </c>
      <c r="E32" s="1104">
        <f t="shared" si="0"/>
        <v>3000</v>
      </c>
      <c r="F32" s="1205">
        <f t="shared" si="2"/>
        <v>150</v>
      </c>
      <c r="G32" s="109"/>
      <c r="H32"/>
      <c r="I32"/>
      <c r="J32"/>
      <c r="K32"/>
      <c r="L32"/>
    </row>
    <row r="33" spans="1:12" s="15" customFormat="1" ht="21.75" customHeight="1">
      <c r="A33" s="1067"/>
      <c r="B33" s="17" t="s">
        <v>6</v>
      </c>
      <c r="C33" s="1104">
        <v>4000</v>
      </c>
      <c r="D33" s="1104">
        <f>'so thu huyen-R-03'!X10</f>
        <v>6000</v>
      </c>
      <c r="E33" s="1104">
        <f t="shared" si="0"/>
        <v>2000</v>
      </c>
      <c r="F33" s="1205">
        <f t="shared" si="2"/>
        <v>150</v>
      </c>
      <c r="G33" s="109"/>
      <c r="H33"/>
      <c r="I33"/>
      <c r="J33"/>
      <c r="K33"/>
      <c r="L33"/>
    </row>
    <row r="34" spans="1:12" s="15" customFormat="1" ht="21.75" customHeight="1">
      <c r="A34" s="1012" t="s">
        <v>335</v>
      </c>
      <c r="B34" s="44" t="s">
        <v>833</v>
      </c>
      <c r="C34" s="1104">
        <f>SUM(C35:C39)</f>
        <v>12500</v>
      </c>
      <c r="D34" s="1104">
        <f>SUM(D35:D38)</f>
        <v>4500</v>
      </c>
      <c r="E34" s="1104">
        <f t="shared" si="0"/>
        <v>-8000</v>
      </c>
      <c r="F34" s="1205">
        <f t="shared" si="2"/>
        <v>36</v>
      </c>
      <c r="G34" s="109"/>
      <c r="H34" s="106"/>
      <c r="I34"/>
      <c r="J34"/>
      <c r="K34"/>
      <c r="L34"/>
    </row>
    <row r="35" spans="1:12" s="419" customFormat="1" ht="36.6" customHeight="1">
      <c r="A35" s="1013"/>
      <c r="B35" s="420" t="s">
        <v>247</v>
      </c>
      <c r="C35" s="39">
        <v>2500</v>
      </c>
      <c r="D35" s="56">
        <v>1000</v>
      </c>
      <c r="E35" s="39"/>
      <c r="F35" s="1214"/>
      <c r="G35" s="1030"/>
      <c r="H35" s="418"/>
      <c r="I35" s="418"/>
      <c r="J35" s="418"/>
      <c r="K35" s="418"/>
      <c r="L35" s="418"/>
    </row>
    <row r="36" spans="1:12" s="419" customFormat="1" ht="36.6" customHeight="1">
      <c r="A36" s="1013"/>
      <c r="B36" s="420" t="s">
        <v>863</v>
      </c>
      <c r="C36" s="39">
        <v>5500</v>
      </c>
      <c r="D36" s="56"/>
      <c r="E36" s="39"/>
      <c r="F36" s="1214"/>
      <c r="G36" s="1030"/>
      <c r="H36" s="418"/>
      <c r="I36" s="418"/>
      <c r="J36" s="418"/>
      <c r="K36" s="418"/>
      <c r="L36" s="418"/>
    </row>
    <row r="37" spans="1:12" s="419" customFormat="1" ht="21.75" customHeight="1">
      <c r="A37" s="1013"/>
      <c r="B37" s="416" t="s">
        <v>248</v>
      </c>
      <c r="C37" s="39">
        <v>2000</v>
      </c>
      <c r="D37" s="56">
        <v>1000</v>
      </c>
      <c r="E37" s="39"/>
      <c r="F37" s="1214"/>
      <c r="G37" s="1030"/>
      <c r="H37" s="418"/>
      <c r="I37" s="418"/>
      <c r="J37" s="418"/>
      <c r="K37" s="418"/>
      <c r="L37" s="418"/>
    </row>
    <row r="38" spans="1:12" s="419" customFormat="1" ht="31.95" customHeight="1">
      <c r="A38" s="1013"/>
      <c r="B38" s="420" t="s">
        <v>249</v>
      </c>
      <c r="C38" s="39">
        <v>2500</v>
      </c>
      <c r="D38" s="56">
        <v>2500</v>
      </c>
      <c r="E38" s="39"/>
      <c r="F38" s="1214"/>
      <c r="G38" s="1030"/>
      <c r="H38" s="418"/>
      <c r="I38" s="418"/>
      <c r="J38" s="418"/>
      <c r="K38" s="418"/>
      <c r="L38" s="418"/>
    </row>
    <row r="39" spans="1:12" s="419" customFormat="1" ht="31.95" customHeight="1">
      <c r="A39" s="1013"/>
      <c r="B39" s="420" t="s">
        <v>852</v>
      </c>
      <c r="C39" s="39"/>
      <c r="D39" s="56"/>
      <c r="E39" s="39"/>
      <c r="F39" s="1214"/>
      <c r="G39" s="1030"/>
      <c r="H39" s="418"/>
      <c r="I39" s="418"/>
      <c r="J39" s="418"/>
      <c r="K39" s="418"/>
      <c r="L39" s="418"/>
    </row>
    <row r="40" spans="1:12" s="33" customFormat="1" ht="21.75" customHeight="1">
      <c r="A40" s="1018">
        <v>2</v>
      </c>
      <c r="B40" s="1109" t="s">
        <v>830</v>
      </c>
      <c r="C40" s="1102">
        <f>C41+C44+C45+C46</f>
        <v>312972</v>
      </c>
      <c r="D40" s="1102">
        <f>D41+D44+D45+D46</f>
        <v>337445</v>
      </c>
      <c r="E40" s="1102">
        <f t="shared" ref="E40:E49" si="6">D40-C40</f>
        <v>24473</v>
      </c>
      <c r="F40" s="1201">
        <f t="shared" ref="F40:F52" si="7">D40/C40%</f>
        <v>107.81954935265776</v>
      </c>
      <c r="G40" s="109"/>
      <c r="H40"/>
      <c r="I40"/>
      <c r="J40"/>
      <c r="K40"/>
      <c r="L40"/>
    </row>
    <row r="41" spans="1:12" s="4" customFormat="1" ht="21.75" customHeight="1">
      <c r="A41" s="1012" t="s">
        <v>351</v>
      </c>
      <c r="B41" s="44" t="s">
        <v>806</v>
      </c>
      <c r="C41" s="1104">
        <v>132338</v>
      </c>
      <c r="D41" s="1316">
        <f>C41+6634</f>
        <v>138972</v>
      </c>
      <c r="E41" s="1104">
        <f t="shared" si="6"/>
        <v>6634</v>
      </c>
      <c r="F41" s="1205">
        <f t="shared" si="7"/>
        <v>105.01292145868911</v>
      </c>
      <c r="G41" s="109"/>
      <c r="H41">
        <f>I14*50%</f>
        <v>1337.5</v>
      </c>
      <c r="I41"/>
      <c r="J41"/>
      <c r="K41"/>
      <c r="L41"/>
    </row>
    <row r="42" spans="1:12" s="4" customFormat="1" ht="21.75" customHeight="1">
      <c r="A42" s="1019"/>
      <c r="B42" s="487" t="s">
        <v>802</v>
      </c>
      <c r="C42" s="92">
        <f>C41-C43</f>
        <v>130938</v>
      </c>
      <c r="D42" s="66">
        <f>C42+6537</f>
        <v>137475</v>
      </c>
      <c r="E42" s="1104">
        <f t="shared" si="6"/>
        <v>6537</v>
      </c>
      <c r="F42" s="1205">
        <f t="shared" si="7"/>
        <v>104.99243916968335</v>
      </c>
      <c r="G42" s="109"/>
      <c r="H42"/>
      <c r="I42"/>
      <c r="J42"/>
      <c r="K42"/>
      <c r="L42"/>
    </row>
    <row r="43" spans="1:12" s="4" customFormat="1" ht="21.75" customHeight="1">
      <c r="A43" s="1019"/>
      <c r="B43" s="487" t="s">
        <v>803</v>
      </c>
      <c r="C43" s="92">
        <v>1400</v>
      </c>
      <c r="D43" s="66">
        <f>ROUND(C43*1.39/1.3,0)</f>
        <v>1497</v>
      </c>
      <c r="E43" s="92">
        <f t="shared" si="6"/>
        <v>97</v>
      </c>
      <c r="F43" s="1205">
        <f t="shared" si="7"/>
        <v>106.92857142857143</v>
      </c>
      <c r="G43" s="109"/>
      <c r="H43"/>
      <c r="I43"/>
      <c r="J43"/>
      <c r="K43"/>
      <c r="L43"/>
    </row>
    <row r="44" spans="1:12" s="4" customFormat="1" ht="21.75" customHeight="1">
      <c r="A44" s="1012" t="s">
        <v>357</v>
      </c>
      <c r="B44" s="44" t="s">
        <v>805</v>
      </c>
      <c r="C44" s="1104">
        <v>400</v>
      </c>
      <c r="D44" s="65">
        <f>C44</f>
        <v>400</v>
      </c>
      <c r="E44" s="1107">
        <f t="shared" si="6"/>
        <v>0</v>
      </c>
      <c r="F44" s="1205">
        <f t="shared" si="7"/>
        <v>100</v>
      </c>
      <c r="G44" s="109"/>
      <c r="H44"/>
      <c r="I44"/>
      <c r="J44"/>
      <c r="K44"/>
      <c r="L44"/>
    </row>
    <row r="45" spans="1:12" s="4" customFormat="1" ht="21.75" customHeight="1">
      <c r="A45" s="1012" t="s">
        <v>815</v>
      </c>
      <c r="B45" s="1110" t="s">
        <v>804</v>
      </c>
      <c r="C45" s="1104">
        <v>21871</v>
      </c>
      <c r="D45" s="66">
        <f>C45</f>
        <v>21871</v>
      </c>
      <c r="E45" s="1107">
        <f t="shared" si="6"/>
        <v>0</v>
      </c>
      <c r="F45" s="1205">
        <f t="shared" si="7"/>
        <v>100</v>
      </c>
      <c r="G45" s="109"/>
      <c r="H45"/>
      <c r="I45"/>
      <c r="J45"/>
      <c r="K45"/>
      <c r="L45" t="s">
        <v>235</v>
      </c>
    </row>
    <row r="46" spans="1:12" s="1437" customFormat="1" ht="21.75" customHeight="1">
      <c r="A46" s="1433" t="s">
        <v>816</v>
      </c>
      <c r="B46" s="1109" t="s">
        <v>869</v>
      </c>
      <c r="C46" s="1434">
        <f>C8-C25-C41-C44-C45-C69-C70</f>
        <v>158363</v>
      </c>
      <c r="D46" s="1434">
        <f>D8-D25-D41-D44-D45-D69-D70</f>
        <v>176202</v>
      </c>
      <c r="E46" s="64">
        <f t="shared" si="6"/>
        <v>17839</v>
      </c>
      <c r="F46" s="1307">
        <f t="shared" si="7"/>
        <v>111.26462620687913</v>
      </c>
      <c r="G46" s="109"/>
      <c r="H46" s="1435">
        <f>SUM(D48,D49,D50,D51,D52,D60,D66,D67)</f>
        <v>176202</v>
      </c>
      <c r="I46" s="1436"/>
      <c r="J46" s="1436"/>
      <c r="K46" s="1436"/>
      <c r="L46" s="1436"/>
    </row>
    <row r="47" spans="1:12" s="20" customFormat="1" ht="31.2">
      <c r="A47" s="1016"/>
      <c r="B47" s="1170" t="s">
        <v>8</v>
      </c>
      <c r="C47" s="1103">
        <v>2000</v>
      </c>
      <c r="D47" s="67">
        <f>'so thu huyen-R-03'!Y10</f>
        <v>3000</v>
      </c>
      <c r="E47" s="1104">
        <f t="shared" si="6"/>
        <v>1000</v>
      </c>
      <c r="F47" s="1205">
        <f t="shared" si="7"/>
        <v>150</v>
      </c>
      <c r="G47" s="108"/>
      <c r="H47"/>
      <c r="I47"/>
      <c r="J47"/>
      <c r="K47"/>
      <c r="L47"/>
    </row>
    <row r="48" spans="1:12" s="1185" customFormat="1" ht="21.75" customHeight="1">
      <c r="A48" s="1178" t="s">
        <v>870</v>
      </c>
      <c r="B48" s="1179" t="s">
        <v>269</v>
      </c>
      <c r="C48" s="54">
        <f>4313+474</f>
        <v>4787</v>
      </c>
      <c r="D48" s="1180">
        <f>4313+474</f>
        <v>4787</v>
      </c>
      <c r="E48" s="1181">
        <f t="shared" si="6"/>
        <v>0</v>
      </c>
      <c r="F48" s="1229">
        <f t="shared" si="7"/>
        <v>100</v>
      </c>
      <c r="G48" s="1183"/>
      <c r="H48" s="1184"/>
      <c r="I48" s="1184"/>
      <c r="J48" s="1184"/>
      <c r="K48" s="1184"/>
      <c r="L48" s="1184"/>
    </row>
    <row r="49" spans="1:12" s="1185" customFormat="1" ht="21.75" customHeight="1">
      <c r="A49" s="1178" t="s">
        <v>871</v>
      </c>
      <c r="B49" s="1179" t="s">
        <v>270</v>
      </c>
      <c r="C49" s="54">
        <f>1477+147</f>
        <v>1624</v>
      </c>
      <c r="D49" s="1180">
        <f>1477+147</f>
        <v>1624</v>
      </c>
      <c r="E49" s="1186">
        <f t="shared" si="6"/>
        <v>0</v>
      </c>
      <c r="F49" s="1229">
        <f t="shared" si="7"/>
        <v>100.00000000000001</v>
      </c>
      <c r="G49" s="1183"/>
      <c r="H49" s="1187">
        <f>C48+C49+C50+C51+C52+C60+C66+C67+C68</f>
        <v>158363</v>
      </c>
      <c r="I49" s="1187">
        <f>D48+D49+D50+D51+D52+D60+D66+D67+D68</f>
        <v>176202</v>
      </c>
      <c r="J49" s="1184"/>
      <c r="K49" s="1184"/>
      <c r="L49" s="1184"/>
    </row>
    <row r="50" spans="1:12" s="1185" customFormat="1" ht="21.75" customHeight="1">
      <c r="A50" s="1178" t="s">
        <v>872</v>
      </c>
      <c r="B50" s="1179" t="s">
        <v>807</v>
      </c>
      <c r="C50" s="54">
        <f>1201+391+159</f>
        <v>1751</v>
      </c>
      <c r="D50" s="1180">
        <f>1592+(19*2)+163</f>
        <v>1793</v>
      </c>
      <c r="E50" s="1186">
        <f t="shared" ref="E50:E72" si="8">D50-C50</f>
        <v>42</v>
      </c>
      <c r="F50" s="1229">
        <f t="shared" si="7"/>
        <v>102.39862935465447</v>
      </c>
      <c r="G50" s="1183"/>
      <c r="H50" s="1187">
        <f>C46-H49</f>
        <v>0</v>
      </c>
      <c r="I50" s="1187">
        <f>D46-I49</f>
        <v>0</v>
      </c>
      <c r="J50" s="1184"/>
      <c r="K50" s="1184"/>
      <c r="L50" s="1184"/>
    </row>
    <row r="51" spans="1:12" s="1185" customFormat="1" ht="21.75" customHeight="1">
      <c r="A51" s="1178" t="s">
        <v>873</v>
      </c>
      <c r="B51" s="1179" t="s">
        <v>808</v>
      </c>
      <c r="C51" s="54">
        <f>552+55</f>
        <v>607</v>
      </c>
      <c r="D51" s="1180">
        <f>C51+(14*2)+55</f>
        <v>690</v>
      </c>
      <c r="E51" s="1186">
        <f t="shared" si="8"/>
        <v>83</v>
      </c>
      <c r="F51" s="1229">
        <f t="shared" si="7"/>
        <v>113.67380560131795</v>
      </c>
      <c r="G51" s="1188"/>
      <c r="H51" s="1184"/>
      <c r="I51" s="1184"/>
      <c r="J51" s="1184"/>
      <c r="K51" s="1184"/>
      <c r="L51" s="1184"/>
    </row>
    <row r="52" spans="1:12" s="1185" customFormat="1" ht="21.75" customHeight="1">
      <c r="A52" s="1178" t="s">
        <v>874</v>
      </c>
      <c r="B52" s="1179" t="s">
        <v>276</v>
      </c>
      <c r="C52" s="54">
        <f>53159+2657</f>
        <v>55816</v>
      </c>
      <c r="D52" s="1189">
        <f>D54+D55+D56+D57+D58+D59</f>
        <v>64698</v>
      </c>
      <c r="E52" s="1186">
        <f t="shared" si="8"/>
        <v>8882</v>
      </c>
      <c r="F52" s="1229">
        <f t="shared" si="7"/>
        <v>115.91299985667193</v>
      </c>
      <c r="G52" s="1188"/>
      <c r="H52" s="1184"/>
      <c r="I52" s="1184"/>
      <c r="J52" s="1184"/>
      <c r="K52" s="1184"/>
      <c r="L52" s="1184"/>
    </row>
    <row r="53" spans="1:12" s="1185" customFormat="1" ht="21.75" customHeight="1">
      <c r="A53" s="1178"/>
      <c r="B53" s="1190" t="s">
        <v>297</v>
      </c>
      <c r="C53" s="56"/>
      <c r="D53" s="1189"/>
      <c r="E53" s="1186">
        <f t="shared" si="8"/>
        <v>0</v>
      </c>
      <c r="F53" s="1230"/>
      <c r="G53" s="1188"/>
      <c r="H53" s="1184"/>
      <c r="I53" s="1184"/>
      <c r="J53" s="1184"/>
      <c r="K53" s="1184"/>
      <c r="L53" s="1184"/>
    </row>
    <row r="54" spans="1:12" s="1185" customFormat="1" ht="21.75" customHeight="1">
      <c r="A54" s="1178"/>
      <c r="B54" s="1190" t="s">
        <v>298</v>
      </c>
      <c r="C54" s="56">
        <v>1216</v>
      </c>
      <c r="D54" s="1189">
        <v>1216</v>
      </c>
      <c r="E54" s="1186">
        <f t="shared" si="8"/>
        <v>0</v>
      </c>
      <c r="F54" s="1229">
        <f t="shared" ref="F54:F60" si="9">D54/C54%</f>
        <v>100</v>
      </c>
      <c r="G54" s="1188"/>
      <c r="H54" s="1184"/>
      <c r="I54" s="1184"/>
      <c r="J54" s="1184"/>
      <c r="K54" s="1184"/>
      <c r="L54" s="1184"/>
    </row>
    <row r="55" spans="1:12" s="1185" customFormat="1" ht="21.75" customHeight="1">
      <c r="A55" s="1178"/>
      <c r="B55" s="1190" t="s">
        <v>299</v>
      </c>
      <c r="C55" s="56">
        <v>488</v>
      </c>
      <c r="D55" s="1189">
        <v>488</v>
      </c>
      <c r="E55" s="1186">
        <f t="shared" si="8"/>
        <v>0</v>
      </c>
      <c r="F55" s="1229">
        <f t="shared" si="9"/>
        <v>100</v>
      </c>
      <c r="G55" s="1188"/>
      <c r="H55" s="1184"/>
      <c r="I55" s="1184"/>
      <c r="J55" s="1184"/>
      <c r="K55" s="1184"/>
      <c r="L55" s="1184"/>
    </row>
    <row r="56" spans="1:12" s="1185" customFormat="1" ht="21.75" customHeight="1">
      <c r="A56" s="1178"/>
      <c r="B56" s="1190" t="s">
        <v>300</v>
      </c>
      <c r="C56" s="56">
        <v>500</v>
      </c>
      <c r="D56" s="1189">
        <v>500</v>
      </c>
      <c r="E56" s="1186">
        <f t="shared" si="8"/>
        <v>0</v>
      </c>
      <c r="F56" s="1229">
        <f t="shared" si="9"/>
        <v>100</v>
      </c>
      <c r="G56" s="1188"/>
      <c r="H56" s="1184"/>
      <c r="I56" s="1184"/>
      <c r="J56" s="1184"/>
      <c r="K56" s="1184"/>
      <c r="L56" s="1184"/>
    </row>
    <row r="57" spans="1:12" s="1185" customFormat="1" ht="21.75" customHeight="1">
      <c r="A57" s="1178"/>
      <c r="B57" s="1190" t="s">
        <v>301</v>
      </c>
      <c r="C57" s="56">
        <v>46500</v>
      </c>
      <c r="D57" s="1189">
        <v>46500</v>
      </c>
      <c r="E57" s="1186">
        <f t="shared" si="8"/>
        <v>0</v>
      </c>
      <c r="F57" s="1229">
        <f t="shared" si="9"/>
        <v>100</v>
      </c>
      <c r="G57" s="1188"/>
      <c r="H57" s="1184"/>
      <c r="I57" s="1184"/>
      <c r="J57" s="1184"/>
      <c r="K57" s="1184"/>
      <c r="L57" s="1184"/>
    </row>
    <row r="58" spans="1:12" s="1185" customFormat="1" ht="29.25" customHeight="1">
      <c r="A58" s="1178"/>
      <c r="B58" s="1190" t="s">
        <v>303</v>
      </c>
      <c r="C58" s="1192">
        <v>2000</v>
      </c>
      <c r="D58" s="1193">
        <v>3000</v>
      </c>
      <c r="E58" s="1186">
        <f t="shared" si="8"/>
        <v>1000</v>
      </c>
      <c r="F58" s="1231">
        <f t="shared" si="9"/>
        <v>150</v>
      </c>
      <c r="G58" s="1188"/>
      <c r="H58" s="1184"/>
      <c r="I58" s="1184"/>
      <c r="J58" s="1184"/>
      <c r="K58" s="1184"/>
      <c r="L58" s="1184"/>
    </row>
    <row r="59" spans="1:12" s="1185" customFormat="1" ht="21.75" customHeight="1">
      <c r="A59" s="1178"/>
      <c r="B59" s="1190" t="s">
        <v>304</v>
      </c>
      <c r="C59" s="56">
        <f>C52-C54-C55-C56-C57-C58</f>
        <v>5112</v>
      </c>
      <c r="D59" s="1189">
        <f>C59+(51*2)+7780</f>
        <v>12994</v>
      </c>
      <c r="E59" s="1186">
        <f t="shared" si="8"/>
        <v>7882</v>
      </c>
      <c r="F59" s="1229">
        <f t="shared" si="9"/>
        <v>254.18622848200314</v>
      </c>
      <c r="G59" s="1188"/>
      <c r="H59" s="1184"/>
      <c r="I59" s="1184"/>
      <c r="J59" s="1184"/>
      <c r="K59" s="1184"/>
      <c r="L59" s="1184"/>
    </row>
    <row r="60" spans="1:12" s="1185" customFormat="1" ht="21.75" customHeight="1">
      <c r="A60" s="1178" t="s">
        <v>875</v>
      </c>
      <c r="B60" s="1179" t="s">
        <v>278</v>
      </c>
      <c r="C60" s="54">
        <f>14061+168</f>
        <v>14229</v>
      </c>
      <c r="D60" s="1180">
        <f>SUM(D62:D65)</f>
        <v>14239</v>
      </c>
      <c r="E60" s="1186">
        <f t="shared" si="8"/>
        <v>10</v>
      </c>
      <c r="F60" s="1229">
        <f t="shared" si="9"/>
        <v>100.07027900766042</v>
      </c>
      <c r="G60" s="1188"/>
      <c r="H60" s="1184"/>
      <c r="I60" s="1184"/>
      <c r="J60" s="1184"/>
      <c r="K60" s="1184"/>
      <c r="L60" s="1184"/>
    </row>
    <row r="61" spans="1:12" s="1185" customFormat="1" ht="21.75" customHeight="1">
      <c r="A61" s="1194"/>
      <c r="B61" s="1179" t="s">
        <v>290</v>
      </c>
      <c r="C61" s="56"/>
      <c r="D61" s="1189"/>
      <c r="E61" s="1186">
        <f t="shared" si="8"/>
        <v>0</v>
      </c>
      <c r="F61" s="1229"/>
      <c r="G61" s="1188"/>
      <c r="H61" s="1184"/>
      <c r="I61" s="1184"/>
      <c r="J61" s="1184"/>
      <c r="K61" s="1184"/>
      <c r="L61" s="1184"/>
    </row>
    <row r="62" spans="1:12" s="1185" customFormat="1" ht="21.75" customHeight="1">
      <c r="A62" s="1194"/>
      <c r="B62" s="1195" t="s">
        <v>305</v>
      </c>
      <c r="C62" s="56">
        <f>C60-C63-C64</f>
        <v>2851</v>
      </c>
      <c r="D62" s="1189">
        <f>C62+10</f>
        <v>2861</v>
      </c>
      <c r="E62" s="1186">
        <f t="shared" si="8"/>
        <v>10</v>
      </c>
      <c r="F62" s="1229">
        <f>D62/C62%</f>
        <v>100.35075412136092</v>
      </c>
      <c r="G62" s="1188"/>
      <c r="H62" s="1184"/>
      <c r="I62" s="1184"/>
      <c r="J62" s="1184"/>
      <c r="K62" s="1184"/>
      <c r="L62" s="1184"/>
    </row>
    <row r="63" spans="1:12" s="1185" customFormat="1" ht="21.75" customHeight="1">
      <c r="A63" s="1196"/>
      <c r="B63" s="1195" t="s">
        <v>306</v>
      </c>
      <c r="C63" s="56">
        <v>799</v>
      </c>
      <c r="D63" s="1189">
        <v>799</v>
      </c>
      <c r="E63" s="1186">
        <f t="shared" si="8"/>
        <v>0</v>
      </c>
      <c r="F63" s="1229">
        <f>D63/C63%</f>
        <v>100</v>
      </c>
      <c r="G63" s="1188"/>
      <c r="H63" s="1184"/>
      <c r="I63" s="1184"/>
      <c r="J63" s="1184"/>
      <c r="K63" s="1184"/>
      <c r="L63" s="1184"/>
    </row>
    <row r="64" spans="1:12" s="1185" customFormat="1" ht="21.75" customHeight="1">
      <c r="A64" s="1196"/>
      <c r="B64" s="1190" t="s">
        <v>307</v>
      </c>
      <c r="C64" s="56">
        <v>10579</v>
      </c>
      <c r="D64" s="1189">
        <v>10579</v>
      </c>
      <c r="E64" s="1186">
        <f t="shared" si="8"/>
        <v>0</v>
      </c>
      <c r="F64" s="1229">
        <f>D64/C64%</f>
        <v>100</v>
      </c>
      <c r="G64" s="1188"/>
      <c r="H64" s="1184"/>
      <c r="I64" s="1184"/>
      <c r="J64" s="1184"/>
      <c r="K64" s="1184"/>
      <c r="L64" s="1184"/>
    </row>
    <row r="65" spans="1:12" s="1185" customFormat="1" ht="21.75" customHeight="1">
      <c r="A65" s="1196"/>
      <c r="B65" s="1190" t="s">
        <v>308</v>
      </c>
      <c r="C65" s="56">
        <v>0</v>
      </c>
      <c r="D65" s="1189">
        <v>0</v>
      </c>
      <c r="E65" s="1186">
        <f t="shared" si="8"/>
        <v>0</v>
      </c>
      <c r="F65" s="1229">
        <f>D65/1%</f>
        <v>0</v>
      </c>
      <c r="G65" s="1188"/>
      <c r="H65" s="1184"/>
      <c r="I65" s="1184"/>
      <c r="J65" s="1184"/>
      <c r="K65" s="1184"/>
      <c r="L65" s="1184"/>
    </row>
    <row r="66" spans="1:12" s="1185" customFormat="1" ht="36.75" customHeight="1">
      <c r="A66" s="1178" t="s">
        <v>876</v>
      </c>
      <c r="B66" s="1179" t="s">
        <v>277</v>
      </c>
      <c r="C66" s="54">
        <f>74635-825+2658</f>
        <v>76468</v>
      </c>
      <c r="D66" s="1180">
        <f>C66+(537*2)+799+1984+2618+359+240+10+347+209</f>
        <v>84108</v>
      </c>
      <c r="E66" s="1186">
        <f>D66-C66</f>
        <v>7640</v>
      </c>
      <c r="F66" s="1229">
        <f>D66/C66%</f>
        <v>109.99110739132711</v>
      </c>
      <c r="G66" s="1188"/>
      <c r="H66" s="1184"/>
      <c r="I66" s="1184"/>
      <c r="J66" s="1184"/>
      <c r="K66" s="1184"/>
      <c r="L66" s="1184"/>
    </row>
    <row r="67" spans="1:12" s="1185" customFormat="1" ht="21.75" customHeight="1">
      <c r="A67" s="1178" t="s">
        <v>877</v>
      </c>
      <c r="B67" s="1179" t="s">
        <v>720</v>
      </c>
      <c r="C67" s="54">
        <f>D67-1337+137+64-117+71</f>
        <v>3081</v>
      </c>
      <c r="D67" s="1180">
        <f>4418-137-64+46</f>
        <v>4263</v>
      </c>
      <c r="E67" s="1186">
        <f>D67-C67</f>
        <v>1182</v>
      </c>
      <c r="F67" s="1229">
        <f>D67/C67%</f>
        <v>138.36416747809153</v>
      </c>
      <c r="G67" s="1188"/>
      <c r="H67" s="1184">
        <f>I14*50%</f>
        <v>1337.5</v>
      </c>
      <c r="I67" s="1184"/>
      <c r="J67" s="1184"/>
      <c r="K67" s="1184"/>
      <c r="L67" s="1184"/>
    </row>
    <row r="68" spans="1:12" s="20" customFormat="1" ht="21.75" customHeight="1">
      <c r="A68" s="1178" t="s">
        <v>878</v>
      </c>
      <c r="B68" s="507" t="s">
        <v>819</v>
      </c>
      <c r="C68" s="54"/>
      <c r="D68" s="1180"/>
      <c r="E68" s="1186">
        <f t="shared" si="8"/>
        <v>0</v>
      </c>
      <c r="F68" s="1229"/>
      <c r="G68" s="109"/>
      <c r="H68"/>
      <c r="I68"/>
      <c r="J68"/>
      <c r="K68"/>
      <c r="L68"/>
    </row>
    <row r="69" spans="1:12" s="33" customFormat="1" ht="21.75" customHeight="1">
      <c r="A69" s="1018">
        <v>3</v>
      </c>
      <c r="B69" s="1109" t="s">
        <v>320</v>
      </c>
      <c r="C69" s="1102">
        <v>7477</v>
      </c>
      <c r="D69" s="68">
        <f>ROUND(D8*2.01%,0)</f>
        <v>8398</v>
      </c>
      <c r="E69" s="13">
        <f t="shared" si="8"/>
        <v>921</v>
      </c>
      <c r="F69" s="1201">
        <f t="shared" ref="F69:F72" si="10">D69/C69%</f>
        <v>112.31777450849272</v>
      </c>
      <c r="G69" s="109"/>
      <c r="H69">
        <f>D8*2.01%</f>
        <v>8398.0211999999992</v>
      </c>
      <c r="I69"/>
      <c r="J69"/>
      <c r="K69"/>
      <c r="L69"/>
    </row>
    <row r="70" spans="1:12" s="33" customFormat="1" ht="21.75" customHeight="1">
      <c r="A70" s="1018" t="s">
        <v>315</v>
      </c>
      <c r="B70" s="1109" t="s">
        <v>818</v>
      </c>
      <c r="C70" s="1102">
        <v>4021</v>
      </c>
      <c r="D70" s="69">
        <f>D17</f>
        <v>14749</v>
      </c>
      <c r="E70" s="13">
        <f t="shared" si="8"/>
        <v>10728</v>
      </c>
      <c r="F70" s="1201">
        <f t="shared" si="10"/>
        <v>366.79930365580702</v>
      </c>
      <c r="G70" s="109"/>
      <c r="H70"/>
      <c r="I70"/>
      <c r="J70"/>
      <c r="K70"/>
      <c r="L70"/>
    </row>
    <row r="71" spans="1:12" s="33" customFormat="1" ht="21.75" customHeight="1">
      <c r="A71" s="1021"/>
      <c r="B71" s="1218" t="s">
        <v>15</v>
      </c>
      <c r="C71" s="1102">
        <f>C24+C70</f>
        <v>372020</v>
      </c>
      <c r="D71" s="1022">
        <f>D24+D70</f>
        <v>417812</v>
      </c>
      <c r="E71" s="13">
        <f t="shared" si="8"/>
        <v>45792</v>
      </c>
      <c r="F71" s="1201">
        <f t="shared" si="10"/>
        <v>112.3090156443202</v>
      </c>
      <c r="G71" s="109"/>
      <c r="H71"/>
      <c r="I71"/>
      <c r="J71"/>
      <c r="K71"/>
      <c r="L71"/>
    </row>
    <row r="72" spans="1:12" s="15" customFormat="1" ht="21.75" customHeight="1">
      <c r="A72" s="1020"/>
      <c r="B72" s="1109" t="s">
        <v>11</v>
      </c>
      <c r="C72" s="36">
        <v>6318</v>
      </c>
      <c r="D72" s="70">
        <f>ROUND(C72+I14*10%,0)</f>
        <v>6586</v>
      </c>
      <c r="E72" s="13">
        <f t="shared" si="8"/>
        <v>268</v>
      </c>
      <c r="F72" s="1201">
        <f t="shared" si="10"/>
        <v>104.24184868629312</v>
      </c>
      <c r="G72" s="109"/>
      <c r="H72"/>
      <c r="I72"/>
      <c r="J72"/>
      <c r="K72"/>
      <c r="L72"/>
    </row>
    <row r="73" spans="1:12" s="18" customFormat="1" ht="21.75" customHeight="1">
      <c r="A73" s="1023"/>
      <c r="B73" s="1221"/>
      <c r="C73" s="1025"/>
      <c r="D73" s="1026">
        <v>0</v>
      </c>
      <c r="E73" s="1027"/>
      <c r="F73" s="1222"/>
      <c r="G73" s="1028"/>
      <c r="H73"/>
      <c r="I73"/>
      <c r="J73"/>
      <c r="K73"/>
      <c r="L73"/>
    </row>
    <row r="75" spans="1:12" s="24" customFormat="1" ht="23.25" customHeight="1">
      <c r="B75" s="3159"/>
      <c r="C75" s="3159"/>
      <c r="D75" s="80"/>
      <c r="E75" s="48"/>
      <c r="J75" s="25"/>
    </row>
    <row r="76" spans="1:12" s="24" customFormat="1" ht="23.25" customHeight="1">
      <c r="E76" s="3126"/>
      <c r="F76" s="3126"/>
      <c r="G76" s="602"/>
      <c r="I76" s="3126"/>
      <c r="J76" s="3126"/>
      <c r="K76" s="3126"/>
    </row>
    <row r="77" spans="1:12" s="24" customFormat="1" ht="23.25" customHeight="1">
      <c r="E77" s="49"/>
      <c r="F77" s="38"/>
      <c r="G77" s="602"/>
      <c r="I77" s="38"/>
      <c r="J77" s="38"/>
      <c r="K77" s="38"/>
    </row>
    <row r="78" spans="1:12" s="24" customFormat="1" ht="23.25" customHeight="1">
      <c r="E78" s="49"/>
      <c r="F78" s="38"/>
      <c r="G78" s="602"/>
      <c r="I78" s="38"/>
      <c r="J78" s="38"/>
      <c r="K78" s="38"/>
    </row>
    <row r="79" spans="1:12" s="24" customFormat="1" ht="23.25" customHeight="1">
      <c r="E79" s="48"/>
      <c r="J79" s="25"/>
    </row>
    <row r="80" spans="1:12" s="26" customFormat="1" ht="23.25" customHeight="1">
      <c r="E80" s="50"/>
      <c r="J80" s="27"/>
    </row>
    <row r="81" spans="2:11" s="28" customFormat="1" ht="23.25" customHeight="1">
      <c r="B81" s="26"/>
      <c r="C81" s="26"/>
      <c r="E81" s="3128"/>
      <c r="F81" s="3128"/>
      <c r="G81" s="603"/>
      <c r="I81" s="3128"/>
      <c r="J81" s="3128"/>
      <c r="K81" s="3128"/>
    </row>
  </sheetData>
  <mergeCells count="15">
    <mergeCell ref="A5:A6"/>
    <mergeCell ref="B75:C75"/>
    <mergeCell ref="E76:F76"/>
    <mergeCell ref="I76:K76"/>
    <mergeCell ref="E81:F81"/>
    <mergeCell ref="I81:K81"/>
    <mergeCell ref="G5:G6"/>
    <mergeCell ref="C5:C6"/>
    <mergeCell ref="E1:F1"/>
    <mergeCell ref="B2:F2"/>
    <mergeCell ref="B3:F3"/>
    <mergeCell ref="E4:F4"/>
    <mergeCell ref="B5:B6"/>
    <mergeCell ref="D5:D6"/>
    <mergeCell ref="E5:F5"/>
  </mergeCells>
  <pageMargins left="0.69" right="0.23622047244094499" top="0.36" bottom="0.35433070866141703" header="0.31496062992126" footer="0.31496062992126"/>
  <pageSetup paperSize="9" scale="75"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3"/>
  <sheetViews>
    <sheetView topLeftCell="A6" zoomScale="95" zoomScaleNormal="95" zoomScaleSheetLayoutView="91" workbookViewId="0">
      <selection activeCell="B140" sqref="B140"/>
    </sheetView>
  </sheetViews>
  <sheetFormatPr defaultColWidth="16.5546875" defaultRowHeight="15.6"/>
  <cols>
    <col min="1" max="1" width="6.88671875" style="1118" customWidth="1"/>
    <col min="2" max="2" width="56" style="1118" customWidth="1"/>
    <col min="3" max="3" width="17.109375" style="1119" customWidth="1"/>
    <col min="4" max="4" width="18.33203125" style="1118" customWidth="1"/>
    <col min="5" max="5" width="13.6640625" style="1158" customWidth="1"/>
    <col min="6" max="6" width="12.109375" style="1118" customWidth="1"/>
    <col min="7" max="7" width="48.88671875" style="1118" hidden="1" customWidth="1"/>
    <col min="8" max="8" width="18.109375" style="1118" customWidth="1"/>
    <col min="9" max="9" width="16.5546875" style="1118" customWidth="1"/>
    <col min="10" max="10" width="11.88671875" style="1118" customWidth="1"/>
    <col min="11" max="11" width="10.33203125" style="1118" customWidth="1"/>
    <col min="12" max="16384" width="16.5546875" style="1118"/>
  </cols>
  <sheetData>
    <row r="1" spans="1:12">
      <c r="B1" s="3129" t="s">
        <v>16</v>
      </c>
      <c r="C1" s="3129"/>
      <c r="D1" s="3129"/>
      <c r="E1" s="3129"/>
      <c r="F1" s="3129"/>
      <c r="G1" s="1120"/>
    </row>
    <row r="2" spans="1:12" s="3" customFormat="1">
      <c r="B2" s="3130" t="s">
        <v>9</v>
      </c>
      <c r="C2" s="3130"/>
      <c r="D2" s="3130"/>
      <c r="E2" s="3130"/>
      <c r="F2" s="3130"/>
      <c r="G2" s="1125"/>
    </row>
    <row r="3" spans="1:12" s="3" customFormat="1">
      <c r="B3" s="1125"/>
      <c r="C3" s="1125"/>
      <c r="D3" s="1125"/>
      <c r="E3" s="1125"/>
      <c r="F3" s="1125"/>
      <c r="G3" s="1125"/>
    </row>
    <row r="4" spans="1:12" s="1121" customFormat="1">
      <c r="C4" s="1122"/>
      <c r="D4" s="1197"/>
      <c r="E4" s="3131" t="s">
        <v>27</v>
      </c>
      <c r="F4" s="3131"/>
      <c r="G4" s="1124"/>
    </row>
    <row r="5" spans="1:12" s="1125" customFormat="1" ht="30" customHeight="1">
      <c r="A5" s="3123" t="s">
        <v>49</v>
      </c>
      <c r="B5" s="3155" t="s">
        <v>0</v>
      </c>
      <c r="C5" s="3134" t="s">
        <v>879</v>
      </c>
      <c r="D5" s="3134" t="s">
        <v>17</v>
      </c>
      <c r="E5" s="3136" t="s">
        <v>26</v>
      </c>
      <c r="F5" s="3123"/>
      <c r="G5" s="3162" t="s">
        <v>811</v>
      </c>
    </row>
    <row r="6" spans="1:12" s="1125" customFormat="1" ht="61.5" customHeight="1">
      <c r="A6" s="3124"/>
      <c r="B6" s="3156"/>
      <c r="C6" s="3135"/>
      <c r="D6" s="3135"/>
      <c r="E6" s="1126" t="s">
        <v>1</v>
      </c>
      <c r="F6" s="1198" t="s">
        <v>2</v>
      </c>
      <c r="G6" s="3163"/>
      <c r="H6" s="1128"/>
      <c r="I6" s="1128"/>
      <c r="J6" s="1128"/>
      <c r="K6" s="1128"/>
      <c r="L6" s="1128"/>
    </row>
    <row r="7" spans="1:12" s="1134" customFormat="1">
      <c r="A7" s="1129"/>
      <c r="B7" s="1129">
        <v>1</v>
      </c>
      <c r="C7" s="1130">
        <v>2</v>
      </c>
      <c r="D7" s="1131">
        <v>3</v>
      </c>
      <c r="E7" s="1132" t="s">
        <v>882</v>
      </c>
      <c r="F7" s="1199" t="s">
        <v>883</v>
      </c>
      <c r="G7" s="1199"/>
      <c r="H7" s="1128"/>
      <c r="I7" s="1128"/>
      <c r="J7" s="1128"/>
      <c r="K7" s="1128"/>
      <c r="L7" s="1128"/>
    </row>
    <row r="8" spans="1:12" s="1137" customFormat="1">
      <c r="A8" s="1135" t="s">
        <v>54</v>
      </c>
      <c r="B8" s="1200" t="s">
        <v>812</v>
      </c>
      <c r="C8" s="14">
        <f>C9+C11+C17</f>
        <v>549103</v>
      </c>
      <c r="D8" s="14">
        <f>D9+D11+D17</f>
        <v>724136</v>
      </c>
      <c r="E8" s="14">
        <f t="shared" ref="E8:E34" si="0">D8-C8</f>
        <v>175033</v>
      </c>
      <c r="F8" s="1201">
        <f t="shared" ref="F8:F13" si="1">D8/C8%</f>
        <v>131.87616895190885</v>
      </c>
      <c r="G8" s="1201"/>
      <c r="H8" s="1151">
        <f>E8-E24</f>
        <v>135005</v>
      </c>
      <c r="I8" s="1128"/>
      <c r="J8" s="1128"/>
      <c r="K8" s="1128"/>
      <c r="L8" s="1128"/>
    </row>
    <row r="9" spans="1:12" s="1139" customFormat="1">
      <c r="A9" s="1138">
        <v>1</v>
      </c>
      <c r="B9" s="1202" t="s">
        <v>813</v>
      </c>
      <c r="C9" s="32">
        <f>'so thu huyen-R-03'!D11</f>
        <v>48200</v>
      </c>
      <c r="D9" s="32">
        <f>'so thu huyen-R-03'!I11</f>
        <v>50200</v>
      </c>
      <c r="E9" s="1102">
        <f t="shared" si="0"/>
        <v>2000</v>
      </c>
      <c r="F9" s="1201">
        <f t="shared" si="1"/>
        <v>104.149377593361</v>
      </c>
      <c r="G9" s="1201"/>
      <c r="H9" s="1128"/>
      <c r="I9" s="1128"/>
      <c r="J9" s="1128"/>
      <c r="K9" s="1128"/>
      <c r="L9" s="1128"/>
    </row>
    <row r="10" spans="1:12" s="1139" customFormat="1" ht="32.4">
      <c r="A10" s="1138"/>
      <c r="B10" s="1203" t="s">
        <v>109</v>
      </c>
      <c r="C10" s="32">
        <f>C9-'so thu huyen-R-03'!F11</f>
        <v>45200</v>
      </c>
      <c r="D10" s="32">
        <f>D9-'so thu huyen-R-03'!K11</f>
        <v>47700</v>
      </c>
      <c r="E10" s="1102">
        <f t="shared" si="0"/>
        <v>2500</v>
      </c>
      <c r="F10" s="1201">
        <f t="shared" si="1"/>
        <v>105.53097345132744</v>
      </c>
      <c r="G10" s="1201"/>
      <c r="H10" s="1128"/>
      <c r="I10" s="1128"/>
      <c r="J10" s="1128"/>
      <c r="K10" s="1128"/>
      <c r="L10" s="1128"/>
    </row>
    <row r="11" spans="1:12" s="1139" customFormat="1">
      <c r="A11" s="1138">
        <v>2</v>
      </c>
      <c r="B11" s="1202" t="s">
        <v>814</v>
      </c>
      <c r="C11" s="32">
        <f>SUM(C12:C16)</f>
        <v>484811</v>
      </c>
      <c r="D11" s="32">
        <f>SUM(D12:D16)</f>
        <v>522839</v>
      </c>
      <c r="E11" s="1102">
        <f t="shared" si="0"/>
        <v>38028</v>
      </c>
      <c r="F11" s="1201">
        <f t="shared" si="1"/>
        <v>107.84388143008307</v>
      </c>
      <c r="G11" s="1201"/>
      <c r="H11" s="1128"/>
      <c r="I11" s="1128"/>
      <c r="J11" s="1128"/>
      <c r="K11" s="1128"/>
      <c r="L11" s="1128"/>
    </row>
    <row r="12" spans="1:12" s="1142" customFormat="1">
      <c r="A12" s="1140" t="s">
        <v>351</v>
      </c>
      <c r="B12" s="1204" t="s">
        <v>829</v>
      </c>
      <c r="C12" s="1103">
        <v>448441</v>
      </c>
      <c r="D12" s="1103">
        <f>C12</f>
        <v>448441</v>
      </c>
      <c r="E12" s="1104">
        <f t="shared" si="0"/>
        <v>0</v>
      </c>
      <c r="F12" s="1205">
        <f t="shared" si="1"/>
        <v>100</v>
      </c>
      <c r="G12" s="1205"/>
      <c r="H12" s="1128"/>
      <c r="I12" s="1128"/>
      <c r="J12" s="1128"/>
      <c r="K12" s="1128"/>
      <c r="L12" s="1128"/>
    </row>
    <row r="13" spans="1:12" s="1142" customFormat="1">
      <c r="A13" s="1140" t="s">
        <v>357</v>
      </c>
      <c r="B13" s="1204" t="s">
        <v>387</v>
      </c>
      <c r="C13" s="1103">
        <v>20532</v>
      </c>
      <c r="D13" s="1103">
        <f>C13</f>
        <v>20532</v>
      </c>
      <c r="E13" s="1104">
        <f t="shared" si="0"/>
        <v>0</v>
      </c>
      <c r="F13" s="1205">
        <f t="shared" si="1"/>
        <v>100</v>
      </c>
      <c r="G13" s="1206" t="s">
        <v>858</v>
      </c>
      <c r="H13" s="1128"/>
      <c r="I13" s="1128"/>
      <c r="J13" s="1128"/>
      <c r="K13" s="1128"/>
      <c r="L13" s="1128"/>
    </row>
    <row r="14" spans="1:12" s="1142" customFormat="1" ht="31.2">
      <c r="A14" s="1140" t="s">
        <v>815</v>
      </c>
      <c r="B14" s="1204" t="s">
        <v>386</v>
      </c>
      <c r="C14" s="1103"/>
      <c r="D14" s="299">
        <f>21113-I14</f>
        <v>19863</v>
      </c>
      <c r="E14" s="1104">
        <f t="shared" si="0"/>
        <v>19863</v>
      </c>
      <c r="F14" s="1205"/>
      <c r="G14" s="1207" t="s">
        <v>880</v>
      </c>
      <c r="H14" s="1142" t="s">
        <v>13</v>
      </c>
      <c r="I14" s="1208">
        <f>'so thu huyen-R-03'!O11</f>
        <v>1250</v>
      </c>
      <c r="J14" s="1128"/>
      <c r="K14" s="1128"/>
      <c r="L14" s="1128"/>
    </row>
    <row r="15" spans="1:12" s="1142" customFormat="1" ht="21" customHeight="1">
      <c r="A15" s="1140" t="s">
        <v>816</v>
      </c>
      <c r="B15" s="1204" t="s">
        <v>388</v>
      </c>
      <c r="C15" s="1103">
        <v>7968</v>
      </c>
      <c r="D15" s="39">
        <f>'BSCD CDCS 2019 (hoan chinh)-05 '!F31</f>
        <v>14098</v>
      </c>
      <c r="E15" s="1104">
        <f t="shared" si="0"/>
        <v>6130</v>
      </c>
      <c r="F15" s="1205">
        <f t="shared" ref="F15:F34" si="2">D15/C15%</f>
        <v>176.93273092369478</v>
      </c>
      <c r="G15" s="1206" t="s">
        <v>860</v>
      </c>
      <c r="H15" s="1128"/>
      <c r="I15" s="1128"/>
      <c r="J15" s="1128"/>
      <c r="K15" s="1128"/>
      <c r="L15" s="1128"/>
    </row>
    <row r="16" spans="1:12" s="1142" customFormat="1" ht="31.2">
      <c r="A16" s="1140" t="s">
        <v>817</v>
      </c>
      <c r="B16" s="1143" t="s">
        <v>828</v>
      </c>
      <c r="C16" s="1103">
        <v>7870</v>
      </c>
      <c r="D16" s="39">
        <f>'tang dau tu'!F6</f>
        <v>19905</v>
      </c>
      <c r="E16" s="1104">
        <f t="shared" si="0"/>
        <v>12035</v>
      </c>
      <c r="F16" s="1205">
        <f t="shared" si="2"/>
        <v>252.92249047013976</v>
      </c>
      <c r="G16" s="1206" t="s">
        <v>861</v>
      </c>
      <c r="H16" s="1128"/>
      <c r="I16" s="1128"/>
      <c r="J16" s="1128"/>
      <c r="K16" s="1128"/>
      <c r="L16" s="1128"/>
    </row>
    <row r="17" spans="1:12" s="1211" customFormat="1">
      <c r="A17" s="1144">
        <v>3</v>
      </c>
      <c r="B17" s="1209" t="s">
        <v>827</v>
      </c>
      <c r="C17" s="64">
        <f>C18+C19</f>
        <v>16092</v>
      </c>
      <c r="D17" s="63">
        <f>SUM(D18:D23)</f>
        <v>151097</v>
      </c>
      <c r="E17" s="1102">
        <f t="shared" si="0"/>
        <v>135005</v>
      </c>
      <c r="F17" s="1201">
        <f t="shared" si="2"/>
        <v>938.95724583644051</v>
      </c>
      <c r="G17" s="1206" t="s">
        <v>860</v>
      </c>
      <c r="H17" s="1210"/>
      <c r="I17" s="1210"/>
      <c r="J17" s="1210"/>
      <c r="K17" s="1210"/>
      <c r="L17" s="1210"/>
    </row>
    <row r="18" spans="1:12" s="1147" customFormat="1">
      <c r="A18" s="1146" t="s">
        <v>212</v>
      </c>
      <c r="B18" s="1212" t="s">
        <v>389</v>
      </c>
      <c r="C18" s="39">
        <v>15744</v>
      </c>
      <c r="D18" s="40">
        <f>'BSCD CDCS 2019 (hoan chinh)-05 '!F3</f>
        <v>27385</v>
      </c>
      <c r="E18" s="1104">
        <f t="shared" si="0"/>
        <v>11641</v>
      </c>
      <c r="F18" s="1205">
        <f t="shared" si="2"/>
        <v>173.93927845528455</v>
      </c>
      <c r="G18" s="1205"/>
      <c r="H18" s="1128"/>
      <c r="I18" s="1128"/>
      <c r="J18" s="1128"/>
      <c r="K18" s="1128"/>
      <c r="L18" s="1128"/>
    </row>
    <row r="19" spans="1:12" s="1147" customFormat="1">
      <c r="A19" s="1146" t="s">
        <v>214</v>
      </c>
      <c r="B19" s="1212" t="s">
        <v>826</v>
      </c>
      <c r="C19" s="55">
        <v>348</v>
      </c>
      <c r="D19" s="40">
        <f>'BSCD CDCS 2019 (hoan chinh)-05 '!F18</f>
        <v>890</v>
      </c>
      <c r="E19" s="1104">
        <f t="shared" si="0"/>
        <v>542</v>
      </c>
      <c r="F19" s="1205">
        <f t="shared" si="2"/>
        <v>255.7471264367816</v>
      </c>
      <c r="G19" s="1205"/>
      <c r="H19" s="1128"/>
      <c r="I19" s="1128"/>
      <c r="J19" s="1128"/>
      <c r="K19" s="1128"/>
      <c r="L19" s="1128"/>
    </row>
    <row r="20" spans="1:12" s="1147" customFormat="1">
      <c r="A20" s="1019" t="s">
        <v>925</v>
      </c>
      <c r="B20" s="1212" t="s">
        <v>926</v>
      </c>
      <c r="C20" s="55"/>
      <c r="D20" s="40">
        <f>'BSCD CDCS 2019 (hoan chinh)-05 '!F19</f>
        <v>1200</v>
      </c>
      <c r="E20" s="1104">
        <f t="shared" si="0"/>
        <v>1200</v>
      </c>
      <c r="F20" s="1205"/>
      <c r="G20" s="1205"/>
      <c r="H20" s="1128"/>
      <c r="I20" s="1128"/>
      <c r="J20" s="1128"/>
      <c r="K20" s="1128"/>
      <c r="L20" s="1128"/>
    </row>
    <row r="21" spans="1:12" s="1147" customFormat="1">
      <c r="A21" s="1019" t="s">
        <v>1041</v>
      </c>
      <c r="B21" s="408" t="s">
        <v>1033</v>
      </c>
      <c r="C21" s="55"/>
      <c r="D21" s="40">
        <f>'BSCD CDCS 2019 (hoan chinh)-05 '!F22</f>
        <v>782</v>
      </c>
      <c r="E21" s="1104"/>
      <c r="F21" s="1205"/>
      <c r="G21" s="1205"/>
      <c r="H21" s="1128"/>
      <c r="I21" s="1128"/>
      <c r="J21" s="1128"/>
      <c r="K21" s="1128"/>
      <c r="L21" s="1128"/>
    </row>
    <row r="22" spans="1:12" s="1147" customFormat="1">
      <c r="A22" s="1019" t="s">
        <v>1042</v>
      </c>
      <c r="B22" s="408" t="s">
        <v>1034</v>
      </c>
      <c r="C22" s="55"/>
      <c r="D22" s="40">
        <f>'BSCD CDCS 2019 (hoan chinh)-05 '!F23</f>
        <v>150</v>
      </c>
      <c r="E22" s="1104"/>
      <c r="F22" s="1205"/>
      <c r="G22" s="1205"/>
      <c r="H22" s="1128"/>
      <c r="I22" s="1128"/>
      <c r="J22" s="1128"/>
      <c r="K22" s="1128"/>
      <c r="L22" s="1128"/>
    </row>
    <row r="23" spans="1:12" s="1147" customFormat="1">
      <c r="A23" s="1019" t="s">
        <v>1043</v>
      </c>
      <c r="B23" s="408" t="s">
        <v>1035</v>
      </c>
      <c r="C23" s="55"/>
      <c r="D23" s="40">
        <f>'BSCD CDCS 2019 (hoan chinh)-05 '!F24</f>
        <v>120690</v>
      </c>
      <c r="E23" s="1104"/>
      <c r="F23" s="1205"/>
      <c r="G23" s="1205"/>
      <c r="H23" s="1128"/>
      <c r="I23" s="1128"/>
      <c r="J23" s="1128"/>
      <c r="K23" s="1128"/>
      <c r="L23" s="1128"/>
    </row>
    <row r="24" spans="1:12" s="1148" customFormat="1">
      <c r="A24" s="1135" t="s">
        <v>60</v>
      </c>
      <c r="B24" s="1213" t="s">
        <v>825</v>
      </c>
      <c r="C24" s="14">
        <f>C25+C40+C69</f>
        <v>533011</v>
      </c>
      <c r="D24" s="14">
        <f>D25+D40+D69</f>
        <v>573039</v>
      </c>
      <c r="E24" s="1102">
        <f t="shared" si="0"/>
        <v>40028</v>
      </c>
      <c r="F24" s="1201">
        <f t="shared" si="2"/>
        <v>107.50978872856284</v>
      </c>
      <c r="G24" s="1201"/>
      <c r="H24" s="1128"/>
      <c r="I24" s="1128"/>
      <c r="J24" s="1128"/>
      <c r="K24" s="1128"/>
      <c r="L24" s="1128"/>
    </row>
    <row r="25" spans="1:12" s="3" customFormat="1">
      <c r="A25" s="1144">
        <v>1</v>
      </c>
      <c r="B25" s="1109" t="s">
        <v>824</v>
      </c>
      <c r="C25" s="1102">
        <f>C26+C30+C34</f>
        <v>47400</v>
      </c>
      <c r="D25" s="1102">
        <f>D26+D30+D34</f>
        <v>58985</v>
      </c>
      <c r="E25" s="1102">
        <f t="shared" si="0"/>
        <v>11585</v>
      </c>
      <c r="F25" s="1201">
        <f t="shared" si="2"/>
        <v>124.44092827004219</v>
      </c>
      <c r="G25" s="1201"/>
      <c r="H25" s="1128"/>
      <c r="I25" s="1128"/>
      <c r="J25" s="1128"/>
      <c r="K25" s="1128"/>
      <c r="L25" s="1128"/>
    </row>
    <row r="26" spans="1:12" s="1148" customFormat="1">
      <c r="A26" s="1129" t="s">
        <v>200</v>
      </c>
      <c r="B26" s="17" t="s">
        <v>823</v>
      </c>
      <c r="C26" s="1104">
        <v>16200</v>
      </c>
      <c r="D26" s="1104">
        <f>D27+D28+D29</f>
        <v>34535</v>
      </c>
      <c r="E26" s="1104">
        <f t="shared" si="0"/>
        <v>18335</v>
      </c>
      <c r="F26" s="1205">
        <f t="shared" si="2"/>
        <v>213.17901234567901</v>
      </c>
      <c r="G26" s="1205"/>
      <c r="H26" s="1128"/>
      <c r="I26" s="1128"/>
      <c r="J26" s="1128"/>
      <c r="K26" s="1128"/>
      <c r="L26" s="1128"/>
    </row>
    <row r="27" spans="1:12" s="1148" customFormat="1">
      <c r="A27" s="1129"/>
      <c r="B27" s="17" t="s">
        <v>957</v>
      </c>
      <c r="C27" s="1104">
        <v>16200</v>
      </c>
      <c r="D27" s="1104">
        <v>22535</v>
      </c>
      <c r="E27" s="1104">
        <f t="shared" ref="E27:E28" si="3">D27-C27</f>
        <v>6335</v>
      </c>
      <c r="F27" s="1205">
        <f t="shared" ref="F27" si="4">D27/C27%</f>
        <v>139.10493827160494</v>
      </c>
      <c r="G27" s="1205"/>
      <c r="H27" s="1128"/>
      <c r="I27" s="1128"/>
      <c r="J27" s="1128"/>
      <c r="K27" s="1128"/>
      <c r="L27" s="1128"/>
    </row>
    <row r="28" spans="1:12" s="1148" customFormat="1">
      <c r="A28" s="1129"/>
      <c r="B28" s="17" t="s">
        <v>958</v>
      </c>
      <c r="C28" s="1104"/>
      <c r="D28" s="1104">
        <v>5000</v>
      </c>
      <c r="E28" s="1104">
        <f t="shared" si="3"/>
        <v>5000</v>
      </c>
      <c r="F28" s="1205"/>
      <c r="G28" s="1205"/>
      <c r="H28" s="1128"/>
      <c r="I28" s="1128"/>
      <c r="J28" s="1128"/>
      <c r="K28" s="1128"/>
      <c r="L28" s="1128"/>
    </row>
    <row r="29" spans="1:12" s="1148" customFormat="1" ht="31.2">
      <c r="A29" s="1129"/>
      <c r="B29" s="1167" t="s">
        <v>977</v>
      </c>
      <c r="C29" s="1104"/>
      <c r="D29" s="1104">
        <v>7000</v>
      </c>
      <c r="E29" s="1104"/>
      <c r="F29" s="1205"/>
      <c r="G29" s="1205"/>
      <c r="H29" s="1128"/>
      <c r="I29" s="1128"/>
      <c r="J29" s="1128"/>
      <c r="K29" s="1128"/>
      <c r="L29" s="1128"/>
    </row>
    <row r="30" spans="1:12" s="1148" customFormat="1" ht="31.2">
      <c r="A30" s="1129" t="s">
        <v>208</v>
      </c>
      <c r="B30" s="1149" t="s">
        <v>822</v>
      </c>
      <c r="C30" s="1104">
        <f>SUM(C31:C33)</f>
        <v>2700</v>
      </c>
      <c r="D30" s="1104">
        <f>SUM(D31:D33)</f>
        <v>2250</v>
      </c>
      <c r="E30" s="1104">
        <f t="shared" si="0"/>
        <v>-450</v>
      </c>
      <c r="F30" s="1205">
        <f t="shared" si="2"/>
        <v>83.333333333333329</v>
      </c>
      <c r="G30" s="1205"/>
      <c r="H30" s="1128"/>
      <c r="I30" s="1128"/>
      <c r="J30" s="1128"/>
      <c r="K30" s="1128"/>
      <c r="L30" s="1128"/>
    </row>
    <row r="31" spans="1:12" s="1148" customFormat="1">
      <c r="A31" s="1150"/>
      <c r="B31" s="17" t="s">
        <v>4</v>
      </c>
      <c r="C31" s="1104">
        <v>1200</v>
      </c>
      <c r="D31" s="1104">
        <f>'so thu huyen-R-03'!V11</f>
        <v>1000</v>
      </c>
      <c r="E31" s="1104">
        <f t="shared" si="0"/>
        <v>-200</v>
      </c>
      <c r="F31" s="1205">
        <f t="shared" si="2"/>
        <v>83.333333333333329</v>
      </c>
      <c r="G31" s="1205"/>
      <c r="H31" s="1128"/>
      <c r="I31" s="1128"/>
      <c r="J31" s="1128"/>
      <c r="K31" s="1128"/>
      <c r="L31" s="1128"/>
    </row>
    <row r="32" spans="1:12" s="1148" customFormat="1">
      <c r="A32" s="1150"/>
      <c r="B32" s="17" t="s">
        <v>5</v>
      </c>
      <c r="C32" s="1104">
        <v>900</v>
      </c>
      <c r="D32" s="1104">
        <f>'so thu huyen-R-03'!W11</f>
        <v>750</v>
      </c>
      <c r="E32" s="1104">
        <f t="shared" si="0"/>
        <v>-150</v>
      </c>
      <c r="F32" s="1205">
        <f t="shared" si="2"/>
        <v>83.333333333333329</v>
      </c>
      <c r="G32" s="1205"/>
      <c r="H32" s="1128"/>
      <c r="I32" s="1128"/>
      <c r="J32" s="1128"/>
      <c r="K32" s="1128"/>
      <c r="L32" s="1128"/>
    </row>
    <row r="33" spans="1:12" s="1148" customFormat="1">
      <c r="A33" s="1150"/>
      <c r="B33" s="17" t="s">
        <v>6</v>
      </c>
      <c r="C33" s="1104">
        <v>600</v>
      </c>
      <c r="D33" s="1104">
        <f>'so thu huyen-R-03'!X11</f>
        <v>500</v>
      </c>
      <c r="E33" s="1104">
        <f t="shared" si="0"/>
        <v>-100</v>
      </c>
      <c r="F33" s="1205">
        <f t="shared" si="2"/>
        <v>83.333333333333329</v>
      </c>
      <c r="G33" s="1205"/>
      <c r="H33" s="1128"/>
      <c r="I33" s="1128"/>
      <c r="J33" s="1128"/>
      <c r="K33" s="1128"/>
      <c r="L33" s="1128"/>
    </row>
    <row r="34" spans="1:12" s="1148" customFormat="1">
      <c r="A34" s="1129" t="s">
        <v>335</v>
      </c>
      <c r="B34" s="44" t="s">
        <v>821</v>
      </c>
      <c r="C34" s="1104">
        <f>SUM(C35:C39)</f>
        <v>28500</v>
      </c>
      <c r="D34" s="1104">
        <f>SUM(D35:D38)</f>
        <v>22200</v>
      </c>
      <c r="E34" s="1104">
        <f t="shared" si="0"/>
        <v>-6300</v>
      </c>
      <c r="F34" s="1205">
        <f t="shared" si="2"/>
        <v>77.89473684210526</v>
      </c>
      <c r="G34" s="1205"/>
      <c r="H34" s="1128"/>
      <c r="I34" s="1128"/>
      <c r="J34" s="1128"/>
      <c r="K34" s="1128"/>
      <c r="L34" s="1128"/>
    </row>
    <row r="35" spans="1:12" s="1148" customFormat="1" ht="36" customHeight="1">
      <c r="A35" s="1135"/>
      <c r="B35" s="420" t="s">
        <v>247</v>
      </c>
      <c r="C35" s="39">
        <v>4000</v>
      </c>
      <c r="D35" s="39">
        <v>3000</v>
      </c>
      <c r="E35" s="1104"/>
      <c r="F35" s="1214"/>
      <c r="G35" s="1214"/>
      <c r="H35" s="1128"/>
      <c r="I35" s="1145">
        <f>C41+C44+C45+C46</f>
        <v>474574</v>
      </c>
      <c r="J35" s="1128"/>
      <c r="K35" s="1128"/>
      <c r="L35" s="1128"/>
    </row>
    <row r="36" spans="1:12" s="1148" customFormat="1" ht="36" customHeight="1">
      <c r="A36" s="1135"/>
      <c r="B36" s="420" t="s">
        <v>863</v>
      </c>
      <c r="C36" s="39"/>
      <c r="D36" s="39"/>
      <c r="E36" s="1104"/>
      <c r="F36" s="1214"/>
      <c r="G36" s="1214"/>
      <c r="H36" s="1128"/>
      <c r="I36" s="1145"/>
      <c r="J36" s="1128"/>
      <c r="K36" s="1128"/>
      <c r="L36" s="1128"/>
    </row>
    <row r="37" spans="1:12" s="1148" customFormat="1" ht="21" customHeight="1">
      <c r="A37" s="1135"/>
      <c r="B37" s="416" t="s">
        <v>248</v>
      </c>
      <c r="C37" s="39">
        <v>10500</v>
      </c>
      <c r="D37" s="39">
        <v>14200</v>
      </c>
      <c r="E37" s="1104"/>
      <c r="F37" s="1214"/>
      <c r="G37" s="1214"/>
      <c r="H37" s="1128"/>
      <c r="I37" s="1145">
        <f>I35-C40</f>
        <v>0</v>
      </c>
      <c r="J37" s="1128"/>
      <c r="K37" s="1128"/>
      <c r="L37" s="1128"/>
    </row>
    <row r="38" spans="1:12" s="1148" customFormat="1" ht="31.2">
      <c r="A38" s="1135"/>
      <c r="B38" s="420" t="s">
        <v>249</v>
      </c>
      <c r="C38" s="39">
        <v>5000</v>
      </c>
      <c r="D38" s="39">
        <v>5000</v>
      </c>
      <c r="E38" s="1104"/>
      <c r="F38" s="1214"/>
      <c r="G38" s="1214"/>
      <c r="H38" s="1128"/>
      <c r="I38" s="1128"/>
      <c r="J38" s="1128"/>
      <c r="K38" s="1128"/>
      <c r="L38" s="1128"/>
    </row>
    <row r="39" spans="1:12" s="1148" customFormat="1" ht="24" customHeight="1">
      <c r="A39" s="1135"/>
      <c r="B39" s="420" t="s">
        <v>852</v>
      </c>
      <c r="C39" s="39">
        <v>9000</v>
      </c>
      <c r="D39" s="39"/>
      <c r="E39" s="1104"/>
      <c r="F39" s="1214"/>
      <c r="G39" s="1214"/>
      <c r="H39" s="1128"/>
      <c r="I39" s="1128"/>
      <c r="J39" s="1128"/>
      <c r="K39" s="1128"/>
      <c r="L39" s="1128"/>
    </row>
    <row r="40" spans="1:12" s="3" customFormat="1">
      <c r="A40" s="1144">
        <v>2</v>
      </c>
      <c r="B40" s="1109" t="s">
        <v>830</v>
      </c>
      <c r="C40" s="1102">
        <f>C41+C44+C45+C46</f>
        <v>474574</v>
      </c>
      <c r="D40" s="1102">
        <f>D41+D44+D45+D46</f>
        <v>499499</v>
      </c>
      <c r="E40" s="1102">
        <f>D40-C40</f>
        <v>24925</v>
      </c>
      <c r="F40" s="1201">
        <f t="shared" ref="F40:F52" si="5">D40/C40%</f>
        <v>105.25207870637666</v>
      </c>
      <c r="G40" s="1201"/>
      <c r="H40" s="1128"/>
      <c r="I40" s="1128"/>
      <c r="J40" s="1128"/>
      <c r="K40" s="1128"/>
      <c r="L40" s="1128"/>
    </row>
    <row r="41" spans="1:12" s="1121" customFormat="1">
      <c r="A41" s="1129" t="s">
        <v>351</v>
      </c>
      <c r="B41" s="17" t="s">
        <v>820</v>
      </c>
      <c r="C41" s="1104">
        <v>284202</v>
      </c>
      <c r="D41" s="103">
        <f>C41+14351</f>
        <v>298553</v>
      </c>
      <c r="E41" s="1104">
        <f>D41-C41</f>
        <v>14351</v>
      </c>
      <c r="F41" s="1205">
        <f t="shared" si="5"/>
        <v>105.04957741324833</v>
      </c>
      <c r="G41" s="1205"/>
      <c r="H41" s="1128">
        <f>I14*50%</f>
        <v>625</v>
      </c>
      <c r="I41" s="1128"/>
      <c r="J41" s="1128"/>
      <c r="K41" s="1128"/>
      <c r="L41" s="1128"/>
    </row>
    <row r="42" spans="1:12" s="1121" customFormat="1">
      <c r="A42" s="1146"/>
      <c r="B42" s="487" t="s">
        <v>809</v>
      </c>
      <c r="C42" s="1104">
        <f>280944+1000</f>
        <v>281944</v>
      </c>
      <c r="D42" s="103">
        <f>D41-D43</f>
        <v>296261</v>
      </c>
      <c r="E42" s="1104">
        <f t="shared" ref="E42:E43" si="6">D42-C42</f>
        <v>14317</v>
      </c>
      <c r="F42" s="1205">
        <f t="shared" si="5"/>
        <v>105.07795874358028</v>
      </c>
      <c r="G42" s="1215" t="s">
        <v>853</v>
      </c>
      <c r="H42" s="1128"/>
      <c r="I42" s="1128"/>
      <c r="J42" s="1128"/>
      <c r="K42" s="1128"/>
      <c r="L42" s="1128"/>
    </row>
    <row r="43" spans="1:12" s="1121" customFormat="1">
      <c r="A43" s="1146"/>
      <c r="B43" s="487" t="s">
        <v>810</v>
      </c>
      <c r="C43" s="1104">
        <f>3258-1000</f>
        <v>2258</v>
      </c>
      <c r="D43" s="103">
        <f>3292-1000</f>
        <v>2292</v>
      </c>
      <c r="E43" s="1104">
        <f t="shared" si="6"/>
        <v>34</v>
      </c>
      <c r="F43" s="1205">
        <f t="shared" si="5"/>
        <v>101.50575730735164</v>
      </c>
      <c r="G43" s="1215" t="s">
        <v>853</v>
      </c>
      <c r="H43" s="1128"/>
      <c r="I43" s="1145">
        <f>C41-C42-C43</f>
        <v>0</v>
      </c>
      <c r="J43" s="1128"/>
      <c r="K43" s="1128"/>
      <c r="L43" s="1128"/>
    </row>
    <row r="44" spans="1:12" s="1121" customFormat="1">
      <c r="A44" s="1129" t="s">
        <v>357</v>
      </c>
      <c r="B44" s="17" t="s">
        <v>805</v>
      </c>
      <c r="C44" s="1104">
        <v>150</v>
      </c>
      <c r="D44" s="103">
        <v>159</v>
      </c>
      <c r="E44" s="1104">
        <f>D44-C44</f>
        <v>9</v>
      </c>
      <c r="F44" s="1205">
        <f t="shared" si="5"/>
        <v>106</v>
      </c>
      <c r="G44" s="1215" t="s">
        <v>849</v>
      </c>
      <c r="H44" s="1128"/>
      <c r="I44" s="1128"/>
      <c r="J44" s="1128"/>
      <c r="K44" s="1128"/>
      <c r="L44" s="1128"/>
    </row>
    <row r="45" spans="1:12" s="1121" customFormat="1">
      <c r="A45" s="1129" t="s">
        <v>815</v>
      </c>
      <c r="B45" s="1110" t="s">
        <v>804</v>
      </c>
      <c r="C45" s="1104">
        <v>1430</v>
      </c>
      <c r="D45" s="104">
        <v>1516</v>
      </c>
      <c r="E45" s="1104">
        <f t="shared" ref="E45:E65" si="7">D45-C45</f>
        <v>86</v>
      </c>
      <c r="F45" s="1205">
        <f t="shared" si="5"/>
        <v>106.01398601398601</v>
      </c>
      <c r="G45" s="1215" t="s">
        <v>849</v>
      </c>
      <c r="H45" s="1128"/>
      <c r="I45" s="1128"/>
      <c r="J45" s="1128"/>
      <c r="K45" s="1128"/>
      <c r="L45" s="1128"/>
    </row>
    <row r="46" spans="1:12" s="1121" customFormat="1">
      <c r="A46" s="1146" t="s">
        <v>816</v>
      </c>
      <c r="B46" s="44" t="s">
        <v>869</v>
      </c>
      <c r="C46" s="1223">
        <f>C8-C25-C41-C44-C45-C69-C70</f>
        <v>188792</v>
      </c>
      <c r="D46" s="1042">
        <f>D8-D25-D41-D44-D45-D69-D70</f>
        <v>199271</v>
      </c>
      <c r="E46" s="1041">
        <f t="shared" si="7"/>
        <v>10479</v>
      </c>
      <c r="F46" s="1216">
        <f t="shared" si="5"/>
        <v>105.55055298953346</v>
      </c>
      <c r="G46" s="1205"/>
      <c r="H46" s="60">
        <f>D8-D25-D41-D44-D45-D69-D70</f>
        <v>199271</v>
      </c>
      <c r="I46" s="1128"/>
      <c r="J46" s="1128"/>
      <c r="K46" s="1128"/>
      <c r="L46" s="1128"/>
    </row>
    <row r="47" spans="1:12" s="1153" customFormat="1">
      <c r="A47" s="1140"/>
      <c r="B47" s="19" t="s">
        <v>8</v>
      </c>
      <c r="C47" s="1103">
        <v>300</v>
      </c>
      <c r="D47" s="1106">
        <f>'so thu huyen-R-03'!Y11</f>
        <v>250</v>
      </c>
      <c r="E47" s="1104">
        <f t="shared" si="7"/>
        <v>-50</v>
      </c>
      <c r="F47" s="1205">
        <f t="shared" si="5"/>
        <v>83.333333333333329</v>
      </c>
      <c r="G47" s="1205"/>
      <c r="H47" s="1128"/>
      <c r="I47" s="1128"/>
      <c r="J47" s="1128"/>
      <c r="K47" s="1128"/>
      <c r="L47" s="1128"/>
    </row>
    <row r="48" spans="1:12" s="1234" customFormat="1">
      <c r="A48" s="1178" t="s">
        <v>870</v>
      </c>
      <c r="B48" s="1179" t="s">
        <v>269</v>
      </c>
      <c r="C48" s="56">
        <f>1100+110</f>
        <v>1210</v>
      </c>
      <c r="D48" s="426">
        <f>1100+110</f>
        <v>1210</v>
      </c>
      <c r="E48" s="1181">
        <f t="shared" si="7"/>
        <v>0</v>
      </c>
      <c r="F48" s="1229">
        <f t="shared" si="5"/>
        <v>100</v>
      </c>
      <c r="G48" s="1229"/>
      <c r="H48" s="1232">
        <f>C48+C49+C50+C51+C52+C60+C66+C67+C68</f>
        <v>188792</v>
      </c>
      <c r="I48" s="1232">
        <f>D48+D49+D50+D51+D52+D60+D66+D67+D68</f>
        <v>199271</v>
      </c>
      <c r="J48" s="1233"/>
      <c r="K48" s="1233"/>
      <c r="L48" s="1233"/>
    </row>
    <row r="49" spans="1:12" s="1234" customFormat="1">
      <c r="A49" s="1178" t="s">
        <v>871</v>
      </c>
      <c r="B49" s="1179" t="s">
        <v>270</v>
      </c>
      <c r="C49" s="56">
        <v>400</v>
      </c>
      <c r="D49" s="426">
        <f>400</f>
        <v>400</v>
      </c>
      <c r="E49" s="1186">
        <f t="shared" si="7"/>
        <v>0</v>
      </c>
      <c r="F49" s="1229">
        <f t="shared" si="5"/>
        <v>100</v>
      </c>
      <c r="G49" s="1235" t="s">
        <v>856</v>
      </c>
      <c r="H49" s="1232">
        <f>H48-C46</f>
        <v>0</v>
      </c>
      <c r="I49" s="1232">
        <f>D46-I48</f>
        <v>0</v>
      </c>
      <c r="J49" s="1233"/>
      <c r="K49" s="1233"/>
      <c r="L49" s="1233"/>
    </row>
    <row r="50" spans="1:12" s="1234" customFormat="1">
      <c r="A50" s="1178" t="s">
        <v>872</v>
      </c>
      <c r="B50" s="1179" t="s">
        <v>807</v>
      </c>
      <c r="C50" s="56">
        <f>2200+220</f>
        <v>2420</v>
      </c>
      <c r="D50" s="426">
        <f>2262+220</f>
        <v>2482</v>
      </c>
      <c r="E50" s="54">
        <f t="shared" si="7"/>
        <v>62</v>
      </c>
      <c r="F50" s="1229">
        <f t="shared" si="5"/>
        <v>102.56198347107438</v>
      </c>
      <c r="G50" s="1236" t="s">
        <v>853</v>
      </c>
      <c r="H50" s="1232"/>
      <c r="I50" s="1233"/>
      <c r="J50" s="1233"/>
      <c r="K50" s="1233"/>
      <c r="L50" s="1233"/>
    </row>
    <row r="51" spans="1:12" s="1234" customFormat="1">
      <c r="A51" s="1178" t="s">
        <v>873</v>
      </c>
      <c r="B51" s="1179" t="s">
        <v>808</v>
      </c>
      <c r="C51" s="56">
        <f>968+97</f>
        <v>1065</v>
      </c>
      <c r="D51" s="426">
        <f>996+97</f>
        <v>1093</v>
      </c>
      <c r="E51" s="54">
        <f t="shared" si="7"/>
        <v>28</v>
      </c>
      <c r="F51" s="1229">
        <f t="shared" si="5"/>
        <v>102.62910798122066</v>
      </c>
      <c r="G51" s="1236" t="s">
        <v>853</v>
      </c>
      <c r="H51" s="1233"/>
      <c r="I51" s="1233"/>
      <c r="J51" s="1233"/>
      <c r="K51" s="1233"/>
      <c r="L51" s="1233"/>
    </row>
    <row r="52" spans="1:12" s="1234" customFormat="1">
      <c r="A52" s="1178" t="s">
        <v>874</v>
      </c>
      <c r="B52" s="1179" t="s">
        <v>276</v>
      </c>
      <c r="C52" s="56">
        <f>C54+C55+C56+C58+C59</f>
        <v>33115</v>
      </c>
      <c r="D52" s="426">
        <f>D54+D55+D56+D58+D59</f>
        <v>33607</v>
      </c>
      <c r="E52" s="54">
        <f t="shared" si="7"/>
        <v>492</v>
      </c>
      <c r="F52" s="1229">
        <f t="shared" si="5"/>
        <v>101.48573154159747</v>
      </c>
      <c r="G52" s="1236" t="s">
        <v>854</v>
      </c>
      <c r="H52" s="1232">
        <f>H49/2</f>
        <v>0</v>
      </c>
      <c r="I52" s="1233"/>
      <c r="J52" s="1233"/>
      <c r="K52" s="1233"/>
      <c r="L52" s="1233"/>
    </row>
    <row r="53" spans="1:12" s="1234" customFormat="1">
      <c r="A53" s="1178"/>
      <c r="B53" s="1190" t="s">
        <v>297</v>
      </c>
      <c r="C53" s="56"/>
      <c r="D53" s="426"/>
      <c r="E53" s="1181">
        <f t="shared" si="7"/>
        <v>0</v>
      </c>
      <c r="F53" s="1229"/>
      <c r="G53" s="1229"/>
      <c r="H53" s="1233"/>
      <c r="I53" s="1233"/>
      <c r="J53" s="1233"/>
      <c r="K53" s="1233"/>
      <c r="L53" s="1233"/>
    </row>
    <row r="54" spans="1:12" s="1234" customFormat="1">
      <c r="A54" s="1178"/>
      <c r="B54" s="1190" t="s">
        <v>298</v>
      </c>
      <c r="C54" s="56">
        <v>15104</v>
      </c>
      <c r="D54" s="426">
        <v>15104</v>
      </c>
      <c r="E54" s="1181">
        <f t="shared" si="7"/>
        <v>0</v>
      </c>
      <c r="F54" s="1229">
        <f>D54/C54%</f>
        <v>100</v>
      </c>
      <c r="G54" s="1229"/>
      <c r="H54" s="1233"/>
      <c r="I54" s="1233"/>
      <c r="J54" s="1233"/>
      <c r="K54" s="1233"/>
      <c r="L54" s="1233"/>
    </row>
    <row r="55" spans="1:12" s="1234" customFormat="1">
      <c r="A55" s="1178"/>
      <c r="B55" s="1190" t="s">
        <v>299</v>
      </c>
      <c r="C55" s="56">
        <v>6042</v>
      </c>
      <c r="D55" s="426">
        <v>6042</v>
      </c>
      <c r="E55" s="1181">
        <f t="shared" si="7"/>
        <v>0</v>
      </c>
      <c r="F55" s="1229">
        <f>D55/C55%</f>
        <v>100</v>
      </c>
      <c r="G55" s="1229"/>
      <c r="H55" s="1233"/>
      <c r="I55" s="1233"/>
      <c r="J55" s="1233"/>
      <c r="K55" s="1233"/>
      <c r="L55" s="1233"/>
    </row>
    <row r="56" spans="1:12" s="1234" customFormat="1">
      <c r="A56" s="1178"/>
      <c r="B56" s="1190" t="s">
        <v>300</v>
      </c>
      <c r="C56" s="56">
        <v>1700</v>
      </c>
      <c r="D56" s="426">
        <v>1700</v>
      </c>
      <c r="E56" s="1181">
        <f t="shared" si="7"/>
        <v>0</v>
      </c>
      <c r="F56" s="1229">
        <f>D56/C56%</f>
        <v>100</v>
      </c>
      <c r="G56" s="1229"/>
      <c r="H56" s="1233"/>
      <c r="I56" s="1233"/>
      <c r="J56" s="1233"/>
      <c r="K56" s="1233"/>
      <c r="L56" s="1233"/>
    </row>
    <row r="57" spans="1:12" s="1234" customFormat="1">
      <c r="A57" s="1178"/>
      <c r="B57" s="1190" t="s">
        <v>301</v>
      </c>
      <c r="C57" s="56"/>
      <c r="D57" s="426"/>
      <c r="E57" s="1181">
        <f t="shared" si="7"/>
        <v>0</v>
      </c>
      <c r="F57" s="1229"/>
      <c r="G57" s="1229"/>
      <c r="H57" s="1233"/>
      <c r="I57" s="1233"/>
      <c r="J57" s="1233"/>
      <c r="K57" s="1233"/>
      <c r="L57" s="1233"/>
    </row>
    <row r="58" spans="1:12" s="1234" customFormat="1" ht="31.2">
      <c r="A58" s="1178"/>
      <c r="B58" s="1190" t="s">
        <v>303</v>
      </c>
      <c r="C58" s="56">
        <v>300</v>
      </c>
      <c r="D58" s="426">
        <f>D47</f>
        <v>250</v>
      </c>
      <c r="E58" s="54">
        <f t="shared" si="7"/>
        <v>-50</v>
      </c>
      <c r="F58" s="1229">
        <f>D58/C58%</f>
        <v>83.333333333333329</v>
      </c>
      <c r="G58" s="1236" t="s">
        <v>854</v>
      </c>
      <c r="H58" s="1233"/>
      <c r="I58" s="1233"/>
      <c r="J58" s="1233"/>
      <c r="K58" s="1233"/>
      <c r="L58" s="1233"/>
    </row>
    <row r="59" spans="1:12" s="1234" customFormat="1">
      <c r="A59" s="1178"/>
      <c r="B59" s="1190" t="s">
        <v>304</v>
      </c>
      <c r="C59" s="56">
        <f>9969</f>
        <v>9969</v>
      </c>
      <c r="D59" s="426">
        <f>9969+542</f>
        <v>10511</v>
      </c>
      <c r="E59" s="1181">
        <f t="shared" si="7"/>
        <v>542</v>
      </c>
      <c r="F59" s="1229">
        <f>D59/C59%</f>
        <v>105.43685424816933</v>
      </c>
      <c r="G59" s="1229"/>
      <c r="H59" s="1233"/>
      <c r="I59" s="1233"/>
      <c r="J59" s="1233"/>
      <c r="K59" s="1233"/>
      <c r="L59" s="1233"/>
    </row>
    <row r="60" spans="1:12" s="1234" customFormat="1">
      <c r="A60" s="1178" t="s">
        <v>875</v>
      </c>
      <c r="B60" s="1179" t="s">
        <v>278</v>
      </c>
      <c r="C60" s="56">
        <f>C62+C63+C64+C65</f>
        <v>24693</v>
      </c>
      <c r="D60" s="56">
        <f>D62+D63+D64+D65</f>
        <v>24693</v>
      </c>
      <c r="E60" s="1181">
        <f t="shared" si="7"/>
        <v>0</v>
      </c>
      <c r="F60" s="1229">
        <f>D60/C60%</f>
        <v>100</v>
      </c>
      <c r="G60" s="1229"/>
      <c r="H60" s="1233"/>
      <c r="I60" s="1233"/>
      <c r="J60" s="1233"/>
      <c r="K60" s="1233"/>
      <c r="L60" s="1233"/>
    </row>
    <row r="61" spans="1:12" s="1234" customFormat="1">
      <c r="A61" s="1194"/>
      <c r="B61" s="1179" t="s">
        <v>290</v>
      </c>
      <c r="C61" s="56"/>
      <c r="D61" s="426"/>
      <c r="E61" s="1181">
        <f t="shared" si="7"/>
        <v>0</v>
      </c>
      <c r="F61" s="1229"/>
      <c r="G61" s="1229"/>
      <c r="H61" s="1233"/>
      <c r="I61" s="1233"/>
      <c r="J61" s="1233"/>
      <c r="K61" s="1233"/>
      <c r="L61" s="1233"/>
    </row>
    <row r="62" spans="1:12" s="1234" customFormat="1">
      <c r="A62" s="1194"/>
      <c r="B62" s="1195" t="s">
        <v>305</v>
      </c>
      <c r="C62" s="56">
        <f>2733</f>
        <v>2733</v>
      </c>
      <c r="D62" s="56">
        <v>2733</v>
      </c>
      <c r="E62" s="1181">
        <f t="shared" si="7"/>
        <v>0</v>
      </c>
      <c r="F62" s="1229">
        <f>D62/C62%</f>
        <v>100</v>
      </c>
      <c r="G62" s="1229"/>
      <c r="H62" s="1233"/>
      <c r="I62" s="1233"/>
      <c r="J62" s="1233"/>
      <c r="K62" s="1233"/>
      <c r="L62" s="1233"/>
    </row>
    <row r="63" spans="1:12" s="1234" customFormat="1" ht="16.2">
      <c r="A63" s="1196"/>
      <c r="B63" s="1195" t="s">
        <v>306</v>
      </c>
      <c r="C63" s="56">
        <v>583</v>
      </c>
      <c r="D63" s="426">
        <v>583</v>
      </c>
      <c r="E63" s="1181">
        <f t="shared" si="7"/>
        <v>0</v>
      </c>
      <c r="F63" s="1229">
        <f>D63/C63%</f>
        <v>100</v>
      </c>
      <c r="G63" s="1229"/>
      <c r="H63" s="1233"/>
      <c r="I63" s="1233"/>
      <c r="J63" s="1233"/>
      <c r="K63" s="1233"/>
      <c r="L63" s="1233"/>
    </row>
    <row r="64" spans="1:12" s="1234" customFormat="1" ht="16.2">
      <c r="A64" s="1196"/>
      <c r="B64" s="1190" t="s">
        <v>307</v>
      </c>
      <c r="C64" s="56">
        <v>18735</v>
      </c>
      <c r="D64" s="426">
        <f>18735+2642</f>
        <v>21377</v>
      </c>
      <c r="E64" s="54">
        <f t="shared" si="7"/>
        <v>2642</v>
      </c>
      <c r="F64" s="1229">
        <f>D64/C64%</f>
        <v>114.10194822524687</v>
      </c>
      <c r="G64" s="1236" t="s">
        <v>855</v>
      </c>
      <c r="H64" s="1233"/>
      <c r="I64" s="1233"/>
      <c r="J64" s="1233"/>
      <c r="K64" s="1233"/>
      <c r="L64" s="1233"/>
    </row>
    <row r="65" spans="1:12" s="1234" customFormat="1" ht="16.2">
      <c r="A65" s="1196"/>
      <c r="B65" s="1190" t="s">
        <v>308</v>
      </c>
      <c r="C65" s="56">
        <v>2642</v>
      </c>
      <c r="D65" s="426">
        <v>0</v>
      </c>
      <c r="E65" s="54">
        <f t="shared" si="7"/>
        <v>-2642</v>
      </c>
      <c r="F65" s="1229">
        <f>D65/C65%</f>
        <v>0</v>
      </c>
      <c r="G65" s="1229"/>
      <c r="H65" s="1233"/>
      <c r="I65" s="1233"/>
      <c r="J65" s="1233"/>
      <c r="K65" s="1233"/>
      <c r="L65" s="1233"/>
    </row>
    <row r="66" spans="1:12" s="1234" customFormat="1" ht="78">
      <c r="A66" s="1178" t="s">
        <v>876</v>
      </c>
      <c r="B66" s="1179" t="s">
        <v>277</v>
      </c>
      <c r="C66" s="56">
        <f>135308-16160-3063+6741</f>
        <v>122826</v>
      </c>
      <c r="D66" s="426">
        <f>C66+1316+4399+771+408+5714-624+125</f>
        <v>134935</v>
      </c>
      <c r="E66" s="54">
        <f>D66-C66-542</f>
        <v>11567</v>
      </c>
      <c r="F66" s="1229">
        <f>D66/C66%</f>
        <v>109.85866184684025</v>
      </c>
      <c r="G66" s="1179" t="s">
        <v>866</v>
      </c>
      <c r="H66" s="1233"/>
      <c r="I66" s="1233"/>
      <c r="J66" s="1233"/>
      <c r="K66" s="1233"/>
      <c r="L66" s="1233"/>
    </row>
    <row r="67" spans="1:12" s="1234" customFormat="1">
      <c r="A67" s="1178" t="s">
        <v>877</v>
      </c>
      <c r="B67" s="1179" t="s">
        <v>720</v>
      </c>
      <c r="C67" s="56">
        <f>D67-625+101+124+141+214-187+2444</f>
        <v>3063</v>
      </c>
      <c r="D67" s="426">
        <f>3688-101-124-141-214-2257</f>
        <v>851</v>
      </c>
      <c r="E67" s="1181">
        <f>D67-C67</f>
        <v>-2212</v>
      </c>
      <c r="F67" s="1229"/>
      <c r="G67" s="1229"/>
      <c r="H67" s="1233"/>
      <c r="I67" s="1233"/>
      <c r="J67" s="1233"/>
      <c r="K67" s="1233"/>
      <c r="L67" s="1233"/>
    </row>
    <row r="68" spans="1:12" s="1234" customFormat="1">
      <c r="A68" s="1178" t="s">
        <v>878</v>
      </c>
      <c r="B68" s="507" t="s">
        <v>819</v>
      </c>
      <c r="C68" s="56"/>
      <c r="D68" s="426"/>
      <c r="E68" s="54">
        <f>D68-C68</f>
        <v>0</v>
      </c>
      <c r="F68" s="1229"/>
      <c r="G68" s="1229"/>
      <c r="H68" s="1233"/>
      <c r="I68" s="1233"/>
      <c r="J68" s="1233"/>
      <c r="K68" s="1233"/>
      <c r="L68" s="1233"/>
    </row>
    <row r="69" spans="1:12" s="3" customFormat="1">
      <c r="A69" s="1144">
        <v>3</v>
      </c>
      <c r="B69" s="1217" t="s">
        <v>320</v>
      </c>
      <c r="C69" s="150">
        <v>11037</v>
      </c>
      <c r="D69" s="152">
        <f>ROUND((D8)*2.01%,0)</f>
        <v>14555</v>
      </c>
      <c r="E69" s="1102">
        <f>D69-C69</f>
        <v>3518</v>
      </c>
      <c r="F69" s="1201">
        <f>D69/C69%</f>
        <v>131.87460360605237</v>
      </c>
      <c r="G69" s="1201"/>
      <c r="H69" s="1128" t="s">
        <v>172</v>
      </c>
      <c r="I69" s="1128" t="s">
        <v>171</v>
      </c>
      <c r="J69" s="1128"/>
      <c r="K69" s="1128"/>
      <c r="L69" s="1128"/>
    </row>
    <row r="70" spans="1:12" s="3" customFormat="1">
      <c r="A70" s="1144" t="s">
        <v>315</v>
      </c>
      <c r="B70" s="1109" t="s">
        <v>818</v>
      </c>
      <c r="C70" s="1102">
        <v>16092</v>
      </c>
      <c r="D70" s="63">
        <f>D17</f>
        <v>151097</v>
      </c>
      <c r="E70" s="1102">
        <f>D70-C70</f>
        <v>135005</v>
      </c>
      <c r="F70" s="1201">
        <f t="shared" ref="F70:F72" si="8">D70/C70%</f>
        <v>938.95724583644051</v>
      </c>
      <c r="G70" s="1201"/>
      <c r="H70" s="1128"/>
      <c r="I70" s="1128"/>
      <c r="J70" s="1128"/>
      <c r="K70" s="1128"/>
      <c r="L70" s="1128"/>
    </row>
    <row r="71" spans="1:12" s="3" customFormat="1">
      <c r="A71" s="1154"/>
      <c r="B71" s="1218" t="s">
        <v>15</v>
      </c>
      <c r="C71" s="1102">
        <f>C24+C70</f>
        <v>549103</v>
      </c>
      <c r="D71" s="1102">
        <f>D24+D70</f>
        <v>724136</v>
      </c>
      <c r="E71" s="1102">
        <f t="shared" ref="E71:E72" si="9">D71-C71</f>
        <v>175033</v>
      </c>
      <c r="F71" s="1201">
        <f t="shared" si="8"/>
        <v>131.87616895190885</v>
      </c>
      <c r="G71" s="1201"/>
      <c r="H71" s="1128"/>
      <c r="I71" s="1128"/>
      <c r="J71" s="1128"/>
      <c r="K71" s="1128"/>
      <c r="L71" s="1128"/>
    </row>
    <row r="72" spans="1:12" s="1148" customFormat="1">
      <c r="A72" s="1219"/>
      <c r="B72" s="1217" t="s">
        <v>11</v>
      </c>
      <c r="C72" s="149">
        <v>7168</v>
      </c>
      <c r="D72" s="151">
        <f>ROUND(C72+I14*10%,0)</f>
        <v>7293</v>
      </c>
      <c r="E72" s="1102">
        <f t="shared" si="9"/>
        <v>125</v>
      </c>
      <c r="F72" s="1201">
        <f t="shared" si="8"/>
        <v>101.74386160714285</v>
      </c>
      <c r="G72" s="1201"/>
      <c r="H72" s="1128"/>
      <c r="I72" s="1128"/>
      <c r="J72" s="1128"/>
      <c r="K72" s="1128"/>
      <c r="L72" s="1128"/>
    </row>
    <row r="73" spans="1:12" s="1156" customFormat="1">
      <c r="A73" s="1220"/>
      <c r="B73" s="1221"/>
      <c r="C73" s="1025"/>
      <c r="D73" s="1026">
        <v>0</v>
      </c>
      <c r="E73" s="1027"/>
      <c r="F73" s="1222"/>
      <c r="G73" s="1222"/>
      <c r="H73" s="1128"/>
      <c r="I73" s="1128"/>
      <c r="J73" s="1128"/>
      <c r="K73" s="1128"/>
      <c r="L73" s="1128"/>
    </row>
    <row r="74" spans="1:12" s="1128" customFormat="1"/>
    <row r="75" spans="1:12" s="1128" customFormat="1">
      <c r="D75" s="1145"/>
      <c r="H75" s="1128">
        <f>I14*50%</f>
        <v>625</v>
      </c>
    </row>
    <row r="76" spans="1:12" s="1128" customFormat="1">
      <c r="D76" s="1145"/>
    </row>
    <row r="77" spans="1:12" s="1128" customFormat="1"/>
    <row r="78" spans="1:12" s="1128" customFormat="1">
      <c r="D78" s="1145"/>
    </row>
    <row r="79" spans="1:12" s="1128" customFormat="1"/>
    <row r="80" spans="1:12" s="1128" customFormat="1"/>
    <row r="81" spans="5:6" s="1128" customFormat="1">
      <c r="E81" s="1145"/>
      <c r="F81" s="1145"/>
    </row>
    <row r="82" spans="5:6" s="1128" customFormat="1"/>
    <row r="83" spans="5:6" s="1128" customFormat="1"/>
    <row r="84" spans="5:6" s="1128" customFormat="1"/>
    <row r="85" spans="5:6" s="1128" customFormat="1"/>
    <row r="86" spans="5:6" s="1128" customFormat="1"/>
    <row r="87" spans="5:6" s="1128" customFormat="1"/>
    <row r="88" spans="5:6" s="1128" customFormat="1"/>
    <row r="89" spans="5:6" s="1128" customFormat="1"/>
    <row r="90" spans="5:6" s="1128" customFormat="1"/>
    <row r="91" spans="5:6" s="1128" customFormat="1"/>
    <row r="92" spans="5:6" s="1128" customFormat="1"/>
    <row r="93" spans="5:6" s="1128" customFormat="1"/>
  </sheetData>
  <mergeCells count="9">
    <mergeCell ref="A5:A6"/>
    <mergeCell ref="G5:G6"/>
    <mergeCell ref="B1:F1"/>
    <mergeCell ref="B2:F2"/>
    <mergeCell ref="E4:F4"/>
    <mergeCell ref="B5:B6"/>
    <mergeCell ref="D5:D6"/>
    <mergeCell ref="E5:F5"/>
    <mergeCell ref="C5:C6"/>
  </mergeCells>
  <pageMargins left="0.43307086614173229" right="0.23622047244094491" top="0.39370078740157483" bottom="0.35433070866141736" header="0.31496062992125984" footer="0.31496062992125984"/>
  <pageSetup paperSize="9" scale="7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81"/>
  <sheetViews>
    <sheetView topLeftCell="A37" zoomScale="99" zoomScaleNormal="99" workbookViewId="0">
      <selection activeCell="B140" sqref="B140"/>
    </sheetView>
  </sheetViews>
  <sheetFormatPr defaultColWidth="16.5546875" defaultRowHeight="13.8"/>
  <cols>
    <col min="1" max="1" width="5.6640625" style="2" customWidth="1"/>
    <col min="2" max="2" width="47.88671875" style="2" customWidth="1"/>
    <col min="3" max="3" width="16.44140625" style="29" customWidth="1"/>
    <col min="4" max="4" width="19.5546875" style="83" customWidth="1"/>
    <col min="5" max="5" width="12.88671875" style="1244" customWidth="1"/>
    <col min="6" max="6" width="13.109375" style="2" customWidth="1"/>
    <col min="7" max="7" width="15.6640625" style="2" customWidth="1"/>
    <col min="8" max="8" width="18.109375" style="2" customWidth="1"/>
    <col min="9" max="9" width="16.5546875" style="2" customWidth="1"/>
    <col min="10" max="10" width="11.88671875" style="2" customWidth="1"/>
    <col min="11" max="11" width="10.33203125" style="2" customWidth="1"/>
    <col min="12" max="16384" width="16.5546875" style="2"/>
  </cols>
  <sheetData>
    <row r="1" spans="1:12" ht="17.399999999999999">
      <c r="B1" s="3097" t="s">
        <v>16</v>
      </c>
      <c r="C1" s="3097"/>
      <c r="D1" s="3097"/>
      <c r="E1" s="3097"/>
      <c r="F1" s="3097"/>
      <c r="G1" s="605"/>
    </row>
    <row r="2" spans="1:12" s="3" customFormat="1" ht="17.399999999999999">
      <c r="B2" s="3153" t="s">
        <v>19</v>
      </c>
      <c r="C2" s="3153"/>
      <c r="D2" s="3153"/>
      <c r="E2" s="3153"/>
      <c r="F2" s="3153"/>
      <c r="G2" s="606"/>
    </row>
    <row r="3" spans="1:12" s="3" customFormat="1" ht="17.399999999999999">
      <c r="B3" s="400"/>
      <c r="C3" s="400"/>
      <c r="D3" s="400"/>
      <c r="E3" s="1237"/>
      <c r="F3" s="400"/>
      <c r="G3" s="606"/>
    </row>
    <row r="4" spans="1:12" s="4" customFormat="1">
      <c r="C4" s="5"/>
      <c r="D4" s="71"/>
      <c r="E4" s="3154" t="s">
        <v>27</v>
      </c>
      <c r="F4" s="3154"/>
      <c r="G4" s="1010"/>
    </row>
    <row r="5" spans="1:12" s="1" customFormat="1" ht="30.75" customHeight="1">
      <c r="A5" s="3157" t="s">
        <v>49</v>
      </c>
      <c r="B5" s="3164" t="s">
        <v>0</v>
      </c>
      <c r="C5" s="3134" t="s">
        <v>879</v>
      </c>
      <c r="D5" s="3134" t="s">
        <v>17</v>
      </c>
      <c r="E5" s="3166" t="s">
        <v>26</v>
      </c>
      <c r="F5" s="3157"/>
      <c r="G5" s="3160" t="s">
        <v>811</v>
      </c>
    </row>
    <row r="6" spans="1:12" s="1" customFormat="1" ht="39" customHeight="1">
      <c r="A6" s="3158"/>
      <c r="B6" s="3165"/>
      <c r="C6" s="3135"/>
      <c r="D6" s="3135"/>
      <c r="E6" s="1238" t="s">
        <v>1</v>
      </c>
      <c r="F6" s="86" t="s">
        <v>2</v>
      </c>
      <c r="G6" s="3161"/>
      <c r="H6"/>
      <c r="I6"/>
      <c r="J6"/>
      <c r="K6"/>
      <c r="L6"/>
    </row>
    <row r="7" spans="1:12" s="7" customFormat="1" ht="15.6">
      <c r="A7" s="1012"/>
      <c r="B7" s="1129">
        <v>1</v>
      </c>
      <c r="C7" s="1130">
        <v>2</v>
      </c>
      <c r="D7" s="1131">
        <v>3</v>
      </c>
      <c r="E7" s="1132" t="s">
        <v>882</v>
      </c>
      <c r="F7" s="1199" t="s">
        <v>883</v>
      </c>
      <c r="G7" s="88"/>
      <c r="H7"/>
      <c r="I7"/>
      <c r="J7"/>
      <c r="K7"/>
      <c r="L7"/>
    </row>
    <row r="8" spans="1:12" s="8" customFormat="1" ht="15.6">
      <c r="A8" s="1013" t="s">
        <v>54</v>
      </c>
      <c r="B8" s="1014" t="s">
        <v>812</v>
      </c>
      <c r="C8" s="14">
        <f>C9+C11+C17</f>
        <v>515794.84</v>
      </c>
      <c r="D8" s="36">
        <f>D9+D11+D17</f>
        <v>575975</v>
      </c>
      <c r="E8" s="14">
        <f>D8-C8</f>
        <v>60180.159999999974</v>
      </c>
      <c r="F8" s="45">
        <f t="shared" ref="F8:F13" si="0">D8/C8%</f>
        <v>111.66746065160325</v>
      </c>
      <c r="G8" s="45"/>
      <c r="H8"/>
      <c r="I8"/>
      <c r="J8"/>
      <c r="K8"/>
      <c r="L8"/>
    </row>
    <row r="9" spans="1:12" s="35" customFormat="1" ht="15.6">
      <c r="A9" s="1015">
        <v>1</v>
      </c>
      <c r="B9" s="34" t="s">
        <v>813</v>
      </c>
      <c r="C9" s="32">
        <f>'so thu huyen-R-03'!D12</f>
        <v>37900</v>
      </c>
      <c r="D9" s="72">
        <f>'so thu huyen-R-03'!I12</f>
        <v>41000</v>
      </c>
      <c r="E9" s="1102">
        <f>D9-C9</f>
        <v>3100</v>
      </c>
      <c r="F9" s="45">
        <f t="shared" si="0"/>
        <v>108.17941952506597</v>
      </c>
      <c r="G9" s="45"/>
      <c r="H9"/>
      <c r="I9"/>
      <c r="J9"/>
      <c r="K9"/>
      <c r="L9"/>
    </row>
    <row r="10" spans="1:12" s="35" customFormat="1" ht="28.8">
      <c r="A10" s="1015"/>
      <c r="B10" s="138" t="s">
        <v>109</v>
      </c>
      <c r="C10" s="32">
        <f>C9-'so thu huyen-R-03'!F12</f>
        <v>36400</v>
      </c>
      <c r="D10" s="142">
        <f>D9-'so thu huyen-R-03'!K12</f>
        <v>39300</v>
      </c>
      <c r="E10" s="1102">
        <f>D10-C10</f>
        <v>2900</v>
      </c>
      <c r="F10" s="45">
        <f t="shared" si="0"/>
        <v>107.96703296703296</v>
      </c>
      <c r="G10" s="45"/>
      <c r="H10"/>
      <c r="I10"/>
      <c r="J10"/>
      <c r="K10"/>
      <c r="L10"/>
    </row>
    <row r="11" spans="1:12" s="35" customFormat="1" ht="15.6">
      <c r="A11" s="1015">
        <v>2</v>
      </c>
      <c r="B11" s="34" t="s">
        <v>814</v>
      </c>
      <c r="C11" s="32">
        <f>SUM(C12:C16)</f>
        <v>457581</v>
      </c>
      <c r="D11" s="72">
        <f>SUM(D12:D16)</f>
        <v>471512</v>
      </c>
      <c r="E11" s="1102">
        <f>D11-C11</f>
        <v>13931</v>
      </c>
      <c r="F11" s="45">
        <f t="shared" si="0"/>
        <v>103.04448829824663</v>
      </c>
      <c r="G11" s="45"/>
      <c r="H11"/>
      <c r="I11"/>
      <c r="J11"/>
      <c r="K11"/>
      <c r="L11"/>
    </row>
    <row r="12" spans="1:12" s="12" customFormat="1" ht="15.6">
      <c r="A12" s="1016" t="s">
        <v>351</v>
      </c>
      <c r="B12" s="10" t="s">
        <v>829</v>
      </c>
      <c r="C12" s="1103">
        <v>417627</v>
      </c>
      <c r="D12" s="73">
        <f>C12</f>
        <v>417627</v>
      </c>
      <c r="E12" s="1107">
        <f t="shared" ref="E12:E13" si="1">D12-C12</f>
        <v>0</v>
      </c>
      <c r="F12" s="1105">
        <f t="shared" si="0"/>
        <v>99.999999999999986</v>
      </c>
      <c r="G12" s="45"/>
      <c r="H12"/>
      <c r="I12"/>
      <c r="J12"/>
      <c r="K12"/>
      <c r="L12"/>
    </row>
    <row r="13" spans="1:12" s="12" customFormat="1" ht="15.6">
      <c r="A13" s="1016" t="s">
        <v>357</v>
      </c>
      <c r="B13" s="10" t="s">
        <v>387</v>
      </c>
      <c r="C13" s="1103">
        <v>18186</v>
      </c>
      <c r="D13" s="1103">
        <f>C13</f>
        <v>18186</v>
      </c>
      <c r="E13" s="1107">
        <f t="shared" si="1"/>
        <v>0</v>
      </c>
      <c r="F13" s="1105">
        <f t="shared" si="0"/>
        <v>99.999999999999986</v>
      </c>
      <c r="G13" s="45"/>
      <c r="H13"/>
      <c r="I13"/>
      <c r="J13"/>
      <c r="K13"/>
      <c r="L13"/>
    </row>
    <row r="14" spans="1:12" s="12" customFormat="1" ht="15.6">
      <c r="A14" s="1016" t="s">
        <v>815</v>
      </c>
      <c r="B14" s="10" t="s">
        <v>386</v>
      </c>
      <c r="C14" s="1103"/>
      <c r="D14" s="73">
        <f>20437-I14</f>
        <v>18987</v>
      </c>
      <c r="E14" s="1104">
        <f>D14-C14</f>
        <v>18987</v>
      </c>
      <c r="F14" s="1105"/>
      <c r="G14" s="45"/>
      <c r="H14" s="12" t="s">
        <v>13</v>
      </c>
      <c r="I14" s="286">
        <f>'so thu huyen-R-03'!O12</f>
        <v>1450</v>
      </c>
      <c r="J14"/>
      <c r="K14"/>
      <c r="L14" s="385">
        <f>D14+I14</f>
        <v>20437</v>
      </c>
    </row>
    <row r="15" spans="1:12" s="12" customFormat="1" ht="15.6">
      <c r="A15" s="1016" t="s">
        <v>816</v>
      </c>
      <c r="B15" s="10" t="s">
        <v>388</v>
      </c>
      <c r="C15" s="1103">
        <v>6508</v>
      </c>
      <c r="D15" s="74">
        <f>'BSCD CDCS 2019 (hoan chinh)-05 '!I31</f>
        <v>12002</v>
      </c>
      <c r="E15" s="1104">
        <f>D15-C15</f>
        <v>5494</v>
      </c>
      <c r="F15" s="1105">
        <f t="shared" ref="F15:F34" si="2">D15/C15%</f>
        <v>184.41917639827903</v>
      </c>
      <c r="G15" s="45"/>
      <c r="H15"/>
      <c r="I15"/>
      <c r="J15"/>
      <c r="K15"/>
      <c r="L15"/>
    </row>
    <row r="16" spans="1:12" s="12" customFormat="1" ht="27.6">
      <c r="A16" s="1016" t="s">
        <v>817</v>
      </c>
      <c r="B16" s="1017" t="s">
        <v>828</v>
      </c>
      <c r="C16" s="1103">
        <v>15260</v>
      </c>
      <c r="D16" s="74">
        <f>'tang dau tu'!I6</f>
        <v>4710</v>
      </c>
      <c r="E16" s="1104"/>
      <c r="F16" s="1105">
        <f t="shared" si="2"/>
        <v>30.865006553079947</v>
      </c>
      <c r="G16" s="45"/>
      <c r="H16"/>
      <c r="I16"/>
      <c r="J16"/>
      <c r="K16"/>
      <c r="L16"/>
    </row>
    <row r="17" spans="1:12" s="52" customFormat="1" ht="15.6">
      <c r="A17" s="1018">
        <v>3</v>
      </c>
      <c r="B17" s="89" t="s">
        <v>827</v>
      </c>
      <c r="C17" s="1102">
        <f>C18+C19</f>
        <v>20313.84</v>
      </c>
      <c r="D17" s="72">
        <f>SUM(D18:D23)</f>
        <v>63463</v>
      </c>
      <c r="E17" s="1102">
        <f t="shared" ref="E17:E34" si="3">D17-C17</f>
        <v>43149.16</v>
      </c>
      <c r="F17" s="45">
        <f t="shared" si="2"/>
        <v>312.41262114893101</v>
      </c>
      <c r="G17" s="45"/>
      <c r="H17"/>
      <c r="I17"/>
      <c r="J17"/>
      <c r="K17"/>
      <c r="L17"/>
    </row>
    <row r="18" spans="1:12" s="41" customFormat="1" ht="15.6">
      <c r="A18" s="1019" t="s">
        <v>212</v>
      </c>
      <c r="B18" s="90" t="s">
        <v>389</v>
      </c>
      <c r="C18" s="39">
        <v>19922.84</v>
      </c>
      <c r="D18" s="75">
        <f>'BSCD CDCS 2019 (hoan chinh)-05 '!I3</f>
        <v>13296</v>
      </c>
      <c r="E18" s="1104">
        <f t="shared" si="3"/>
        <v>-6626.84</v>
      </c>
      <c r="F18" s="1105">
        <f t="shared" si="2"/>
        <v>66.737473171495637</v>
      </c>
      <c r="G18" s="45"/>
      <c r="H18"/>
      <c r="I18"/>
      <c r="J18"/>
      <c r="K18"/>
      <c r="L18"/>
    </row>
    <row r="19" spans="1:12" s="41" customFormat="1" ht="15.6">
      <c r="A19" s="1019" t="s">
        <v>214</v>
      </c>
      <c r="B19" s="90" t="s">
        <v>826</v>
      </c>
      <c r="C19" s="55">
        <v>391</v>
      </c>
      <c r="D19" s="75">
        <f>'BSCD CDCS 2019 (hoan chinh)-05 '!I18</f>
        <v>1161</v>
      </c>
      <c r="E19" s="1104">
        <f t="shared" si="3"/>
        <v>770</v>
      </c>
      <c r="F19" s="1105">
        <f t="shared" si="2"/>
        <v>296.93094629156008</v>
      </c>
      <c r="G19" s="45"/>
      <c r="H19"/>
      <c r="I19"/>
      <c r="J19"/>
      <c r="K19"/>
      <c r="L19"/>
    </row>
    <row r="20" spans="1:12" s="41" customFormat="1" ht="15.6">
      <c r="A20" s="1019" t="s">
        <v>925</v>
      </c>
      <c r="B20" s="1212" t="s">
        <v>926</v>
      </c>
      <c r="C20" s="55"/>
      <c r="D20" s="75">
        <f>'BSCD CDCS 2019 (hoan chinh)-05 '!I19</f>
        <v>1200</v>
      </c>
      <c r="E20" s="1104">
        <f t="shared" si="3"/>
        <v>1200</v>
      </c>
      <c r="F20" s="1105"/>
      <c r="G20" s="45"/>
      <c r="H20"/>
      <c r="I20"/>
      <c r="J20"/>
      <c r="K20"/>
      <c r="L20"/>
    </row>
    <row r="21" spans="1:12" s="41" customFormat="1" ht="15.6">
      <c r="A21" s="1019" t="s">
        <v>1041</v>
      </c>
      <c r="B21" s="408" t="s">
        <v>1033</v>
      </c>
      <c r="C21" s="55"/>
      <c r="D21" s="75">
        <f>'BSCD CDCS 2019 (hoan chinh)-05 '!I22</f>
        <v>911</v>
      </c>
      <c r="E21" s="1104"/>
      <c r="F21" s="1105"/>
      <c r="G21" s="45"/>
      <c r="H21"/>
      <c r="I21"/>
      <c r="J21"/>
      <c r="K21"/>
      <c r="L21"/>
    </row>
    <row r="22" spans="1:12" s="41" customFormat="1" ht="15.6">
      <c r="A22" s="1019" t="s">
        <v>1042</v>
      </c>
      <c r="B22" s="408" t="s">
        <v>1034</v>
      </c>
      <c r="C22" s="55"/>
      <c r="D22" s="75">
        <f>'BSCD CDCS 2019 (hoan chinh)-05 '!I23</f>
        <v>126</v>
      </c>
      <c r="E22" s="1104"/>
      <c r="F22" s="1105"/>
      <c r="G22" s="45"/>
      <c r="H22"/>
      <c r="I22"/>
      <c r="J22"/>
      <c r="K22"/>
      <c r="L22"/>
    </row>
    <row r="23" spans="1:12" s="41" customFormat="1" ht="15.6">
      <c r="A23" s="1019" t="s">
        <v>1043</v>
      </c>
      <c r="B23" s="408" t="s">
        <v>1035</v>
      </c>
      <c r="C23" s="55"/>
      <c r="D23" s="75">
        <f>'BSCD CDCS 2019 (hoan chinh)-05 '!I24</f>
        <v>46769</v>
      </c>
      <c r="E23" s="1104"/>
      <c r="F23" s="1105"/>
      <c r="G23" s="45"/>
      <c r="H23"/>
      <c r="I23"/>
      <c r="J23"/>
      <c r="K23"/>
      <c r="L23"/>
    </row>
    <row r="24" spans="1:12" s="15" customFormat="1" ht="15.6">
      <c r="A24" s="1013" t="s">
        <v>60</v>
      </c>
      <c r="B24" s="599" t="s">
        <v>825</v>
      </c>
      <c r="C24" s="14">
        <f>C25+C40+C69</f>
        <v>495480.84</v>
      </c>
      <c r="D24" s="36">
        <f>D25+D40+D69</f>
        <v>512512</v>
      </c>
      <c r="E24" s="1102">
        <f t="shared" si="3"/>
        <v>17031.159999999974</v>
      </c>
      <c r="F24" s="45">
        <f t="shared" si="2"/>
        <v>103.43729941202166</v>
      </c>
      <c r="G24" s="45"/>
      <c r="H24"/>
      <c r="I24"/>
      <c r="J24"/>
      <c r="K24"/>
      <c r="L24"/>
    </row>
    <row r="25" spans="1:12" s="33" customFormat="1" ht="15.6">
      <c r="A25" s="1018">
        <v>1</v>
      </c>
      <c r="B25" s="30" t="s">
        <v>824</v>
      </c>
      <c r="C25" s="1102">
        <f>C26+C30+C34</f>
        <v>48290</v>
      </c>
      <c r="D25" s="76">
        <f>D26+D30+D34</f>
        <v>37920</v>
      </c>
      <c r="E25" s="1102">
        <f t="shared" si="3"/>
        <v>-10370</v>
      </c>
      <c r="F25" s="45">
        <f t="shared" si="2"/>
        <v>78.525574653137298</v>
      </c>
      <c r="G25" s="45"/>
      <c r="H25"/>
      <c r="I25"/>
      <c r="J25"/>
      <c r="K25"/>
      <c r="L25"/>
    </row>
    <row r="26" spans="1:12" s="15" customFormat="1" ht="15.6">
      <c r="A26" s="1012" t="s">
        <v>200</v>
      </c>
      <c r="B26" s="16" t="s">
        <v>823</v>
      </c>
      <c r="C26" s="1104">
        <v>11440</v>
      </c>
      <c r="D26" s="77">
        <f>D27+D28</f>
        <v>20890</v>
      </c>
      <c r="E26" s="1104">
        <f t="shared" si="3"/>
        <v>9450</v>
      </c>
      <c r="F26" s="1105">
        <f t="shared" si="2"/>
        <v>182.60489510489509</v>
      </c>
      <c r="G26" s="45"/>
      <c r="H26"/>
      <c r="I26"/>
      <c r="J26"/>
      <c r="K26"/>
      <c r="L26"/>
    </row>
    <row r="27" spans="1:12" s="598" customFormat="1" ht="15.6">
      <c r="A27" s="1012"/>
      <c r="B27" s="17" t="s">
        <v>957</v>
      </c>
      <c r="C27" s="1104">
        <v>11440</v>
      </c>
      <c r="D27" s="77">
        <v>15890</v>
      </c>
      <c r="E27" s="1104">
        <f t="shared" ref="E27:E28" si="4">D27-C27</f>
        <v>4450</v>
      </c>
      <c r="F27" s="1105">
        <f t="shared" ref="F27" si="5">D27/C27%</f>
        <v>138.89860139860139</v>
      </c>
      <c r="G27" s="45"/>
      <c r="H27"/>
      <c r="I27"/>
      <c r="J27"/>
      <c r="K27"/>
      <c r="L27"/>
    </row>
    <row r="28" spans="1:12" s="598" customFormat="1" ht="15.6">
      <c r="A28" s="1012"/>
      <c r="B28" s="17" t="s">
        <v>958</v>
      </c>
      <c r="C28" s="1104"/>
      <c r="D28" s="77">
        <v>5000</v>
      </c>
      <c r="E28" s="1104">
        <f t="shared" si="4"/>
        <v>5000</v>
      </c>
      <c r="F28" s="1105"/>
      <c r="G28" s="45"/>
      <c r="H28"/>
      <c r="I28"/>
      <c r="J28"/>
      <c r="K28"/>
      <c r="L28"/>
    </row>
    <row r="29" spans="1:12" s="598" customFormat="1" ht="15.6">
      <c r="A29" s="1012"/>
      <c r="B29" s="17"/>
      <c r="C29" s="1104"/>
      <c r="D29" s="77"/>
      <c r="E29" s="1104"/>
      <c r="F29" s="1105"/>
      <c r="G29" s="45"/>
      <c r="H29"/>
      <c r="I29"/>
      <c r="J29"/>
      <c r="K29"/>
      <c r="L29"/>
    </row>
    <row r="30" spans="1:12" s="15" customFormat="1" ht="27.6">
      <c r="A30" s="1012" t="s">
        <v>208</v>
      </c>
      <c r="B30" s="43" t="s">
        <v>822</v>
      </c>
      <c r="C30" s="1104">
        <f>SUM(C31:C33)</f>
        <v>1350</v>
      </c>
      <c r="D30" s="78">
        <f>SUM(D31:D33)</f>
        <v>1530</v>
      </c>
      <c r="E30" s="1104">
        <f t="shared" si="3"/>
        <v>180</v>
      </c>
      <c r="F30" s="1105">
        <f t="shared" si="2"/>
        <v>113.33333333333333</v>
      </c>
      <c r="G30" s="45"/>
      <c r="H30"/>
      <c r="I30"/>
      <c r="J30"/>
      <c r="K30"/>
      <c r="L30"/>
    </row>
    <row r="31" spans="1:12" s="15" customFormat="1" ht="15.6">
      <c r="A31" s="1067"/>
      <c r="B31" s="16" t="s">
        <v>4</v>
      </c>
      <c r="C31" s="1104">
        <v>600</v>
      </c>
      <c r="D31" s="78">
        <f>'so thu huyen-R-03'!V12</f>
        <v>680</v>
      </c>
      <c r="E31" s="1104">
        <f t="shared" si="3"/>
        <v>80</v>
      </c>
      <c r="F31" s="1105">
        <f t="shared" si="2"/>
        <v>113.33333333333333</v>
      </c>
      <c r="G31" s="45"/>
      <c r="H31"/>
      <c r="I31"/>
      <c r="J31"/>
      <c r="K31"/>
      <c r="L31"/>
    </row>
    <row r="32" spans="1:12" s="15" customFormat="1" ht="15.6">
      <c r="A32" s="1067"/>
      <c r="B32" s="17" t="s">
        <v>5</v>
      </c>
      <c r="C32" s="1104">
        <v>450</v>
      </c>
      <c r="D32" s="78">
        <f>'so thu huyen-R-03'!W12</f>
        <v>510</v>
      </c>
      <c r="E32" s="1104">
        <f t="shared" si="3"/>
        <v>60</v>
      </c>
      <c r="F32" s="1105">
        <f t="shared" si="2"/>
        <v>113.33333333333333</v>
      </c>
      <c r="G32" s="45"/>
      <c r="H32"/>
      <c r="I32"/>
      <c r="J32"/>
      <c r="K32"/>
      <c r="L32"/>
    </row>
    <row r="33" spans="1:12" s="15" customFormat="1" ht="15.6">
      <c r="A33" s="1067"/>
      <c r="B33" s="17" t="s">
        <v>6</v>
      </c>
      <c r="C33" s="1104">
        <v>300</v>
      </c>
      <c r="D33" s="78">
        <f>'so thu huyen-R-03'!X12</f>
        <v>340</v>
      </c>
      <c r="E33" s="1104">
        <f t="shared" si="3"/>
        <v>40</v>
      </c>
      <c r="F33" s="1105">
        <f t="shared" si="2"/>
        <v>113.33333333333333</v>
      </c>
      <c r="G33" s="45"/>
      <c r="H33"/>
      <c r="I33"/>
      <c r="J33"/>
      <c r="K33"/>
      <c r="L33"/>
    </row>
    <row r="34" spans="1:12" s="15" customFormat="1" ht="15.6">
      <c r="A34" s="1012" t="s">
        <v>335</v>
      </c>
      <c r="B34" s="44" t="s">
        <v>821</v>
      </c>
      <c r="C34" s="1104">
        <f>SUM(C35:C39)</f>
        <v>35500</v>
      </c>
      <c r="D34" s="1104">
        <f>SUM(D35:D38)</f>
        <v>15500</v>
      </c>
      <c r="E34" s="1104">
        <f t="shared" si="3"/>
        <v>-20000</v>
      </c>
      <c r="F34" s="1105">
        <f t="shared" si="2"/>
        <v>43.661971830985912</v>
      </c>
      <c r="G34" s="45"/>
      <c r="H34"/>
      <c r="I34"/>
      <c r="J34"/>
      <c r="K34"/>
      <c r="L34"/>
    </row>
    <row r="35" spans="1:12" s="15" customFormat="1" ht="31.2">
      <c r="A35" s="1013"/>
      <c r="B35" s="420" t="s">
        <v>247</v>
      </c>
      <c r="C35" s="39">
        <v>4000</v>
      </c>
      <c r="D35" s="74">
        <v>3000</v>
      </c>
      <c r="E35" s="140"/>
      <c r="F35" s="417"/>
      <c r="G35" s="417"/>
      <c r="H35"/>
      <c r="I35"/>
      <c r="J35"/>
      <c r="K35"/>
      <c r="L35"/>
    </row>
    <row r="36" spans="1:12" s="598" customFormat="1" ht="31.2">
      <c r="A36" s="1013"/>
      <c r="B36" s="420" t="s">
        <v>863</v>
      </c>
      <c r="C36" s="39"/>
      <c r="D36" s="74"/>
      <c r="E36" s="140"/>
      <c r="F36" s="417"/>
      <c r="G36" s="417"/>
      <c r="H36"/>
      <c r="I36"/>
      <c r="J36"/>
      <c r="K36"/>
      <c r="L36"/>
    </row>
    <row r="37" spans="1:12" s="15" customFormat="1" ht="16.2">
      <c r="A37" s="1013"/>
      <c r="B37" s="416" t="s">
        <v>248</v>
      </c>
      <c r="C37" s="39">
        <v>18500</v>
      </c>
      <c r="D37" s="74">
        <v>7500</v>
      </c>
      <c r="E37" s="140"/>
      <c r="F37" s="417"/>
      <c r="G37" s="417"/>
      <c r="H37"/>
      <c r="I37"/>
      <c r="J37"/>
      <c r="K37"/>
      <c r="L37"/>
    </row>
    <row r="38" spans="1:12" s="15" customFormat="1" ht="31.2">
      <c r="A38" s="1013"/>
      <c r="B38" s="420" t="s">
        <v>249</v>
      </c>
      <c r="C38" s="39">
        <v>5000</v>
      </c>
      <c r="D38" s="74">
        <v>5000</v>
      </c>
      <c r="E38" s="140"/>
      <c r="F38" s="417"/>
      <c r="G38" s="417"/>
      <c r="H38"/>
      <c r="I38"/>
      <c r="J38"/>
      <c r="K38"/>
      <c r="L38"/>
    </row>
    <row r="39" spans="1:12" s="598" customFormat="1" ht="31.2">
      <c r="A39" s="1013"/>
      <c r="B39" s="420" t="s">
        <v>852</v>
      </c>
      <c r="C39" s="39">
        <v>8000</v>
      </c>
      <c r="D39" s="74"/>
      <c r="E39" s="140"/>
      <c r="F39" s="417"/>
      <c r="G39" s="417"/>
      <c r="H39"/>
      <c r="I39"/>
      <c r="J39"/>
      <c r="K39"/>
      <c r="L39"/>
    </row>
    <row r="40" spans="1:12" s="33" customFormat="1" ht="15.6">
      <c r="A40" s="1018">
        <v>2</v>
      </c>
      <c r="B40" s="1109" t="s">
        <v>830</v>
      </c>
      <c r="C40" s="1111">
        <f>C41+C44+C45+C46</f>
        <v>436821.84</v>
      </c>
      <c r="D40" s="1111">
        <f>D41+D44+D45+D46</f>
        <v>463015</v>
      </c>
      <c r="E40" s="1102">
        <f t="shared" ref="E40:E69" si="6">D40-C40</f>
        <v>26193.159999999974</v>
      </c>
      <c r="F40" s="45">
        <f t="shared" ref="F40:F52" si="7">D40/C40%</f>
        <v>105.99630274896511</v>
      </c>
      <c r="G40" s="45"/>
      <c r="H40"/>
      <c r="I40"/>
      <c r="J40"/>
      <c r="K40"/>
      <c r="L40"/>
    </row>
    <row r="41" spans="1:12" s="4" customFormat="1" ht="15.6">
      <c r="A41" s="1012" t="s">
        <v>351</v>
      </c>
      <c r="B41" s="17" t="s">
        <v>820</v>
      </c>
      <c r="C41" s="1112">
        <v>267372</v>
      </c>
      <c r="D41" s="65">
        <f>C41+13475</f>
        <v>280847</v>
      </c>
      <c r="E41" s="1104">
        <f t="shared" si="6"/>
        <v>13475</v>
      </c>
      <c r="F41" s="1105">
        <f t="shared" si="7"/>
        <v>105.03979474290503</v>
      </c>
      <c r="G41" s="45"/>
      <c r="H41">
        <f>I14*50%</f>
        <v>725</v>
      </c>
      <c r="I41">
        <v>8246</v>
      </c>
      <c r="J41"/>
      <c r="K41"/>
      <c r="L41"/>
    </row>
    <row r="42" spans="1:12" s="4" customFormat="1" ht="15.6">
      <c r="A42" s="1019"/>
      <c r="B42" s="487" t="s">
        <v>809</v>
      </c>
      <c r="C42" s="1112">
        <f>C41-C43</f>
        <v>264956</v>
      </c>
      <c r="D42" s="65">
        <f>C42+13308</f>
        <v>278264</v>
      </c>
      <c r="E42" s="1104">
        <f t="shared" si="6"/>
        <v>13308</v>
      </c>
      <c r="F42" s="1105">
        <f t="shared" si="7"/>
        <v>105.02272075363457</v>
      </c>
      <c r="G42" s="45"/>
      <c r="H42"/>
      <c r="I42"/>
      <c r="J42"/>
      <c r="K42"/>
      <c r="L42"/>
    </row>
    <row r="43" spans="1:12" s="4" customFormat="1" ht="15.6">
      <c r="A43" s="1019"/>
      <c r="B43" s="487" t="s">
        <v>810</v>
      </c>
      <c r="C43" s="1112">
        <v>2416</v>
      </c>
      <c r="D43" s="65">
        <f>ROUND(C43*1.39/1.3,0)</f>
        <v>2583</v>
      </c>
      <c r="E43" s="1104">
        <f t="shared" si="6"/>
        <v>167</v>
      </c>
      <c r="F43" s="1105">
        <f t="shared" si="7"/>
        <v>106.91225165562913</v>
      </c>
      <c r="G43" s="45"/>
      <c r="H43"/>
      <c r="I43"/>
      <c r="J43"/>
      <c r="K43"/>
      <c r="L43"/>
    </row>
    <row r="44" spans="1:12" s="4" customFormat="1" ht="15.6">
      <c r="A44" s="1012" t="s">
        <v>357</v>
      </c>
      <c r="B44" s="17" t="s">
        <v>805</v>
      </c>
      <c r="C44" s="1112">
        <v>200</v>
      </c>
      <c r="D44" s="65">
        <v>200</v>
      </c>
      <c r="E44" s="1239">
        <f t="shared" si="6"/>
        <v>0</v>
      </c>
      <c r="F44" s="1105">
        <f t="shared" si="7"/>
        <v>100</v>
      </c>
      <c r="G44" s="45"/>
      <c r="H44"/>
      <c r="I44"/>
      <c r="J44"/>
      <c r="K44"/>
      <c r="L44"/>
    </row>
    <row r="45" spans="1:12" s="4" customFormat="1" ht="15.6">
      <c r="A45" s="1012" t="s">
        <v>815</v>
      </c>
      <c r="B45" s="1110" t="s">
        <v>804</v>
      </c>
      <c r="C45" s="1112">
        <v>1320</v>
      </c>
      <c r="D45" s="66">
        <v>1320</v>
      </c>
      <c r="E45" s="1239">
        <f t="shared" si="6"/>
        <v>0</v>
      </c>
      <c r="F45" s="1105">
        <f t="shared" si="7"/>
        <v>100</v>
      </c>
      <c r="G45" s="45"/>
      <c r="H45"/>
      <c r="I45"/>
      <c r="J45"/>
      <c r="K45"/>
      <c r="L45"/>
    </row>
    <row r="46" spans="1:12" s="1248" customFormat="1" ht="15.6">
      <c r="A46" s="1245" t="s">
        <v>816</v>
      </c>
      <c r="B46" s="1249" t="s">
        <v>881</v>
      </c>
      <c r="C46" s="1177">
        <f>C8-C25-C41-C44-C45-C69-C70</f>
        <v>167929.84000000003</v>
      </c>
      <c r="D46" s="1177">
        <f>D8-D25-D41-D44-D45-D69-D70</f>
        <v>180648</v>
      </c>
      <c r="E46" s="1246">
        <f t="shared" si="6"/>
        <v>12718.159999999974</v>
      </c>
      <c r="F46" s="108">
        <f t="shared" si="7"/>
        <v>107.5734961695908</v>
      </c>
      <c r="G46" s="109"/>
      <c r="H46" s="1247">
        <f>D8-D25-D41-D44-D45-D69-D70</f>
        <v>180648</v>
      </c>
      <c r="I46" s="107"/>
      <c r="J46" s="107"/>
      <c r="K46" s="107"/>
      <c r="L46" s="107"/>
    </row>
    <row r="47" spans="1:12" s="20" customFormat="1" ht="31.2">
      <c r="A47" s="1016"/>
      <c r="B47" s="1170" t="s">
        <v>8</v>
      </c>
      <c r="C47" s="1113">
        <v>150</v>
      </c>
      <c r="D47" s="67">
        <f>'so thu huyen-R-03'!Y12</f>
        <v>170</v>
      </c>
      <c r="E47" s="1239">
        <f t="shared" si="6"/>
        <v>20</v>
      </c>
      <c r="F47" s="1105">
        <f t="shared" si="7"/>
        <v>113.33333333333333</v>
      </c>
      <c r="G47" s="45"/>
      <c r="H47"/>
      <c r="I47"/>
      <c r="J47"/>
      <c r="K47"/>
      <c r="L47"/>
    </row>
    <row r="48" spans="1:12" s="20" customFormat="1" ht="15.6">
      <c r="A48" s="1178" t="s">
        <v>870</v>
      </c>
      <c r="B48" s="1179" t="s">
        <v>269</v>
      </c>
      <c r="C48" s="1250">
        <f>6581+658-4000</f>
        <v>3239</v>
      </c>
      <c r="D48" s="1180">
        <f>6581+658-4000</f>
        <v>3239</v>
      </c>
      <c r="E48" s="1251">
        <f t="shared" si="6"/>
        <v>0</v>
      </c>
      <c r="F48" s="1182">
        <f t="shared" si="7"/>
        <v>100</v>
      </c>
      <c r="G48" s="45"/>
      <c r="H48" s="1254">
        <f>C48+C49+C50+C51+C52+C60+C66+C67+C68</f>
        <v>167930</v>
      </c>
      <c r="I48" s="1254">
        <f>D48+D49+D50+D51+D52+D60+D66+D67+D68</f>
        <v>180648</v>
      </c>
      <c r="J48"/>
      <c r="K48"/>
      <c r="L48"/>
    </row>
    <row r="49" spans="1:12" s="20" customFormat="1" ht="15.6">
      <c r="A49" s="1178" t="s">
        <v>871</v>
      </c>
      <c r="B49" s="1179" t="s">
        <v>270</v>
      </c>
      <c r="C49" s="1250">
        <f>6748-5000</f>
        <v>1748</v>
      </c>
      <c r="D49" s="1180">
        <f>6748-5000</f>
        <v>1748</v>
      </c>
      <c r="E49" s="1251">
        <f t="shared" si="6"/>
        <v>0</v>
      </c>
      <c r="F49" s="1182">
        <f t="shared" si="7"/>
        <v>100</v>
      </c>
      <c r="G49" s="45"/>
      <c r="H49"/>
      <c r="I49"/>
      <c r="J49"/>
      <c r="K49"/>
      <c r="L49"/>
    </row>
    <row r="50" spans="1:12" s="20" customFormat="1" ht="15.6">
      <c r="A50" s="1178" t="s">
        <v>872</v>
      </c>
      <c r="B50" s="1179" t="s">
        <v>807</v>
      </c>
      <c r="C50" s="1250">
        <f>2564+256</f>
        <v>2820</v>
      </c>
      <c r="D50" s="1189">
        <f>2634+256</f>
        <v>2890</v>
      </c>
      <c r="E50" s="54">
        <f t="shared" si="6"/>
        <v>70</v>
      </c>
      <c r="F50" s="1182">
        <f t="shared" si="7"/>
        <v>102.48226950354611</v>
      </c>
      <c r="G50" s="45"/>
      <c r="H50" s="385">
        <f>C46-H48</f>
        <v>-0.15999999997438863</v>
      </c>
      <c r="I50" s="385">
        <f>D46-I48</f>
        <v>0</v>
      </c>
      <c r="J50"/>
      <c r="K50"/>
      <c r="L50"/>
    </row>
    <row r="51" spans="1:12" s="20" customFormat="1" ht="15.6">
      <c r="A51" s="1178" t="s">
        <v>873</v>
      </c>
      <c r="B51" s="1179" t="s">
        <v>808</v>
      </c>
      <c r="C51" s="1250">
        <f>983+98</f>
        <v>1081</v>
      </c>
      <c r="D51" s="1189">
        <f>1015+98</f>
        <v>1113</v>
      </c>
      <c r="E51" s="54">
        <f t="shared" si="6"/>
        <v>32</v>
      </c>
      <c r="F51" s="1182">
        <f t="shared" si="7"/>
        <v>102.96022201665124</v>
      </c>
      <c r="G51" s="45"/>
      <c r="H51"/>
      <c r="I51"/>
      <c r="J51"/>
      <c r="K51"/>
      <c r="L51"/>
    </row>
    <row r="52" spans="1:12" s="20" customFormat="1" ht="15.6">
      <c r="A52" s="1178" t="s">
        <v>874</v>
      </c>
      <c r="B52" s="1179" t="s">
        <v>276</v>
      </c>
      <c r="C52" s="1250">
        <f>SUM(C54:C59)</f>
        <v>33856</v>
      </c>
      <c r="D52" s="1250">
        <f>SUM(D54:D59)</f>
        <v>33974</v>
      </c>
      <c r="E52" s="54">
        <f t="shared" si="6"/>
        <v>118</v>
      </c>
      <c r="F52" s="1182">
        <f t="shared" si="7"/>
        <v>100.34853497164461</v>
      </c>
      <c r="G52" s="45"/>
      <c r="H52"/>
      <c r="I52"/>
      <c r="J52"/>
      <c r="K52"/>
      <c r="L52"/>
    </row>
    <row r="53" spans="1:12" s="20" customFormat="1" ht="15.6">
      <c r="A53" s="1178"/>
      <c r="B53" s="1190" t="s">
        <v>297</v>
      </c>
      <c r="C53" s="1252"/>
      <c r="D53" s="1189"/>
      <c r="E53" s="1251">
        <f t="shared" si="6"/>
        <v>0</v>
      </c>
      <c r="F53" s="1182"/>
      <c r="G53" s="45"/>
      <c r="H53"/>
      <c r="I53"/>
      <c r="J53"/>
      <c r="K53"/>
      <c r="L53"/>
    </row>
    <row r="54" spans="1:12" s="20" customFormat="1" ht="15.6">
      <c r="A54" s="1178"/>
      <c r="B54" s="1190" t="s">
        <v>298</v>
      </c>
      <c r="C54" s="1252">
        <v>12983</v>
      </c>
      <c r="D54" s="1189">
        <v>12983</v>
      </c>
      <c r="E54" s="1251">
        <f t="shared" si="6"/>
        <v>0</v>
      </c>
      <c r="F54" s="1182">
        <f>D54/C54%</f>
        <v>99.999999999999986</v>
      </c>
      <c r="G54" s="45"/>
      <c r="H54"/>
      <c r="I54"/>
      <c r="J54"/>
      <c r="K54"/>
      <c r="L54"/>
    </row>
    <row r="55" spans="1:12" s="20" customFormat="1" ht="15.6">
      <c r="A55" s="1178"/>
      <c r="B55" s="1190" t="s">
        <v>299</v>
      </c>
      <c r="C55" s="1252">
        <v>6030</v>
      </c>
      <c r="D55" s="1189">
        <v>6030</v>
      </c>
      <c r="E55" s="1251">
        <f t="shared" si="6"/>
        <v>0</v>
      </c>
      <c r="F55" s="1182">
        <f>D55/C55%</f>
        <v>100</v>
      </c>
      <c r="G55" s="45"/>
      <c r="H55"/>
      <c r="I55"/>
      <c r="J55"/>
      <c r="K55"/>
      <c r="L55"/>
    </row>
    <row r="56" spans="1:12" s="20" customFormat="1" ht="15.6">
      <c r="A56" s="1178"/>
      <c r="B56" s="1190" t="s">
        <v>300</v>
      </c>
      <c r="C56" s="1252">
        <v>1500</v>
      </c>
      <c r="D56" s="1189">
        <v>1500</v>
      </c>
      <c r="E56" s="1251">
        <f t="shared" si="6"/>
        <v>0</v>
      </c>
      <c r="F56" s="1182">
        <f>D56/C56%</f>
        <v>100</v>
      </c>
      <c r="G56" s="45"/>
      <c r="H56"/>
      <c r="I56"/>
      <c r="J56"/>
      <c r="K56"/>
      <c r="L56"/>
    </row>
    <row r="57" spans="1:12" s="20" customFormat="1" ht="15.6">
      <c r="A57" s="1178"/>
      <c r="B57" s="1190" t="s">
        <v>301</v>
      </c>
      <c r="C57" s="1252">
        <v>0</v>
      </c>
      <c r="D57" s="1189"/>
      <c r="E57" s="1251">
        <f t="shared" si="6"/>
        <v>0</v>
      </c>
      <c r="F57" s="1182"/>
      <c r="G57" s="45"/>
      <c r="H57"/>
      <c r="I57"/>
      <c r="J57"/>
      <c r="K57"/>
      <c r="L57"/>
    </row>
    <row r="58" spans="1:12" s="20" customFormat="1" ht="31.2">
      <c r="A58" s="1178"/>
      <c r="B58" s="1190" t="s">
        <v>303</v>
      </c>
      <c r="C58" s="1253">
        <v>150</v>
      </c>
      <c r="D58" s="1193">
        <v>170</v>
      </c>
      <c r="E58" s="54">
        <f t="shared" si="6"/>
        <v>20</v>
      </c>
      <c r="F58" s="1182">
        <f>D58/C58%</f>
        <v>113.33333333333333</v>
      </c>
      <c r="G58" s="45"/>
      <c r="H58"/>
      <c r="I58"/>
      <c r="J58"/>
      <c r="K58"/>
      <c r="L58"/>
    </row>
    <row r="59" spans="1:12" s="20" customFormat="1" ht="15.6">
      <c r="A59" s="1178"/>
      <c r="B59" s="1190" t="s">
        <v>304</v>
      </c>
      <c r="C59" s="1252">
        <f>4193+5000+4000</f>
        <v>13193</v>
      </c>
      <c r="D59" s="1189">
        <f>4291+5000+4000</f>
        <v>13291</v>
      </c>
      <c r="E59" s="54">
        <f t="shared" si="6"/>
        <v>98</v>
      </c>
      <c r="F59" s="1182">
        <f>D59/C59%</f>
        <v>100.74281816114606</v>
      </c>
      <c r="G59" s="45"/>
      <c r="H59"/>
      <c r="I59"/>
      <c r="J59"/>
      <c r="K59"/>
      <c r="L59"/>
    </row>
    <row r="60" spans="1:12" s="20" customFormat="1" ht="15.6">
      <c r="A60" s="1178" t="s">
        <v>875</v>
      </c>
      <c r="B60" s="1179" t="s">
        <v>278</v>
      </c>
      <c r="C60" s="1250">
        <v>25778</v>
      </c>
      <c r="D60" s="1189">
        <v>25793</v>
      </c>
      <c r="E60" s="54">
        <f t="shared" si="6"/>
        <v>15</v>
      </c>
      <c r="F60" s="1182">
        <f>D60/C60%</f>
        <v>100.05818915354179</v>
      </c>
      <c r="G60" s="45"/>
      <c r="H60"/>
      <c r="I60"/>
      <c r="J60"/>
      <c r="K60"/>
      <c r="L60"/>
    </row>
    <row r="61" spans="1:12" s="20" customFormat="1" ht="15.6">
      <c r="A61" s="1194"/>
      <c r="B61" s="1179" t="s">
        <v>290</v>
      </c>
      <c r="C61" s="1252"/>
      <c r="D61" s="1189"/>
      <c r="E61" s="54">
        <f t="shared" si="6"/>
        <v>0</v>
      </c>
      <c r="F61" s="1182"/>
      <c r="G61" s="45"/>
      <c r="H61"/>
      <c r="I61"/>
      <c r="J61"/>
      <c r="K61"/>
      <c r="L61"/>
    </row>
    <row r="62" spans="1:12" s="20" customFormat="1" ht="15.6">
      <c r="A62" s="1194"/>
      <c r="B62" s="1195" t="s">
        <v>305</v>
      </c>
      <c r="C62" s="1252">
        <v>5381</v>
      </c>
      <c r="D62" s="1189">
        <v>5396</v>
      </c>
      <c r="E62" s="54">
        <f t="shared" si="6"/>
        <v>15</v>
      </c>
      <c r="F62" s="1182">
        <f t="shared" ref="F62:F69" si="8">D62/C62%</f>
        <v>100.27875859505667</v>
      </c>
      <c r="G62" s="45"/>
      <c r="H62"/>
      <c r="I62"/>
      <c r="J62"/>
      <c r="K62"/>
      <c r="L62"/>
    </row>
    <row r="63" spans="1:12" s="20" customFormat="1" ht="16.2">
      <c r="A63" s="1196"/>
      <c r="B63" s="1195" t="s">
        <v>306</v>
      </c>
      <c r="C63" s="1252">
        <v>790</v>
      </c>
      <c r="D63" s="1189">
        <v>790</v>
      </c>
      <c r="E63" s="54">
        <f t="shared" si="6"/>
        <v>0</v>
      </c>
      <c r="F63" s="1182">
        <f t="shared" si="8"/>
        <v>100</v>
      </c>
      <c r="G63" s="45"/>
      <c r="H63"/>
      <c r="I63"/>
      <c r="J63"/>
      <c r="K63"/>
      <c r="L63"/>
    </row>
    <row r="64" spans="1:12" s="20" customFormat="1" ht="16.2">
      <c r="A64" s="1196"/>
      <c r="B64" s="1190" t="s">
        <v>307</v>
      </c>
      <c r="C64" s="1252">
        <v>17779</v>
      </c>
      <c r="D64" s="1189">
        <v>19607</v>
      </c>
      <c r="E64" s="54">
        <f t="shared" si="6"/>
        <v>1828</v>
      </c>
      <c r="F64" s="1182">
        <f t="shared" si="8"/>
        <v>110.28179312672255</v>
      </c>
      <c r="G64" s="45"/>
      <c r="H64"/>
      <c r="I64"/>
      <c r="J64"/>
      <c r="K64"/>
      <c r="L64"/>
    </row>
    <row r="65" spans="1:12" s="20" customFormat="1" ht="16.2">
      <c r="A65" s="1196"/>
      <c r="B65" s="1190" t="s">
        <v>308</v>
      </c>
      <c r="C65" s="1252">
        <v>1828</v>
      </c>
      <c r="D65" s="1189"/>
      <c r="E65" s="54">
        <f t="shared" si="6"/>
        <v>-1828</v>
      </c>
      <c r="F65" s="1182">
        <f t="shared" si="8"/>
        <v>0</v>
      </c>
      <c r="G65" s="45"/>
      <c r="H65"/>
      <c r="I65"/>
      <c r="J65"/>
      <c r="K65"/>
      <c r="L65"/>
    </row>
    <row r="66" spans="1:12" s="20" customFormat="1" ht="31.2">
      <c r="A66" s="1178" t="s">
        <v>876</v>
      </c>
      <c r="B66" s="1179" t="s">
        <v>277</v>
      </c>
      <c r="C66" s="1252">
        <f>97776-7160-1203+6148</f>
        <v>95561</v>
      </c>
      <c r="D66" s="1189">
        <f>105376-1370-25-1929+6293</f>
        <v>108345</v>
      </c>
      <c r="E66" s="54">
        <f t="shared" si="6"/>
        <v>12784</v>
      </c>
      <c r="F66" s="1182">
        <f t="shared" si="8"/>
        <v>113.37784242525717</v>
      </c>
      <c r="G66" s="45"/>
      <c r="H66"/>
      <c r="I66"/>
      <c r="J66"/>
      <c r="K66"/>
      <c r="L66"/>
    </row>
    <row r="67" spans="1:12" s="20" customFormat="1" ht="15.6">
      <c r="A67" s="1178" t="s">
        <v>877</v>
      </c>
      <c r="B67" s="1179" t="s">
        <v>720</v>
      </c>
      <c r="C67" s="1252">
        <f>D67-725+101+144-180+961</f>
        <v>3847</v>
      </c>
      <c r="D67" s="1252">
        <f>4572-101-144+180-961</f>
        <v>3546</v>
      </c>
      <c r="E67" s="54">
        <f t="shared" si="6"/>
        <v>-301</v>
      </c>
      <c r="F67" s="1182">
        <f t="shared" si="8"/>
        <v>92.175721341304921</v>
      </c>
      <c r="G67" s="45"/>
      <c r="H67"/>
      <c r="I67"/>
      <c r="J67"/>
      <c r="K67"/>
      <c r="L67"/>
    </row>
    <row r="68" spans="1:12" s="20" customFormat="1" ht="15.6">
      <c r="A68" s="1178" t="s">
        <v>878</v>
      </c>
      <c r="B68" s="507" t="s">
        <v>819</v>
      </c>
      <c r="C68" s="1250"/>
      <c r="D68" s="1189"/>
      <c r="E68" s="54">
        <f t="shared" si="6"/>
        <v>0</v>
      </c>
      <c r="F68" s="1182" t="e">
        <f t="shared" si="8"/>
        <v>#DIV/0!</v>
      </c>
      <c r="G68" s="45"/>
      <c r="H68"/>
      <c r="I68"/>
      <c r="J68"/>
      <c r="K68"/>
      <c r="L68"/>
    </row>
    <row r="69" spans="1:12" s="33" customFormat="1" ht="15.6">
      <c r="A69" s="1018">
        <v>3</v>
      </c>
      <c r="B69" s="148" t="s">
        <v>320</v>
      </c>
      <c r="C69" s="1102">
        <v>10369</v>
      </c>
      <c r="D69" s="68">
        <f>ROUND((D8)*2.01%,0)</f>
        <v>11577</v>
      </c>
      <c r="E69" s="1102">
        <f t="shared" si="6"/>
        <v>1208</v>
      </c>
      <c r="F69" s="45">
        <f t="shared" si="8"/>
        <v>111.65011090751278</v>
      </c>
      <c r="G69" s="45"/>
      <c r="H69">
        <f>(D8)*2.01%</f>
        <v>11577.097499999998</v>
      </c>
      <c r="I69"/>
      <c r="J69"/>
      <c r="K69"/>
      <c r="L69"/>
    </row>
    <row r="70" spans="1:12" s="33" customFormat="1" ht="15.6">
      <c r="A70" s="1018" t="s">
        <v>315</v>
      </c>
      <c r="B70" s="30" t="s">
        <v>818</v>
      </c>
      <c r="C70" s="1102">
        <v>20314</v>
      </c>
      <c r="D70" s="69">
        <f>D17</f>
        <v>63463</v>
      </c>
      <c r="E70" s="1102">
        <f t="shared" ref="E70:E72" si="9">D70-C70</f>
        <v>43149</v>
      </c>
      <c r="F70" s="45">
        <f t="shared" ref="F70:F72" si="10">D70/C70%</f>
        <v>312.41016048045685</v>
      </c>
      <c r="G70" s="45"/>
      <c r="H70"/>
      <c r="I70"/>
      <c r="J70"/>
      <c r="K70"/>
      <c r="L70"/>
    </row>
    <row r="71" spans="1:12" s="33" customFormat="1" ht="15.6">
      <c r="A71" s="1021"/>
      <c r="B71" s="53" t="s">
        <v>15</v>
      </c>
      <c r="C71" s="1102">
        <f>C24+C70</f>
        <v>515794.84</v>
      </c>
      <c r="D71" s="76">
        <f>D24+D70</f>
        <v>575975</v>
      </c>
      <c r="E71" s="1102">
        <f t="shared" si="9"/>
        <v>60180.159999999974</v>
      </c>
      <c r="F71" s="45">
        <f t="shared" si="10"/>
        <v>111.66746065160325</v>
      </c>
      <c r="G71" s="45"/>
      <c r="H71">
        <f>I14*50%</f>
        <v>725</v>
      </c>
      <c r="I71"/>
      <c r="J71"/>
      <c r="K71"/>
      <c r="L71"/>
    </row>
    <row r="72" spans="1:12" s="15" customFormat="1" ht="15.6">
      <c r="A72" s="1020"/>
      <c r="B72" s="30" t="s">
        <v>11</v>
      </c>
      <c r="C72" s="36">
        <v>7160</v>
      </c>
      <c r="D72" s="70">
        <f>ROUND(C72+I14*10%,0)</f>
        <v>7305</v>
      </c>
      <c r="E72" s="1102">
        <f t="shared" si="9"/>
        <v>145</v>
      </c>
      <c r="F72" s="45">
        <f t="shared" si="10"/>
        <v>102.02513966480447</v>
      </c>
      <c r="G72" s="45"/>
      <c r="H72"/>
      <c r="I72"/>
      <c r="J72"/>
      <c r="K72"/>
      <c r="L72"/>
    </row>
    <row r="73" spans="1:12" ht="15.6">
      <c r="A73" s="21"/>
      <c r="B73" s="21"/>
      <c r="C73" s="22"/>
      <c r="D73" s="79"/>
      <c r="E73" s="1240"/>
      <c r="F73" s="23"/>
      <c r="G73" s="23"/>
      <c r="H73"/>
      <c r="I73"/>
      <c r="J73"/>
      <c r="K73"/>
      <c r="L73"/>
    </row>
    <row r="75" spans="1:12" s="24" customFormat="1" ht="15.6">
      <c r="B75" s="3159"/>
      <c r="C75" s="3159"/>
      <c r="D75" s="80"/>
      <c r="E75" s="1241"/>
      <c r="J75" s="25"/>
    </row>
    <row r="76" spans="1:12" s="24" customFormat="1" ht="15.6">
      <c r="C76" s="1108"/>
      <c r="D76" s="80"/>
      <c r="E76" s="3126"/>
      <c r="F76" s="3126"/>
      <c r="G76" s="602"/>
      <c r="I76" s="3126"/>
      <c r="J76" s="3126"/>
      <c r="K76" s="3126"/>
    </row>
    <row r="77" spans="1:12" s="24" customFormat="1" ht="15.6">
      <c r="C77" s="1108"/>
      <c r="D77" s="80"/>
      <c r="E77" s="1242"/>
      <c r="F77" s="57"/>
      <c r="G77" s="602"/>
      <c r="I77" s="57"/>
      <c r="J77" s="57"/>
      <c r="K77" s="57"/>
    </row>
    <row r="78" spans="1:12" s="24" customFormat="1" ht="15.6">
      <c r="D78" s="80"/>
      <c r="E78" s="1242"/>
      <c r="F78" s="57"/>
      <c r="G78" s="602"/>
      <c r="I78" s="57"/>
      <c r="J78" s="57"/>
      <c r="K78" s="57"/>
    </row>
    <row r="79" spans="1:12" s="24" customFormat="1" ht="15.6">
      <c r="D79" s="80"/>
      <c r="E79" s="1241"/>
      <c r="J79" s="25"/>
    </row>
    <row r="80" spans="1:12" s="26" customFormat="1" ht="15.6">
      <c r="D80" s="81"/>
      <c r="E80" s="1243"/>
      <c r="J80" s="27"/>
    </row>
    <row r="81" spans="2:11" s="28" customFormat="1" ht="15.6">
      <c r="B81" s="3127"/>
      <c r="C81" s="3127"/>
      <c r="D81" s="82"/>
      <c r="E81" s="3128"/>
      <c r="F81" s="3128"/>
      <c r="G81" s="603"/>
      <c r="I81" s="3128"/>
      <c r="J81" s="3128"/>
      <c r="K81" s="3128"/>
    </row>
  </sheetData>
  <mergeCells count="15">
    <mergeCell ref="G5:G6"/>
    <mergeCell ref="B75:C75"/>
    <mergeCell ref="E76:F76"/>
    <mergeCell ref="I76:K76"/>
    <mergeCell ref="B81:C81"/>
    <mergeCell ref="E81:F81"/>
    <mergeCell ref="I81:K81"/>
    <mergeCell ref="C5:C6"/>
    <mergeCell ref="A5:A6"/>
    <mergeCell ref="B1:F1"/>
    <mergeCell ref="B2:F2"/>
    <mergeCell ref="E4:F4"/>
    <mergeCell ref="B5:B6"/>
    <mergeCell ref="D5:D6"/>
    <mergeCell ref="E5:F5"/>
  </mergeCells>
  <pageMargins left="0.76" right="0.23622047244094499" top="0.31496062992126" bottom="0.35433070866141703" header="0.31496062992126" footer="0.31496062992126"/>
  <pageSetup paperSize="9"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2"/>
  <sheetViews>
    <sheetView topLeftCell="A43" zoomScale="102" zoomScaleNormal="102" workbookViewId="0">
      <selection activeCell="B140" sqref="B140"/>
    </sheetView>
  </sheetViews>
  <sheetFormatPr defaultColWidth="16.5546875" defaultRowHeight="13.8"/>
  <cols>
    <col min="1" max="1" width="9.44140625" style="2" customWidth="1"/>
    <col min="2" max="2" width="53.5546875" style="2" customWidth="1"/>
    <col min="3" max="3" width="14.109375" style="29" customWidth="1"/>
    <col min="4" max="4" width="14" style="2" customWidth="1"/>
    <col min="5" max="5" width="10.88671875" style="51" customWidth="1"/>
    <col min="6" max="6" width="11.5546875" style="2" customWidth="1"/>
    <col min="7" max="7" width="16.5546875" style="2"/>
    <col min="8" max="8" width="18.109375" style="2" customWidth="1"/>
    <col min="9" max="9" width="18.88671875" style="2" customWidth="1"/>
    <col min="10" max="10" width="10.33203125" style="2" customWidth="1"/>
    <col min="11" max="16384" width="16.5546875" style="2"/>
  </cols>
  <sheetData>
    <row r="1" spans="1:11" ht="17.399999999999999">
      <c r="B1" s="3097" t="s">
        <v>16</v>
      </c>
      <c r="C1" s="3097"/>
      <c r="D1" s="3097"/>
      <c r="E1" s="3097"/>
      <c r="F1" s="3097"/>
    </row>
    <row r="2" spans="1:11" s="3" customFormat="1" ht="17.399999999999999">
      <c r="B2" s="3153" t="s">
        <v>20</v>
      </c>
      <c r="C2" s="3153"/>
      <c r="D2" s="3153"/>
      <c r="E2" s="3153"/>
      <c r="F2" s="3153"/>
    </row>
    <row r="3" spans="1:11" s="3" customFormat="1" ht="17.399999999999999">
      <c r="B3" s="400"/>
      <c r="C3" s="400"/>
      <c r="D3" s="400"/>
      <c r="E3" s="400"/>
      <c r="F3" s="400"/>
    </row>
    <row r="4" spans="1:11" s="4" customFormat="1">
      <c r="C4" s="5"/>
      <c r="D4" s="6"/>
      <c r="E4" s="3154" t="s">
        <v>27</v>
      </c>
      <c r="F4" s="3154"/>
    </row>
    <row r="5" spans="1:11" s="1" customFormat="1" ht="28.5" customHeight="1">
      <c r="A5" s="3157" t="s">
        <v>49</v>
      </c>
      <c r="B5" s="3164" t="s">
        <v>0</v>
      </c>
      <c r="C5" s="3134" t="s">
        <v>879</v>
      </c>
      <c r="D5" s="3167" t="s">
        <v>17</v>
      </c>
      <c r="E5" s="3166" t="s">
        <v>26</v>
      </c>
      <c r="F5" s="3157"/>
      <c r="G5" s="3160" t="s">
        <v>811</v>
      </c>
      <c r="H5" s="1009"/>
    </row>
    <row r="6" spans="1:11" s="1" customFormat="1" ht="14.4">
      <c r="A6" s="3158"/>
      <c r="B6" s="3165"/>
      <c r="C6" s="3135"/>
      <c r="D6" s="3168"/>
      <c r="E6" s="85" t="s">
        <v>1</v>
      </c>
      <c r="F6" s="86" t="s">
        <v>2</v>
      </c>
      <c r="G6" s="3161"/>
      <c r="H6" s="1055"/>
      <c r="I6" t="s">
        <v>170</v>
      </c>
      <c r="J6"/>
      <c r="K6"/>
    </row>
    <row r="7" spans="1:11" s="7" customFormat="1" ht="15.6">
      <c r="A7" s="1012"/>
      <c r="B7" s="1129">
        <v>1</v>
      </c>
      <c r="C7" s="1130">
        <v>2</v>
      </c>
      <c r="D7" s="1131">
        <v>3</v>
      </c>
      <c r="E7" s="1132" t="s">
        <v>882</v>
      </c>
      <c r="F7" s="1199" t="s">
        <v>883</v>
      </c>
      <c r="G7" s="1055"/>
      <c r="H7" s="1055"/>
      <c r="I7"/>
      <c r="J7"/>
      <c r="K7"/>
    </row>
    <row r="8" spans="1:11" s="8" customFormat="1" ht="15.6">
      <c r="A8" s="1013" t="s">
        <v>54</v>
      </c>
      <c r="B8" s="295" t="s">
        <v>812</v>
      </c>
      <c r="C8" s="296">
        <f>C9+C11+C17</f>
        <v>481243</v>
      </c>
      <c r="D8" s="296">
        <f>D9+D11+D17</f>
        <v>569590</v>
      </c>
      <c r="E8" s="296">
        <f t="shared" ref="E8:E34" si="0">D8-C8</f>
        <v>88347</v>
      </c>
      <c r="F8" s="294">
        <f t="shared" ref="F8:F13" si="1">D8/C8%</f>
        <v>118.35808520851212</v>
      </c>
      <c r="G8" s="1055"/>
      <c r="H8" s="1055"/>
      <c r="I8"/>
      <c r="J8"/>
      <c r="K8"/>
    </row>
    <row r="9" spans="1:11" s="35" customFormat="1" ht="15.6">
      <c r="A9" s="1015">
        <v>1</v>
      </c>
      <c r="B9" s="34" t="s">
        <v>813</v>
      </c>
      <c r="C9" s="32">
        <f>'so thu huyen-R-03'!D13</f>
        <v>59700</v>
      </c>
      <c r="D9" s="32">
        <f>'so thu huyen-R-03'!I13</f>
        <v>61200</v>
      </c>
      <c r="E9" s="31">
        <f t="shared" si="0"/>
        <v>1500</v>
      </c>
      <c r="F9" s="45">
        <f t="shared" si="1"/>
        <v>102.51256281407035</v>
      </c>
      <c r="G9" s="1055"/>
      <c r="H9" s="1055"/>
      <c r="I9"/>
      <c r="J9"/>
      <c r="K9"/>
    </row>
    <row r="10" spans="1:11" s="35" customFormat="1" ht="28.8">
      <c r="A10" s="1015"/>
      <c r="B10" s="138" t="s">
        <v>109</v>
      </c>
      <c r="C10" s="140">
        <f>C9-'so thu huyen-R-03'!F13</f>
        <v>56700</v>
      </c>
      <c r="D10" s="139">
        <f>D9-'so thu huyen-R-03'!K13</f>
        <v>56700</v>
      </c>
      <c r="E10" s="31">
        <f t="shared" si="0"/>
        <v>0</v>
      </c>
      <c r="F10" s="45">
        <f t="shared" si="1"/>
        <v>100</v>
      </c>
      <c r="G10" s="1055"/>
      <c r="H10" s="1055"/>
      <c r="I10"/>
      <c r="J10"/>
      <c r="K10"/>
    </row>
    <row r="11" spans="1:11" s="35" customFormat="1" ht="15.6">
      <c r="A11" s="1015">
        <v>2</v>
      </c>
      <c r="B11" s="34" t="s">
        <v>814</v>
      </c>
      <c r="C11" s="32">
        <f>SUM(C12:C16)</f>
        <v>409136</v>
      </c>
      <c r="D11" s="32">
        <f>SUM(D12:D16)</f>
        <v>451235</v>
      </c>
      <c r="E11" s="31">
        <f t="shared" si="0"/>
        <v>42099</v>
      </c>
      <c r="F11" s="45">
        <f t="shared" si="1"/>
        <v>110.2897325094834</v>
      </c>
      <c r="G11" s="1055"/>
      <c r="H11" s="1055"/>
      <c r="I11"/>
      <c r="J11"/>
      <c r="K11"/>
    </row>
    <row r="12" spans="1:11" s="12" customFormat="1" ht="15.6">
      <c r="A12" s="1016" t="s">
        <v>351</v>
      </c>
      <c r="B12" s="10" t="s">
        <v>831</v>
      </c>
      <c r="C12" s="11">
        <v>385681</v>
      </c>
      <c r="D12" s="11">
        <f>C12</f>
        <v>385681</v>
      </c>
      <c r="E12" s="9">
        <f t="shared" si="0"/>
        <v>0</v>
      </c>
      <c r="F12" s="42">
        <f t="shared" si="1"/>
        <v>100</v>
      </c>
      <c r="G12" s="1055"/>
      <c r="H12" s="1055"/>
      <c r="I12"/>
      <c r="J12"/>
      <c r="K12"/>
    </row>
    <row r="13" spans="1:11" s="12" customFormat="1" ht="15.6">
      <c r="A13" s="1016" t="s">
        <v>357</v>
      </c>
      <c r="B13" s="10" t="s">
        <v>387</v>
      </c>
      <c r="C13" s="62">
        <v>17767</v>
      </c>
      <c r="D13" s="62">
        <f>C13</f>
        <v>17767</v>
      </c>
      <c r="E13" s="92">
        <f t="shared" si="0"/>
        <v>0</v>
      </c>
      <c r="F13" s="108">
        <f t="shared" si="1"/>
        <v>100</v>
      </c>
      <c r="G13" s="1055"/>
      <c r="H13" s="1055"/>
      <c r="I13"/>
      <c r="J13"/>
      <c r="K13"/>
    </row>
    <row r="14" spans="1:11" s="12" customFormat="1" ht="15.6">
      <c r="A14" s="1016" t="s">
        <v>815</v>
      </c>
      <c r="B14" s="10" t="s">
        <v>386</v>
      </c>
      <c r="C14" s="62"/>
      <c r="D14" s="62">
        <f>17718-I14</f>
        <v>17718</v>
      </c>
      <c r="E14" s="92">
        <f t="shared" si="0"/>
        <v>17718</v>
      </c>
      <c r="F14" s="108"/>
      <c r="G14" s="1055"/>
      <c r="H14" s="1016" t="s">
        <v>13</v>
      </c>
      <c r="I14">
        <f>'so thu huyen-R-03'!O13</f>
        <v>0</v>
      </c>
      <c r="J14"/>
      <c r="K14"/>
    </row>
    <row r="15" spans="1:11" s="12" customFormat="1" ht="15.6">
      <c r="A15" s="1016" t="s">
        <v>816</v>
      </c>
      <c r="B15" s="10" t="s">
        <v>388</v>
      </c>
      <c r="C15" s="62">
        <v>6424</v>
      </c>
      <c r="D15" s="426">
        <f>'BSCD CDCS 2019 (hoan chinh)-05 '!H31</f>
        <v>10970</v>
      </c>
      <c r="E15" s="92">
        <f t="shared" si="0"/>
        <v>4546</v>
      </c>
      <c r="F15" s="108">
        <f t="shared" ref="F15:F34" si="2">D15/C15%</f>
        <v>170.7658779576588</v>
      </c>
      <c r="G15" s="1055"/>
      <c r="H15" s="1055"/>
      <c r="I15" s="297"/>
      <c r="J15" s="298"/>
      <c r="K15"/>
    </row>
    <row r="16" spans="1:11" s="12" customFormat="1" ht="27.6">
      <c r="A16" s="1016" t="s">
        <v>817</v>
      </c>
      <c r="B16" s="1017" t="s">
        <v>828</v>
      </c>
      <c r="C16" s="62">
        <v>-736</v>
      </c>
      <c r="D16" s="426">
        <f>'tang dau tu'!H6</f>
        <v>19099</v>
      </c>
      <c r="E16" s="92">
        <f t="shared" si="0"/>
        <v>19835</v>
      </c>
      <c r="F16" s="108">
        <f t="shared" si="2"/>
        <v>-2594.9728260869565</v>
      </c>
      <c r="G16" s="1055"/>
      <c r="H16" s="1055"/>
      <c r="I16" s="297"/>
      <c r="J16" s="298"/>
      <c r="K16"/>
    </row>
    <row r="17" spans="1:11" s="52" customFormat="1" ht="15.6">
      <c r="A17" s="1018">
        <v>3</v>
      </c>
      <c r="B17" s="1031" t="s">
        <v>827</v>
      </c>
      <c r="C17" s="64">
        <f>C18+C19</f>
        <v>12407</v>
      </c>
      <c r="D17" s="63">
        <f>SUM(D18:D23)</f>
        <v>57155</v>
      </c>
      <c r="E17" s="64">
        <f t="shared" si="0"/>
        <v>44748</v>
      </c>
      <c r="F17" s="109">
        <f t="shared" si="2"/>
        <v>460.6673651970662</v>
      </c>
      <c r="G17" s="1055"/>
      <c r="H17" s="1055"/>
      <c r="I17"/>
      <c r="J17"/>
      <c r="K17"/>
    </row>
    <row r="18" spans="1:11" s="41" customFormat="1" ht="15.6">
      <c r="A18" s="1019" t="s">
        <v>212</v>
      </c>
      <c r="B18" s="1044" t="s">
        <v>389</v>
      </c>
      <c r="C18" s="1045">
        <v>11842</v>
      </c>
      <c r="D18" s="1046">
        <f>'BSCD CDCS 2019 (hoan chinh)-05 '!H3</f>
        <v>13171</v>
      </c>
      <c r="E18" s="92">
        <f t="shared" si="0"/>
        <v>1329</v>
      </c>
      <c r="F18" s="108">
        <f t="shared" si="2"/>
        <v>111.22276642459043</v>
      </c>
      <c r="G18" s="1055"/>
      <c r="H18" s="1055"/>
      <c r="I18" s="297"/>
      <c r="J18" s="298"/>
      <c r="K18"/>
    </row>
    <row r="19" spans="1:11" s="41" customFormat="1" ht="15.6">
      <c r="A19" s="1019" t="s">
        <v>214</v>
      </c>
      <c r="B19" s="1044" t="s">
        <v>826</v>
      </c>
      <c r="C19" s="55">
        <v>565</v>
      </c>
      <c r="D19" s="1046">
        <f>'BSCD CDCS 2019 (hoan chinh)-05 '!H18</f>
        <v>897</v>
      </c>
      <c r="E19" s="92">
        <f t="shared" si="0"/>
        <v>332</v>
      </c>
      <c r="F19" s="108">
        <f t="shared" si="2"/>
        <v>158.76106194690266</v>
      </c>
      <c r="G19" s="1055"/>
      <c r="H19" s="1055"/>
      <c r="I19"/>
      <c r="J19"/>
      <c r="K19"/>
    </row>
    <row r="20" spans="1:11" s="41" customFormat="1" ht="15.6">
      <c r="A20" s="1019" t="s">
        <v>925</v>
      </c>
      <c r="B20" s="1212" t="s">
        <v>926</v>
      </c>
      <c r="C20" s="55"/>
      <c r="D20" s="1046">
        <f>'BSCD CDCS 2019 (hoan chinh)-05 '!H19</f>
        <v>1200</v>
      </c>
      <c r="E20" s="92">
        <f t="shared" si="0"/>
        <v>1200</v>
      </c>
      <c r="F20" s="108"/>
      <c r="G20" s="1055"/>
      <c r="H20" s="1055"/>
      <c r="I20"/>
      <c r="J20"/>
      <c r="K20"/>
    </row>
    <row r="21" spans="1:11" s="41" customFormat="1" ht="15.6">
      <c r="A21" s="1019" t="s">
        <v>1041</v>
      </c>
      <c r="B21" s="408" t="s">
        <v>1033</v>
      </c>
      <c r="C21" s="55"/>
      <c r="D21" s="1046">
        <f>'BSCD CDCS 2019 (hoan chinh)-05 '!H22</f>
        <v>1066</v>
      </c>
      <c r="E21" s="92"/>
      <c r="F21" s="108"/>
      <c r="G21" s="1055"/>
      <c r="H21" s="1055"/>
      <c r="I21"/>
      <c r="J21"/>
      <c r="K21"/>
    </row>
    <row r="22" spans="1:11" s="41" customFormat="1" ht="15.6">
      <c r="A22" s="1019" t="s">
        <v>1042</v>
      </c>
      <c r="B22" s="408" t="s">
        <v>1034</v>
      </c>
      <c r="C22" s="55"/>
      <c r="D22" s="1046">
        <f>'BSCD CDCS 2019 (hoan chinh)-05 '!H23</f>
        <v>126</v>
      </c>
      <c r="E22" s="92"/>
      <c r="F22" s="108"/>
      <c r="G22" s="1055"/>
      <c r="H22" s="1055"/>
      <c r="I22"/>
      <c r="J22"/>
      <c r="K22"/>
    </row>
    <row r="23" spans="1:11" s="41" customFormat="1" ht="15.6">
      <c r="A23" s="1019" t="s">
        <v>1043</v>
      </c>
      <c r="B23" s="408" t="s">
        <v>1035</v>
      </c>
      <c r="C23" s="55"/>
      <c r="D23" s="1046">
        <f>'BSCD CDCS 2019 (hoan chinh)-05 '!H24</f>
        <v>40695</v>
      </c>
      <c r="E23" s="92"/>
      <c r="F23" s="108"/>
      <c r="G23" s="1055"/>
      <c r="H23" s="1055"/>
      <c r="I23"/>
      <c r="J23"/>
      <c r="K23"/>
    </row>
    <row r="24" spans="1:11" s="15" customFormat="1" ht="15.6">
      <c r="A24" s="1013" t="s">
        <v>60</v>
      </c>
      <c r="B24" s="599" t="s">
        <v>825</v>
      </c>
      <c r="C24" s="14">
        <f>C25+C40+C69</f>
        <v>468836</v>
      </c>
      <c r="D24" s="14">
        <f>D25+D40+D69</f>
        <v>512435</v>
      </c>
      <c r="E24" s="31">
        <f t="shared" si="0"/>
        <v>43599</v>
      </c>
      <c r="F24" s="45">
        <f t="shared" si="2"/>
        <v>109.29941386753578</v>
      </c>
      <c r="G24" s="1055"/>
      <c r="H24" s="1055"/>
      <c r="I24"/>
      <c r="J24"/>
      <c r="K24"/>
    </row>
    <row r="25" spans="1:11" s="33" customFormat="1" ht="15.6">
      <c r="A25" s="1018">
        <v>1</v>
      </c>
      <c r="B25" s="30" t="s">
        <v>824</v>
      </c>
      <c r="C25" s="31">
        <f>C26+C30+C34</f>
        <v>40900</v>
      </c>
      <c r="D25" s="31">
        <f>D26+D30+D34</f>
        <v>62085</v>
      </c>
      <c r="E25" s="31">
        <f t="shared" si="0"/>
        <v>21185</v>
      </c>
      <c r="F25" s="45">
        <f t="shared" si="2"/>
        <v>151.79706601466992</v>
      </c>
      <c r="G25" s="1055"/>
      <c r="H25" s="1055"/>
      <c r="I25"/>
      <c r="J25"/>
      <c r="K25"/>
    </row>
    <row r="26" spans="1:11" s="15" customFormat="1" ht="15.6">
      <c r="A26" s="1012" t="s">
        <v>200</v>
      </c>
      <c r="B26" s="16" t="s">
        <v>823</v>
      </c>
      <c r="C26" s="9">
        <v>16200</v>
      </c>
      <c r="D26" s="54">
        <f>D27+D28</f>
        <v>27535</v>
      </c>
      <c r="E26" s="9">
        <f t="shared" si="0"/>
        <v>11335</v>
      </c>
      <c r="F26" s="42">
        <f t="shared" si="2"/>
        <v>169.96913580246914</v>
      </c>
      <c r="G26" s="1055"/>
      <c r="H26" s="1055"/>
      <c r="I26" s="146">
        <v>30000</v>
      </c>
      <c r="J26"/>
      <c r="K26"/>
    </row>
    <row r="27" spans="1:11" s="598" customFormat="1" ht="15.6">
      <c r="A27" s="1012"/>
      <c r="B27" s="17" t="s">
        <v>957</v>
      </c>
      <c r="C27" s="1104">
        <v>16200</v>
      </c>
      <c r="D27" s="54">
        <v>22535</v>
      </c>
      <c r="E27" s="1104">
        <f t="shared" ref="E27:E28" si="3">D27-C27</f>
        <v>6335</v>
      </c>
      <c r="F27" s="1105">
        <f t="shared" ref="F27" si="4">D27/C27%</f>
        <v>139.10493827160494</v>
      </c>
      <c r="G27" s="1055"/>
      <c r="H27" s="1055"/>
      <c r="I27" s="146"/>
      <c r="J27"/>
      <c r="K27"/>
    </row>
    <row r="28" spans="1:11" s="598" customFormat="1" ht="15.6">
      <c r="A28" s="1012"/>
      <c r="B28" s="17" t="s">
        <v>958</v>
      </c>
      <c r="C28" s="1104"/>
      <c r="D28" s="54">
        <v>5000</v>
      </c>
      <c r="E28" s="1104">
        <f t="shared" si="3"/>
        <v>5000</v>
      </c>
      <c r="F28" s="1105"/>
      <c r="G28" s="1055"/>
      <c r="H28" s="1055"/>
      <c r="I28" s="146"/>
      <c r="J28"/>
      <c r="K28"/>
    </row>
    <row r="29" spans="1:11" s="598" customFormat="1" ht="15.6">
      <c r="A29" s="1012"/>
      <c r="B29" s="17"/>
      <c r="C29" s="1104"/>
      <c r="D29" s="54"/>
      <c r="E29" s="1104"/>
      <c r="F29" s="1105"/>
      <c r="G29" s="1055"/>
      <c r="H29" s="1055"/>
      <c r="I29" s="146"/>
      <c r="J29"/>
      <c r="K29"/>
    </row>
    <row r="30" spans="1:11" s="15" customFormat="1" ht="27.6">
      <c r="A30" s="1012" t="s">
        <v>208</v>
      </c>
      <c r="B30" s="43" t="s">
        <v>822</v>
      </c>
      <c r="C30" s="9">
        <f>SUM(C31:C33)</f>
        <v>2700</v>
      </c>
      <c r="D30" s="9">
        <f>SUM(D31:D33)</f>
        <v>4050</v>
      </c>
      <c r="E30" s="9">
        <f t="shared" si="0"/>
        <v>1350</v>
      </c>
      <c r="F30" s="42">
        <f t="shared" si="2"/>
        <v>150</v>
      </c>
      <c r="G30" s="1055"/>
      <c r="H30" s="1055"/>
      <c r="I30" s="146"/>
      <c r="J30"/>
      <c r="K30"/>
    </row>
    <row r="31" spans="1:11" s="15" customFormat="1" ht="15.6">
      <c r="A31" s="1067"/>
      <c r="B31" s="16" t="s">
        <v>4</v>
      </c>
      <c r="C31" s="9">
        <v>1200</v>
      </c>
      <c r="D31" s="9">
        <f>'so thu huyen-R-03'!V13</f>
        <v>1800</v>
      </c>
      <c r="E31" s="9">
        <f t="shared" si="0"/>
        <v>600</v>
      </c>
      <c r="F31" s="42">
        <f t="shared" si="2"/>
        <v>150</v>
      </c>
      <c r="G31" s="1055"/>
      <c r="H31" s="1055"/>
      <c r="I31" s="146"/>
      <c r="J31"/>
      <c r="K31"/>
    </row>
    <row r="32" spans="1:11" s="15" customFormat="1" ht="15.6">
      <c r="A32" s="1067"/>
      <c r="B32" s="17" t="s">
        <v>5</v>
      </c>
      <c r="C32" s="9">
        <v>900</v>
      </c>
      <c r="D32" s="9">
        <f>'so thu huyen-R-03'!W13</f>
        <v>1350</v>
      </c>
      <c r="E32" s="9">
        <f t="shared" si="0"/>
        <v>450</v>
      </c>
      <c r="F32" s="42">
        <f t="shared" si="2"/>
        <v>150</v>
      </c>
      <c r="G32" s="1055"/>
      <c r="H32" s="1055"/>
      <c r="I32" s="146"/>
      <c r="J32"/>
      <c r="K32"/>
    </row>
    <row r="33" spans="1:11" s="15" customFormat="1" ht="15.6">
      <c r="A33" s="1067"/>
      <c r="B33" s="17" t="s">
        <v>6</v>
      </c>
      <c r="C33" s="9">
        <v>600</v>
      </c>
      <c r="D33" s="9">
        <f>'so thu huyen-R-03'!X13</f>
        <v>900</v>
      </c>
      <c r="E33" s="9">
        <f t="shared" si="0"/>
        <v>300</v>
      </c>
      <c r="F33" s="42">
        <f t="shared" si="2"/>
        <v>150</v>
      </c>
      <c r="G33" s="1055"/>
      <c r="H33" s="1055"/>
      <c r="I33" s="146"/>
      <c r="J33"/>
      <c r="K33"/>
    </row>
    <row r="34" spans="1:11" s="15" customFormat="1" ht="15.6">
      <c r="A34" s="1012" t="s">
        <v>335</v>
      </c>
      <c r="B34" s="44" t="s">
        <v>821</v>
      </c>
      <c r="C34" s="9">
        <f>SUM(C35:C39)</f>
        <v>22000</v>
      </c>
      <c r="D34" s="9">
        <f>SUM(D35:D38)</f>
        <v>30500</v>
      </c>
      <c r="E34" s="9">
        <f t="shared" si="0"/>
        <v>8500</v>
      </c>
      <c r="F34" s="42">
        <f t="shared" si="2"/>
        <v>138.63636363636363</v>
      </c>
      <c r="G34" s="1055"/>
      <c r="H34" s="1055"/>
      <c r="I34" s="146">
        <v>22500</v>
      </c>
      <c r="J34"/>
      <c r="K34"/>
    </row>
    <row r="35" spans="1:11" s="15" customFormat="1" ht="31.2">
      <c r="A35" s="1013"/>
      <c r="B35" s="420" t="s">
        <v>247</v>
      </c>
      <c r="C35" s="39">
        <v>4000</v>
      </c>
      <c r="D35" s="56">
        <v>3000</v>
      </c>
      <c r="E35" s="39"/>
      <c r="F35" s="588"/>
      <c r="G35" s="1055"/>
      <c r="H35" s="1055"/>
      <c r="I35" s="146"/>
      <c r="J35"/>
      <c r="K35"/>
    </row>
    <row r="36" spans="1:11" s="598" customFormat="1" ht="31.2">
      <c r="A36" s="1013"/>
      <c r="B36" s="420" t="s">
        <v>863</v>
      </c>
      <c r="C36" s="39"/>
      <c r="D36" s="56"/>
      <c r="E36" s="39"/>
      <c r="F36" s="588"/>
      <c r="G36" s="1055"/>
      <c r="H36" s="1055"/>
      <c r="I36" s="146"/>
      <c r="J36"/>
      <c r="K36"/>
    </row>
    <row r="37" spans="1:11" s="15" customFormat="1" ht="15.6">
      <c r="A37" s="1013"/>
      <c r="B37" s="416" t="s">
        <v>248</v>
      </c>
      <c r="C37" s="39">
        <v>9000</v>
      </c>
      <c r="D37" s="56">
        <v>22500</v>
      </c>
      <c r="E37" s="39"/>
      <c r="F37" s="417"/>
      <c r="G37" s="1055"/>
      <c r="H37" s="1055"/>
      <c r="I37" s="146"/>
      <c r="J37"/>
      <c r="K37"/>
    </row>
    <row r="38" spans="1:11" s="15" customFormat="1" ht="31.2">
      <c r="A38" s="1013"/>
      <c r="B38" s="420" t="s">
        <v>249</v>
      </c>
      <c r="C38" s="39">
        <v>5000</v>
      </c>
      <c r="D38" s="56">
        <v>5000</v>
      </c>
      <c r="E38" s="39"/>
      <c r="F38" s="417"/>
      <c r="G38" s="1055"/>
      <c r="H38" s="1055"/>
      <c r="I38" s="146"/>
      <c r="J38"/>
      <c r="K38"/>
    </row>
    <row r="39" spans="1:11" s="598" customFormat="1" ht="15.6">
      <c r="A39" s="1013"/>
      <c r="B39" s="420" t="s">
        <v>852</v>
      </c>
      <c r="C39" s="39">
        <v>4000</v>
      </c>
      <c r="D39" s="56"/>
      <c r="E39" s="39"/>
      <c r="F39" s="417"/>
      <c r="G39" s="1055"/>
      <c r="H39" s="1055"/>
      <c r="I39" s="146"/>
      <c r="J39"/>
      <c r="K39"/>
    </row>
    <row r="40" spans="1:11" s="33" customFormat="1" ht="15.6">
      <c r="A40" s="1018">
        <v>2</v>
      </c>
      <c r="B40" s="30" t="s">
        <v>830</v>
      </c>
      <c r="C40" s="31">
        <f>C41+C44+C45+C46</f>
        <v>418263</v>
      </c>
      <c r="D40" s="1102">
        <f>D41+D44+D45+D46</f>
        <v>438901</v>
      </c>
      <c r="E40" s="31">
        <f t="shared" ref="E40:E66" si="5">D40-C40</f>
        <v>20638</v>
      </c>
      <c r="F40" s="45">
        <f t="shared" ref="F40:F52" si="6">D40/C40%</f>
        <v>104.93421603153996</v>
      </c>
      <c r="G40" s="1055"/>
      <c r="H40" s="1055"/>
      <c r="I40"/>
      <c r="J40"/>
      <c r="K40"/>
    </row>
    <row r="41" spans="1:11" s="4" customFormat="1" ht="15.6">
      <c r="A41" s="1012" t="s">
        <v>351</v>
      </c>
      <c r="B41" s="16" t="s">
        <v>820</v>
      </c>
      <c r="C41" s="9">
        <v>236020</v>
      </c>
      <c r="D41" s="65">
        <f>C41+11967</f>
        <v>247987</v>
      </c>
      <c r="E41" s="9">
        <f t="shared" si="5"/>
        <v>11967</v>
      </c>
      <c r="F41" s="42">
        <f t="shared" si="6"/>
        <v>105.07033302262521</v>
      </c>
      <c r="G41" s="1055"/>
      <c r="H41" s="1055" t="e">
        <f>#REF!*50%</f>
        <v>#REF!</v>
      </c>
      <c r="I41">
        <f>E41*18%</f>
        <v>2154.06</v>
      </c>
      <c r="J41"/>
      <c r="K41"/>
    </row>
    <row r="42" spans="1:11" s="4" customFormat="1" ht="15.6">
      <c r="A42" s="1019"/>
      <c r="B42" s="487" t="s">
        <v>809</v>
      </c>
      <c r="C42" s="9">
        <f>230730+2000</f>
        <v>232730</v>
      </c>
      <c r="D42" s="65">
        <f>D41-D43</f>
        <v>244399</v>
      </c>
      <c r="E42" s="1104">
        <f t="shared" si="5"/>
        <v>11669</v>
      </c>
      <c r="F42" s="1105">
        <f t="shared" si="6"/>
        <v>105.0139646801014</v>
      </c>
      <c r="G42" s="1055"/>
      <c r="H42" s="1055"/>
      <c r="I42"/>
      <c r="J42"/>
      <c r="K42"/>
    </row>
    <row r="43" spans="1:11" s="4" customFormat="1" ht="15.6">
      <c r="A43" s="1019"/>
      <c r="B43" s="487" t="s">
        <v>810</v>
      </c>
      <c r="C43" s="9">
        <f>5290-2000</f>
        <v>3290</v>
      </c>
      <c r="D43" s="65">
        <f>5588-2000</f>
        <v>3588</v>
      </c>
      <c r="E43" s="1104">
        <f t="shared" si="5"/>
        <v>298</v>
      </c>
      <c r="F43" s="1105">
        <f t="shared" si="6"/>
        <v>109.05775075987843</v>
      </c>
      <c r="G43" s="1055"/>
      <c r="H43" s="1055"/>
      <c r="I43"/>
      <c r="J43"/>
      <c r="K43"/>
    </row>
    <row r="44" spans="1:11" s="4" customFormat="1" ht="15.6">
      <c r="A44" s="1012" t="s">
        <v>357</v>
      </c>
      <c r="B44" s="16" t="s">
        <v>805</v>
      </c>
      <c r="C44" s="9">
        <v>150</v>
      </c>
      <c r="D44" s="66">
        <v>150</v>
      </c>
      <c r="E44" s="1098">
        <f t="shared" si="5"/>
        <v>0</v>
      </c>
      <c r="F44" s="1105">
        <f t="shared" si="6"/>
        <v>100</v>
      </c>
      <c r="G44" s="1055"/>
      <c r="H44" s="1055">
        <f>E46*3%</f>
        <v>251.13</v>
      </c>
      <c r="I44"/>
      <c r="J44"/>
      <c r="K44"/>
    </row>
    <row r="45" spans="1:11" s="4" customFormat="1" ht="15.6">
      <c r="A45" s="1012" t="s">
        <v>815</v>
      </c>
      <c r="B45" s="91" t="s">
        <v>804</v>
      </c>
      <c r="C45" s="9">
        <v>1100</v>
      </c>
      <c r="D45" s="66">
        <v>1400</v>
      </c>
      <c r="E45" s="1104">
        <f t="shared" si="5"/>
        <v>300</v>
      </c>
      <c r="F45" s="1105">
        <f t="shared" si="6"/>
        <v>127.27272727272727</v>
      </c>
      <c r="G45" s="1055"/>
      <c r="H45" s="1055"/>
      <c r="I45">
        <v>300</v>
      </c>
      <c r="J45"/>
      <c r="K45"/>
    </row>
    <row r="46" spans="1:11" s="4" customFormat="1" ht="15.6">
      <c r="A46" s="1245" t="s">
        <v>816</v>
      </c>
      <c r="B46" s="1257" t="s">
        <v>869</v>
      </c>
      <c r="C46" s="1177">
        <f>C8-C25-C41-C44-C45-C69-C70</f>
        <v>180993</v>
      </c>
      <c r="D46" s="1177">
        <f>D8-D25-D41-D44-D45-D69-D70</f>
        <v>189364</v>
      </c>
      <c r="E46" s="1104">
        <f t="shared" si="5"/>
        <v>8371</v>
      </c>
      <c r="F46" s="1105">
        <f t="shared" si="6"/>
        <v>104.62504074743222</v>
      </c>
      <c r="G46" s="1055"/>
      <c r="H46" s="1056">
        <f>D8-D25-D41-D44-D45-D69-D70</f>
        <v>189364</v>
      </c>
      <c r="I46"/>
      <c r="J46"/>
      <c r="K46"/>
    </row>
    <row r="47" spans="1:11" s="20" customFormat="1" ht="15.6">
      <c r="A47" s="1016"/>
      <c r="B47" s="19" t="s">
        <v>8</v>
      </c>
      <c r="C47" s="11">
        <v>300</v>
      </c>
      <c r="D47" s="67">
        <f>'so thu huyen-R-03'!Y13</f>
        <v>450</v>
      </c>
      <c r="E47" s="1104">
        <f t="shared" si="5"/>
        <v>150</v>
      </c>
      <c r="F47" s="1105">
        <f t="shared" si="6"/>
        <v>150</v>
      </c>
      <c r="G47" s="1055"/>
      <c r="H47" s="1055"/>
      <c r="I47"/>
      <c r="J47"/>
      <c r="K47"/>
    </row>
    <row r="48" spans="1:11" s="20" customFormat="1" ht="15.6">
      <c r="A48" s="1178" t="s">
        <v>870</v>
      </c>
      <c r="B48" s="1179" t="s">
        <v>269</v>
      </c>
      <c r="C48" s="56">
        <f>4720+472-2000</f>
        <v>3192</v>
      </c>
      <c r="D48" s="1189">
        <f>4720+472-2000</f>
        <v>3192</v>
      </c>
      <c r="E48" s="1181">
        <f t="shared" si="5"/>
        <v>0</v>
      </c>
      <c r="F48" s="1182">
        <f t="shared" si="6"/>
        <v>100</v>
      </c>
      <c r="G48" s="1055"/>
      <c r="H48" s="1312">
        <f>C48+C49+C50+C51+C52+C60+C66+C67+C68</f>
        <v>180993</v>
      </c>
      <c r="I48" s="1312">
        <f>D48+D49+D50+D51+D52+D60+D66+D67+D68</f>
        <v>189364</v>
      </c>
      <c r="J48"/>
      <c r="K48"/>
    </row>
    <row r="49" spans="1:11" s="20" customFormat="1" ht="15.6">
      <c r="A49" s="1178" t="s">
        <v>871</v>
      </c>
      <c r="B49" s="1179" t="s">
        <v>270</v>
      </c>
      <c r="C49" s="56">
        <f>2366+236-897</f>
        <v>1705</v>
      </c>
      <c r="D49" s="1189">
        <f>2366+236-897</f>
        <v>1705</v>
      </c>
      <c r="E49" s="1181">
        <f t="shared" si="5"/>
        <v>0</v>
      </c>
      <c r="F49" s="1182">
        <f t="shared" si="6"/>
        <v>100</v>
      </c>
      <c r="G49" s="1055"/>
      <c r="H49" s="1314">
        <f>C46-H48</f>
        <v>0</v>
      </c>
      <c r="I49" s="1314">
        <f>D46-I48</f>
        <v>0</v>
      </c>
      <c r="J49"/>
      <c r="K49"/>
    </row>
    <row r="50" spans="1:11" s="20" customFormat="1" ht="15.6">
      <c r="A50" s="1178" t="s">
        <v>872</v>
      </c>
      <c r="B50" s="1179" t="s">
        <v>807</v>
      </c>
      <c r="C50" s="56">
        <f>1039+104</f>
        <v>1143</v>
      </c>
      <c r="D50" s="1189">
        <f>1108+104</f>
        <v>1212</v>
      </c>
      <c r="E50" s="54">
        <f t="shared" si="5"/>
        <v>69</v>
      </c>
      <c r="F50" s="1182">
        <f t="shared" si="6"/>
        <v>106.03674540682415</v>
      </c>
      <c r="G50" s="1055"/>
      <c r="H50" s="1055"/>
      <c r="I50"/>
      <c r="J50"/>
      <c r="K50"/>
    </row>
    <row r="51" spans="1:11" s="20" customFormat="1" ht="15.6">
      <c r="A51" s="1178" t="s">
        <v>873</v>
      </c>
      <c r="B51" s="1179" t="s">
        <v>808</v>
      </c>
      <c r="C51" s="56">
        <f>1442+144</f>
        <v>1586</v>
      </c>
      <c r="D51" s="1189">
        <f>1496+144</f>
        <v>1640</v>
      </c>
      <c r="E51" s="54">
        <f t="shared" si="5"/>
        <v>54</v>
      </c>
      <c r="F51" s="1182">
        <f t="shared" si="6"/>
        <v>103.4047919293821</v>
      </c>
      <c r="G51" s="1055"/>
      <c r="H51" s="1055"/>
      <c r="I51"/>
      <c r="J51"/>
      <c r="K51"/>
    </row>
    <row r="52" spans="1:11" s="20" customFormat="1" ht="15.6">
      <c r="A52" s="1178" t="s">
        <v>874</v>
      </c>
      <c r="B52" s="1179" t="s">
        <v>276</v>
      </c>
      <c r="C52" s="1189">
        <f>SUM(C54:C59)</f>
        <v>28967</v>
      </c>
      <c r="D52" s="1189">
        <f>SUM(D54:D59)</f>
        <v>29117</v>
      </c>
      <c r="E52" s="54">
        <f t="shared" si="5"/>
        <v>150</v>
      </c>
      <c r="F52" s="1182">
        <f t="shared" si="6"/>
        <v>100.51783063486036</v>
      </c>
      <c r="G52" s="1055"/>
      <c r="H52" s="1055"/>
      <c r="I52"/>
      <c r="J52"/>
      <c r="K52"/>
    </row>
    <row r="53" spans="1:11" s="20" customFormat="1" ht="15.6">
      <c r="A53" s="1178"/>
      <c r="B53" s="1190" t="s">
        <v>297</v>
      </c>
      <c r="C53" s="56"/>
      <c r="D53" s="1189"/>
      <c r="E53" s="1181">
        <f t="shared" si="5"/>
        <v>0</v>
      </c>
      <c r="F53" s="1182"/>
      <c r="G53" s="1055"/>
      <c r="H53" s="1055"/>
      <c r="I53"/>
      <c r="J53"/>
      <c r="K53"/>
    </row>
    <row r="54" spans="1:11" s="20" customFormat="1" ht="15.6">
      <c r="A54" s="1178"/>
      <c r="B54" s="1190" t="s">
        <v>298</v>
      </c>
      <c r="C54" s="56">
        <v>15594</v>
      </c>
      <c r="D54" s="1189">
        <v>15594</v>
      </c>
      <c r="E54" s="1181">
        <f t="shared" si="5"/>
        <v>0</v>
      </c>
      <c r="F54" s="1182">
        <f>D54/C54%</f>
        <v>100</v>
      </c>
      <c r="G54" s="1055"/>
      <c r="H54" s="1055"/>
      <c r="I54"/>
      <c r="J54"/>
      <c r="K54"/>
    </row>
    <row r="55" spans="1:11" s="20" customFormat="1" ht="15.6">
      <c r="A55" s="1178"/>
      <c r="B55" s="1190" t="s">
        <v>299</v>
      </c>
      <c r="C55" s="56">
        <v>6674</v>
      </c>
      <c r="D55" s="1189">
        <v>6674</v>
      </c>
      <c r="E55" s="1181">
        <f t="shared" si="5"/>
        <v>0</v>
      </c>
      <c r="F55" s="1182">
        <f>D55/C55%</f>
        <v>100.00000000000001</v>
      </c>
      <c r="G55" s="1055"/>
      <c r="H55" s="1055"/>
      <c r="I55"/>
      <c r="J55"/>
      <c r="K55"/>
    </row>
    <row r="56" spans="1:11" s="20" customFormat="1" ht="15.6">
      <c r="A56" s="1178"/>
      <c r="B56" s="1190" t="s">
        <v>300</v>
      </c>
      <c r="C56" s="56">
        <v>1700</v>
      </c>
      <c r="D56" s="1189">
        <v>1700</v>
      </c>
      <c r="E56" s="1181">
        <f t="shared" si="5"/>
        <v>0</v>
      </c>
      <c r="F56" s="1182">
        <f>D56/C56%</f>
        <v>100</v>
      </c>
      <c r="G56" s="1055"/>
      <c r="H56" s="1055"/>
      <c r="I56"/>
      <c r="J56"/>
      <c r="K56"/>
    </row>
    <row r="57" spans="1:11" s="20" customFormat="1" ht="15.6">
      <c r="A57" s="1178"/>
      <c r="B57" s="1190" t="s">
        <v>301</v>
      </c>
      <c r="C57" s="56"/>
      <c r="D57" s="1189"/>
      <c r="E57" s="1181">
        <f t="shared" si="5"/>
        <v>0</v>
      </c>
      <c r="F57" s="1182"/>
      <c r="G57" s="1055"/>
      <c r="H57" s="1055"/>
      <c r="I57"/>
      <c r="J57"/>
      <c r="K57"/>
    </row>
    <row r="58" spans="1:11" s="20" customFormat="1" ht="31.2">
      <c r="A58" s="1178"/>
      <c r="B58" s="1256" t="s">
        <v>303</v>
      </c>
      <c r="C58" s="56">
        <v>300</v>
      </c>
      <c r="D58" s="1189">
        <v>450</v>
      </c>
      <c r="E58" s="54">
        <f t="shared" si="5"/>
        <v>150</v>
      </c>
      <c r="F58" s="1182">
        <f>D58/C58%</f>
        <v>150</v>
      </c>
      <c r="G58" s="1055"/>
      <c r="H58" s="1055"/>
      <c r="I58"/>
      <c r="J58"/>
      <c r="K58"/>
    </row>
    <row r="59" spans="1:11" s="20" customFormat="1" ht="15.6">
      <c r="A59" s="1178"/>
      <c r="B59" s="1190" t="s">
        <v>304</v>
      </c>
      <c r="C59" s="56">
        <f>1802+897+2000</f>
        <v>4699</v>
      </c>
      <c r="D59" s="56">
        <f>1802+897+2000</f>
        <v>4699</v>
      </c>
      <c r="E59" s="1181">
        <f t="shared" si="5"/>
        <v>0</v>
      </c>
      <c r="F59" s="1182">
        <f>D59/C59%</f>
        <v>100</v>
      </c>
      <c r="G59" s="1055"/>
      <c r="H59" s="1055"/>
      <c r="I59"/>
      <c r="J59"/>
      <c r="K59"/>
    </row>
    <row r="60" spans="1:11" s="20" customFormat="1" ht="15.6">
      <c r="A60" s="1178" t="s">
        <v>875</v>
      </c>
      <c r="B60" s="1179" t="s">
        <v>278</v>
      </c>
      <c r="C60" s="56">
        <v>26198</v>
      </c>
      <c r="D60" s="1189">
        <v>26198</v>
      </c>
      <c r="E60" s="1181">
        <f t="shared" si="5"/>
        <v>0</v>
      </c>
      <c r="F60" s="1182">
        <f>D60/C60%</f>
        <v>100</v>
      </c>
      <c r="G60" s="1055"/>
      <c r="H60" s="1055"/>
      <c r="I60"/>
      <c r="J60"/>
      <c r="K60"/>
    </row>
    <row r="61" spans="1:11" s="20" customFormat="1" ht="15.6">
      <c r="A61" s="1194"/>
      <c r="B61" s="1179" t="s">
        <v>290</v>
      </c>
      <c r="C61" s="56"/>
      <c r="D61" s="1189"/>
      <c r="E61" s="1181">
        <f t="shared" si="5"/>
        <v>0</v>
      </c>
      <c r="F61" s="1182"/>
      <c r="G61" s="1055"/>
      <c r="H61" s="1055"/>
      <c r="I61"/>
      <c r="J61"/>
      <c r="K61"/>
    </row>
    <row r="62" spans="1:11" s="20" customFormat="1" ht="15.6">
      <c r="A62" s="1194"/>
      <c r="B62" s="1195" t="s">
        <v>305</v>
      </c>
      <c r="C62" s="56">
        <v>3325</v>
      </c>
      <c r="D62" s="1189">
        <v>3325</v>
      </c>
      <c r="E62" s="1181">
        <f t="shared" si="5"/>
        <v>0</v>
      </c>
      <c r="F62" s="1182">
        <f>D62/C62%</f>
        <v>100</v>
      </c>
      <c r="G62" s="1055"/>
      <c r="H62" s="1055"/>
      <c r="I62"/>
      <c r="J62"/>
      <c r="K62"/>
    </row>
    <row r="63" spans="1:11" s="20" customFormat="1" ht="16.2">
      <c r="A63" s="1196"/>
      <c r="B63" s="1195" t="s">
        <v>306</v>
      </c>
      <c r="C63" s="56">
        <v>873</v>
      </c>
      <c r="D63" s="1189">
        <v>873</v>
      </c>
      <c r="E63" s="1181">
        <f t="shared" si="5"/>
        <v>0</v>
      </c>
      <c r="F63" s="1182">
        <f>D63/C63%</f>
        <v>100</v>
      </c>
      <c r="G63" s="1055"/>
      <c r="H63" s="1055"/>
      <c r="I63"/>
      <c r="J63"/>
      <c r="K63"/>
    </row>
    <row r="64" spans="1:11" s="20" customFormat="1" ht="16.2">
      <c r="A64" s="1196"/>
      <c r="B64" s="1190" t="s">
        <v>307</v>
      </c>
      <c r="C64" s="56">
        <v>20073</v>
      </c>
      <c r="D64" s="1189">
        <f>20073+1927</f>
        <v>22000</v>
      </c>
      <c r="E64" s="54">
        <f t="shared" si="5"/>
        <v>1927</v>
      </c>
      <c r="F64" s="1182">
        <f>D64/C64%</f>
        <v>109.59996014546904</v>
      </c>
      <c r="G64" s="1055"/>
      <c r="H64" s="1055"/>
      <c r="I64"/>
      <c r="J64"/>
      <c r="K64"/>
    </row>
    <row r="65" spans="1:11" s="20" customFormat="1" ht="16.2">
      <c r="A65" s="1196"/>
      <c r="B65" s="1190" t="s">
        <v>308</v>
      </c>
      <c r="C65" s="56">
        <v>1927</v>
      </c>
      <c r="D65" s="1189"/>
      <c r="E65" s="54">
        <f t="shared" si="5"/>
        <v>-1927</v>
      </c>
      <c r="F65" s="1182">
        <f>D65/C65%</f>
        <v>0</v>
      </c>
      <c r="G65" s="1055"/>
      <c r="H65" s="1055"/>
      <c r="I65"/>
      <c r="J65"/>
      <c r="K65"/>
    </row>
    <row r="66" spans="1:11" s="20" customFormat="1" ht="31.2">
      <c r="A66" s="1178" t="s">
        <v>876</v>
      </c>
      <c r="B66" s="1179" t="s">
        <v>277</v>
      </c>
      <c r="C66" s="56">
        <f>111513-2600+5489</f>
        <v>114402</v>
      </c>
      <c r="D66" s="1189">
        <f>118697-707-89+5489</f>
        <v>123390</v>
      </c>
      <c r="E66" s="54">
        <f t="shared" si="5"/>
        <v>8988</v>
      </c>
      <c r="F66" s="1182">
        <f>D66/C66%</f>
        <v>107.85650600513978</v>
      </c>
      <c r="G66" s="1055"/>
      <c r="H66" s="1055"/>
      <c r="I66"/>
      <c r="J66"/>
      <c r="K66"/>
    </row>
    <row r="67" spans="1:11" s="20" customFormat="1" ht="15.6">
      <c r="A67" s="1178" t="s">
        <v>877</v>
      </c>
      <c r="B67" s="1179" t="s">
        <v>720</v>
      </c>
      <c r="C67" s="56">
        <v>3800</v>
      </c>
      <c r="D67" s="1189">
        <f>3800-101-124+177-842</f>
        <v>2910</v>
      </c>
      <c r="E67" s="54">
        <f t="shared" ref="E67:E72" si="7">D67-C67</f>
        <v>-890</v>
      </c>
      <c r="F67" s="1182">
        <f t="shared" ref="F67:F72" si="8">D67/C67%</f>
        <v>76.578947368421055</v>
      </c>
      <c r="G67" s="1055"/>
      <c r="H67" s="1055"/>
      <c r="I67"/>
      <c r="J67"/>
      <c r="K67"/>
    </row>
    <row r="68" spans="1:11" s="20" customFormat="1" ht="15.6">
      <c r="A68" s="1178" t="s">
        <v>878</v>
      </c>
      <c r="B68" s="507" t="s">
        <v>819</v>
      </c>
      <c r="C68" s="56"/>
      <c r="D68" s="1189"/>
      <c r="E68" s="54">
        <f t="shared" si="7"/>
        <v>0</v>
      </c>
      <c r="F68" s="1182" t="e">
        <f t="shared" si="8"/>
        <v>#DIV/0!</v>
      </c>
      <c r="G68" s="1055"/>
      <c r="H68" s="1055"/>
      <c r="I68"/>
      <c r="J68"/>
      <c r="K68"/>
    </row>
    <row r="69" spans="1:11" s="33" customFormat="1" ht="20.25" customHeight="1">
      <c r="A69" s="1018">
        <v>3</v>
      </c>
      <c r="B69" s="30" t="s">
        <v>320</v>
      </c>
      <c r="C69" s="31">
        <v>9673</v>
      </c>
      <c r="D69" s="68">
        <f>ROUND((D8)*2.01%,0)</f>
        <v>11449</v>
      </c>
      <c r="E69" s="144">
        <f t="shared" si="7"/>
        <v>1776</v>
      </c>
      <c r="F69" s="1191">
        <f t="shared" si="8"/>
        <v>118.36038457562286</v>
      </c>
      <c r="G69" s="1055"/>
      <c r="H69" s="1055">
        <f>(D8)*2.01%</f>
        <v>11448.758999999998</v>
      </c>
      <c r="I69"/>
      <c r="J69"/>
      <c r="K69"/>
    </row>
    <row r="70" spans="1:11" s="33" customFormat="1" ht="15.6">
      <c r="A70" s="1018" t="s">
        <v>315</v>
      </c>
      <c r="B70" s="30" t="s">
        <v>818</v>
      </c>
      <c r="C70" s="31">
        <v>12407</v>
      </c>
      <c r="D70" s="69">
        <f>D17</f>
        <v>57155</v>
      </c>
      <c r="E70" s="144">
        <f t="shared" si="7"/>
        <v>44748</v>
      </c>
      <c r="F70" s="1191">
        <f t="shared" si="8"/>
        <v>460.6673651970662</v>
      </c>
      <c r="G70" s="1055"/>
      <c r="H70" s="1055"/>
      <c r="I70"/>
      <c r="J70"/>
      <c r="K70"/>
    </row>
    <row r="71" spans="1:11" s="33" customFormat="1" ht="21.75" customHeight="1">
      <c r="A71" s="1021"/>
      <c r="B71" s="291" t="s">
        <v>15</v>
      </c>
      <c r="C71" s="292">
        <f>C24+C70</f>
        <v>481243</v>
      </c>
      <c r="D71" s="293">
        <f>D24+D70</f>
        <v>569590</v>
      </c>
      <c r="E71" s="144">
        <f t="shared" si="7"/>
        <v>88347</v>
      </c>
      <c r="F71" s="1191">
        <f t="shared" si="8"/>
        <v>118.35808520851212</v>
      </c>
      <c r="G71" s="1055"/>
      <c r="H71" s="1055"/>
      <c r="I71"/>
      <c r="J71"/>
      <c r="K71"/>
    </row>
    <row r="72" spans="1:11" s="15" customFormat="1" ht="15.6">
      <c r="A72" s="1020"/>
      <c r="B72" s="30" t="s">
        <v>11</v>
      </c>
      <c r="C72" s="36">
        <v>6445</v>
      </c>
      <c r="D72" s="84">
        <f>ROUND(C72+I14*10%,0)</f>
        <v>6445</v>
      </c>
      <c r="E72" s="144">
        <f t="shared" si="7"/>
        <v>0</v>
      </c>
      <c r="F72" s="1191">
        <f t="shared" si="8"/>
        <v>100</v>
      </c>
      <c r="G72" s="1055"/>
      <c r="H72" s="1055"/>
      <c r="I72"/>
      <c r="J72"/>
      <c r="K72"/>
    </row>
    <row r="73" spans="1:11" s="18" customFormat="1" ht="15.6">
      <c r="A73" s="1023"/>
      <c r="B73" s="1024"/>
      <c r="C73" s="1025"/>
      <c r="D73" s="1026">
        <v>0</v>
      </c>
      <c r="E73" s="1027"/>
      <c r="F73" s="1028"/>
      <c r="G73" s="1057"/>
      <c r="H73" s="1057"/>
      <c r="I73"/>
      <c r="J73"/>
      <c r="K73"/>
    </row>
    <row r="74" spans="1:11" ht="15.6">
      <c r="B74" s="1050"/>
      <c r="C74" s="1051"/>
      <c r="D74" s="1052"/>
      <c r="E74" s="1053"/>
      <c r="F74" s="1054"/>
      <c r="G74"/>
      <c r="H74"/>
      <c r="I74"/>
      <c r="J74"/>
      <c r="K74"/>
    </row>
    <row r="76" spans="1:11" s="24" customFormat="1" ht="15.6">
      <c r="B76" s="3159"/>
      <c r="C76" s="3159"/>
      <c r="D76" s="80"/>
      <c r="E76" s="48"/>
      <c r="I76" s="25"/>
    </row>
    <row r="77" spans="1:11" s="24" customFormat="1" ht="15.6">
      <c r="D77" s="80"/>
      <c r="E77" s="3126"/>
      <c r="F77" s="3126"/>
      <c r="G77" s="1091"/>
      <c r="I77" s="3126"/>
      <c r="J77" s="3126"/>
    </row>
    <row r="78" spans="1:11" s="24" customFormat="1" ht="15.6">
      <c r="E78" s="49"/>
      <c r="F78" s="57"/>
      <c r="G78" s="1091"/>
      <c r="I78" s="57"/>
      <c r="J78" s="57"/>
    </row>
    <row r="79" spans="1:11" s="24" customFormat="1" ht="15.6">
      <c r="E79" s="49"/>
      <c r="F79" s="57"/>
      <c r="G79" s="1091"/>
      <c r="I79" s="57"/>
      <c r="J79" s="57"/>
    </row>
    <row r="80" spans="1:11" s="24" customFormat="1" ht="15.6">
      <c r="E80" s="48"/>
      <c r="I80" s="25"/>
    </row>
    <row r="81" spans="2:10" s="26" customFormat="1" ht="15.6">
      <c r="E81" s="50"/>
      <c r="I81" s="27"/>
    </row>
    <row r="82" spans="2:10" s="28" customFormat="1" ht="15.6">
      <c r="B82" s="26"/>
      <c r="C82" s="26"/>
      <c r="E82" s="3128"/>
      <c r="F82" s="3128"/>
      <c r="G82" s="1092"/>
      <c r="I82" s="3128"/>
      <c r="J82" s="3128"/>
    </row>
  </sheetData>
  <mergeCells count="14">
    <mergeCell ref="G5:G6"/>
    <mergeCell ref="B76:C76"/>
    <mergeCell ref="E77:F77"/>
    <mergeCell ref="I77:J77"/>
    <mergeCell ref="E82:F82"/>
    <mergeCell ref="I82:J82"/>
    <mergeCell ref="C5:C6"/>
    <mergeCell ref="A5:A6"/>
    <mergeCell ref="B1:F1"/>
    <mergeCell ref="B2:F2"/>
    <mergeCell ref="E4:F4"/>
    <mergeCell ref="B5:B6"/>
    <mergeCell ref="D5:D6"/>
    <mergeCell ref="E5:F5"/>
  </mergeCells>
  <pageMargins left="0.35" right="0.23622047244094499" top="0.32" bottom="0.35433070866141703" header="0.31496062992126" footer="0.31496062992126"/>
  <pageSetup paperSize="9" scale="7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82"/>
  <sheetViews>
    <sheetView topLeftCell="A34" zoomScale="87" zoomScaleNormal="87" workbookViewId="0">
      <selection activeCell="B140" sqref="B140"/>
    </sheetView>
  </sheetViews>
  <sheetFormatPr defaultColWidth="16.5546875" defaultRowHeight="13.8"/>
  <cols>
    <col min="1" max="1" width="8.5546875" style="2" customWidth="1"/>
    <col min="2" max="2" width="58.109375" style="2" customWidth="1"/>
    <col min="3" max="3" width="17.88671875" style="29" customWidth="1"/>
    <col min="4" max="4" width="13.6640625" style="2" customWidth="1"/>
    <col min="5" max="5" width="11.6640625" style="51" customWidth="1"/>
    <col min="6" max="6" width="11.109375" style="2" customWidth="1"/>
    <col min="7" max="7" width="16" style="2" customWidth="1"/>
    <col min="8" max="8" width="15" style="2" customWidth="1"/>
    <col min="9" max="9" width="16.5546875" style="2" customWidth="1"/>
    <col min="10" max="10" width="11.88671875" style="2" customWidth="1"/>
    <col min="11" max="11" width="10.33203125" style="2" customWidth="1"/>
    <col min="12" max="16384" width="16.5546875" style="2"/>
  </cols>
  <sheetData>
    <row r="1" spans="1:12" ht="17.399999999999999">
      <c r="B1" s="3097" t="s">
        <v>16</v>
      </c>
      <c r="C1" s="3097"/>
      <c r="D1" s="3097"/>
      <c r="E1" s="3097"/>
      <c r="F1" s="3097"/>
      <c r="G1" s="605"/>
    </row>
    <row r="2" spans="1:12" s="3" customFormat="1" ht="17.399999999999999">
      <c r="B2" s="3153" t="s">
        <v>21</v>
      </c>
      <c r="C2" s="3153"/>
      <c r="D2" s="3153"/>
      <c r="E2" s="3153"/>
      <c r="F2" s="3153"/>
      <c r="G2" s="606"/>
    </row>
    <row r="3" spans="1:12" s="3" customFormat="1" ht="17.399999999999999">
      <c r="B3" s="400"/>
      <c r="C3" s="400"/>
      <c r="D3" s="400"/>
      <c r="E3" s="400"/>
      <c r="F3" s="400"/>
      <c r="G3" s="606"/>
    </row>
    <row r="4" spans="1:12" s="4" customFormat="1">
      <c r="C4" s="5"/>
      <c r="D4" s="6"/>
      <c r="E4" s="3154" t="s">
        <v>27</v>
      </c>
      <c r="F4" s="3154"/>
      <c r="G4" s="1010"/>
    </row>
    <row r="5" spans="1:12" s="1" customFormat="1" ht="11.4">
      <c r="A5" s="3157" t="s">
        <v>49</v>
      </c>
      <c r="B5" s="3164" t="s">
        <v>0</v>
      </c>
      <c r="C5" s="3134" t="s">
        <v>879</v>
      </c>
      <c r="D5" s="3167" t="s">
        <v>17</v>
      </c>
      <c r="E5" s="3166" t="s">
        <v>26</v>
      </c>
      <c r="F5" s="3157"/>
      <c r="G5" s="3160" t="s">
        <v>811</v>
      </c>
    </row>
    <row r="6" spans="1:12" s="1" customFormat="1" ht="14.4">
      <c r="A6" s="3158"/>
      <c r="B6" s="3165"/>
      <c r="C6" s="3135"/>
      <c r="D6" s="3168"/>
      <c r="E6" s="85" t="s">
        <v>1</v>
      </c>
      <c r="F6" s="86" t="s">
        <v>2</v>
      </c>
      <c r="G6" s="3161"/>
      <c r="H6"/>
      <c r="I6"/>
      <c r="J6"/>
      <c r="K6"/>
      <c r="L6"/>
    </row>
    <row r="7" spans="1:12" s="7" customFormat="1" ht="15.6">
      <c r="A7" s="1012"/>
      <c r="B7" s="1129">
        <v>1</v>
      </c>
      <c r="C7" s="1130">
        <v>2</v>
      </c>
      <c r="D7" s="1131">
        <v>3</v>
      </c>
      <c r="E7" s="1132" t="s">
        <v>882</v>
      </c>
      <c r="F7" s="1199" t="s">
        <v>883</v>
      </c>
      <c r="G7" s="88"/>
      <c r="H7"/>
      <c r="I7"/>
      <c r="J7"/>
      <c r="K7"/>
      <c r="L7"/>
    </row>
    <row r="8" spans="1:12" s="8" customFormat="1" ht="15.6">
      <c r="A8" s="1013" t="s">
        <v>54</v>
      </c>
      <c r="B8" s="1014" t="s">
        <v>812</v>
      </c>
      <c r="C8" s="14">
        <f>C9+C11+C17</f>
        <v>291635</v>
      </c>
      <c r="D8" s="14">
        <f>D9+D11+D17</f>
        <v>350569</v>
      </c>
      <c r="E8" s="14">
        <f t="shared" ref="E8:E34" si="0">D8-C8</f>
        <v>58934</v>
      </c>
      <c r="F8" s="45">
        <f t="shared" ref="F8:F13" si="1">D8/C8%</f>
        <v>120.20813688343306</v>
      </c>
      <c r="G8" s="45"/>
      <c r="H8"/>
      <c r="I8"/>
      <c r="J8"/>
      <c r="K8"/>
      <c r="L8"/>
    </row>
    <row r="9" spans="1:12" s="35" customFormat="1" ht="15.6">
      <c r="A9" s="1015">
        <v>1</v>
      </c>
      <c r="B9" s="34" t="s">
        <v>813</v>
      </c>
      <c r="C9" s="32">
        <f>'so thu huyen-R-03'!D14</f>
        <v>25900</v>
      </c>
      <c r="D9" s="32">
        <f>'so thu huyen-R-03'!I14</f>
        <v>26000</v>
      </c>
      <c r="E9" s="46">
        <f t="shared" si="0"/>
        <v>100</v>
      </c>
      <c r="F9" s="45">
        <f t="shared" si="1"/>
        <v>100.38610038610038</v>
      </c>
      <c r="G9" s="45"/>
      <c r="H9"/>
      <c r="I9"/>
      <c r="J9"/>
      <c r="K9"/>
      <c r="L9"/>
    </row>
    <row r="10" spans="1:12" s="35" customFormat="1" ht="16.2">
      <c r="A10" s="1015"/>
      <c r="B10" s="138" t="s">
        <v>109</v>
      </c>
      <c r="C10" s="32">
        <f>C9-'so thu huyen-R-03'!F14</f>
        <v>25400</v>
      </c>
      <c r="D10" s="139">
        <f>D9-'so thu huyen-R-03'!K14</f>
        <v>25400</v>
      </c>
      <c r="E10" s="46">
        <f t="shared" si="0"/>
        <v>0</v>
      </c>
      <c r="F10" s="45">
        <f t="shared" si="1"/>
        <v>100</v>
      </c>
      <c r="G10" s="45"/>
      <c r="H10"/>
      <c r="I10"/>
      <c r="J10"/>
      <c r="K10"/>
      <c r="L10"/>
    </row>
    <row r="11" spans="1:12" s="35" customFormat="1" ht="15.6">
      <c r="A11" s="1015">
        <v>2</v>
      </c>
      <c r="B11" s="34" t="s">
        <v>814</v>
      </c>
      <c r="C11" s="32">
        <f>SUM(C12:C16)</f>
        <v>257772</v>
      </c>
      <c r="D11" s="32">
        <f>SUM(D12:D16)</f>
        <v>280058</v>
      </c>
      <c r="E11" s="46">
        <f t="shared" si="0"/>
        <v>22286</v>
      </c>
      <c r="F11" s="45">
        <f t="shared" si="1"/>
        <v>108.64562481572864</v>
      </c>
      <c r="G11" s="45"/>
      <c r="H11"/>
      <c r="I11"/>
      <c r="J11"/>
      <c r="K11"/>
      <c r="L11"/>
    </row>
    <row r="12" spans="1:12" s="12" customFormat="1" ht="15.6">
      <c r="A12" s="1016" t="s">
        <v>351</v>
      </c>
      <c r="B12" s="10" t="s">
        <v>829</v>
      </c>
      <c r="C12" s="11">
        <v>244481</v>
      </c>
      <c r="D12" s="11">
        <f>C12</f>
        <v>244481</v>
      </c>
      <c r="E12" s="103">
        <f t="shared" si="0"/>
        <v>0</v>
      </c>
      <c r="F12" s="42">
        <f t="shared" si="1"/>
        <v>100</v>
      </c>
      <c r="G12" s="45"/>
      <c r="H12"/>
      <c r="I12"/>
      <c r="J12"/>
      <c r="K12"/>
      <c r="L12"/>
    </row>
    <row r="13" spans="1:12" s="12" customFormat="1" ht="15.6">
      <c r="A13" s="1016" t="s">
        <v>357</v>
      </c>
      <c r="B13" s="10" t="s">
        <v>387</v>
      </c>
      <c r="C13" s="11">
        <v>9760</v>
      </c>
      <c r="D13" s="11">
        <f>C13</f>
        <v>9760</v>
      </c>
      <c r="E13" s="103">
        <f t="shared" si="0"/>
        <v>0</v>
      </c>
      <c r="F13" s="42">
        <f t="shared" si="1"/>
        <v>100</v>
      </c>
      <c r="G13" s="45"/>
      <c r="H13"/>
      <c r="I13"/>
      <c r="J13"/>
      <c r="K13"/>
      <c r="L13"/>
    </row>
    <row r="14" spans="1:12" s="12" customFormat="1" ht="15.6">
      <c r="A14" s="1016" t="s">
        <v>815</v>
      </c>
      <c r="B14" s="10" t="s">
        <v>386</v>
      </c>
      <c r="C14" s="11"/>
      <c r="D14" s="11">
        <f>10370-I14</f>
        <v>10370</v>
      </c>
      <c r="E14" s="103">
        <f t="shared" si="0"/>
        <v>10370</v>
      </c>
      <c r="F14" s="42"/>
      <c r="G14" s="45"/>
      <c r="H14" s="12" t="s">
        <v>13</v>
      </c>
      <c r="I14">
        <f>'so thu huyen-R-03'!O14</f>
        <v>0</v>
      </c>
      <c r="J14"/>
      <c r="K14"/>
      <c r="L14"/>
    </row>
    <row r="15" spans="1:12" s="12" customFormat="1" ht="15.6">
      <c r="A15" s="1016" t="s">
        <v>816</v>
      </c>
      <c r="B15" s="10" t="s">
        <v>388</v>
      </c>
      <c r="C15" s="11">
        <v>3811</v>
      </c>
      <c r="D15" s="56">
        <f>'BSCD CDCS 2019 (hoan chinh)-05 '!J31</f>
        <v>7352</v>
      </c>
      <c r="E15" s="103">
        <f t="shared" si="0"/>
        <v>3541</v>
      </c>
      <c r="F15" s="42">
        <f t="shared" ref="F15:F34" si="2">D15/C15%</f>
        <v>192.91524534242981</v>
      </c>
      <c r="G15" s="45"/>
      <c r="H15"/>
      <c r="I15"/>
      <c r="J15"/>
      <c r="K15"/>
      <c r="L15"/>
    </row>
    <row r="16" spans="1:12" s="12" customFormat="1" ht="27.6">
      <c r="A16" s="1016" t="s">
        <v>817</v>
      </c>
      <c r="B16" s="1017" t="s">
        <v>828</v>
      </c>
      <c r="C16" s="11">
        <v>-280</v>
      </c>
      <c r="D16" s="56">
        <f>'tang dau tu'!J6</f>
        <v>8095</v>
      </c>
      <c r="E16" s="103">
        <f t="shared" si="0"/>
        <v>8375</v>
      </c>
      <c r="F16" s="42">
        <f t="shared" si="2"/>
        <v>-2891.0714285714289</v>
      </c>
      <c r="G16" s="45"/>
      <c r="H16"/>
      <c r="I16"/>
      <c r="J16"/>
      <c r="K16"/>
      <c r="L16"/>
    </row>
    <row r="17" spans="1:12" s="52" customFormat="1" ht="15.6">
      <c r="A17" s="1018">
        <v>3</v>
      </c>
      <c r="B17" s="89" t="s">
        <v>827</v>
      </c>
      <c r="C17" s="31">
        <f>C18+C19</f>
        <v>7963</v>
      </c>
      <c r="D17" s="32">
        <f>SUM(D18:D23)</f>
        <v>44511</v>
      </c>
      <c r="E17" s="46">
        <f t="shared" si="0"/>
        <v>36548</v>
      </c>
      <c r="F17" s="45">
        <f t="shared" si="2"/>
        <v>558.97274896395834</v>
      </c>
      <c r="G17" s="45"/>
      <c r="H17"/>
      <c r="I17"/>
      <c r="J17"/>
      <c r="K17"/>
      <c r="L17"/>
    </row>
    <row r="18" spans="1:12" s="41" customFormat="1" ht="15.6">
      <c r="A18" s="1019" t="s">
        <v>212</v>
      </c>
      <c r="B18" s="90" t="s">
        <v>389</v>
      </c>
      <c r="C18" s="39">
        <v>7528</v>
      </c>
      <c r="D18" s="40">
        <f>'BSCD CDCS 2019 (hoan chinh)-05 '!J3</f>
        <v>11136</v>
      </c>
      <c r="E18" s="103">
        <f t="shared" si="0"/>
        <v>3608</v>
      </c>
      <c r="F18" s="42">
        <f t="shared" si="2"/>
        <v>147.92773645058449</v>
      </c>
      <c r="G18" s="45"/>
      <c r="H18"/>
      <c r="I18"/>
      <c r="J18"/>
      <c r="K18"/>
      <c r="L18"/>
    </row>
    <row r="19" spans="1:12" s="41" customFormat="1" ht="15.6">
      <c r="A19" s="1019" t="s">
        <v>214</v>
      </c>
      <c r="B19" s="90" t="s">
        <v>826</v>
      </c>
      <c r="C19" s="55">
        <v>435</v>
      </c>
      <c r="D19" s="40">
        <f>'BSCD CDCS 2019 (hoan chinh)-05 '!J18</f>
        <v>1672</v>
      </c>
      <c r="E19" s="103">
        <f t="shared" si="0"/>
        <v>1237</v>
      </c>
      <c r="F19" s="42">
        <f t="shared" si="2"/>
        <v>384.36781609195407</v>
      </c>
      <c r="G19" s="45"/>
      <c r="H19"/>
      <c r="I19"/>
      <c r="J19"/>
      <c r="K19"/>
      <c r="L19"/>
    </row>
    <row r="20" spans="1:12" s="41" customFormat="1" ht="15.6">
      <c r="A20" s="1019" t="s">
        <v>925</v>
      </c>
      <c r="B20" s="1212" t="s">
        <v>926</v>
      </c>
      <c r="C20" s="55"/>
      <c r="D20" s="40">
        <f>'BSCD CDCS 2019 (hoan chinh)-05 '!J19</f>
        <v>1000</v>
      </c>
      <c r="E20" s="103">
        <f t="shared" si="0"/>
        <v>1000</v>
      </c>
      <c r="F20" s="1105"/>
      <c r="G20" s="45"/>
      <c r="H20"/>
      <c r="I20"/>
      <c r="J20"/>
      <c r="K20"/>
      <c r="L20"/>
    </row>
    <row r="21" spans="1:12" s="41" customFormat="1" ht="15.6">
      <c r="A21" s="1019" t="s">
        <v>1041</v>
      </c>
      <c r="B21" s="408" t="s">
        <v>1033</v>
      </c>
      <c r="C21" s="55"/>
      <c r="D21" s="40">
        <f>'BSCD CDCS 2019 (hoan chinh)-05 '!J22</f>
        <v>537</v>
      </c>
      <c r="E21" s="103"/>
      <c r="F21" s="1105"/>
      <c r="G21" s="45"/>
      <c r="H21"/>
      <c r="I21"/>
      <c r="J21"/>
      <c r="K21"/>
      <c r="L21"/>
    </row>
    <row r="22" spans="1:12" s="41" customFormat="1" ht="15.6">
      <c r="A22" s="1019" t="s">
        <v>1042</v>
      </c>
      <c r="B22" s="408" t="s">
        <v>1034</v>
      </c>
      <c r="C22" s="55"/>
      <c r="D22" s="40">
        <f>'BSCD CDCS 2019 (hoan chinh)-05 '!J23</f>
        <v>102</v>
      </c>
      <c r="E22" s="103"/>
      <c r="F22" s="1105"/>
      <c r="G22" s="45"/>
      <c r="H22"/>
      <c r="I22"/>
      <c r="J22"/>
      <c r="K22"/>
      <c r="L22"/>
    </row>
    <row r="23" spans="1:12" s="41" customFormat="1" ht="15.6">
      <c r="A23" s="1019" t="s">
        <v>1043</v>
      </c>
      <c r="B23" s="408" t="s">
        <v>1035</v>
      </c>
      <c r="C23" s="55"/>
      <c r="D23" s="40">
        <f>'BSCD CDCS 2019 (hoan chinh)-05 '!J24</f>
        <v>30064</v>
      </c>
      <c r="E23" s="103"/>
      <c r="F23" s="1105"/>
      <c r="G23" s="45"/>
      <c r="H23"/>
      <c r="I23"/>
      <c r="J23"/>
      <c r="K23"/>
      <c r="L23"/>
    </row>
    <row r="24" spans="1:12" s="15" customFormat="1" ht="15.6">
      <c r="A24" s="1013" t="s">
        <v>60</v>
      </c>
      <c r="B24" s="599" t="s">
        <v>825</v>
      </c>
      <c r="C24" s="14">
        <f>C25+C40+C69</f>
        <v>283672</v>
      </c>
      <c r="D24" s="59">
        <f>D25+D40+D69</f>
        <v>306058</v>
      </c>
      <c r="E24" s="46">
        <f t="shared" si="0"/>
        <v>22386</v>
      </c>
      <c r="F24" s="45">
        <f t="shared" si="2"/>
        <v>107.89150850277787</v>
      </c>
      <c r="G24" s="45"/>
      <c r="H24"/>
      <c r="I24"/>
      <c r="J24"/>
      <c r="K24"/>
      <c r="L24"/>
    </row>
    <row r="25" spans="1:12" s="33" customFormat="1" ht="15.6">
      <c r="A25" s="1018">
        <v>1</v>
      </c>
      <c r="B25" s="30" t="s">
        <v>824</v>
      </c>
      <c r="C25" s="31">
        <f>C26+C30+C34</f>
        <v>27530</v>
      </c>
      <c r="D25" s="31">
        <f>D26+D30+D34</f>
        <v>35995</v>
      </c>
      <c r="E25" s="46">
        <f t="shared" si="0"/>
        <v>8465</v>
      </c>
      <c r="F25" s="45">
        <f t="shared" si="2"/>
        <v>130.7482746095169</v>
      </c>
      <c r="G25" s="45"/>
      <c r="H25"/>
      <c r="I25"/>
      <c r="J25"/>
      <c r="K25"/>
      <c r="L25"/>
    </row>
    <row r="26" spans="1:12" s="15" customFormat="1" ht="15.6">
      <c r="A26" s="1012" t="s">
        <v>200</v>
      </c>
      <c r="B26" s="16" t="s">
        <v>823</v>
      </c>
      <c r="C26" s="9">
        <v>8580</v>
      </c>
      <c r="D26" s="54">
        <f>D27+D28</f>
        <v>16955</v>
      </c>
      <c r="E26" s="103">
        <f t="shared" si="0"/>
        <v>8375</v>
      </c>
      <c r="F26" s="42">
        <f t="shared" si="2"/>
        <v>197.6107226107226</v>
      </c>
      <c r="G26" s="45"/>
      <c r="H26"/>
      <c r="I26"/>
      <c r="J26"/>
      <c r="K26"/>
      <c r="L26"/>
    </row>
    <row r="27" spans="1:12" s="598" customFormat="1" ht="15.6">
      <c r="A27" s="1012"/>
      <c r="B27" s="17" t="s">
        <v>957</v>
      </c>
      <c r="C27" s="1104">
        <v>8580</v>
      </c>
      <c r="D27" s="54">
        <v>11955</v>
      </c>
      <c r="E27" s="103">
        <f t="shared" ref="E27:E28" si="3">D27-C27</f>
        <v>3375</v>
      </c>
      <c r="F27" s="1105">
        <f t="shared" ref="F27" si="4">D27/C27%</f>
        <v>139.33566433566435</v>
      </c>
      <c r="G27" s="45"/>
      <c r="H27"/>
      <c r="I27"/>
      <c r="J27"/>
      <c r="K27"/>
      <c r="L27"/>
    </row>
    <row r="28" spans="1:12" s="598" customFormat="1" ht="15.6">
      <c r="A28" s="1012"/>
      <c r="B28" s="17" t="s">
        <v>958</v>
      </c>
      <c r="C28" s="1104"/>
      <c r="D28" s="54">
        <v>5000</v>
      </c>
      <c r="E28" s="103">
        <f t="shared" si="3"/>
        <v>5000</v>
      </c>
      <c r="F28" s="1105"/>
      <c r="G28" s="45"/>
      <c r="H28"/>
      <c r="I28"/>
      <c r="J28"/>
      <c r="K28"/>
      <c r="L28"/>
    </row>
    <row r="29" spans="1:12" s="598" customFormat="1" ht="15.6">
      <c r="A29" s="1012"/>
      <c r="B29" s="17"/>
      <c r="C29" s="1104"/>
      <c r="D29" s="54"/>
      <c r="E29" s="103"/>
      <c r="F29" s="1105"/>
      <c r="G29" s="45"/>
      <c r="H29"/>
      <c r="I29"/>
      <c r="J29"/>
      <c r="K29"/>
      <c r="L29"/>
    </row>
    <row r="30" spans="1:12" s="15" customFormat="1" ht="27.6">
      <c r="A30" s="1012" t="s">
        <v>208</v>
      </c>
      <c r="B30" s="43" t="s">
        <v>822</v>
      </c>
      <c r="C30" s="9">
        <f>SUM(C31:C33)</f>
        <v>450</v>
      </c>
      <c r="D30" s="9">
        <f>SUM(D31:D33)</f>
        <v>540</v>
      </c>
      <c r="E30" s="103">
        <f t="shared" si="0"/>
        <v>90</v>
      </c>
      <c r="F30" s="42">
        <f t="shared" si="2"/>
        <v>120</v>
      </c>
      <c r="G30" s="45"/>
      <c r="H30"/>
      <c r="I30"/>
      <c r="J30"/>
      <c r="K30"/>
      <c r="L30"/>
    </row>
    <row r="31" spans="1:12" s="15" customFormat="1" ht="15.6">
      <c r="A31" s="1067"/>
      <c r="B31" s="16" t="s">
        <v>4</v>
      </c>
      <c r="C31" s="9">
        <v>200</v>
      </c>
      <c r="D31" s="92">
        <f>'so thu huyen-R-03'!V14</f>
        <v>240</v>
      </c>
      <c r="E31" s="103">
        <f t="shared" si="0"/>
        <v>40</v>
      </c>
      <c r="F31" s="42">
        <f t="shared" si="2"/>
        <v>120</v>
      </c>
      <c r="G31" s="45"/>
      <c r="H31"/>
      <c r="I31"/>
      <c r="J31"/>
      <c r="K31"/>
      <c r="L31"/>
    </row>
    <row r="32" spans="1:12" s="15" customFormat="1" ht="15.6">
      <c r="A32" s="1067"/>
      <c r="B32" s="17" t="s">
        <v>5</v>
      </c>
      <c r="C32" s="9">
        <v>150</v>
      </c>
      <c r="D32" s="92">
        <f>'so thu huyen-R-03'!W14</f>
        <v>180</v>
      </c>
      <c r="E32" s="103">
        <f t="shared" si="0"/>
        <v>30</v>
      </c>
      <c r="F32" s="42">
        <f t="shared" si="2"/>
        <v>120</v>
      </c>
      <c r="G32" s="45"/>
      <c r="H32"/>
      <c r="I32"/>
      <c r="J32"/>
      <c r="K32"/>
      <c r="L32"/>
    </row>
    <row r="33" spans="1:12" s="15" customFormat="1" ht="15.6">
      <c r="A33" s="1067"/>
      <c r="B33" s="17" t="s">
        <v>6</v>
      </c>
      <c r="C33" s="9">
        <v>100</v>
      </c>
      <c r="D33" s="92">
        <f>'so thu huyen-R-03'!X14</f>
        <v>120</v>
      </c>
      <c r="E33" s="103">
        <f t="shared" si="0"/>
        <v>20</v>
      </c>
      <c r="F33" s="42">
        <f t="shared" si="2"/>
        <v>120</v>
      </c>
      <c r="G33" s="45"/>
      <c r="H33"/>
      <c r="I33"/>
      <c r="J33"/>
      <c r="K33"/>
      <c r="L33"/>
    </row>
    <row r="34" spans="1:12" s="15" customFormat="1" ht="15.6">
      <c r="A34" s="1012" t="s">
        <v>335</v>
      </c>
      <c r="B34" s="44" t="s">
        <v>821</v>
      </c>
      <c r="C34" s="9">
        <f>SUM(C35:C39)</f>
        <v>18500</v>
      </c>
      <c r="D34" s="9">
        <f>SUM(D35:D38)</f>
        <v>18500</v>
      </c>
      <c r="E34" s="103">
        <f t="shared" si="0"/>
        <v>0</v>
      </c>
      <c r="F34" s="42">
        <f t="shared" si="2"/>
        <v>100</v>
      </c>
      <c r="G34" s="45"/>
      <c r="H34"/>
      <c r="I34"/>
      <c r="J34"/>
      <c r="K34"/>
      <c r="L34"/>
    </row>
    <row r="35" spans="1:12" s="15" customFormat="1" ht="31.2">
      <c r="A35" s="1013"/>
      <c r="B35" s="420" t="s">
        <v>247</v>
      </c>
      <c r="C35" s="9">
        <v>4000</v>
      </c>
      <c r="D35" s="93">
        <v>3000</v>
      </c>
      <c r="E35" s="103">
        <f t="shared" ref="E35:E39" si="5">D35-C35</f>
        <v>-1000</v>
      </c>
      <c r="F35" s="1105">
        <f t="shared" ref="F35:F39" si="6">D35/C35%</f>
        <v>75</v>
      </c>
      <c r="G35" s="45"/>
      <c r="H35"/>
      <c r="I35"/>
      <c r="J35"/>
      <c r="K35"/>
      <c r="L35"/>
    </row>
    <row r="36" spans="1:12" s="598" customFormat="1" ht="31.2">
      <c r="A36" s="1013"/>
      <c r="B36" s="420" t="s">
        <v>863</v>
      </c>
      <c r="C36" s="1104"/>
      <c r="D36" s="93"/>
      <c r="E36" s="103">
        <f t="shared" si="5"/>
        <v>0</v>
      </c>
      <c r="F36" s="1105"/>
      <c r="G36" s="45"/>
      <c r="H36"/>
      <c r="I36"/>
      <c r="J36"/>
      <c r="K36"/>
      <c r="L36"/>
    </row>
    <row r="37" spans="1:12" s="15" customFormat="1" ht="15.6">
      <c r="A37" s="1013"/>
      <c r="B37" s="416" t="s">
        <v>248</v>
      </c>
      <c r="C37" s="9">
        <v>6500</v>
      </c>
      <c r="D37" s="93">
        <v>10500</v>
      </c>
      <c r="E37" s="103">
        <f t="shared" si="5"/>
        <v>4000</v>
      </c>
      <c r="F37" s="1105">
        <f t="shared" si="6"/>
        <v>161.53846153846155</v>
      </c>
      <c r="G37" s="45"/>
      <c r="H37"/>
      <c r="I37"/>
      <c r="J37"/>
      <c r="K37"/>
      <c r="L37"/>
    </row>
    <row r="38" spans="1:12" s="15" customFormat="1" ht="31.2">
      <c r="A38" s="1013"/>
      <c r="B38" s="420" t="s">
        <v>249</v>
      </c>
      <c r="C38" s="9">
        <v>5000</v>
      </c>
      <c r="D38" s="93">
        <v>5000</v>
      </c>
      <c r="E38" s="103">
        <f t="shared" si="5"/>
        <v>0</v>
      </c>
      <c r="F38" s="1105">
        <f t="shared" si="6"/>
        <v>100</v>
      </c>
      <c r="G38" s="45"/>
      <c r="H38"/>
      <c r="I38"/>
      <c r="J38"/>
      <c r="K38"/>
      <c r="L38"/>
    </row>
    <row r="39" spans="1:12" s="598" customFormat="1" ht="15.6">
      <c r="A39" s="1013"/>
      <c r="B39" s="420" t="s">
        <v>852</v>
      </c>
      <c r="C39" s="1104">
        <v>3000</v>
      </c>
      <c r="D39" s="93"/>
      <c r="E39" s="103">
        <f t="shared" si="5"/>
        <v>-3000</v>
      </c>
      <c r="F39" s="1105">
        <f t="shared" si="6"/>
        <v>0</v>
      </c>
      <c r="G39" s="45"/>
      <c r="H39"/>
      <c r="I39"/>
      <c r="J39"/>
      <c r="K39"/>
      <c r="L39"/>
    </row>
    <row r="40" spans="1:12" s="33" customFormat="1" ht="15.6">
      <c r="A40" s="1018">
        <v>2</v>
      </c>
      <c r="B40" s="30" t="s">
        <v>830</v>
      </c>
      <c r="C40" s="31">
        <f>C41+C44+C45+C46</f>
        <v>250281</v>
      </c>
      <c r="D40" s="1102">
        <f>D41+D44+D45+D46</f>
        <v>263017</v>
      </c>
      <c r="E40" s="46">
        <f t="shared" ref="E40:E47" si="7">D40-C40</f>
        <v>12736</v>
      </c>
      <c r="F40" s="45">
        <f t="shared" ref="F40:F47" si="8">D40/C40%</f>
        <v>105.08868032331659</v>
      </c>
      <c r="G40" s="45"/>
      <c r="H40"/>
      <c r="I40"/>
      <c r="J40"/>
      <c r="K40"/>
      <c r="L40"/>
    </row>
    <row r="41" spans="1:12" s="4" customFormat="1" ht="15.6">
      <c r="A41" s="1012" t="s">
        <v>351</v>
      </c>
      <c r="B41" s="16" t="s">
        <v>820</v>
      </c>
      <c r="C41" s="9">
        <v>143432</v>
      </c>
      <c r="D41" s="94">
        <f>C41+6964</f>
        <v>150396</v>
      </c>
      <c r="E41" s="103">
        <f t="shared" si="7"/>
        <v>6964</v>
      </c>
      <c r="F41" s="42">
        <f t="shared" si="8"/>
        <v>104.8552624240058</v>
      </c>
      <c r="G41" s="45"/>
      <c r="H41">
        <f>I14*50%</f>
        <v>0</v>
      </c>
      <c r="I41"/>
      <c r="J41"/>
      <c r="K41"/>
      <c r="L41"/>
    </row>
    <row r="42" spans="1:12" s="4" customFormat="1" ht="15.6">
      <c r="A42" s="1019"/>
      <c r="B42" s="487" t="s">
        <v>809</v>
      </c>
      <c r="C42" s="9">
        <v>142332</v>
      </c>
      <c r="D42" s="94">
        <f>C42+6907</f>
        <v>149239</v>
      </c>
      <c r="E42" s="103">
        <f t="shared" si="7"/>
        <v>6907</v>
      </c>
      <c r="F42" s="1105">
        <f t="shared" si="8"/>
        <v>104.85273866734116</v>
      </c>
      <c r="G42" s="45"/>
      <c r="H42"/>
      <c r="I42"/>
      <c r="J42"/>
      <c r="K42"/>
      <c r="L42"/>
    </row>
    <row r="43" spans="1:12" s="4" customFormat="1" ht="15.6">
      <c r="A43" s="1019"/>
      <c r="B43" s="487" t="s">
        <v>810</v>
      </c>
      <c r="C43" s="9">
        <v>1100</v>
      </c>
      <c r="D43" s="94">
        <v>1157</v>
      </c>
      <c r="E43" s="103">
        <f t="shared" si="7"/>
        <v>57</v>
      </c>
      <c r="F43" s="1105">
        <f t="shared" si="8"/>
        <v>105.18181818181819</v>
      </c>
      <c r="G43" s="45"/>
      <c r="H43"/>
      <c r="I43"/>
      <c r="J43"/>
      <c r="K43"/>
      <c r="L43"/>
    </row>
    <row r="44" spans="1:12" s="4" customFormat="1" ht="15.6">
      <c r="A44" s="1012" t="s">
        <v>357</v>
      </c>
      <c r="B44" s="16" t="s">
        <v>805</v>
      </c>
      <c r="C44" s="9">
        <v>250</v>
      </c>
      <c r="D44" s="94">
        <v>250</v>
      </c>
      <c r="E44" s="103">
        <f t="shared" si="7"/>
        <v>0</v>
      </c>
      <c r="F44" s="42">
        <f t="shared" si="8"/>
        <v>100</v>
      </c>
      <c r="G44" s="45"/>
      <c r="H44"/>
      <c r="I44"/>
      <c r="J44"/>
      <c r="K44"/>
      <c r="L44"/>
    </row>
    <row r="45" spans="1:12" s="4" customFormat="1" ht="15.6">
      <c r="A45" s="1012" t="s">
        <v>815</v>
      </c>
      <c r="B45" s="91" t="s">
        <v>804</v>
      </c>
      <c r="C45" s="9">
        <v>1475</v>
      </c>
      <c r="D45" s="94">
        <v>1475</v>
      </c>
      <c r="E45" s="103">
        <f t="shared" si="7"/>
        <v>0</v>
      </c>
      <c r="F45" s="42">
        <f t="shared" si="8"/>
        <v>100</v>
      </c>
      <c r="G45" s="45"/>
      <c r="H45">
        <f>E46*3%</f>
        <v>173.16</v>
      </c>
      <c r="I45"/>
      <c r="J45"/>
      <c r="K45"/>
      <c r="L45"/>
    </row>
    <row r="46" spans="1:12" s="4" customFormat="1" ht="15.6">
      <c r="A46" s="1012" t="s">
        <v>816</v>
      </c>
      <c r="B46" s="16" t="s">
        <v>7</v>
      </c>
      <c r="C46" s="1047">
        <f>C8-C25-C41-C44-C45-C69-C70</f>
        <v>105124</v>
      </c>
      <c r="D46" s="1047">
        <f>D8-D25-D41-D44-D45-D69-D70</f>
        <v>110896</v>
      </c>
      <c r="E46" s="1068">
        <f t="shared" si="7"/>
        <v>5772</v>
      </c>
      <c r="F46" s="1043">
        <f t="shared" si="8"/>
        <v>105.49065865073628</v>
      </c>
      <c r="G46" s="45"/>
      <c r="H46" s="1305">
        <f>C48+C49+C50+C51+C52+C60+C66+C67+C68</f>
        <v>105124</v>
      </c>
      <c r="I46" s="1305">
        <f>D48+D49+D50+D51+D52+D60+D66+D67+D68</f>
        <v>110896</v>
      </c>
      <c r="J46"/>
      <c r="K46"/>
      <c r="L46"/>
    </row>
    <row r="47" spans="1:12" s="20" customFormat="1" ht="15.6">
      <c r="A47" s="1016"/>
      <c r="B47" s="19" t="s">
        <v>8</v>
      </c>
      <c r="C47" s="11">
        <v>50</v>
      </c>
      <c r="D47" s="62">
        <f>'so thu huyen-R-03'!Y14</f>
        <v>60</v>
      </c>
      <c r="E47" s="103">
        <f t="shared" si="7"/>
        <v>10</v>
      </c>
      <c r="F47" s="42">
        <f t="shared" si="8"/>
        <v>120</v>
      </c>
      <c r="G47" s="45"/>
      <c r="H47" s="1315">
        <f>C46-H46</f>
        <v>0</v>
      </c>
      <c r="I47" s="1315">
        <f>D46-I46</f>
        <v>0</v>
      </c>
      <c r="J47"/>
      <c r="K47"/>
      <c r="L47"/>
    </row>
    <row r="48" spans="1:12" s="20" customFormat="1" ht="15.6">
      <c r="A48" s="1178" t="s">
        <v>870</v>
      </c>
      <c r="B48" s="1179" t="s">
        <v>269</v>
      </c>
      <c r="C48" s="56">
        <f>3670+367-2000</f>
        <v>2037</v>
      </c>
      <c r="D48" s="426">
        <f>3670+367-2000</f>
        <v>2037</v>
      </c>
      <c r="E48" s="103">
        <f t="shared" ref="E48:E72" si="9">D48-C48</f>
        <v>0</v>
      </c>
      <c r="F48" s="1105">
        <f t="shared" ref="F48:F72" si="10">D48/C48%</f>
        <v>100</v>
      </c>
      <c r="G48" s="45"/>
      <c r="H48"/>
      <c r="I48"/>
      <c r="J48"/>
      <c r="K48"/>
      <c r="L48"/>
    </row>
    <row r="49" spans="1:12" s="20" customFormat="1" ht="15.6">
      <c r="A49" s="1178" t="s">
        <v>871</v>
      </c>
      <c r="B49" s="1179" t="s">
        <v>270</v>
      </c>
      <c r="C49" s="56">
        <f>4127+412-3000</f>
        <v>1539</v>
      </c>
      <c r="D49" s="426">
        <f>4127+412-3000</f>
        <v>1539</v>
      </c>
      <c r="E49" s="103">
        <f t="shared" si="9"/>
        <v>0</v>
      </c>
      <c r="F49" s="1105">
        <f t="shared" si="10"/>
        <v>100</v>
      </c>
      <c r="G49" s="45"/>
      <c r="H49"/>
      <c r="I49"/>
      <c r="J49"/>
      <c r="K49"/>
      <c r="L49"/>
    </row>
    <row r="50" spans="1:12" s="20" customFormat="1" ht="15.6">
      <c r="A50" s="1178" t="s">
        <v>872</v>
      </c>
      <c r="B50" s="1179" t="s">
        <v>807</v>
      </c>
      <c r="C50" s="56">
        <f>2084+208</f>
        <v>2292</v>
      </c>
      <c r="D50" s="426">
        <f>2134+208</f>
        <v>2342</v>
      </c>
      <c r="E50" s="103">
        <f t="shared" si="9"/>
        <v>50</v>
      </c>
      <c r="F50" s="1105">
        <f t="shared" si="10"/>
        <v>102.18150087260034</v>
      </c>
      <c r="G50" s="45"/>
      <c r="H50"/>
      <c r="I50"/>
      <c r="J50"/>
      <c r="K50"/>
      <c r="L50"/>
    </row>
    <row r="51" spans="1:12" s="20" customFormat="1" ht="15.6">
      <c r="A51" s="1178" t="s">
        <v>873</v>
      </c>
      <c r="B51" s="1179" t="s">
        <v>808</v>
      </c>
      <c r="C51" s="56">
        <f>711+71</f>
        <v>782</v>
      </c>
      <c r="D51" s="426">
        <f>743+71</f>
        <v>814</v>
      </c>
      <c r="E51" s="103">
        <f t="shared" si="9"/>
        <v>32</v>
      </c>
      <c r="F51" s="1105">
        <f t="shared" si="10"/>
        <v>104.09207161125319</v>
      </c>
      <c r="G51" s="45"/>
      <c r="H51"/>
      <c r="I51"/>
      <c r="J51"/>
      <c r="K51"/>
      <c r="L51"/>
    </row>
    <row r="52" spans="1:12" s="20" customFormat="1" ht="15.6">
      <c r="A52" s="1178" t="s">
        <v>874</v>
      </c>
      <c r="B52" s="1179" t="s">
        <v>276</v>
      </c>
      <c r="C52" s="56">
        <f>SUM(C54:C59)</f>
        <v>17563</v>
      </c>
      <c r="D52" s="56">
        <f>SUM(D54:D59)</f>
        <v>17573</v>
      </c>
      <c r="E52" s="103">
        <f t="shared" si="9"/>
        <v>10</v>
      </c>
      <c r="F52" s="1105">
        <f t="shared" si="10"/>
        <v>100.05693788077208</v>
      </c>
      <c r="G52" s="45"/>
      <c r="H52"/>
      <c r="I52"/>
      <c r="J52"/>
      <c r="K52"/>
      <c r="L52"/>
    </row>
    <row r="53" spans="1:12" s="20" customFormat="1" ht="15.6">
      <c r="A53" s="1178"/>
      <c r="B53" s="1190" t="s">
        <v>297</v>
      </c>
      <c r="C53" s="56"/>
      <c r="D53" s="426"/>
      <c r="E53" s="103">
        <f t="shared" si="9"/>
        <v>0</v>
      </c>
      <c r="F53" s="1105"/>
      <c r="G53" s="45"/>
      <c r="H53"/>
      <c r="I53"/>
      <c r="J53"/>
      <c r="K53"/>
      <c r="L53"/>
    </row>
    <row r="54" spans="1:12" s="20" customFormat="1" ht="15.6">
      <c r="A54" s="1178"/>
      <c r="B54" s="1190" t="s">
        <v>298</v>
      </c>
      <c r="C54" s="56">
        <v>3284</v>
      </c>
      <c r="D54" s="426">
        <v>3284</v>
      </c>
      <c r="E54" s="103">
        <f t="shared" si="9"/>
        <v>0</v>
      </c>
      <c r="F54" s="1105">
        <f t="shared" si="10"/>
        <v>99.999999999999986</v>
      </c>
      <c r="G54" s="45"/>
      <c r="H54"/>
      <c r="I54"/>
      <c r="J54"/>
      <c r="K54"/>
      <c r="L54"/>
    </row>
    <row r="55" spans="1:12" s="20" customFormat="1" ht="15.6">
      <c r="A55" s="1178"/>
      <c r="B55" s="1190" t="s">
        <v>299</v>
      </c>
      <c r="C55" s="56">
        <v>1354</v>
      </c>
      <c r="D55" s="426">
        <v>1354</v>
      </c>
      <c r="E55" s="103">
        <f t="shared" si="9"/>
        <v>0</v>
      </c>
      <c r="F55" s="1105">
        <f t="shared" si="10"/>
        <v>100</v>
      </c>
      <c r="G55" s="45"/>
      <c r="H55"/>
      <c r="I55"/>
      <c r="J55"/>
      <c r="K55"/>
      <c r="L55"/>
    </row>
    <row r="56" spans="1:12" s="20" customFormat="1" ht="15.6">
      <c r="A56" s="1178"/>
      <c r="B56" s="1190" t="s">
        <v>300</v>
      </c>
      <c r="C56" s="56">
        <v>700</v>
      </c>
      <c r="D56" s="426">
        <v>700</v>
      </c>
      <c r="E56" s="103">
        <f t="shared" si="9"/>
        <v>0</v>
      </c>
      <c r="F56" s="1105">
        <f t="shared" si="10"/>
        <v>100</v>
      </c>
      <c r="G56" s="45"/>
      <c r="H56"/>
      <c r="I56"/>
      <c r="J56"/>
      <c r="K56"/>
      <c r="L56"/>
    </row>
    <row r="57" spans="1:12" s="20" customFormat="1" ht="15.6">
      <c r="A57" s="1178"/>
      <c r="B57" s="1190" t="s">
        <v>301</v>
      </c>
      <c r="C57" s="56"/>
      <c r="D57" s="426"/>
      <c r="E57" s="103">
        <f t="shared" si="9"/>
        <v>0</v>
      </c>
      <c r="F57" s="1105"/>
      <c r="G57" s="45"/>
      <c r="H57"/>
      <c r="I57"/>
      <c r="J57"/>
      <c r="K57"/>
      <c r="L57"/>
    </row>
    <row r="58" spans="1:12" s="20" customFormat="1" ht="31.2">
      <c r="A58" s="1178"/>
      <c r="B58" s="1256" t="s">
        <v>303</v>
      </c>
      <c r="C58" s="56">
        <v>50</v>
      </c>
      <c r="D58" s="426">
        <v>60</v>
      </c>
      <c r="E58" s="103">
        <f t="shared" si="9"/>
        <v>10</v>
      </c>
      <c r="F58" s="1105">
        <f t="shared" si="10"/>
        <v>120</v>
      </c>
      <c r="G58" s="45"/>
      <c r="H58"/>
      <c r="I58"/>
      <c r="J58"/>
      <c r="K58"/>
      <c r="L58"/>
    </row>
    <row r="59" spans="1:12" s="20" customFormat="1" ht="15.6">
      <c r="A59" s="1178"/>
      <c r="B59" s="1190" t="s">
        <v>304</v>
      </c>
      <c r="C59" s="56">
        <f>7175+3000+2000</f>
        <v>12175</v>
      </c>
      <c r="D59" s="426">
        <f>7175+3000+2000</f>
        <v>12175</v>
      </c>
      <c r="E59" s="103">
        <f t="shared" si="9"/>
        <v>0</v>
      </c>
      <c r="F59" s="1105">
        <f t="shared" si="10"/>
        <v>100</v>
      </c>
      <c r="G59" s="45"/>
      <c r="H59"/>
      <c r="I59"/>
      <c r="J59"/>
      <c r="K59"/>
      <c r="L59"/>
    </row>
    <row r="60" spans="1:12" s="20" customFormat="1" ht="15.6">
      <c r="A60" s="1178" t="s">
        <v>875</v>
      </c>
      <c r="B60" s="1179" t="s">
        <v>278</v>
      </c>
      <c r="C60" s="56">
        <v>16314</v>
      </c>
      <c r="D60" s="426">
        <v>16314</v>
      </c>
      <c r="E60" s="103">
        <f t="shared" si="9"/>
        <v>0</v>
      </c>
      <c r="F60" s="1105">
        <f t="shared" si="10"/>
        <v>100.00000000000001</v>
      </c>
      <c r="G60" s="45"/>
      <c r="H60"/>
      <c r="I60"/>
      <c r="J60"/>
      <c r="K60"/>
      <c r="L60"/>
    </row>
    <row r="61" spans="1:12" s="20" customFormat="1" ht="15.6">
      <c r="A61" s="1194"/>
      <c r="B61" s="1179" t="s">
        <v>290</v>
      </c>
      <c r="C61" s="56"/>
      <c r="D61" s="426"/>
      <c r="E61" s="103">
        <f t="shared" si="9"/>
        <v>0</v>
      </c>
      <c r="F61" s="1105"/>
      <c r="G61" s="45"/>
      <c r="H61"/>
      <c r="I61"/>
      <c r="J61"/>
      <c r="K61"/>
      <c r="L61"/>
    </row>
    <row r="62" spans="1:12" s="20" customFormat="1" ht="15.6">
      <c r="A62" s="1194"/>
      <c r="B62" s="1195" t="s">
        <v>305</v>
      </c>
      <c r="C62" s="56">
        <v>3889</v>
      </c>
      <c r="D62" s="426">
        <v>3889</v>
      </c>
      <c r="E62" s="103">
        <f t="shared" si="9"/>
        <v>0</v>
      </c>
      <c r="F62" s="1105">
        <f t="shared" si="10"/>
        <v>100</v>
      </c>
      <c r="G62" s="45"/>
      <c r="H62"/>
      <c r="I62"/>
      <c r="J62"/>
      <c r="K62"/>
      <c r="L62"/>
    </row>
    <row r="63" spans="1:12" s="20" customFormat="1" ht="16.2">
      <c r="A63" s="1196"/>
      <c r="B63" s="1195" t="s">
        <v>306</v>
      </c>
      <c r="C63" s="56">
        <v>597</v>
      </c>
      <c r="D63" s="426">
        <v>597</v>
      </c>
      <c r="E63" s="103">
        <f t="shared" si="9"/>
        <v>0</v>
      </c>
      <c r="F63" s="1105">
        <f t="shared" si="10"/>
        <v>100</v>
      </c>
      <c r="G63" s="45"/>
      <c r="H63"/>
      <c r="I63"/>
      <c r="J63"/>
      <c r="K63"/>
      <c r="L63"/>
    </row>
    <row r="64" spans="1:12" s="20" customFormat="1" ht="16.2">
      <c r="A64" s="1196"/>
      <c r="B64" s="1190" t="s">
        <v>307</v>
      </c>
      <c r="C64" s="56">
        <v>9924</v>
      </c>
      <c r="D64" s="426">
        <f>9924+1904</f>
        <v>11828</v>
      </c>
      <c r="E64" s="103">
        <f t="shared" si="9"/>
        <v>1904</v>
      </c>
      <c r="F64" s="1105">
        <f t="shared" si="10"/>
        <v>119.18581217251109</v>
      </c>
      <c r="G64" s="45"/>
      <c r="H64"/>
      <c r="I64"/>
      <c r="J64"/>
      <c r="K64"/>
      <c r="L64"/>
    </row>
    <row r="65" spans="1:12" s="20" customFormat="1" ht="16.2">
      <c r="A65" s="1196"/>
      <c r="B65" s="1190" t="s">
        <v>308</v>
      </c>
      <c r="C65" s="56">
        <v>1904</v>
      </c>
      <c r="D65" s="426"/>
      <c r="E65" s="103">
        <f t="shared" si="9"/>
        <v>-1904</v>
      </c>
      <c r="F65" s="1105">
        <f t="shared" si="10"/>
        <v>0</v>
      </c>
      <c r="G65" s="45"/>
      <c r="H65"/>
      <c r="I65"/>
      <c r="J65"/>
      <c r="K65"/>
      <c r="L65"/>
    </row>
    <row r="66" spans="1:12" s="20" customFormat="1" ht="15.6">
      <c r="A66" s="1178" t="s">
        <v>876</v>
      </c>
      <c r="B66" s="1179" t="s">
        <v>277</v>
      </c>
      <c r="C66" s="56">
        <f>55249+2541+3468</f>
        <v>61258</v>
      </c>
      <c r="D66" s="426">
        <f>62988-1352+2541+3468</f>
        <v>67645</v>
      </c>
      <c r="E66" s="103">
        <f t="shared" si="9"/>
        <v>6387</v>
      </c>
      <c r="F66" s="1105">
        <f t="shared" si="10"/>
        <v>110.42639328740735</v>
      </c>
      <c r="G66" s="45"/>
      <c r="H66"/>
      <c r="I66"/>
      <c r="J66"/>
      <c r="K66"/>
      <c r="L66"/>
    </row>
    <row r="67" spans="1:12" s="20" customFormat="1" ht="15.6">
      <c r="A67" s="1178" t="s">
        <v>877</v>
      </c>
      <c r="B67" s="1179" t="s">
        <v>720</v>
      </c>
      <c r="C67" s="56">
        <v>3339</v>
      </c>
      <c r="D67" s="426">
        <f>3339-96-125+131-617</f>
        <v>2632</v>
      </c>
      <c r="E67" s="103">
        <f t="shared" si="9"/>
        <v>-707</v>
      </c>
      <c r="F67" s="1105">
        <f t="shared" si="10"/>
        <v>78.825995807127882</v>
      </c>
      <c r="G67" s="45"/>
      <c r="H67"/>
      <c r="I67"/>
      <c r="J67"/>
      <c r="K67"/>
      <c r="L67"/>
    </row>
    <row r="68" spans="1:12" s="20" customFormat="1" ht="15.6">
      <c r="A68" s="1178" t="s">
        <v>878</v>
      </c>
      <c r="B68" s="507" t="s">
        <v>819</v>
      </c>
      <c r="C68" s="56"/>
      <c r="D68" s="426"/>
      <c r="E68" s="103">
        <f t="shared" si="9"/>
        <v>0</v>
      </c>
      <c r="F68" s="1105" t="e">
        <f t="shared" si="10"/>
        <v>#DIV/0!</v>
      </c>
      <c r="G68" s="45"/>
      <c r="H68"/>
      <c r="I68"/>
      <c r="J68"/>
      <c r="K68"/>
      <c r="L68"/>
    </row>
    <row r="69" spans="1:12" s="33" customFormat="1" ht="15.6">
      <c r="A69" s="1018">
        <v>3</v>
      </c>
      <c r="B69" s="30" t="s">
        <v>320</v>
      </c>
      <c r="C69" s="31">
        <v>5861</v>
      </c>
      <c r="D69" s="95">
        <f>ROUND((D8)*2.01%,0)</f>
        <v>7046</v>
      </c>
      <c r="E69" s="46">
        <f t="shared" si="9"/>
        <v>1185</v>
      </c>
      <c r="F69" s="45">
        <f t="shared" si="10"/>
        <v>120.21839276573964</v>
      </c>
      <c r="G69" s="45"/>
      <c r="H69">
        <f>(D8)*2.01%</f>
        <v>7046.4368999999988</v>
      </c>
      <c r="I69"/>
      <c r="J69"/>
      <c r="K69"/>
      <c r="L69"/>
    </row>
    <row r="70" spans="1:12" s="33" customFormat="1" ht="15.6">
      <c r="A70" s="1018" t="s">
        <v>315</v>
      </c>
      <c r="B70" s="30" t="s">
        <v>818</v>
      </c>
      <c r="C70" s="31">
        <v>7963</v>
      </c>
      <c r="D70" s="63">
        <f>D17</f>
        <v>44511</v>
      </c>
      <c r="E70" s="46">
        <f t="shared" si="9"/>
        <v>36548</v>
      </c>
      <c r="F70" s="45">
        <f t="shared" si="10"/>
        <v>558.97274896395834</v>
      </c>
      <c r="G70" s="45"/>
      <c r="H70"/>
      <c r="I70"/>
      <c r="J70"/>
      <c r="K70"/>
      <c r="L70"/>
    </row>
    <row r="71" spans="1:12" s="33" customFormat="1" ht="15.6">
      <c r="A71" s="1021"/>
      <c r="B71" s="53" t="s">
        <v>15</v>
      </c>
      <c r="C71" s="31">
        <f>C24+C70</f>
        <v>291635</v>
      </c>
      <c r="D71" s="64">
        <f>D24+D70</f>
        <v>350569</v>
      </c>
      <c r="E71" s="46">
        <f t="shared" si="9"/>
        <v>58934</v>
      </c>
      <c r="F71" s="45">
        <f t="shared" si="10"/>
        <v>120.20813688343306</v>
      </c>
      <c r="G71" s="45"/>
      <c r="H71"/>
      <c r="I71"/>
      <c r="J71"/>
      <c r="K71"/>
      <c r="L71"/>
    </row>
    <row r="72" spans="1:12" s="15" customFormat="1" ht="15.6">
      <c r="A72" s="1020"/>
      <c r="B72" s="30" t="s">
        <v>11</v>
      </c>
      <c r="C72" s="36">
        <v>4526</v>
      </c>
      <c r="D72" s="84">
        <f>C72+I14*10%</f>
        <v>4526</v>
      </c>
      <c r="E72" s="46">
        <f t="shared" si="9"/>
        <v>0</v>
      </c>
      <c r="F72" s="45">
        <f t="shared" si="10"/>
        <v>100</v>
      </c>
      <c r="G72" s="45"/>
      <c r="H72"/>
      <c r="I72"/>
      <c r="J72"/>
      <c r="K72"/>
      <c r="L72"/>
    </row>
    <row r="73" spans="1:12" s="18" customFormat="1" ht="15.6">
      <c r="A73" s="1023"/>
      <c r="B73" s="1024"/>
      <c r="C73" s="1025"/>
      <c r="D73" s="1025">
        <v>0</v>
      </c>
      <c r="E73" s="1027"/>
      <c r="F73" s="1028"/>
      <c r="G73" s="1028"/>
      <c r="H73"/>
      <c r="I73"/>
      <c r="J73"/>
      <c r="K73"/>
      <c r="L73"/>
    </row>
    <row r="74" spans="1:12" ht="15.6">
      <c r="B74" s="1050"/>
      <c r="C74" s="1051"/>
      <c r="D74" s="1052"/>
      <c r="E74" s="1053"/>
      <c r="F74" s="1054"/>
      <c r="G74" s="1032"/>
      <c r="H74"/>
      <c r="I74"/>
      <c r="J74"/>
      <c r="K74"/>
      <c r="L74"/>
    </row>
    <row r="76" spans="1:12" s="24" customFormat="1" ht="15.6">
      <c r="B76" s="3159"/>
      <c r="C76" s="3159"/>
      <c r="E76" s="48"/>
      <c r="J76" s="25"/>
    </row>
    <row r="77" spans="1:12" s="24" customFormat="1" ht="15.6">
      <c r="E77" s="3126"/>
      <c r="F77" s="3126"/>
      <c r="G77" s="602"/>
      <c r="I77" s="3126"/>
      <c r="J77" s="3126"/>
      <c r="K77" s="3126"/>
    </row>
    <row r="78" spans="1:12" s="24" customFormat="1" ht="15.6">
      <c r="D78" s="1108">
        <f>D71-D8</f>
        <v>0</v>
      </c>
      <c r="E78" s="49"/>
      <c r="F78" s="57"/>
      <c r="G78" s="602"/>
      <c r="I78" s="57"/>
      <c r="J78" s="57"/>
      <c r="K78" s="57"/>
    </row>
    <row r="79" spans="1:12" s="24" customFormat="1" ht="15.6">
      <c r="E79" s="49"/>
      <c r="F79" s="57"/>
      <c r="G79" s="602"/>
      <c r="I79" s="57"/>
      <c r="J79" s="57"/>
      <c r="K79" s="57"/>
    </row>
    <row r="80" spans="1:12" s="24" customFormat="1" ht="15.6">
      <c r="E80" s="48"/>
      <c r="J80" s="25"/>
    </row>
    <row r="81" spans="2:11" s="26" customFormat="1" ht="15.6">
      <c r="E81" s="50"/>
      <c r="J81" s="27"/>
    </row>
    <row r="82" spans="2:11" s="28" customFormat="1" ht="15.6">
      <c r="B82" s="3127"/>
      <c r="C82" s="3127"/>
      <c r="E82" s="3128"/>
      <c r="F82" s="3128"/>
      <c r="G82" s="603"/>
      <c r="I82" s="3128"/>
      <c r="J82" s="3128"/>
      <c r="K82" s="3128"/>
    </row>
  </sheetData>
  <mergeCells count="15">
    <mergeCell ref="G5:G6"/>
    <mergeCell ref="B76:C76"/>
    <mergeCell ref="E77:F77"/>
    <mergeCell ref="I77:K77"/>
    <mergeCell ref="B82:C82"/>
    <mergeCell ref="E82:F82"/>
    <mergeCell ref="I82:K82"/>
    <mergeCell ref="C5:C6"/>
    <mergeCell ref="A5:A6"/>
    <mergeCell ref="B1:F1"/>
    <mergeCell ref="B2:F2"/>
    <mergeCell ref="E4:F4"/>
    <mergeCell ref="B5:B6"/>
    <mergeCell ref="D5:D6"/>
    <mergeCell ref="E5:F5"/>
  </mergeCells>
  <pageMargins left="0.79" right="0.23622047244094491" top="0.31496062992125984" bottom="0.35433070866141736" header="0.31496062992125984" footer="0.31496062992125984"/>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L104"/>
  <sheetViews>
    <sheetView showZeros="0" zoomScale="86" zoomScaleNormal="86" workbookViewId="0">
      <selection activeCell="A64" sqref="A64"/>
    </sheetView>
  </sheetViews>
  <sheetFormatPr defaultColWidth="10" defaultRowHeight="15.6"/>
  <cols>
    <col min="1" max="1" width="7.109375" style="2384" customWidth="1"/>
    <col min="2" max="2" width="62.88671875" style="2386" customWidth="1"/>
    <col min="3" max="3" width="15.6640625" style="2386" hidden="1" customWidth="1"/>
    <col min="4" max="4" width="14.21875" style="2386" customWidth="1"/>
    <col min="5" max="5" width="17.109375" style="2386" customWidth="1"/>
    <col min="6" max="6" width="15.33203125" style="2386" customWidth="1"/>
    <col min="7" max="7" width="19.88671875" style="2386" hidden="1" customWidth="1"/>
    <col min="8" max="8" width="14.77734375" style="2386" customWidth="1"/>
    <col min="9" max="12" width="19.88671875" style="2386" hidden="1" customWidth="1"/>
    <col min="13" max="13" width="23.21875" style="2386" hidden="1" customWidth="1"/>
    <col min="14" max="14" width="9.33203125" style="2386" hidden="1" customWidth="1"/>
    <col min="15" max="15" width="16.109375" style="2386" hidden="1" customWidth="1"/>
    <col min="16" max="16" width="13.109375" style="2386" hidden="1" customWidth="1"/>
    <col min="17" max="17" width="13.109375" style="2386" customWidth="1"/>
    <col min="18" max="18" width="15.44140625" style="2386" customWidth="1"/>
    <col min="19" max="19" width="14.109375" style="2386" customWidth="1"/>
    <col min="20" max="20" width="13.33203125" style="2386" customWidth="1"/>
    <col min="21" max="21" width="16.77734375" style="2386" customWidth="1"/>
    <col min="22" max="22" width="16.21875" style="2386" customWidth="1"/>
    <col min="23" max="256" width="10" style="2386"/>
    <col min="257" max="257" width="7.109375" style="2386" customWidth="1"/>
    <col min="258" max="258" width="62.88671875" style="2386" customWidth="1"/>
    <col min="259" max="259" width="0" style="2386" hidden="1" customWidth="1"/>
    <col min="260" max="260" width="14.21875" style="2386" customWidth="1"/>
    <col min="261" max="261" width="17.109375" style="2386" customWidth="1"/>
    <col min="262" max="262" width="15.33203125" style="2386" customWidth="1"/>
    <col min="263" max="263" width="0" style="2386" hidden="1" customWidth="1"/>
    <col min="264" max="264" width="14.77734375" style="2386" customWidth="1"/>
    <col min="265" max="272" width="0" style="2386" hidden="1" customWidth="1"/>
    <col min="273" max="273" width="13.109375" style="2386" customWidth="1"/>
    <col min="274" max="274" width="15.44140625" style="2386" customWidth="1"/>
    <col min="275" max="275" width="14.109375" style="2386" customWidth="1"/>
    <col min="276" max="276" width="13.33203125" style="2386" customWidth="1"/>
    <col min="277" max="277" width="16.77734375" style="2386" customWidth="1"/>
    <col min="278" max="278" width="16.21875" style="2386" customWidth="1"/>
    <col min="279" max="512" width="10" style="2386"/>
    <col min="513" max="513" width="7.109375" style="2386" customWidth="1"/>
    <col min="514" max="514" width="62.88671875" style="2386" customWidth="1"/>
    <col min="515" max="515" width="0" style="2386" hidden="1" customWidth="1"/>
    <col min="516" max="516" width="14.21875" style="2386" customWidth="1"/>
    <col min="517" max="517" width="17.109375" style="2386" customWidth="1"/>
    <col min="518" max="518" width="15.33203125" style="2386" customWidth="1"/>
    <col min="519" max="519" width="0" style="2386" hidden="1" customWidth="1"/>
    <col min="520" max="520" width="14.77734375" style="2386" customWidth="1"/>
    <col min="521" max="528" width="0" style="2386" hidden="1" customWidth="1"/>
    <col min="529" max="529" width="13.109375" style="2386" customWidth="1"/>
    <col min="530" max="530" width="15.44140625" style="2386" customWidth="1"/>
    <col min="531" max="531" width="14.109375" style="2386" customWidth="1"/>
    <col min="532" max="532" width="13.33203125" style="2386" customWidth="1"/>
    <col min="533" max="533" width="16.77734375" style="2386" customWidth="1"/>
    <col min="534" max="534" width="16.21875" style="2386" customWidth="1"/>
    <col min="535" max="768" width="10" style="2386"/>
    <col min="769" max="769" width="7.109375" style="2386" customWidth="1"/>
    <col min="770" max="770" width="62.88671875" style="2386" customWidth="1"/>
    <col min="771" max="771" width="0" style="2386" hidden="1" customWidth="1"/>
    <col min="772" max="772" width="14.21875" style="2386" customWidth="1"/>
    <col min="773" max="773" width="17.109375" style="2386" customWidth="1"/>
    <col min="774" max="774" width="15.33203125" style="2386" customWidth="1"/>
    <col min="775" max="775" width="0" style="2386" hidden="1" customWidth="1"/>
    <col min="776" max="776" width="14.77734375" style="2386" customWidth="1"/>
    <col min="777" max="784" width="0" style="2386" hidden="1" customWidth="1"/>
    <col min="785" max="785" width="13.109375" style="2386" customWidth="1"/>
    <col min="786" max="786" width="15.44140625" style="2386" customWidth="1"/>
    <col min="787" max="787" width="14.109375" style="2386" customWidth="1"/>
    <col min="788" max="788" width="13.33203125" style="2386" customWidth="1"/>
    <col min="789" max="789" width="16.77734375" style="2386" customWidth="1"/>
    <col min="790" max="790" width="16.21875" style="2386" customWidth="1"/>
    <col min="791" max="1024" width="10" style="2386"/>
    <col min="1025" max="1025" width="7.109375" style="2386" customWidth="1"/>
    <col min="1026" max="1026" width="62.88671875" style="2386" customWidth="1"/>
    <col min="1027" max="1027" width="0" style="2386" hidden="1" customWidth="1"/>
    <col min="1028" max="1028" width="14.21875" style="2386" customWidth="1"/>
    <col min="1029" max="1029" width="17.109375" style="2386" customWidth="1"/>
    <col min="1030" max="1030" width="15.33203125" style="2386" customWidth="1"/>
    <col min="1031" max="1031" width="0" style="2386" hidden="1" customWidth="1"/>
    <col min="1032" max="1032" width="14.77734375" style="2386" customWidth="1"/>
    <col min="1033" max="1040" width="0" style="2386" hidden="1" customWidth="1"/>
    <col min="1041" max="1041" width="13.109375" style="2386" customWidth="1"/>
    <col min="1042" max="1042" width="15.44140625" style="2386" customWidth="1"/>
    <col min="1043" max="1043" width="14.109375" style="2386" customWidth="1"/>
    <col min="1044" max="1044" width="13.33203125" style="2386" customWidth="1"/>
    <col min="1045" max="1045" width="16.77734375" style="2386" customWidth="1"/>
    <col min="1046" max="1046" width="16.21875" style="2386" customWidth="1"/>
    <col min="1047" max="1280" width="10" style="2386"/>
    <col min="1281" max="1281" width="7.109375" style="2386" customWidth="1"/>
    <col min="1282" max="1282" width="62.88671875" style="2386" customWidth="1"/>
    <col min="1283" max="1283" width="0" style="2386" hidden="1" customWidth="1"/>
    <col min="1284" max="1284" width="14.21875" style="2386" customWidth="1"/>
    <col min="1285" max="1285" width="17.109375" style="2386" customWidth="1"/>
    <col min="1286" max="1286" width="15.33203125" style="2386" customWidth="1"/>
    <col min="1287" max="1287" width="0" style="2386" hidden="1" customWidth="1"/>
    <col min="1288" max="1288" width="14.77734375" style="2386" customWidth="1"/>
    <col min="1289" max="1296" width="0" style="2386" hidden="1" customWidth="1"/>
    <col min="1297" max="1297" width="13.109375" style="2386" customWidth="1"/>
    <col min="1298" max="1298" width="15.44140625" style="2386" customWidth="1"/>
    <col min="1299" max="1299" width="14.109375" style="2386" customWidth="1"/>
    <col min="1300" max="1300" width="13.33203125" style="2386" customWidth="1"/>
    <col min="1301" max="1301" width="16.77734375" style="2386" customWidth="1"/>
    <col min="1302" max="1302" width="16.21875" style="2386" customWidth="1"/>
    <col min="1303" max="1536" width="10" style="2386"/>
    <col min="1537" max="1537" width="7.109375" style="2386" customWidth="1"/>
    <col min="1538" max="1538" width="62.88671875" style="2386" customWidth="1"/>
    <col min="1539" max="1539" width="0" style="2386" hidden="1" customWidth="1"/>
    <col min="1540" max="1540" width="14.21875" style="2386" customWidth="1"/>
    <col min="1541" max="1541" width="17.109375" style="2386" customWidth="1"/>
    <col min="1542" max="1542" width="15.33203125" style="2386" customWidth="1"/>
    <col min="1543" max="1543" width="0" style="2386" hidden="1" customWidth="1"/>
    <col min="1544" max="1544" width="14.77734375" style="2386" customWidth="1"/>
    <col min="1545" max="1552" width="0" style="2386" hidden="1" customWidth="1"/>
    <col min="1553" max="1553" width="13.109375" style="2386" customWidth="1"/>
    <col min="1554" max="1554" width="15.44140625" style="2386" customWidth="1"/>
    <col min="1555" max="1555" width="14.109375" style="2386" customWidth="1"/>
    <col min="1556" max="1556" width="13.33203125" style="2386" customWidth="1"/>
    <col min="1557" max="1557" width="16.77734375" style="2386" customWidth="1"/>
    <col min="1558" max="1558" width="16.21875" style="2386" customWidth="1"/>
    <col min="1559" max="1792" width="10" style="2386"/>
    <col min="1793" max="1793" width="7.109375" style="2386" customWidth="1"/>
    <col min="1794" max="1794" width="62.88671875" style="2386" customWidth="1"/>
    <col min="1795" max="1795" width="0" style="2386" hidden="1" customWidth="1"/>
    <col min="1796" max="1796" width="14.21875" style="2386" customWidth="1"/>
    <col min="1797" max="1797" width="17.109375" style="2386" customWidth="1"/>
    <col min="1798" max="1798" width="15.33203125" style="2386" customWidth="1"/>
    <col min="1799" max="1799" width="0" style="2386" hidden="1" customWidth="1"/>
    <col min="1800" max="1800" width="14.77734375" style="2386" customWidth="1"/>
    <col min="1801" max="1808" width="0" style="2386" hidden="1" customWidth="1"/>
    <col min="1809" max="1809" width="13.109375" style="2386" customWidth="1"/>
    <col min="1810" max="1810" width="15.44140625" style="2386" customWidth="1"/>
    <col min="1811" max="1811" width="14.109375" style="2386" customWidth="1"/>
    <col min="1812" max="1812" width="13.33203125" style="2386" customWidth="1"/>
    <col min="1813" max="1813" width="16.77734375" style="2386" customWidth="1"/>
    <col min="1814" max="1814" width="16.21875" style="2386" customWidth="1"/>
    <col min="1815" max="2048" width="10" style="2386"/>
    <col min="2049" max="2049" width="7.109375" style="2386" customWidth="1"/>
    <col min="2050" max="2050" width="62.88671875" style="2386" customWidth="1"/>
    <col min="2051" max="2051" width="0" style="2386" hidden="1" customWidth="1"/>
    <col min="2052" max="2052" width="14.21875" style="2386" customWidth="1"/>
    <col min="2053" max="2053" width="17.109375" style="2386" customWidth="1"/>
    <col min="2054" max="2054" width="15.33203125" style="2386" customWidth="1"/>
    <col min="2055" max="2055" width="0" style="2386" hidden="1" customWidth="1"/>
    <col min="2056" max="2056" width="14.77734375" style="2386" customWidth="1"/>
    <col min="2057" max="2064" width="0" style="2386" hidden="1" customWidth="1"/>
    <col min="2065" max="2065" width="13.109375" style="2386" customWidth="1"/>
    <col min="2066" max="2066" width="15.44140625" style="2386" customWidth="1"/>
    <col min="2067" max="2067" width="14.109375" style="2386" customWidth="1"/>
    <col min="2068" max="2068" width="13.33203125" style="2386" customWidth="1"/>
    <col min="2069" max="2069" width="16.77734375" style="2386" customWidth="1"/>
    <col min="2070" max="2070" width="16.21875" style="2386" customWidth="1"/>
    <col min="2071" max="2304" width="10" style="2386"/>
    <col min="2305" max="2305" width="7.109375" style="2386" customWidth="1"/>
    <col min="2306" max="2306" width="62.88671875" style="2386" customWidth="1"/>
    <col min="2307" max="2307" width="0" style="2386" hidden="1" customWidth="1"/>
    <col min="2308" max="2308" width="14.21875" style="2386" customWidth="1"/>
    <col min="2309" max="2309" width="17.109375" style="2386" customWidth="1"/>
    <col min="2310" max="2310" width="15.33203125" style="2386" customWidth="1"/>
    <col min="2311" max="2311" width="0" style="2386" hidden="1" customWidth="1"/>
    <col min="2312" max="2312" width="14.77734375" style="2386" customWidth="1"/>
    <col min="2313" max="2320" width="0" style="2386" hidden="1" customWidth="1"/>
    <col min="2321" max="2321" width="13.109375" style="2386" customWidth="1"/>
    <col min="2322" max="2322" width="15.44140625" style="2386" customWidth="1"/>
    <col min="2323" max="2323" width="14.109375" style="2386" customWidth="1"/>
    <col min="2324" max="2324" width="13.33203125" style="2386" customWidth="1"/>
    <col min="2325" max="2325" width="16.77734375" style="2386" customWidth="1"/>
    <col min="2326" max="2326" width="16.21875" style="2386" customWidth="1"/>
    <col min="2327" max="2560" width="10" style="2386"/>
    <col min="2561" max="2561" width="7.109375" style="2386" customWidth="1"/>
    <col min="2562" max="2562" width="62.88671875" style="2386" customWidth="1"/>
    <col min="2563" max="2563" width="0" style="2386" hidden="1" customWidth="1"/>
    <col min="2564" max="2564" width="14.21875" style="2386" customWidth="1"/>
    <col min="2565" max="2565" width="17.109375" style="2386" customWidth="1"/>
    <col min="2566" max="2566" width="15.33203125" style="2386" customWidth="1"/>
    <col min="2567" max="2567" width="0" style="2386" hidden="1" customWidth="1"/>
    <col min="2568" max="2568" width="14.77734375" style="2386" customWidth="1"/>
    <col min="2569" max="2576" width="0" style="2386" hidden="1" customWidth="1"/>
    <col min="2577" max="2577" width="13.109375" style="2386" customWidth="1"/>
    <col min="2578" max="2578" width="15.44140625" style="2386" customWidth="1"/>
    <col min="2579" max="2579" width="14.109375" style="2386" customWidth="1"/>
    <col min="2580" max="2580" width="13.33203125" style="2386" customWidth="1"/>
    <col min="2581" max="2581" width="16.77734375" style="2386" customWidth="1"/>
    <col min="2582" max="2582" width="16.21875" style="2386" customWidth="1"/>
    <col min="2583" max="2816" width="10" style="2386"/>
    <col min="2817" max="2817" width="7.109375" style="2386" customWidth="1"/>
    <col min="2818" max="2818" width="62.88671875" style="2386" customWidth="1"/>
    <col min="2819" max="2819" width="0" style="2386" hidden="1" customWidth="1"/>
    <col min="2820" max="2820" width="14.21875" style="2386" customWidth="1"/>
    <col min="2821" max="2821" width="17.109375" style="2386" customWidth="1"/>
    <col min="2822" max="2822" width="15.33203125" style="2386" customWidth="1"/>
    <col min="2823" max="2823" width="0" style="2386" hidden="1" customWidth="1"/>
    <col min="2824" max="2824" width="14.77734375" style="2386" customWidth="1"/>
    <col min="2825" max="2832" width="0" style="2386" hidden="1" customWidth="1"/>
    <col min="2833" max="2833" width="13.109375" style="2386" customWidth="1"/>
    <col min="2834" max="2834" width="15.44140625" style="2386" customWidth="1"/>
    <col min="2835" max="2835" width="14.109375" style="2386" customWidth="1"/>
    <col min="2836" max="2836" width="13.33203125" style="2386" customWidth="1"/>
    <col min="2837" max="2837" width="16.77734375" style="2386" customWidth="1"/>
    <col min="2838" max="2838" width="16.21875" style="2386" customWidth="1"/>
    <col min="2839" max="3072" width="10" style="2386"/>
    <col min="3073" max="3073" width="7.109375" style="2386" customWidth="1"/>
    <col min="3074" max="3074" width="62.88671875" style="2386" customWidth="1"/>
    <col min="3075" max="3075" width="0" style="2386" hidden="1" customWidth="1"/>
    <col min="3076" max="3076" width="14.21875" style="2386" customWidth="1"/>
    <col min="3077" max="3077" width="17.109375" style="2386" customWidth="1"/>
    <col min="3078" max="3078" width="15.33203125" style="2386" customWidth="1"/>
    <col min="3079" max="3079" width="0" style="2386" hidden="1" customWidth="1"/>
    <col min="3080" max="3080" width="14.77734375" style="2386" customWidth="1"/>
    <col min="3081" max="3088" width="0" style="2386" hidden="1" customWidth="1"/>
    <col min="3089" max="3089" width="13.109375" style="2386" customWidth="1"/>
    <col min="3090" max="3090" width="15.44140625" style="2386" customWidth="1"/>
    <col min="3091" max="3091" width="14.109375" style="2386" customWidth="1"/>
    <col min="3092" max="3092" width="13.33203125" style="2386" customWidth="1"/>
    <col min="3093" max="3093" width="16.77734375" style="2386" customWidth="1"/>
    <col min="3094" max="3094" width="16.21875" style="2386" customWidth="1"/>
    <col min="3095" max="3328" width="10" style="2386"/>
    <col min="3329" max="3329" width="7.109375" style="2386" customWidth="1"/>
    <col min="3330" max="3330" width="62.88671875" style="2386" customWidth="1"/>
    <col min="3331" max="3331" width="0" style="2386" hidden="1" customWidth="1"/>
    <col min="3332" max="3332" width="14.21875" style="2386" customWidth="1"/>
    <col min="3333" max="3333" width="17.109375" style="2386" customWidth="1"/>
    <col min="3334" max="3334" width="15.33203125" style="2386" customWidth="1"/>
    <col min="3335" max="3335" width="0" style="2386" hidden="1" customWidth="1"/>
    <col min="3336" max="3336" width="14.77734375" style="2386" customWidth="1"/>
    <col min="3337" max="3344" width="0" style="2386" hidden="1" customWidth="1"/>
    <col min="3345" max="3345" width="13.109375" style="2386" customWidth="1"/>
    <col min="3346" max="3346" width="15.44140625" style="2386" customWidth="1"/>
    <col min="3347" max="3347" width="14.109375" style="2386" customWidth="1"/>
    <col min="3348" max="3348" width="13.33203125" style="2386" customWidth="1"/>
    <col min="3349" max="3349" width="16.77734375" style="2386" customWidth="1"/>
    <col min="3350" max="3350" width="16.21875" style="2386" customWidth="1"/>
    <col min="3351" max="3584" width="10" style="2386"/>
    <col min="3585" max="3585" width="7.109375" style="2386" customWidth="1"/>
    <col min="3586" max="3586" width="62.88671875" style="2386" customWidth="1"/>
    <col min="3587" max="3587" width="0" style="2386" hidden="1" customWidth="1"/>
    <col min="3588" max="3588" width="14.21875" style="2386" customWidth="1"/>
    <col min="3589" max="3589" width="17.109375" style="2386" customWidth="1"/>
    <col min="3590" max="3590" width="15.33203125" style="2386" customWidth="1"/>
    <col min="3591" max="3591" width="0" style="2386" hidden="1" customWidth="1"/>
    <col min="3592" max="3592" width="14.77734375" style="2386" customWidth="1"/>
    <col min="3593" max="3600" width="0" style="2386" hidden="1" customWidth="1"/>
    <col min="3601" max="3601" width="13.109375" style="2386" customWidth="1"/>
    <col min="3602" max="3602" width="15.44140625" style="2386" customWidth="1"/>
    <col min="3603" max="3603" width="14.109375" style="2386" customWidth="1"/>
    <col min="3604" max="3604" width="13.33203125" style="2386" customWidth="1"/>
    <col min="3605" max="3605" width="16.77734375" style="2386" customWidth="1"/>
    <col min="3606" max="3606" width="16.21875" style="2386" customWidth="1"/>
    <col min="3607" max="3840" width="10" style="2386"/>
    <col min="3841" max="3841" width="7.109375" style="2386" customWidth="1"/>
    <col min="3842" max="3842" width="62.88671875" style="2386" customWidth="1"/>
    <col min="3843" max="3843" width="0" style="2386" hidden="1" customWidth="1"/>
    <col min="3844" max="3844" width="14.21875" style="2386" customWidth="1"/>
    <col min="3845" max="3845" width="17.109375" style="2386" customWidth="1"/>
    <col min="3846" max="3846" width="15.33203125" style="2386" customWidth="1"/>
    <col min="3847" max="3847" width="0" style="2386" hidden="1" customWidth="1"/>
    <col min="3848" max="3848" width="14.77734375" style="2386" customWidth="1"/>
    <col min="3849" max="3856" width="0" style="2386" hidden="1" customWidth="1"/>
    <col min="3857" max="3857" width="13.109375" style="2386" customWidth="1"/>
    <col min="3858" max="3858" width="15.44140625" style="2386" customWidth="1"/>
    <col min="3859" max="3859" width="14.109375" style="2386" customWidth="1"/>
    <col min="3860" max="3860" width="13.33203125" style="2386" customWidth="1"/>
    <col min="3861" max="3861" width="16.77734375" style="2386" customWidth="1"/>
    <col min="3862" max="3862" width="16.21875" style="2386" customWidth="1"/>
    <col min="3863" max="4096" width="10" style="2386"/>
    <col min="4097" max="4097" width="7.109375" style="2386" customWidth="1"/>
    <col min="4098" max="4098" width="62.88671875" style="2386" customWidth="1"/>
    <col min="4099" max="4099" width="0" style="2386" hidden="1" customWidth="1"/>
    <col min="4100" max="4100" width="14.21875" style="2386" customWidth="1"/>
    <col min="4101" max="4101" width="17.109375" style="2386" customWidth="1"/>
    <col min="4102" max="4102" width="15.33203125" style="2386" customWidth="1"/>
    <col min="4103" max="4103" width="0" style="2386" hidden="1" customWidth="1"/>
    <col min="4104" max="4104" width="14.77734375" style="2386" customWidth="1"/>
    <col min="4105" max="4112" width="0" style="2386" hidden="1" customWidth="1"/>
    <col min="4113" max="4113" width="13.109375" style="2386" customWidth="1"/>
    <col min="4114" max="4114" width="15.44140625" style="2386" customWidth="1"/>
    <col min="4115" max="4115" width="14.109375" style="2386" customWidth="1"/>
    <col min="4116" max="4116" width="13.33203125" style="2386" customWidth="1"/>
    <col min="4117" max="4117" width="16.77734375" style="2386" customWidth="1"/>
    <col min="4118" max="4118" width="16.21875" style="2386" customWidth="1"/>
    <col min="4119" max="4352" width="10" style="2386"/>
    <col min="4353" max="4353" width="7.109375" style="2386" customWidth="1"/>
    <col min="4354" max="4354" width="62.88671875" style="2386" customWidth="1"/>
    <col min="4355" max="4355" width="0" style="2386" hidden="1" customWidth="1"/>
    <col min="4356" max="4356" width="14.21875" style="2386" customWidth="1"/>
    <col min="4357" max="4357" width="17.109375" style="2386" customWidth="1"/>
    <col min="4358" max="4358" width="15.33203125" style="2386" customWidth="1"/>
    <col min="4359" max="4359" width="0" style="2386" hidden="1" customWidth="1"/>
    <col min="4360" max="4360" width="14.77734375" style="2386" customWidth="1"/>
    <col min="4361" max="4368" width="0" style="2386" hidden="1" customWidth="1"/>
    <col min="4369" max="4369" width="13.109375" style="2386" customWidth="1"/>
    <col min="4370" max="4370" width="15.44140625" style="2386" customWidth="1"/>
    <col min="4371" max="4371" width="14.109375" style="2386" customWidth="1"/>
    <col min="4372" max="4372" width="13.33203125" style="2386" customWidth="1"/>
    <col min="4373" max="4373" width="16.77734375" style="2386" customWidth="1"/>
    <col min="4374" max="4374" width="16.21875" style="2386" customWidth="1"/>
    <col min="4375" max="4608" width="10" style="2386"/>
    <col min="4609" max="4609" width="7.109375" style="2386" customWidth="1"/>
    <col min="4610" max="4610" width="62.88671875" style="2386" customWidth="1"/>
    <col min="4611" max="4611" width="0" style="2386" hidden="1" customWidth="1"/>
    <col min="4612" max="4612" width="14.21875" style="2386" customWidth="1"/>
    <col min="4613" max="4613" width="17.109375" style="2386" customWidth="1"/>
    <col min="4614" max="4614" width="15.33203125" style="2386" customWidth="1"/>
    <col min="4615" max="4615" width="0" style="2386" hidden="1" customWidth="1"/>
    <col min="4616" max="4616" width="14.77734375" style="2386" customWidth="1"/>
    <col min="4617" max="4624" width="0" style="2386" hidden="1" customWidth="1"/>
    <col min="4625" max="4625" width="13.109375" style="2386" customWidth="1"/>
    <col min="4626" max="4626" width="15.44140625" style="2386" customWidth="1"/>
    <col min="4627" max="4627" width="14.109375" style="2386" customWidth="1"/>
    <col min="4628" max="4628" width="13.33203125" style="2386" customWidth="1"/>
    <col min="4629" max="4629" width="16.77734375" style="2386" customWidth="1"/>
    <col min="4630" max="4630" width="16.21875" style="2386" customWidth="1"/>
    <col min="4631" max="4864" width="10" style="2386"/>
    <col min="4865" max="4865" width="7.109375" style="2386" customWidth="1"/>
    <col min="4866" max="4866" width="62.88671875" style="2386" customWidth="1"/>
    <col min="4867" max="4867" width="0" style="2386" hidden="1" customWidth="1"/>
    <col min="4868" max="4868" width="14.21875" style="2386" customWidth="1"/>
    <col min="4869" max="4869" width="17.109375" style="2386" customWidth="1"/>
    <col min="4870" max="4870" width="15.33203125" style="2386" customWidth="1"/>
    <col min="4871" max="4871" width="0" style="2386" hidden="1" customWidth="1"/>
    <col min="4872" max="4872" width="14.77734375" style="2386" customWidth="1"/>
    <col min="4873" max="4880" width="0" style="2386" hidden="1" customWidth="1"/>
    <col min="4881" max="4881" width="13.109375" style="2386" customWidth="1"/>
    <col min="4882" max="4882" width="15.44140625" style="2386" customWidth="1"/>
    <col min="4883" max="4883" width="14.109375" style="2386" customWidth="1"/>
    <col min="4884" max="4884" width="13.33203125" style="2386" customWidth="1"/>
    <col min="4885" max="4885" width="16.77734375" style="2386" customWidth="1"/>
    <col min="4886" max="4886" width="16.21875" style="2386" customWidth="1"/>
    <col min="4887" max="5120" width="10" style="2386"/>
    <col min="5121" max="5121" width="7.109375" style="2386" customWidth="1"/>
    <col min="5122" max="5122" width="62.88671875" style="2386" customWidth="1"/>
    <col min="5123" max="5123" width="0" style="2386" hidden="1" customWidth="1"/>
    <col min="5124" max="5124" width="14.21875" style="2386" customWidth="1"/>
    <col min="5125" max="5125" width="17.109375" style="2386" customWidth="1"/>
    <col min="5126" max="5126" width="15.33203125" style="2386" customWidth="1"/>
    <col min="5127" max="5127" width="0" style="2386" hidden="1" customWidth="1"/>
    <col min="5128" max="5128" width="14.77734375" style="2386" customWidth="1"/>
    <col min="5129" max="5136" width="0" style="2386" hidden="1" customWidth="1"/>
    <col min="5137" max="5137" width="13.109375" style="2386" customWidth="1"/>
    <col min="5138" max="5138" width="15.44140625" style="2386" customWidth="1"/>
    <col min="5139" max="5139" width="14.109375" style="2386" customWidth="1"/>
    <col min="5140" max="5140" width="13.33203125" style="2386" customWidth="1"/>
    <col min="5141" max="5141" width="16.77734375" style="2386" customWidth="1"/>
    <col min="5142" max="5142" width="16.21875" style="2386" customWidth="1"/>
    <col min="5143" max="5376" width="10" style="2386"/>
    <col min="5377" max="5377" width="7.109375" style="2386" customWidth="1"/>
    <col min="5378" max="5378" width="62.88671875" style="2386" customWidth="1"/>
    <col min="5379" max="5379" width="0" style="2386" hidden="1" customWidth="1"/>
    <col min="5380" max="5380" width="14.21875" style="2386" customWidth="1"/>
    <col min="5381" max="5381" width="17.109375" style="2386" customWidth="1"/>
    <col min="5382" max="5382" width="15.33203125" style="2386" customWidth="1"/>
    <col min="5383" max="5383" width="0" style="2386" hidden="1" customWidth="1"/>
    <col min="5384" max="5384" width="14.77734375" style="2386" customWidth="1"/>
    <col min="5385" max="5392" width="0" style="2386" hidden="1" customWidth="1"/>
    <col min="5393" max="5393" width="13.109375" style="2386" customWidth="1"/>
    <col min="5394" max="5394" width="15.44140625" style="2386" customWidth="1"/>
    <col min="5395" max="5395" width="14.109375" style="2386" customWidth="1"/>
    <col min="5396" max="5396" width="13.33203125" style="2386" customWidth="1"/>
    <col min="5397" max="5397" width="16.77734375" style="2386" customWidth="1"/>
    <col min="5398" max="5398" width="16.21875" style="2386" customWidth="1"/>
    <col min="5399" max="5632" width="10" style="2386"/>
    <col min="5633" max="5633" width="7.109375" style="2386" customWidth="1"/>
    <col min="5634" max="5634" width="62.88671875" style="2386" customWidth="1"/>
    <col min="5635" max="5635" width="0" style="2386" hidden="1" customWidth="1"/>
    <col min="5636" max="5636" width="14.21875" style="2386" customWidth="1"/>
    <col min="5637" max="5637" width="17.109375" style="2386" customWidth="1"/>
    <col min="5638" max="5638" width="15.33203125" style="2386" customWidth="1"/>
    <col min="5639" max="5639" width="0" style="2386" hidden="1" customWidth="1"/>
    <col min="5640" max="5640" width="14.77734375" style="2386" customWidth="1"/>
    <col min="5641" max="5648" width="0" style="2386" hidden="1" customWidth="1"/>
    <col min="5649" max="5649" width="13.109375" style="2386" customWidth="1"/>
    <col min="5650" max="5650" width="15.44140625" style="2386" customWidth="1"/>
    <col min="5651" max="5651" width="14.109375" style="2386" customWidth="1"/>
    <col min="5652" max="5652" width="13.33203125" style="2386" customWidth="1"/>
    <col min="5653" max="5653" width="16.77734375" style="2386" customWidth="1"/>
    <col min="5654" max="5654" width="16.21875" style="2386" customWidth="1"/>
    <col min="5655" max="5888" width="10" style="2386"/>
    <col min="5889" max="5889" width="7.109375" style="2386" customWidth="1"/>
    <col min="5890" max="5890" width="62.88671875" style="2386" customWidth="1"/>
    <col min="5891" max="5891" width="0" style="2386" hidden="1" customWidth="1"/>
    <col min="5892" max="5892" width="14.21875" style="2386" customWidth="1"/>
    <col min="5893" max="5893" width="17.109375" style="2386" customWidth="1"/>
    <col min="5894" max="5894" width="15.33203125" style="2386" customWidth="1"/>
    <col min="5895" max="5895" width="0" style="2386" hidden="1" customWidth="1"/>
    <col min="5896" max="5896" width="14.77734375" style="2386" customWidth="1"/>
    <col min="5897" max="5904" width="0" style="2386" hidden="1" customWidth="1"/>
    <col min="5905" max="5905" width="13.109375" style="2386" customWidth="1"/>
    <col min="5906" max="5906" width="15.44140625" style="2386" customWidth="1"/>
    <col min="5907" max="5907" width="14.109375" style="2386" customWidth="1"/>
    <col min="5908" max="5908" width="13.33203125" style="2386" customWidth="1"/>
    <col min="5909" max="5909" width="16.77734375" style="2386" customWidth="1"/>
    <col min="5910" max="5910" width="16.21875" style="2386" customWidth="1"/>
    <col min="5911" max="6144" width="10" style="2386"/>
    <col min="6145" max="6145" width="7.109375" style="2386" customWidth="1"/>
    <col min="6146" max="6146" width="62.88671875" style="2386" customWidth="1"/>
    <col min="6147" max="6147" width="0" style="2386" hidden="1" customWidth="1"/>
    <col min="6148" max="6148" width="14.21875" style="2386" customWidth="1"/>
    <col min="6149" max="6149" width="17.109375" style="2386" customWidth="1"/>
    <col min="6150" max="6150" width="15.33203125" style="2386" customWidth="1"/>
    <col min="6151" max="6151" width="0" style="2386" hidden="1" customWidth="1"/>
    <col min="6152" max="6152" width="14.77734375" style="2386" customWidth="1"/>
    <col min="6153" max="6160" width="0" style="2386" hidden="1" customWidth="1"/>
    <col min="6161" max="6161" width="13.109375" style="2386" customWidth="1"/>
    <col min="6162" max="6162" width="15.44140625" style="2386" customWidth="1"/>
    <col min="6163" max="6163" width="14.109375" style="2386" customWidth="1"/>
    <col min="6164" max="6164" width="13.33203125" style="2386" customWidth="1"/>
    <col min="6165" max="6165" width="16.77734375" style="2386" customWidth="1"/>
    <col min="6166" max="6166" width="16.21875" style="2386" customWidth="1"/>
    <col min="6167" max="6400" width="10" style="2386"/>
    <col min="6401" max="6401" width="7.109375" style="2386" customWidth="1"/>
    <col min="6402" max="6402" width="62.88671875" style="2386" customWidth="1"/>
    <col min="6403" max="6403" width="0" style="2386" hidden="1" customWidth="1"/>
    <col min="6404" max="6404" width="14.21875" style="2386" customWidth="1"/>
    <col min="6405" max="6405" width="17.109375" style="2386" customWidth="1"/>
    <col min="6406" max="6406" width="15.33203125" style="2386" customWidth="1"/>
    <col min="6407" max="6407" width="0" style="2386" hidden="1" customWidth="1"/>
    <col min="6408" max="6408" width="14.77734375" style="2386" customWidth="1"/>
    <col min="6409" max="6416" width="0" style="2386" hidden="1" customWidth="1"/>
    <col min="6417" max="6417" width="13.109375" style="2386" customWidth="1"/>
    <col min="6418" max="6418" width="15.44140625" style="2386" customWidth="1"/>
    <col min="6419" max="6419" width="14.109375" style="2386" customWidth="1"/>
    <col min="6420" max="6420" width="13.33203125" style="2386" customWidth="1"/>
    <col min="6421" max="6421" width="16.77734375" style="2386" customWidth="1"/>
    <col min="6422" max="6422" width="16.21875" style="2386" customWidth="1"/>
    <col min="6423" max="6656" width="10" style="2386"/>
    <col min="6657" max="6657" width="7.109375" style="2386" customWidth="1"/>
    <col min="6658" max="6658" width="62.88671875" style="2386" customWidth="1"/>
    <col min="6659" max="6659" width="0" style="2386" hidden="1" customWidth="1"/>
    <col min="6660" max="6660" width="14.21875" style="2386" customWidth="1"/>
    <col min="6661" max="6661" width="17.109375" style="2386" customWidth="1"/>
    <col min="6662" max="6662" width="15.33203125" style="2386" customWidth="1"/>
    <col min="6663" max="6663" width="0" style="2386" hidden="1" customWidth="1"/>
    <col min="6664" max="6664" width="14.77734375" style="2386" customWidth="1"/>
    <col min="6665" max="6672" width="0" style="2386" hidden="1" customWidth="1"/>
    <col min="6673" max="6673" width="13.109375" style="2386" customWidth="1"/>
    <col min="6674" max="6674" width="15.44140625" style="2386" customWidth="1"/>
    <col min="6675" max="6675" width="14.109375" style="2386" customWidth="1"/>
    <col min="6676" max="6676" width="13.33203125" style="2386" customWidth="1"/>
    <col min="6677" max="6677" width="16.77734375" style="2386" customWidth="1"/>
    <col min="6678" max="6678" width="16.21875" style="2386" customWidth="1"/>
    <col min="6679" max="6912" width="10" style="2386"/>
    <col min="6913" max="6913" width="7.109375" style="2386" customWidth="1"/>
    <col min="6914" max="6914" width="62.88671875" style="2386" customWidth="1"/>
    <col min="6915" max="6915" width="0" style="2386" hidden="1" customWidth="1"/>
    <col min="6916" max="6916" width="14.21875" style="2386" customWidth="1"/>
    <col min="6917" max="6917" width="17.109375" style="2386" customWidth="1"/>
    <col min="6918" max="6918" width="15.33203125" style="2386" customWidth="1"/>
    <col min="6919" max="6919" width="0" style="2386" hidden="1" customWidth="1"/>
    <col min="6920" max="6920" width="14.77734375" style="2386" customWidth="1"/>
    <col min="6921" max="6928" width="0" style="2386" hidden="1" customWidth="1"/>
    <col min="6929" max="6929" width="13.109375" style="2386" customWidth="1"/>
    <col min="6930" max="6930" width="15.44140625" style="2386" customWidth="1"/>
    <col min="6931" max="6931" width="14.109375" style="2386" customWidth="1"/>
    <col min="6932" max="6932" width="13.33203125" style="2386" customWidth="1"/>
    <col min="6933" max="6933" width="16.77734375" style="2386" customWidth="1"/>
    <col min="6934" max="6934" width="16.21875" style="2386" customWidth="1"/>
    <col min="6935" max="7168" width="10" style="2386"/>
    <col min="7169" max="7169" width="7.109375" style="2386" customWidth="1"/>
    <col min="7170" max="7170" width="62.88671875" style="2386" customWidth="1"/>
    <col min="7171" max="7171" width="0" style="2386" hidden="1" customWidth="1"/>
    <col min="7172" max="7172" width="14.21875" style="2386" customWidth="1"/>
    <col min="7173" max="7173" width="17.109375" style="2386" customWidth="1"/>
    <col min="7174" max="7174" width="15.33203125" style="2386" customWidth="1"/>
    <col min="7175" max="7175" width="0" style="2386" hidden="1" customWidth="1"/>
    <col min="7176" max="7176" width="14.77734375" style="2386" customWidth="1"/>
    <col min="7177" max="7184" width="0" style="2386" hidden="1" customWidth="1"/>
    <col min="7185" max="7185" width="13.109375" style="2386" customWidth="1"/>
    <col min="7186" max="7186" width="15.44140625" style="2386" customWidth="1"/>
    <col min="7187" max="7187" width="14.109375" style="2386" customWidth="1"/>
    <col min="7188" max="7188" width="13.33203125" style="2386" customWidth="1"/>
    <col min="7189" max="7189" width="16.77734375" style="2386" customWidth="1"/>
    <col min="7190" max="7190" width="16.21875" style="2386" customWidth="1"/>
    <col min="7191" max="7424" width="10" style="2386"/>
    <col min="7425" max="7425" width="7.109375" style="2386" customWidth="1"/>
    <col min="7426" max="7426" width="62.88671875" style="2386" customWidth="1"/>
    <col min="7427" max="7427" width="0" style="2386" hidden="1" customWidth="1"/>
    <col min="7428" max="7428" width="14.21875" style="2386" customWidth="1"/>
    <col min="7429" max="7429" width="17.109375" style="2386" customWidth="1"/>
    <col min="7430" max="7430" width="15.33203125" style="2386" customWidth="1"/>
    <col min="7431" max="7431" width="0" style="2386" hidden="1" customWidth="1"/>
    <col min="7432" max="7432" width="14.77734375" style="2386" customWidth="1"/>
    <col min="7433" max="7440" width="0" style="2386" hidden="1" customWidth="1"/>
    <col min="7441" max="7441" width="13.109375" style="2386" customWidth="1"/>
    <col min="7442" max="7442" width="15.44140625" style="2386" customWidth="1"/>
    <col min="7443" max="7443" width="14.109375" style="2386" customWidth="1"/>
    <col min="7444" max="7444" width="13.33203125" style="2386" customWidth="1"/>
    <col min="7445" max="7445" width="16.77734375" style="2386" customWidth="1"/>
    <col min="7446" max="7446" width="16.21875" style="2386" customWidth="1"/>
    <col min="7447" max="7680" width="10" style="2386"/>
    <col min="7681" max="7681" width="7.109375" style="2386" customWidth="1"/>
    <col min="7682" max="7682" width="62.88671875" style="2386" customWidth="1"/>
    <col min="7683" max="7683" width="0" style="2386" hidden="1" customWidth="1"/>
    <col min="7684" max="7684" width="14.21875" style="2386" customWidth="1"/>
    <col min="7685" max="7685" width="17.109375" style="2386" customWidth="1"/>
    <col min="7686" max="7686" width="15.33203125" style="2386" customWidth="1"/>
    <col min="7687" max="7687" width="0" style="2386" hidden="1" customWidth="1"/>
    <col min="7688" max="7688" width="14.77734375" style="2386" customWidth="1"/>
    <col min="7689" max="7696" width="0" style="2386" hidden="1" customWidth="1"/>
    <col min="7697" max="7697" width="13.109375" style="2386" customWidth="1"/>
    <col min="7698" max="7698" width="15.44140625" style="2386" customWidth="1"/>
    <col min="7699" max="7699" width="14.109375" style="2386" customWidth="1"/>
    <col min="7700" max="7700" width="13.33203125" style="2386" customWidth="1"/>
    <col min="7701" max="7701" width="16.77734375" style="2386" customWidth="1"/>
    <col min="7702" max="7702" width="16.21875" style="2386" customWidth="1"/>
    <col min="7703" max="7936" width="10" style="2386"/>
    <col min="7937" max="7937" width="7.109375" style="2386" customWidth="1"/>
    <col min="7938" max="7938" width="62.88671875" style="2386" customWidth="1"/>
    <col min="7939" max="7939" width="0" style="2386" hidden="1" customWidth="1"/>
    <col min="7940" max="7940" width="14.21875" style="2386" customWidth="1"/>
    <col min="7941" max="7941" width="17.109375" style="2386" customWidth="1"/>
    <col min="7942" max="7942" width="15.33203125" style="2386" customWidth="1"/>
    <col min="7943" max="7943" width="0" style="2386" hidden="1" customWidth="1"/>
    <col min="7944" max="7944" width="14.77734375" style="2386" customWidth="1"/>
    <col min="7945" max="7952" width="0" style="2386" hidden="1" customWidth="1"/>
    <col min="7953" max="7953" width="13.109375" style="2386" customWidth="1"/>
    <col min="7954" max="7954" width="15.44140625" style="2386" customWidth="1"/>
    <col min="7955" max="7955" width="14.109375" style="2386" customWidth="1"/>
    <col min="7956" max="7956" width="13.33203125" style="2386" customWidth="1"/>
    <col min="7957" max="7957" width="16.77734375" style="2386" customWidth="1"/>
    <col min="7958" max="7958" width="16.21875" style="2386" customWidth="1"/>
    <col min="7959" max="8192" width="10" style="2386"/>
    <col min="8193" max="8193" width="7.109375" style="2386" customWidth="1"/>
    <col min="8194" max="8194" width="62.88671875" style="2386" customWidth="1"/>
    <col min="8195" max="8195" width="0" style="2386" hidden="1" customWidth="1"/>
    <col min="8196" max="8196" width="14.21875" style="2386" customWidth="1"/>
    <col min="8197" max="8197" width="17.109375" style="2386" customWidth="1"/>
    <col min="8198" max="8198" width="15.33203125" style="2386" customWidth="1"/>
    <col min="8199" max="8199" width="0" style="2386" hidden="1" customWidth="1"/>
    <col min="8200" max="8200" width="14.77734375" style="2386" customWidth="1"/>
    <col min="8201" max="8208" width="0" style="2386" hidden="1" customWidth="1"/>
    <col min="8209" max="8209" width="13.109375" style="2386" customWidth="1"/>
    <col min="8210" max="8210" width="15.44140625" style="2386" customWidth="1"/>
    <col min="8211" max="8211" width="14.109375" style="2386" customWidth="1"/>
    <col min="8212" max="8212" width="13.33203125" style="2386" customWidth="1"/>
    <col min="8213" max="8213" width="16.77734375" style="2386" customWidth="1"/>
    <col min="8214" max="8214" width="16.21875" style="2386" customWidth="1"/>
    <col min="8215" max="8448" width="10" style="2386"/>
    <col min="8449" max="8449" width="7.109375" style="2386" customWidth="1"/>
    <col min="8450" max="8450" width="62.88671875" style="2386" customWidth="1"/>
    <col min="8451" max="8451" width="0" style="2386" hidden="1" customWidth="1"/>
    <col min="8452" max="8452" width="14.21875" style="2386" customWidth="1"/>
    <col min="8453" max="8453" width="17.109375" style="2386" customWidth="1"/>
    <col min="8454" max="8454" width="15.33203125" style="2386" customWidth="1"/>
    <col min="8455" max="8455" width="0" style="2386" hidden="1" customWidth="1"/>
    <col min="8456" max="8456" width="14.77734375" style="2386" customWidth="1"/>
    <col min="8457" max="8464" width="0" style="2386" hidden="1" customWidth="1"/>
    <col min="8465" max="8465" width="13.109375" style="2386" customWidth="1"/>
    <col min="8466" max="8466" width="15.44140625" style="2386" customWidth="1"/>
    <col min="8467" max="8467" width="14.109375" style="2386" customWidth="1"/>
    <col min="8468" max="8468" width="13.33203125" style="2386" customWidth="1"/>
    <col min="8469" max="8469" width="16.77734375" style="2386" customWidth="1"/>
    <col min="8470" max="8470" width="16.21875" style="2386" customWidth="1"/>
    <col min="8471" max="8704" width="10" style="2386"/>
    <col min="8705" max="8705" width="7.109375" style="2386" customWidth="1"/>
    <col min="8706" max="8706" width="62.88671875" style="2386" customWidth="1"/>
    <col min="8707" max="8707" width="0" style="2386" hidden="1" customWidth="1"/>
    <col min="8708" max="8708" width="14.21875" style="2386" customWidth="1"/>
    <col min="8709" max="8709" width="17.109375" style="2386" customWidth="1"/>
    <col min="8710" max="8710" width="15.33203125" style="2386" customWidth="1"/>
    <col min="8711" max="8711" width="0" style="2386" hidden="1" customWidth="1"/>
    <col min="8712" max="8712" width="14.77734375" style="2386" customWidth="1"/>
    <col min="8713" max="8720" width="0" style="2386" hidden="1" customWidth="1"/>
    <col min="8721" max="8721" width="13.109375" style="2386" customWidth="1"/>
    <col min="8722" max="8722" width="15.44140625" style="2386" customWidth="1"/>
    <col min="8723" max="8723" width="14.109375" style="2386" customWidth="1"/>
    <col min="8724" max="8724" width="13.33203125" style="2386" customWidth="1"/>
    <col min="8725" max="8725" width="16.77734375" style="2386" customWidth="1"/>
    <col min="8726" max="8726" width="16.21875" style="2386" customWidth="1"/>
    <col min="8727" max="8960" width="10" style="2386"/>
    <col min="8961" max="8961" width="7.109375" style="2386" customWidth="1"/>
    <col min="8962" max="8962" width="62.88671875" style="2386" customWidth="1"/>
    <col min="8963" max="8963" width="0" style="2386" hidden="1" customWidth="1"/>
    <col min="8964" max="8964" width="14.21875" style="2386" customWidth="1"/>
    <col min="8965" max="8965" width="17.109375" style="2386" customWidth="1"/>
    <col min="8966" max="8966" width="15.33203125" style="2386" customWidth="1"/>
    <col min="8967" max="8967" width="0" style="2386" hidden="1" customWidth="1"/>
    <col min="8968" max="8968" width="14.77734375" style="2386" customWidth="1"/>
    <col min="8969" max="8976" width="0" style="2386" hidden="1" customWidth="1"/>
    <col min="8977" max="8977" width="13.109375" style="2386" customWidth="1"/>
    <col min="8978" max="8978" width="15.44140625" style="2386" customWidth="1"/>
    <col min="8979" max="8979" width="14.109375" style="2386" customWidth="1"/>
    <col min="8980" max="8980" width="13.33203125" style="2386" customWidth="1"/>
    <col min="8981" max="8981" width="16.77734375" style="2386" customWidth="1"/>
    <col min="8982" max="8982" width="16.21875" style="2386" customWidth="1"/>
    <col min="8983" max="9216" width="10" style="2386"/>
    <col min="9217" max="9217" width="7.109375" style="2386" customWidth="1"/>
    <col min="9218" max="9218" width="62.88671875" style="2386" customWidth="1"/>
    <col min="9219" max="9219" width="0" style="2386" hidden="1" customWidth="1"/>
    <col min="9220" max="9220" width="14.21875" style="2386" customWidth="1"/>
    <col min="9221" max="9221" width="17.109375" style="2386" customWidth="1"/>
    <col min="9222" max="9222" width="15.33203125" style="2386" customWidth="1"/>
    <col min="9223" max="9223" width="0" style="2386" hidden="1" customWidth="1"/>
    <col min="9224" max="9224" width="14.77734375" style="2386" customWidth="1"/>
    <col min="9225" max="9232" width="0" style="2386" hidden="1" customWidth="1"/>
    <col min="9233" max="9233" width="13.109375" style="2386" customWidth="1"/>
    <col min="9234" max="9234" width="15.44140625" style="2386" customWidth="1"/>
    <col min="9235" max="9235" width="14.109375" style="2386" customWidth="1"/>
    <col min="9236" max="9236" width="13.33203125" style="2386" customWidth="1"/>
    <col min="9237" max="9237" width="16.77734375" style="2386" customWidth="1"/>
    <col min="9238" max="9238" width="16.21875" style="2386" customWidth="1"/>
    <col min="9239" max="9472" width="10" style="2386"/>
    <col min="9473" max="9473" width="7.109375" style="2386" customWidth="1"/>
    <col min="9474" max="9474" width="62.88671875" style="2386" customWidth="1"/>
    <col min="9475" max="9475" width="0" style="2386" hidden="1" customWidth="1"/>
    <col min="9476" max="9476" width="14.21875" style="2386" customWidth="1"/>
    <col min="9477" max="9477" width="17.109375" style="2386" customWidth="1"/>
    <col min="9478" max="9478" width="15.33203125" style="2386" customWidth="1"/>
    <col min="9479" max="9479" width="0" style="2386" hidden="1" customWidth="1"/>
    <col min="9480" max="9480" width="14.77734375" style="2386" customWidth="1"/>
    <col min="9481" max="9488" width="0" style="2386" hidden="1" customWidth="1"/>
    <col min="9489" max="9489" width="13.109375" style="2386" customWidth="1"/>
    <col min="9490" max="9490" width="15.44140625" style="2386" customWidth="1"/>
    <col min="9491" max="9491" width="14.109375" style="2386" customWidth="1"/>
    <col min="9492" max="9492" width="13.33203125" style="2386" customWidth="1"/>
    <col min="9493" max="9493" width="16.77734375" style="2386" customWidth="1"/>
    <col min="9494" max="9494" width="16.21875" style="2386" customWidth="1"/>
    <col min="9495" max="9728" width="10" style="2386"/>
    <col min="9729" max="9729" width="7.109375" style="2386" customWidth="1"/>
    <col min="9730" max="9730" width="62.88671875" style="2386" customWidth="1"/>
    <col min="9731" max="9731" width="0" style="2386" hidden="1" customWidth="1"/>
    <col min="9732" max="9732" width="14.21875" style="2386" customWidth="1"/>
    <col min="9733" max="9733" width="17.109375" style="2386" customWidth="1"/>
    <col min="9734" max="9734" width="15.33203125" style="2386" customWidth="1"/>
    <col min="9735" max="9735" width="0" style="2386" hidden="1" customWidth="1"/>
    <col min="9736" max="9736" width="14.77734375" style="2386" customWidth="1"/>
    <col min="9737" max="9744" width="0" style="2386" hidden="1" customWidth="1"/>
    <col min="9745" max="9745" width="13.109375" style="2386" customWidth="1"/>
    <col min="9746" max="9746" width="15.44140625" style="2386" customWidth="1"/>
    <col min="9747" max="9747" width="14.109375" style="2386" customWidth="1"/>
    <col min="9748" max="9748" width="13.33203125" style="2386" customWidth="1"/>
    <col min="9749" max="9749" width="16.77734375" style="2386" customWidth="1"/>
    <col min="9750" max="9750" width="16.21875" style="2386" customWidth="1"/>
    <col min="9751" max="9984" width="10" style="2386"/>
    <col min="9985" max="9985" width="7.109375" style="2386" customWidth="1"/>
    <col min="9986" max="9986" width="62.88671875" style="2386" customWidth="1"/>
    <col min="9987" max="9987" width="0" style="2386" hidden="1" customWidth="1"/>
    <col min="9988" max="9988" width="14.21875" style="2386" customWidth="1"/>
    <col min="9989" max="9989" width="17.109375" style="2386" customWidth="1"/>
    <col min="9990" max="9990" width="15.33203125" style="2386" customWidth="1"/>
    <col min="9991" max="9991" width="0" style="2386" hidden="1" customWidth="1"/>
    <col min="9992" max="9992" width="14.77734375" style="2386" customWidth="1"/>
    <col min="9993" max="10000" width="0" style="2386" hidden="1" customWidth="1"/>
    <col min="10001" max="10001" width="13.109375" style="2386" customWidth="1"/>
    <col min="10002" max="10002" width="15.44140625" style="2386" customWidth="1"/>
    <col min="10003" max="10003" width="14.109375" style="2386" customWidth="1"/>
    <col min="10004" max="10004" width="13.33203125" style="2386" customWidth="1"/>
    <col min="10005" max="10005" width="16.77734375" style="2386" customWidth="1"/>
    <col min="10006" max="10006" width="16.21875" style="2386" customWidth="1"/>
    <col min="10007" max="10240" width="10" style="2386"/>
    <col min="10241" max="10241" width="7.109375" style="2386" customWidth="1"/>
    <col min="10242" max="10242" width="62.88671875" style="2386" customWidth="1"/>
    <col min="10243" max="10243" width="0" style="2386" hidden="1" customWidth="1"/>
    <col min="10244" max="10244" width="14.21875" style="2386" customWidth="1"/>
    <col min="10245" max="10245" width="17.109375" style="2386" customWidth="1"/>
    <col min="10246" max="10246" width="15.33203125" style="2386" customWidth="1"/>
    <col min="10247" max="10247" width="0" style="2386" hidden="1" customWidth="1"/>
    <col min="10248" max="10248" width="14.77734375" style="2386" customWidth="1"/>
    <col min="10249" max="10256" width="0" style="2386" hidden="1" customWidth="1"/>
    <col min="10257" max="10257" width="13.109375" style="2386" customWidth="1"/>
    <col min="10258" max="10258" width="15.44140625" style="2386" customWidth="1"/>
    <col min="10259" max="10259" width="14.109375" style="2386" customWidth="1"/>
    <col min="10260" max="10260" width="13.33203125" style="2386" customWidth="1"/>
    <col min="10261" max="10261" width="16.77734375" style="2386" customWidth="1"/>
    <col min="10262" max="10262" width="16.21875" style="2386" customWidth="1"/>
    <col min="10263" max="10496" width="10" style="2386"/>
    <col min="10497" max="10497" width="7.109375" style="2386" customWidth="1"/>
    <col min="10498" max="10498" width="62.88671875" style="2386" customWidth="1"/>
    <col min="10499" max="10499" width="0" style="2386" hidden="1" customWidth="1"/>
    <col min="10500" max="10500" width="14.21875" style="2386" customWidth="1"/>
    <col min="10501" max="10501" width="17.109375" style="2386" customWidth="1"/>
    <col min="10502" max="10502" width="15.33203125" style="2386" customWidth="1"/>
    <col min="10503" max="10503" width="0" style="2386" hidden="1" customWidth="1"/>
    <col min="10504" max="10504" width="14.77734375" style="2386" customWidth="1"/>
    <col min="10505" max="10512" width="0" style="2386" hidden="1" customWidth="1"/>
    <col min="10513" max="10513" width="13.109375" style="2386" customWidth="1"/>
    <col min="10514" max="10514" width="15.44140625" style="2386" customWidth="1"/>
    <col min="10515" max="10515" width="14.109375" style="2386" customWidth="1"/>
    <col min="10516" max="10516" width="13.33203125" style="2386" customWidth="1"/>
    <col min="10517" max="10517" width="16.77734375" style="2386" customWidth="1"/>
    <col min="10518" max="10518" width="16.21875" style="2386" customWidth="1"/>
    <col min="10519" max="10752" width="10" style="2386"/>
    <col min="10753" max="10753" width="7.109375" style="2386" customWidth="1"/>
    <col min="10754" max="10754" width="62.88671875" style="2386" customWidth="1"/>
    <col min="10755" max="10755" width="0" style="2386" hidden="1" customWidth="1"/>
    <col min="10756" max="10756" width="14.21875" style="2386" customWidth="1"/>
    <col min="10757" max="10757" width="17.109375" style="2386" customWidth="1"/>
    <col min="10758" max="10758" width="15.33203125" style="2386" customWidth="1"/>
    <col min="10759" max="10759" width="0" style="2386" hidden="1" customWidth="1"/>
    <col min="10760" max="10760" width="14.77734375" style="2386" customWidth="1"/>
    <col min="10761" max="10768" width="0" style="2386" hidden="1" customWidth="1"/>
    <col min="10769" max="10769" width="13.109375" style="2386" customWidth="1"/>
    <col min="10770" max="10770" width="15.44140625" style="2386" customWidth="1"/>
    <col min="10771" max="10771" width="14.109375" style="2386" customWidth="1"/>
    <col min="10772" max="10772" width="13.33203125" style="2386" customWidth="1"/>
    <col min="10773" max="10773" width="16.77734375" style="2386" customWidth="1"/>
    <col min="10774" max="10774" width="16.21875" style="2386" customWidth="1"/>
    <col min="10775" max="11008" width="10" style="2386"/>
    <col min="11009" max="11009" width="7.109375" style="2386" customWidth="1"/>
    <col min="11010" max="11010" width="62.88671875" style="2386" customWidth="1"/>
    <col min="11011" max="11011" width="0" style="2386" hidden="1" customWidth="1"/>
    <col min="11012" max="11012" width="14.21875" style="2386" customWidth="1"/>
    <col min="11013" max="11013" width="17.109375" style="2386" customWidth="1"/>
    <col min="11014" max="11014" width="15.33203125" style="2386" customWidth="1"/>
    <col min="11015" max="11015" width="0" style="2386" hidden="1" customWidth="1"/>
    <col min="11016" max="11016" width="14.77734375" style="2386" customWidth="1"/>
    <col min="11017" max="11024" width="0" style="2386" hidden="1" customWidth="1"/>
    <col min="11025" max="11025" width="13.109375" style="2386" customWidth="1"/>
    <col min="11026" max="11026" width="15.44140625" style="2386" customWidth="1"/>
    <col min="11027" max="11027" width="14.109375" style="2386" customWidth="1"/>
    <col min="11028" max="11028" width="13.33203125" style="2386" customWidth="1"/>
    <col min="11029" max="11029" width="16.77734375" style="2386" customWidth="1"/>
    <col min="11030" max="11030" width="16.21875" style="2386" customWidth="1"/>
    <col min="11031" max="11264" width="10" style="2386"/>
    <col min="11265" max="11265" width="7.109375" style="2386" customWidth="1"/>
    <col min="11266" max="11266" width="62.88671875" style="2386" customWidth="1"/>
    <col min="11267" max="11267" width="0" style="2386" hidden="1" customWidth="1"/>
    <col min="11268" max="11268" width="14.21875" style="2386" customWidth="1"/>
    <col min="11269" max="11269" width="17.109375" style="2386" customWidth="1"/>
    <col min="11270" max="11270" width="15.33203125" style="2386" customWidth="1"/>
    <col min="11271" max="11271" width="0" style="2386" hidden="1" customWidth="1"/>
    <col min="11272" max="11272" width="14.77734375" style="2386" customWidth="1"/>
    <col min="11273" max="11280" width="0" style="2386" hidden="1" customWidth="1"/>
    <col min="11281" max="11281" width="13.109375" style="2386" customWidth="1"/>
    <col min="11282" max="11282" width="15.44140625" style="2386" customWidth="1"/>
    <col min="11283" max="11283" width="14.109375" style="2386" customWidth="1"/>
    <col min="11284" max="11284" width="13.33203125" style="2386" customWidth="1"/>
    <col min="11285" max="11285" width="16.77734375" style="2386" customWidth="1"/>
    <col min="11286" max="11286" width="16.21875" style="2386" customWidth="1"/>
    <col min="11287" max="11520" width="10" style="2386"/>
    <col min="11521" max="11521" width="7.109375" style="2386" customWidth="1"/>
    <col min="11522" max="11522" width="62.88671875" style="2386" customWidth="1"/>
    <col min="11523" max="11523" width="0" style="2386" hidden="1" customWidth="1"/>
    <col min="11524" max="11524" width="14.21875" style="2386" customWidth="1"/>
    <col min="11525" max="11525" width="17.109375" style="2386" customWidth="1"/>
    <col min="11526" max="11526" width="15.33203125" style="2386" customWidth="1"/>
    <col min="11527" max="11527" width="0" style="2386" hidden="1" customWidth="1"/>
    <col min="11528" max="11528" width="14.77734375" style="2386" customWidth="1"/>
    <col min="11529" max="11536" width="0" style="2386" hidden="1" customWidth="1"/>
    <col min="11537" max="11537" width="13.109375" style="2386" customWidth="1"/>
    <col min="11538" max="11538" width="15.44140625" style="2386" customWidth="1"/>
    <col min="11539" max="11539" width="14.109375" style="2386" customWidth="1"/>
    <col min="11540" max="11540" width="13.33203125" style="2386" customWidth="1"/>
    <col min="11541" max="11541" width="16.77734375" style="2386" customWidth="1"/>
    <col min="11542" max="11542" width="16.21875" style="2386" customWidth="1"/>
    <col min="11543" max="11776" width="10" style="2386"/>
    <col min="11777" max="11777" width="7.109375" style="2386" customWidth="1"/>
    <col min="11778" max="11778" width="62.88671875" style="2386" customWidth="1"/>
    <col min="11779" max="11779" width="0" style="2386" hidden="1" customWidth="1"/>
    <col min="11780" max="11780" width="14.21875" style="2386" customWidth="1"/>
    <col min="11781" max="11781" width="17.109375" style="2386" customWidth="1"/>
    <col min="11782" max="11782" width="15.33203125" style="2386" customWidth="1"/>
    <col min="11783" max="11783" width="0" style="2386" hidden="1" customWidth="1"/>
    <col min="11784" max="11784" width="14.77734375" style="2386" customWidth="1"/>
    <col min="11785" max="11792" width="0" style="2386" hidden="1" customWidth="1"/>
    <col min="11793" max="11793" width="13.109375" style="2386" customWidth="1"/>
    <col min="11794" max="11794" width="15.44140625" style="2386" customWidth="1"/>
    <col min="11795" max="11795" width="14.109375" style="2386" customWidth="1"/>
    <col min="11796" max="11796" width="13.33203125" style="2386" customWidth="1"/>
    <col min="11797" max="11797" width="16.77734375" style="2386" customWidth="1"/>
    <col min="11798" max="11798" width="16.21875" style="2386" customWidth="1"/>
    <col min="11799" max="12032" width="10" style="2386"/>
    <col min="12033" max="12033" width="7.109375" style="2386" customWidth="1"/>
    <col min="12034" max="12034" width="62.88671875" style="2386" customWidth="1"/>
    <col min="12035" max="12035" width="0" style="2386" hidden="1" customWidth="1"/>
    <col min="12036" max="12036" width="14.21875" style="2386" customWidth="1"/>
    <col min="12037" max="12037" width="17.109375" style="2386" customWidth="1"/>
    <col min="12038" max="12038" width="15.33203125" style="2386" customWidth="1"/>
    <col min="12039" max="12039" width="0" style="2386" hidden="1" customWidth="1"/>
    <col min="12040" max="12040" width="14.77734375" style="2386" customWidth="1"/>
    <col min="12041" max="12048" width="0" style="2386" hidden="1" customWidth="1"/>
    <col min="12049" max="12049" width="13.109375" style="2386" customWidth="1"/>
    <col min="12050" max="12050" width="15.44140625" style="2386" customWidth="1"/>
    <col min="12051" max="12051" width="14.109375" style="2386" customWidth="1"/>
    <col min="12052" max="12052" width="13.33203125" style="2386" customWidth="1"/>
    <col min="12053" max="12053" width="16.77734375" style="2386" customWidth="1"/>
    <col min="12054" max="12054" width="16.21875" style="2386" customWidth="1"/>
    <col min="12055" max="12288" width="10" style="2386"/>
    <col min="12289" max="12289" width="7.109375" style="2386" customWidth="1"/>
    <col min="12290" max="12290" width="62.88671875" style="2386" customWidth="1"/>
    <col min="12291" max="12291" width="0" style="2386" hidden="1" customWidth="1"/>
    <col min="12292" max="12292" width="14.21875" style="2386" customWidth="1"/>
    <col min="12293" max="12293" width="17.109375" style="2386" customWidth="1"/>
    <col min="12294" max="12294" width="15.33203125" style="2386" customWidth="1"/>
    <col min="12295" max="12295" width="0" style="2386" hidden="1" customWidth="1"/>
    <col min="12296" max="12296" width="14.77734375" style="2386" customWidth="1"/>
    <col min="12297" max="12304" width="0" style="2386" hidden="1" customWidth="1"/>
    <col min="12305" max="12305" width="13.109375" style="2386" customWidth="1"/>
    <col min="12306" max="12306" width="15.44140625" style="2386" customWidth="1"/>
    <col min="12307" max="12307" width="14.109375" style="2386" customWidth="1"/>
    <col min="12308" max="12308" width="13.33203125" style="2386" customWidth="1"/>
    <col min="12309" max="12309" width="16.77734375" style="2386" customWidth="1"/>
    <col min="12310" max="12310" width="16.21875" style="2386" customWidth="1"/>
    <col min="12311" max="12544" width="10" style="2386"/>
    <col min="12545" max="12545" width="7.109375" style="2386" customWidth="1"/>
    <col min="12546" max="12546" width="62.88671875" style="2386" customWidth="1"/>
    <col min="12547" max="12547" width="0" style="2386" hidden="1" customWidth="1"/>
    <col min="12548" max="12548" width="14.21875" style="2386" customWidth="1"/>
    <col min="12549" max="12549" width="17.109375" style="2386" customWidth="1"/>
    <col min="12550" max="12550" width="15.33203125" style="2386" customWidth="1"/>
    <col min="12551" max="12551" width="0" style="2386" hidden="1" customWidth="1"/>
    <col min="12552" max="12552" width="14.77734375" style="2386" customWidth="1"/>
    <col min="12553" max="12560" width="0" style="2386" hidden="1" customWidth="1"/>
    <col min="12561" max="12561" width="13.109375" style="2386" customWidth="1"/>
    <col min="12562" max="12562" width="15.44140625" style="2386" customWidth="1"/>
    <col min="12563" max="12563" width="14.109375" style="2386" customWidth="1"/>
    <col min="12564" max="12564" width="13.33203125" style="2386" customWidth="1"/>
    <col min="12565" max="12565" width="16.77734375" style="2386" customWidth="1"/>
    <col min="12566" max="12566" width="16.21875" style="2386" customWidth="1"/>
    <col min="12567" max="12800" width="10" style="2386"/>
    <col min="12801" max="12801" width="7.109375" style="2386" customWidth="1"/>
    <col min="12802" max="12802" width="62.88671875" style="2386" customWidth="1"/>
    <col min="12803" max="12803" width="0" style="2386" hidden="1" customWidth="1"/>
    <col min="12804" max="12804" width="14.21875" style="2386" customWidth="1"/>
    <col min="12805" max="12805" width="17.109375" style="2386" customWidth="1"/>
    <col min="12806" max="12806" width="15.33203125" style="2386" customWidth="1"/>
    <col min="12807" max="12807" width="0" style="2386" hidden="1" customWidth="1"/>
    <col min="12808" max="12808" width="14.77734375" style="2386" customWidth="1"/>
    <col min="12809" max="12816" width="0" style="2386" hidden="1" customWidth="1"/>
    <col min="12817" max="12817" width="13.109375" style="2386" customWidth="1"/>
    <col min="12818" max="12818" width="15.44140625" style="2386" customWidth="1"/>
    <col min="12819" max="12819" width="14.109375" style="2386" customWidth="1"/>
    <col min="12820" max="12820" width="13.33203125" style="2386" customWidth="1"/>
    <col min="12821" max="12821" width="16.77734375" style="2386" customWidth="1"/>
    <col min="12822" max="12822" width="16.21875" style="2386" customWidth="1"/>
    <col min="12823" max="13056" width="10" style="2386"/>
    <col min="13057" max="13057" width="7.109375" style="2386" customWidth="1"/>
    <col min="13058" max="13058" width="62.88671875" style="2386" customWidth="1"/>
    <col min="13059" max="13059" width="0" style="2386" hidden="1" customWidth="1"/>
    <col min="13060" max="13060" width="14.21875" style="2386" customWidth="1"/>
    <col min="13061" max="13061" width="17.109375" style="2386" customWidth="1"/>
    <col min="13062" max="13062" width="15.33203125" style="2386" customWidth="1"/>
    <col min="13063" max="13063" width="0" style="2386" hidden="1" customWidth="1"/>
    <col min="13064" max="13064" width="14.77734375" style="2386" customWidth="1"/>
    <col min="13065" max="13072" width="0" style="2386" hidden="1" customWidth="1"/>
    <col min="13073" max="13073" width="13.109375" style="2386" customWidth="1"/>
    <col min="13074" max="13074" width="15.44140625" style="2386" customWidth="1"/>
    <col min="13075" max="13075" width="14.109375" style="2386" customWidth="1"/>
    <col min="13076" max="13076" width="13.33203125" style="2386" customWidth="1"/>
    <col min="13077" max="13077" width="16.77734375" style="2386" customWidth="1"/>
    <col min="13078" max="13078" width="16.21875" style="2386" customWidth="1"/>
    <col min="13079" max="13312" width="10" style="2386"/>
    <col min="13313" max="13313" width="7.109375" style="2386" customWidth="1"/>
    <col min="13314" max="13314" width="62.88671875" style="2386" customWidth="1"/>
    <col min="13315" max="13315" width="0" style="2386" hidden="1" customWidth="1"/>
    <col min="13316" max="13316" width="14.21875" style="2386" customWidth="1"/>
    <col min="13317" max="13317" width="17.109375" style="2386" customWidth="1"/>
    <col min="13318" max="13318" width="15.33203125" style="2386" customWidth="1"/>
    <col min="13319" max="13319" width="0" style="2386" hidden="1" customWidth="1"/>
    <col min="13320" max="13320" width="14.77734375" style="2386" customWidth="1"/>
    <col min="13321" max="13328" width="0" style="2386" hidden="1" customWidth="1"/>
    <col min="13329" max="13329" width="13.109375" style="2386" customWidth="1"/>
    <col min="13330" max="13330" width="15.44140625" style="2386" customWidth="1"/>
    <col min="13331" max="13331" width="14.109375" style="2386" customWidth="1"/>
    <col min="13332" max="13332" width="13.33203125" style="2386" customWidth="1"/>
    <col min="13333" max="13333" width="16.77734375" style="2386" customWidth="1"/>
    <col min="13334" max="13334" width="16.21875" style="2386" customWidth="1"/>
    <col min="13335" max="13568" width="10" style="2386"/>
    <col min="13569" max="13569" width="7.109375" style="2386" customWidth="1"/>
    <col min="13570" max="13570" width="62.88671875" style="2386" customWidth="1"/>
    <col min="13571" max="13571" width="0" style="2386" hidden="1" customWidth="1"/>
    <col min="13572" max="13572" width="14.21875" style="2386" customWidth="1"/>
    <col min="13573" max="13573" width="17.109375" style="2386" customWidth="1"/>
    <col min="13574" max="13574" width="15.33203125" style="2386" customWidth="1"/>
    <col min="13575" max="13575" width="0" style="2386" hidden="1" customWidth="1"/>
    <col min="13576" max="13576" width="14.77734375" style="2386" customWidth="1"/>
    <col min="13577" max="13584" width="0" style="2386" hidden="1" customWidth="1"/>
    <col min="13585" max="13585" width="13.109375" style="2386" customWidth="1"/>
    <col min="13586" max="13586" width="15.44140625" style="2386" customWidth="1"/>
    <col min="13587" max="13587" width="14.109375" style="2386" customWidth="1"/>
    <col min="13588" max="13588" width="13.33203125" style="2386" customWidth="1"/>
    <col min="13589" max="13589" width="16.77734375" style="2386" customWidth="1"/>
    <col min="13590" max="13590" width="16.21875" style="2386" customWidth="1"/>
    <col min="13591" max="13824" width="10" style="2386"/>
    <col min="13825" max="13825" width="7.109375" style="2386" customWidth="1"/>
    <col min="13826" max="13826" width="62.88671875" style="2386" customWidth="1"/>
    <col min="13827" max="13827" width="0" style="2386" hidden="1" customWidth="1"/>
    <col min="13828" max="13828" width="14.21875" style="2386" customWidth="1"/>
    <col min="13829" max="13829" width="17.109375" style="2386" customWidth="1"/>
    <col min="13830" max="13830" width="15.33203125" style="2386" customWidth="1"/>
    <col min="13831" max="13831" width="0" style="2386" hidden="1" customWidth="1"/>
    <col min="13832" max="13832" width="14.77734375" style="2386" customWidth="1"/>
    <col min="13833" max="13840" width="0" style="2386" hidden="1" customWidth="1"/>
    <col min="13841" max="13841" width="13.109375" style="2386" customWidth="1"/>
    <col min="13842" max="13842" width="15.44140625" style="2386" customWidth="1"/>
    <col min="13843" max="13843" width="14.109375" style="2386" customWidth="1"/>
    <col min="13844" max="13844" width="13.33203125" style="2386" customWidth="1"/>
    <col min="13845" max="13845" width="16.77734375" style="2386" customWidth="1"/>
    <col min="13846" max="13846" width="16.21875" style="2386" customWidth="1"/>
    <col min="13847" max="14080" width="10" style="2386"/>
    <col min="14081" max="14081" width="7.109375" style="2386" customWidth="1"/>
    <col min="14082" max="14082" width="62.88671875" style="2386" customWidth="1"/>
    <col min="14083" max="14083" width="0" style="2386" hidden="1" customWidth="1"/>
    <col min="14084" max="14084" width="14.21875" style="2386" customWidth="1"/>
    <col min="14085" max="14085" width="17.109375" style="2386" customWidth="1"/>
    <col min="14086" max="14086" width="15.33203125" style="2386" customWidth="1"/>
    <col min="14087" max="14087" width="0" style="2386" hidden="1" customWidth="1"/>
    <col min="14088" max="14088" width="14.77734375" style="2386" customWidth="1"/>
    <col min="14089" max="14096" width="0" style="2386" hidden="1" customWidth="1"/>
    <col min="14097" max="14097" width="13.109375" style="2386" customWidth="1"/>
    <col min="14098" max="14098" width="15.44140625" style="2386" customWidth="1"/>
    <col min="14099" max="14099" width="14.109375" style="2386" customWidth="1"/>
    <col min="14100" max="14100" width="13.33203125" style="2386" customWidth="1"/>
    <col min="14101" max="14101" width="16.77734375" style="2386" customWidth="1"/>
    <col min="14102" max="14102" width="16.21875" style="2386" customWidth="1"/>
    <col min="14103" max="14336" width="10" style="2386"/>
    <col min="14337" max="14337" width="7.109375" style="2386" customWidth="1"/>
    <col min="14338" max="14338" width="62.88671875" style="2386" customWidth="1"/>
    <col min="14339" max="14339" width="0" style="2386" hidden="1" customWidth="1"/>
    <col min="14340" max="14340" width="14.21875" style="2386" customWidth="1"/>
    <col min="14341" max="14341" width="17.109375" style="2386" customWidth="1"/>
    <col min="14342" max="14342" width="15.33203125" style="2386" customWidth="1"/>
    <col min="14343" max="14343" width="0" style="2386" hidden="1" customWidth="1"/>
    <col min="14344" max="14344" width="14.77734375" style="2386" customWidth="1"/>
    <col min="14345" max="14352" width="0" style="2386" hidden="1" customWidth="1"/>
    <col min="14353" max="14353" width="13.109375" style="2386" customWidth="1"/>
    <col min="14354" max="14354" width="15.44140625" style="2386" customWidth="1"/>
    <col min="14355" max="14355" width="14.109375" style="2386" customWidth="1"/>
    <col min="14356" max="14356" width="13.33203125" style="2386" customWidth="1"/>
    <col min="14357" max="14357" width="16.77734375" style="2386" customWidth="1"/>
    <col min="14358" max="14358" width="16.21875" style="2386" customWidth="1"/>
    <col min="14359" max="14592" width="10" style="2386"/>
    <col min="14593" max="14593" width="7.109375" style="2386" customWidth="1"/>
    <col min="14594" max="14594" width="62.88671875" style="2386" customWidth="1"/>
    <col min="14595" max="14595" width="0" style="2386" hidden="1" customWidth="1"/>
    <col min="14596" max="14596" width="14.21875" style="2386" customWidth="1"/>
    <col min="14597" max="14597" width="17.109375" style="2386" customWidth="1"/>
    <col min="14598" max="14598" width="15.33203125" style="2386" customWidth="1"/>
    <col min="14599" max="14599" width="0" style="2386" hidden="1" customWidth="1"/>
    <col min="14600" max="14600" width="14.77734375" style="2386" customWidth="1"/>
    <col min="14601" max="14608" width="0" style="2386" hidden="1" customWidth="1"/>
    <col min="14609" max="14609" width="13.109375" style="2386" customWidth="1"/>
    <col min="14610" max="14610" width="15.44140625" style="2386" customWidth="1"/>
    <col min="14611" max="14611" width="14.109375" style="2386" customWidth="1"/>
    <col min="14612" max="14612" width="13.33203125" style="2386" customWidth="1"/>
    <col min="14613" max="14613" width="16.77734375" style="2386" customWidth="1"/>
    <col min="14614" max="14614" width="16.21875" style="2386" customWidth="1"/>
    <col min="14615" max="14848" width="10" style="2386"/>
    <col min="14849" max="14849" width="7.109375" style="2386" customWidth="1"/>
    <col min="14850" max="14850" width="62.88671875" style="2386" customWidth="1"/>
    <col min="14851" max="14851" width="0" style="2386" hidden="1" customWidth="1"/>
    <col min="14852" max="14852" width="14.21875" style="2386" customWidth="1"/>
    <col min="14853" max="14853" width="17.109375" style="2386" customWidth="1"/>
    <col min="14854" max="14854" width="15.33203125" style="2386" customWidth="1"/>
    <col min="14855" max="14855" width="0" style="2386" hidden="1" customWidth="1"/>
    <col min="14856" max="14856" width="14.77734375" style="2386" customWidth="1"/>
    <col min="14857" max="14864" width="0" style="2386" hidden="1" customWidth="1"/>
    <col min="14865" max="14865" width="13.109375" style="2386" customWidth="1"/>
    <col min="14866" max="14866" width="15.44140625" style="2386" customWidth="1"/>
    <col min="14867" max="14867" width="14.109375" style="2386" customWidth="1"/>
    <col min="14868" max="14868" width="13.33203125" style="2386" customWidth="1"/>
    <col min="14869" max="14869" width="16.77734375" style="2386" customWidth="1"/>
    <col min="14870" max="14870" width="16.21875" style="2386" customWidth="1"/>
    <col min="14871" max="15104" width="10" style="2386"/>
    <col min="15105" max="15105" width="7.109375" style="2386" customWidth="1"/>
    <col min="15106" max="15106" width="62.88671875" style="2386" customWidth="1"/>
    <col min="15107" max="15107" width="0" style="2386" hidden="1" customWidth="1"/>
    <col min="15108" max="15108" width="14.21875" style="2386" customWidth="1"/>
    <col min="15109" max="15109" width="17.109375" style="2386" customWidth="1"/>
    <col min="15110" max="15110" width="15.33203125" style="2386" customWidth="1"/>
    <col min="15111" max="15111" width="0" style="2386" hidden="1" customWidth="1"/>
    <col min="15112" max="15112" width="14.77734375" style="2386" customWidth="1"/>
    <col min="15113" max="15120" width="0" style="2386" hidden="1" customWidth="1"/>
    <col min="15121" max="15121" width="13.109375" style="2386" customWidth="1"/>
    <col min="15122" max="15122" width="15.44140625" style="2386" customWidth="1"/>
    <col min="15123" max="15123" width="14.109375" style="2386" customWidth="1"/>
    <col min="15124" max="15124" width="13.33203125" style="2386" customWidth="1"/>
    <col min="15125" max="15125" width="16.77734375" style="2386" customWidth="1"/>
    <col min="15126" max="15126" width="16.21875" style="2386" customWidth="1"/>
    <col min="15127" max="15360" width="10" style="2386"/>
    <col min="15361" max="15361" width="7.109375" style="2386" customWidth="1"/>
    <col min="15362" max="15362" width="62.88671875" style="2386" customWidth="1"/>
    <col min="15363" max="15363" width="0" style="2386" hidden="1" customWidth="1"/>
    <col min="15364" max="15364" width="14.21875" style="2386" customWidth="1"/>
    <col min="15365" max="15365" width="17.109375" style="2386" customWidth="1"/>
    <col min="15366" max="15366" width="15.33203125" style="2386" customWidth="1"/>
    <col min="15367" max="15367" width="0" style="2386" hidden="1" customWidth="1"/>
    <col min="15368" max="15368" width="14.77734375" style="2386" customWidth="1"/>
    <col min="15369" max="15376" width="0" style="2386" hidden="1" customWidth="1"/>
    <col min="15377" max="15377" width="13.109375" style="2386" customWidth="1"/>
    <col min="15378" max="15378" width="15.44140625" style="2386" customWidth="1"/>
    <col min="15379" max="15379" width="14.109375" style="2386" customWidth="1"/>
    <col min="15380" max="15380" width="13.33203125" style="2386" customWidth="1"/>
    <col min="15381" max="15381" width="16.77734375" style="2386" customWidth="1"/>
    <col min="15382" max="15382" width="16.21875" style="2386" customWidth="1"/>
    <col min="15383" max="15616" width="10" style="2386"/>
    <col min="15617" max="15617" width="7.109375" style="2386" customWidth="1"/>
    <col min="15618" max="15618" width="62.88671875" style="2386" customWidth="1"/>
    <col min="15619" max="15619" width="0" style="2386" hidden="1" customWidth="1"/>
    <col min="15620" max="15620" width="14.21875" style="2386" customWidth="1"/>
    <col min="15621" max="15621" width="17.109375" style="2386" customWidth="1"/>
    <col min="15622" max="15622" width="15.33203125" style="2386" customWidth="1"/>
    <col min="15623" max="15623" width="0" style="2386" hidden="1" customWidth="1"/>
    <col min="15624" max="15624" width="14.77734375" style="2386" customWidth="1"/>
    <col min="15625" max="15632" width="0" style="2386" hidden="1" customWidth="1"/>
    <col min="15633" max="15633" width="13.109375" style="2386" customWidth="1"/>
    <col min="15634" max="15634" width="15.44140625" style="2386" customWidth="1"/>
    <col min="15635" max="15635" width="14.109375" style="2386" customWidth="1"/>
    <col min="15636" max="15636" width="13.33203125" style="2386" customWidth="1"/>
    <col min="15637" max="15637" width="16.77734375" style="2386" customWidth="1"/>
    <col min="15638" max="15638" width="16.21875" style="2386" customWidth="1"/>
    <col min="15639" max="15872" width="10" style="2386"/>
    <col min="15873" max="15873" width="7.109375" style="2386" customWidth="1"/>
    <col min="15874" max="15874" width="62.88671875" style="2386" customWidth="1"/>
    <col min="15875" max="15875" width="0" style="2386" hidden="1" customWidth="1"/>
    <col min="15876" max="15876" width="14.21875" style="2386" customWidth="1"/>
    <col min="15877" max="15877" width="17.109375" style="2386" customWidth="1"/>
    <col min="15878" max="15878" width="15.33203125" style="2386" customWidth="1"/>
    <col min="15879" max="15879" width="0" style="2386" hidden="1" customWidth="1"/>
    <col min="15880" max="15880" width="14.77734375" style="2386" customWidth="1"/>
    <col min="15881" max="15888" width="0" style="2386" hidden="1" customWidth="1"/>
    <col min="15889" max="15889" width="13.109375" style="2386" customWidth="1"/>
    <col min="15890" max="15890" width="15.44140625" style="2386" customWidth="1"/>
    <col min="15891" max="15891" width="14.109375" style="2386" customWidth="1"/>
    <col min="15892" max="15892" width="13.33203125" style="2386" customWidth="1"/>
    <col min="15893" max="15893" width="16.77734375" style="2386" customWidth="1"/>
    <col min="15894" max="15894" width="16.21875" style="2386" customWidth="1"/>
    <col min="15895" max="16128" width="10" style="2386"/>
    <col min="16129" max="16129" width="7.109375" style="2386" customWidth="1"/>
    <col min="16130" max="16130" width="62.88671875" style="2386" customWidth="1"/>
    <col min="16131" max="16131" width="0" style="2386" hidden="1" customWidth="1"/>
    <col min="16132" max="16132" width="14.21875" style="2386" customWidth="1"/>
    <col min="16133" max="16133" width="17.109375" style="2386" customWidth="1"/>
    <col min="16134" max="16134" width="15.33203125" style="2386" customWidth="1"/>
    <col min="16135" max="16135" width="0" style="2386" hidden="1" customWidth="1"/>
    <col min="16136" max="16136" width="14.77734375" style="2386" customWidth="1"/>
    <col min="16137" max="16144" width="0" style="2386" hidden="1" customWidth="1"/>
    <col min="16145" max="16145" width="13.109375" style="2386" customWidth="1"/>
    <col min="16146" max="16146" width="15.44140625" style="2386" customWidth="1"/>
    <col min="16147" max="16147" width="14.109375" style="2386" customWidth="1"/>
    <col min="16148" max="16148" width="13.33203125" style="2386" customWidth="1"/>
    <col min="16149" max="16149" width="16.77734375" style="2386" customWidth="1"/>
    <col min="16150" max="16150" width="16.21875" style="2386" customWidth="1"/>
    <col min="16151" max="16384" width="10" style="2386"/>
  </cols>
  <sheetData>
    <row r="1" spans="1:20" ht="17.399999999999999">
      <c r="B1" s="2385" t="s">
        <v>69</v>
      </c>
      <c r="F1" s="2387" t="s">
        <v>1339</v>
      </c>
      <c r="G1" s="2387"/>
      <c r="H1" s="2387"/>
      <c r="I1" s="2387"/>
      <c r="J1" s="2387"/>
      <c r="K1" s="2387"/>
      <c r="L1" s="2387"/>
    </row>
    <row r="2" spans="1:20" ht="17.399999999999999">
      <c r="B2" s="2388"/>
      <c r="F2" s="2387"/>
      <c r="G2" s="2387"/>
      <c r="H2" s="2387"/>
      <c r="I2" s="2387"/>
      <c r="J2" s="2387"/>
      <c r="K2" s="2387"/>
      <c r="L2" s="2387"/>
    </row>
    <row r="3" spans="1:20" ht="27" customHeight="1">
      <c r="A3" s="2942" t="s">
        <v>1340</v>
      </c>
      <c r="B3" s="2942"/>
      <c r="C3" s="2942"/>
      <c r="D3" s="2942"/>
      <c r="E3" s="2942"/>
      <c r="F3" s="2942"/>
      <c r="G3" s="2942"/>
      <c r="H3" s="2942"/>
      <c r="I3" s="2389"/>
      <c r="J3" s="2389"/>
      <c r="K3" s="2389"/>
      <c r="L3" s="2389"/>
    </row>
    <row r="4" spans="1:20" ht="14.4" customHeight="1">
      <c r="A4" s="2943" t="s">
        <v>1266</v>
      </c>
      <c r="B4" s="2943"/>
      <c r="C4" s="2943"/>
      <c r="D4" s="2943"/>
      <c r="E4" s="2943"/>
      <c r="F4" s="2943"/>
      <c r="G4" s="2943"/>
      <c r="H4" s="2943"/>
      <c r="I4" s="2389"/>
      <c r="J4" s="2389"/>
      <c r="K4" s="2389"/>
      <c r="L4" s="2389"/>
    </row>
    <row r="5" spans="1:20" ht="18">
      <c r="C5" s="2390"/>
      <c r="E5" s="2391"/>
      <c r="F5" s="2392"/>
      <c r="G5" s="2392"/>
      <c r="H5" s="2392"/>
      <c r="I5" s="2392"/>
      <c r="J5" s="2392"/>
      <c r="K5" s="2392"/>
      <c r="L5" s="2392"/>
    </row>
    <row r="6" spans="1:20" ht="18" hidden="1">
      <c r="B6" s="2393" t="s">
        <v>1341</v>
      </c>
      <c r="C6" s="2390"/>
      <c r="D6" s="2394">
        <v>8865023</v>
      </c>
      <c r="E6" s="2394">
        <v>9451599.0000000019</v>
      </c>
      <c r="F6" s="2395">
        <v>9261044.8640000038</v>
      </c>
      <c r="G6" s="2396">
        <v>9649218.8880000021</v>
      </c>
      <c r="H6" s="2395">
        <v>9924919.6240000017</v>
      </c>
      <c r="I6" s="2392"/>
      <c r="J6" s="2392"/>
      <c r="K6" s="2392"/>
      <c r="L6" s="2392"/>
    </row>
    <row r="7" spans="1:20" ht="18" hidden="1">
      <c r="B7" s="2393" t="s">
        <v>1342</v>
      </c>
      <c r="C7" s="2390"/>
      <c r="D7" s="2394">
        <v>8774023</v>
      </c>
      <c r="E7" s="2394">
        <v>9395999.129999999</v>
      </c>
      <c r="F7" s="2395">
        <v>9211044.8935000002</v>
      </c>
      <c r="G7" s="2396">
        <v>7591923.6295000007</v>
      </c>
      <c r="H7" s="2395">
        <v>7439040.1502</v>
      </c>
      <c r="I7" s="2392"/>
      <c r="J7" s="2392"/>
      <c r="K7" s="2392"/>
      <c r="L7" s="2392"/>
    </row>
    <row r="8" spans="1:20" ht="18" hidden="1">
      <c r="B8" s="2393" t="s">
        <v>1343</v>
      </c>
      <c r="C8" s="2390"/>
      <c r="D8" s="2394">
        <f>D6-D7</f>
        <v>91000</v>
      </c>
      <c r="E8" s="2394">
        <f>E6-E7</f>
        <v>55599.870000002906</v>
      </c>
      <c r="F8" s="2394">
        <f>F6-F7</f>
        <v>49999.970500003546</v>
      </c>
      <c r="G8" s="2396"/>
      <c r="H8" s="2394"/>
      <c r="I8" s="2392"/>
      <c r="J8" s="2392"/>
      <c r="K8" s="2392"/>
      <c r="L8" s="2392"/>
    </row>
    <row r="9" spans="1:20" ht="18" hidden="1">
      <c r="B9" s="2393" t="s">
        <v>1344</v>
      </c>
      <c r="C9" s="2390"/>
      <c r="D9" s="2394">
        <v>3211800</v>
      </c>
      <c r="E9" s="2394">
        <v>3619930.0000000014</v>
      </c>
      <c r="F9" s="2394">
        <v>3959321.6000000034</v>
      </c>
      <c r="G9" s="2396">
        <v>4347495.6240000017</v>
      </c>
      <c r="H9" s="2394">
        <v>4347495.6240000017</v>
      </c>
      <c r="I9" s="2392"/>
      <c r="J9" s="2392"/>
      <c r="K9" s="2392"/>
      <c r="L9" s="2392"/>
    </row>
    <row r="10" spans="1:20" ht="18" hidden="1">
      <c r="B10" s="2393" t="s">
        <v>1345</v>
      </c>
      <c r="C10" s="2390"/>
      <c r="D10" s="2397">
        <f>D19/D9%</f>
        <v>83.566847250762805</v>
      </c>
      <c r="E10" s="2394">
        <f>E9*D10%</f>
        <v>3025061.3736845395</v>
      </c>
      <c r="F10" s="2394">
        <f>F9*D10%</f>
        <v>3308680.2336384607</v>
      </c>
      <c r="G10" s="2396"/>
      <c r="H10" s="2394">
        <f>H9*D10%</f>
        <v>3633065.0273416787</v>
      </c>
      <c r="I10" s="2392"/>
      <c r="J10" s="2392"/>
      <c r="K10" s="2392"/>
      <c r="L10" s="2392"/>
    </row>
    <row r="11" spans="1:20" ht="18">
      <c r="B11" s="2393"/>
      <c r="C11" s="2390"/>
      <c r="D11" s="2397"/>
      <c r="E11" s="2394"/>
      <c r="F11" s="2394"/>
      <c r="G11" s="2396"/>
      <c r="H11" s="2392" t="s">
        <v>1056</v>
      </c>
      <c r="I11" s="2392"/>
      <c r="J11" s="2392"/>
      <c r="K11" s="2392"/>
      <c r="L11" s="2392"/>
    </row>
    <row r="12" spans="1:20" s="2399" customFormat="1" ht="21" customHeight="1">
      <c r="A12" s="2944" t="s">
        <v>49</v>
      </c>
      <c r="B12" s="2945" t="s">
        <v>257</v>
      </c>
      <c r="C12" s="2945" t="s">
        <v>1270</v>
      </c>
      <c r="D12" s="2945" t="s">
        <v>1346</v>
      </c>
      <c r="E12" s="2945" t="s">
        <v>1347</v>
      </c>
      <c r="F12" s="2945" t="s">
        <v>1348</v>
      </c>
      <c r="G12" s="2398"/>
      <c r="H12" s="2945" t="s">
        <v>1349</v>
      </c>
      <c r="I12" s="2398"/>
      <c r="J12" s="2398"/>
      <c r="K12" s="2398"/>
      <c r="L12" s="2398"/>
    </row>
    <row r="13" spans="1:20" s="2399" customFormat="1" ht="21" customHeight="1">
      <c r="A13" s="2944"/>
      <c r="B13" s="2945"/>
      <c r="C13" s="2945"/>
      <c r="D13" s="2945"/>
      <c r="E13" s="2945"/>
      <c r="F13" s="2945"/>
      <c r="G13" s="2398"/>
      <c r="H13" s="2945"/>
      <c r="I13" s="2400">
        <v>3211800</v>
      </c>
      <c r="J13" s="2400"/>
      <c r="K13" s="2400">
        <v>3619929.9999999995</v>
      </c>
      <c r="L13" s="2400">
        <v>3959321.6000000034</v>
      </c>
      <c r="M13" s="2400">
        <v>4118050.6857600044</v>
      </c>
      <c r="N13" s="2400"/>
      <c r="O13" s="2400"/>
      <c r="R13" s="2941" t="s">
        <v>1350</v>
      </c>
      <c r="S13" s="2941"/>
      <c r="T13" s="2941"/>
    </row>
    <row r="14" spans="1:20" s="2399" customFormat="1" ht="21" customHeight="1">
      <c r="A14" s="2944"/>
      <c r="B14" s="2945"/>
      <c r="C14" s="2945"/>
      <c r="D14" s="2945"/>
      <c r="E14" s="2945"/>
      <c r="F14" s="2945"/>
      <c r="G14" s="2400"/>
      <c r="H14" s="2945"/>
      <c r="I14" s="2400">
        <f>D19/I13%</f>
        <v>83.566847250762805</v>
      </c>
      <c r="J14" s="2400"/>
      <c r="K14" s="2400">
        <f>K13*$I$14%</f>
        <v>3025061.3736845376</v>
      </c>
      <c r="L14" s="2400">
        <f>L13*$I$14%</f>
        <v>3308680.2336384607</v>
      </c>
      <c r="M14" s="2400">
        <f>M13*$I$14%</f>
        <v>3441325.1262780535</v>
      </c>
      <c r="N14" s="2400"/>
      <c r="O14" s="2400"/>
    </row>
    <row r="15" spans="1:20" s="2403" customFormat="1" ht="28.5" customHeight="1">
      <c r="A15" s="2944"/>
      <c r="B15" s="2945"/>
      <c r="C15" s="2945"/>
      <c r="D15" s="2945"/>
      <c r="E15" s="2945"/>
      <c r="F15" s="2945"/>
      <c r="G15" s="2401" t="s">
        <v>1351</v>
      </c>
      <c r="H15" s="2945"/>
      <c r="I15" s="2402"/>
      <c r="J15" s="2402"/>
      <c r="K15" s="2402"/>
      <c r="L15" s="2398"/>
      <c r="S15" s="2404"/>
      <c r="T15" s="2404"/>
    </row>
    <row r="16" spans="1:20" s="2412" customFormat="1" ht="17.25" customHeight="1">
      <c r="A16" s="2405" t="s">
        <v>80</v>
      </c>
      <c r="B16" s="2406" t="s">
        <v>81</v>
      </c>
      <c r="C16" s="2407">
        <v>2</v>
      </c>
      <c r="D16" s="2407">
        <v>3</v>
      </c>
      <c r="E16" s="2407">
        <v>4</v>
      </c>
      <c r="F16" s="2407">
        <v>5</v>
      </c>
      <c r="G16" s="2408"/>
      <c r="H16" s="2407">
        <v>6</v>
      </c>
      <c r="I16" s="2408"/>
      <c r="J16" s="2409"/>
      <c r="K16" s="2409"/>
      <c r="L16" s="2408"/>
      <c r="M16" s="2408"/>
      <c r="N16" s="2408"/>
      <c r="O16" s="2408"/>
      <c r="P16" s="2410"/>
      <c r="Q16" s="2410"/>
      <c r="R16" s="2411"/>
      <c r="S16" s="2411"/>
      <c r="T16" s="2411"/>
    </row>
    <row r="17" spans="1:38" s="2417" customFormat="1" ht="23.25" customHeight="1">
      <c r="A17" s="2413" t="s">
        <v>80</v>
      </c>
      <c r="B17" s="2414" t="s">
        <v>377</v>
      </c>
      <c r="C17" s="2415"/>
      <c r="D17" s="2415"/>
      <c r="E17" s="2415"/>
      <c r="F17" s="2415"/>
      <c r="G17" s="2416"/>
      <c r="H17" s="2415"/>
      <c r="I17" s="2416"/>
      <c r="J17" s="2416"/>
      <c r="K17" s="2416"/>
      <c r="L17" s="2416"/>
      <c r="S17" s="2418"/>
      <c r="T17" s="2418"/>
    </row>
    <row r="18" spans="1:38" s="2426" customFormat="1" ht="23.25" customHeight="1">
      <c r="A18" s="2419" t="s">
        <v>54</v>
      </c>
      <c r="B18" s="2420" t="s">
        <v>1087</v>
      </c>
      <c r="C18" s="2421" t="e">
        <f>C19+C20+C24</f>
        <v>#REF!</v>
      </c>
      <c r="D18" s="2421">
        <f>D19+D20+D24</f>
        <v>8337223</v>
      </c>
      <c r="E18" s="2421">
        <f>E19+E20+E24</f>
        <v>8604248</v>
      </c>
      <c r="F18" s="2421">
        <f>F19+F20+F24</f>
        <v>8708721.3200000003</v>
      </c>
      <c r="G18" s="2422" t="e">
        <f>#REF!+#REF!-#REF!</f>
        <v>#REF!</v>
      </c>
      <c r="H18" s="2421">
        <f>H19+H20+H24</f>
        <v>7255331.3200000003</v>
      </c>
      <c r="I18" s="2423"/>
      <c r="J18" s="2423"/>
      <c r="K18" s="2423">
        <f>D18+D34-D36</f>
        <v>8865023</v>
      </c>
      <c r="L18" s="2423">
        <f>E18+E34-E36</f>
        <v>9166448</v>
      </c>
      <c r="M18" s="2423">
        <f>F18+F34-F36</f>
        <v>9353031.3200000003</v>
      </c>
      <c r="N18" s="2423"/>
      <c r="O18" s="2424" t="s">
        <v>1352</v>
      </c>
      <c r="P18" s="2416">
        <v>5141724</v>
      </c>
      <c r="Q18" s="2422" t="s">
        <v>1353</v>
      </c>
      <c r="R18" s="2425">
        <f>E18+E35</f>
        <v>9166448</v>
      </c>
      <c r="S18" s="2425">
        <f>F18+F35</f>
        <v>9353031.3200000003</v>
      </c>
      <c r="T18" s="2425">
        <f>H18+H35</f>
        <v>7931856.8200000003</v>
      </c>
    </row>
    <row r="19" spans="1:38" s="2433" customFormat="1" ht="23.25" customHeight="1">
      <c r="A19" s="2427"/>
      <c r="B19" s="2428" t="s">
        <v>1088</v>
      </c>
      <c r="C19" s="2429">
        <f>3000000-518179-192020</f>
        <v>2289801</v>
      </c>
      <c r="D19" s="2429">
        <f>2902000-235200+17200-48090+48090</f>
        <v>2684000</v>
      </c>
      <c r="E19" s="2429">
        <f>2894522+248816+1881-250697</f>
        <v>2894522</v>
      </c>
      <c r="F19" s="2429">
        <f>E19*106%+38802-54000</f>
        <v>3052995.3200000003</v>
      </c>
      <c r="G19" s="2416" t="e">
        <f>#REF!+#REF!</f>
        <v>#REF!</v>
      </c>
      <c r="H19" s="2429">
        <f>F19+296936-2700</f>
        <v>3347231.3200000003</v>
      </c>
      <c r="I19" s="2416"/>
      <c r="J19" s="2416"/>
      <c r="K19" s="2416">
        <f>D18+D35</f>
        <v>8865023</v>
      </c>
      <c r="L19" s="2416">
        <f>E18+E35</f>
        <v>9166448</v>
      </c>
      <c r="M19" s="2416">
        <f>F18+F35</f>
        <v>9353031.3200000003</v>
      </c>
      <c r="N19" s="2416"/>
      <c r="O19" s="2416" t="s">
        <v>1354</v>
      </c>
      <c r="P19" s="2430">
        <f>E18-P18</f>
        <v>3462524</v>
      </c>
      <c r="Q19" s="2430" t="s">
        <v>1355</v>
      </c>
      <c r="R19" s="2431">
        <f>E19+E35</f>
        <v>3456722</v>
      </c>
      <c r="S19" s="2431">
        <f>F19+F35</f>
        <v>3697305.3200000003</v>
      </c>
      <c r="T19" s="2432">
        <f>H19+H35</f>
        <v>4023756.8200000003</v>
      </c>
    </row>
    <row r="20" spans="1:38" s="2433" customFormat="1" ht="23.25" customHeight="1">
      <c r="A20" s="2434">
        <f>A19+1</f>
        <v>1</v>
      </c>
      <c r="B20" s="2428" t="s">
        <v>1293</v>
      </c>
      <c r="C20" s="2429" t="e">
        <f>SUM(C21:C22)</f>
        <v>#REF!</v>
      </c>
      <c r="D20" s="2429">
        <f>SUM(D21:D22)</f>
        <v>5577424</v>
      </c>
      <c r="E20" s="2429">
        <f>SUM(E21:E22)</f>
        <v>5555726</v>
      </c>
      <c r="F20" s="2429">
        <f>SUM(F21:F22)</f>
        <v>5555726</v>
      </c>
      <c r="G20" s="2435" t="e">
        <f>G18-G19</f>
        <v>#REF!</v>
      </c>
      <c r="H20" s="2429">
        <f>SUM(H21:H22)</f>
        <v>3808100</v>
      </c>
      <c r="I20" s="2435"/>
      <c r="J20" s="2435"/>
      <c r="K20" s="2435">
        <f>K18-K19</f>
        <v>0</v>
      </c>
      <c r="L20" s="2435">
        <f>L18-L19</f>
        <v>0</v>
      </c>
      <c r="M20" s="2435">
        <f>M18-M19</f>
        <v>0</v>
      </c>
      <c r="N20" s="2435"/>
      <c r="O20" s="2435" t="s">
        <v>1356</v>
      </c>
      <c r="P20" s="2436">
        <f>P18+P19</f>
        <v>8604248</v>
      </c>
      <c r="Q20" s="2436"/>
      <c r="T20" s="2431"/>
    </row>
    <row r="21" spans="1:38" s="2433" customFormat="1" ht="23.25" customHeight="1">
      <c r="A21" s="2427" t="s">
        <v>1089</v>
      </c>
      <c r="B21" s="2428" t="s">
        <v>1294</v>
      </c>
      <c r="C21" s="2437" t="e">
        <f>#REF!</f>
        <v>#REF!</v>
      </c>
      <c r="D21" s="2429">
        <f>'[3]15'!C16</f>
        <v>3682602</v>
      </c>
      <c r="E21" s="2429">
        <v>3808100</v>
      </c>
      <c r="F21" s="2429">
        <f>'[3]02-08'!I94</f>
        <v>3808100</v>
      </c>
      <c r="G21" s="2416" t="e">
        <f>#REF!-#REF!</f>
        <v>#REF!</v>
      </c>
      <c r="H21" s="2429">
        <f>'[3]02-08'!J94</f>
        <v>3808100</v>
      </c>
      <c r="I21" s="2438"/>
      <c r="J21" s="2438"/>
      <c r="K21" s="2438">
        <f>D20-D36</f>
        <v>2422908</v>
      </c>
      <c r="L21" s="2438">
        <f>E20-E36</f>
        <v>1776121</v>
      </c>
      <c r="M21" s="2438">
        <f>F20-F36</f>
        <v>1776121</v>
      </c>
      <c r="N21" s="2438"/>
      <c r="O21" s="2438"/>
      <c r="P21" s="2439"/>
      <c r="Q21" s="2439"/>
    </row>
    <row r="22" spans="1:38" s="2433" customFormat="1" ht="23.25" customHeight="1">
      <c r="A22" s="2440" t="s">
        <v>1089</v>
      </c>
      <c r="B22" s="2441" t="s">
        <v>1064</v>
      </c>
      <c r="C22" s="2442">
        <v>1494141.5</v>
      </c>
      <c r="D22" s="2443">
        <f>'[3]15'!C17</f>
        <v>1894822</v>
      </c>
      <c r="E22" s="2429">
        <f>1770626-23000</f>
        <v>1747626</v>
      </c>
      <c r="F22" s="2429">
        <f>E22</f>
        <v>1747626</v>
      </c>
      <c r="G22" s="2416"/>
      <c r="H22" s="2429">
        <f>'[3]02-08'!J95</f>
        <v>0</v>
      </c>
      <c r="I22" s="2438"/>
      <c r="J22" s="2438"/>
      <c r="K22" s="2444"/>
      <c r="L22" s="2444"/>
      <c r="M22" s="2444"/>
      <c r="N22" s="2444"/>
      <c r="O22" s="2444"/>
      <c r="P22" s="2431"/>
      <c r="Q22" s="2431"/>
    </row>
    <row r="23" spans="1:38" s="2426" customFormat="1" ht="23.25" customHeight="1">
      <c r="A23" s="2434">
        <f>A20+1</f>
        <v>2</v>
      </c>
      <c r="B23" s="2428" t="s">
        <v>1065</v>
      </c>
      <c r="C23" s="2445"/>
      <c r="D23" s="2445"/>
      <c r="E23" s="2445"/>
      <c r="F23" s="2445"/>
      <c r="G23" s="2446"/>
      <c r="H23" s="2445"/>
      <c r="I23" s="2446"/>
      <c r="J23" s="2446"/>
      <c r="K23" s="2444"/>
      <c r="L23" s="2444"/>
      <c r="P23" s="2425"/>
      <c r="Q23" s="2425"/>
    </row>
    <row r="24" spans="1:38" s="2417" customFormat="1" ht="23.25" customHeight="1">
      <c r="A24" s="2434">
        <f>A23+1</f>
        <v>3</v>
      </c>
      <c r="B24" s="2428" t="s">
        <v>1066</v>
      </c>
      <c r="C24" s="2429">
        <v>510177</v>
      </c>
      <c r="D24" s="2429">
        <f>'[3]15'!C20</f>
        <v>75799</v>
      </c>
      <c r="E24" s="2429">
        <v>154000</v>
      </c>
      <c r="F24" s="2429">
        <f>E24-54000</f>
        <v>100000</v>
      </c>
      <c r="G24" s="2416"/>
      <c r="H24" s="2429">
        <v>100000</v>
      </c>
      <c r="I24" s="2416"/>
      <c r="J24" s="2416"/>
      <c r="K24" s="2444"/>
      <c r="L24" s="2444"/>
    </row>
    <row r="25" spans="1:38" s="2417" customFormat="1" ht="23.25" customHeight="1">
      <c r="A25" s="2434">
        <f>A24+1</f>
        <v>4</v>
      </c>
      <c r="B25" s="2428" t="s">
        <v>1067</v>
      </c>
      <c r="C25" s="2429"/>
      <c r="D25" s="2429"/>
      <c r="E25" s="2429"/>
      <c r="F25" s="2429"/>
      <c r="G25" s="2416"/>
      <c r="H25" s="2429"/>
      <c r="I25" s="2416"/>
      <c r="J25" s="2416"/>
      <c r="K25" s="2444"/>
      <c r="L25" s="2444"/>
      <c r="M25" s="2430"/>
      <c r="N25" s="2430"/>
      <c r="O25" s="2430"/>
    </row>
    <row r="26" spans="1:38" s="2417" customFormat="1" ht="23.25" customHeight="1">
      <c r="A26" s="2419" t="s">
        <v>60</v>
      </c>
      <c r="B26" s="2420" t="s">
        <v>1090</v>
      </c>
      <c r="C26" s="2421">
        <f>C27+C28</f>
        <v>8393759</v>
      </c>
      <c r="D26" s="2421">
        <f>SUM(D27:D28)</f>
        <v>8286423</v>
      </c>
      <c r="E26" s="2421">
        <f>SUM(E27:E28)</f>
        <v>8549748</v>
      </c>
      <c r="F26" s="2421">
        <f>F27+F28</f>
        <v>8656102.120000001</v>
      </c>
      <c r="G26" s="2422" t="e">
        <f>#REF!+#REF!</f>
        <v>#REF!</v>
      </c>
      <c r="H26" s="2421">
        <f>H27+H28</f>
        <v>6876260.1200000001</v>
      </c>
      <c r="I26" s="2447"/>
      <c r="J26" s="2447"/>
      <c r="K26" s="2447">
        <f>D27+D41</f>
        <v>8814223</v>
      </c>
      <c r="L26" s="2447">
        <f>E27+E41</f>
        <v>9111948</v>
      </c>
      <c r="M26" s="2447">
        <f>F27+F41</f>
        <v>9300412.120000001</v>
      </c>
      <c r="N26" s="2447"/>
      <c r="O26" s="2447"/>
      <c r="P26" s="2430"/>
      <c r="Q26" s="2436" t="s">
        <v>38</v>
      </c>
      <c r="R26" s="2436">
        <f>E27+E41</f>
        <v>9111948</v>
      </c>
      <c r="S26" s="2436">
        <f>F27+F41</f>
        <v>9300412.120000001</v>
      </c>
      <c r="T26" s="2436">
        <f>H27+H41</f>
        <v>7552785.6200000001</v>
      </c>
      <c r="U26" s="2430"/>
      <c r="V26" s="2430"/>
      <c r="AG26" s="2417">
        <v>8812723</v>
      </c>
      <c r="AH26" s="2417">
        <v>9027590.5500000007</v>
      </c>
      <c r="AI26" s="2417">
        <v>9664383.2197999991</v>
      </c>
      <c r="AK26" s="2417">
        <v>27226582.534400001</v>
      </c>
      <c r="AL26" s="2417">
        <v>7552785.5344000002</v>
      </c>
    </row>
    <row r="27" spans="1:38" s="2417" customFormat="1" ht="23.25" customHeight="1">
      <c r="A27" s="2448">
        <v>1</v>
      </c>
      <c r="B27" s="2449" t="s">
        <v>1357</v>
      </c>
      <c r="C27" s="2450">
        <f>'[3]10'!C29</f>
        <v>5131907</v>
      </c>
      <c r="D27" s="2450">
        <f>'[3]10'!C29</f>
        <v>5131907</v>
      </c>
      <c r="E27" s="2450">
        <f>'[3]10'!D29</f>
        <v>4770143</v>
      </c>
      <c r="F27" s="2450">
        <f>'[3]10'!F29</f>
        <v>4876497.12</v>
      </c>
      <c r="G27" s="2416">
        <v>7627387</v>
      </c>
      <c r="H27" s="2450">
        <f>'[3]10'!N29</f>
        <v>3594962.12</v>
      </c>
      <c r="I27" s="2416"/>
      <c r="J27" s="2416"/>
      <c r="K27" s="2416">
        <v>8812723</v>
      </c>
      <c r="L27" s="2444">
        <v>9281934.9399999995</v>
      </c>
      <c r="M27" s="2430">
        <v>9935939.0522000007</v>
      </c>
      <c r="N27" s="2430"/>
      <c r="O27" s="2430"/>
      <c r="P27" s="2430"/>
      <c r="Q27" s="2430">
        <f>E27+E28</f>
        <v>8549748</v>
      </c>
      <c r="R27" s="2430"/>
      <c r="S27" s="2430"/>
      <c r="T27" s="2430"/>
      <c r="U27" s="2430"/>
      <c r="V27" s="2430"/>
    </row>
    <row r="28" spans="1:38" s="2417" customFormat="1" ht="23.25" customHeight="1">
      <c r="A28" s="2451">
        <f>A27+1</f>
        <v>2</v>
      </c>
      <c r="B28" s="2452" t="s">
        <v>1358</v>
      </c>
      <c r="C28" s="2453">
        <f>C29+C30</f>
        <v>3261852</v>
      </c>
      <c r="D28" s="2453">
        <f>D29+D30</f>
        <v>3154516</v>
      </c>
      <c r="E28" s="2453">
        <f>E29+E30</f>
        <v>3779605</v>
      </c>
      <c r="F28" s="2453">
        <f>F29+F30</f>
        <v>3779605</v>
      </c>
      <c r="G28" s="2416"/>
      <c r="H28" s="2453">
        <f>H29+H30</f>
        <v>3281298</v>
      </c>
      <c r="I28" s="2416"/>
      <c r="J28" s="2416"/>
      <c r="K28" s="2416">
        <f>K18-K26</f>
        <v>50800</v>
      </c>
      <c r="L28" s="2416">
        <f>L18-L26</f>
        <v>54500</v>
      </c>
      <c r="M28" s="2416">
        <f>M18-M26</f>
        <v>52619.199999999255</v>
      </c>
      <c r="N28" s="2416"/>
      <c r="O28" s="2416"/>
      <c r="P28" s="2454"/>
      <c r="Q28" s="2454"/>
      <c r="R28" s="2454"/>
      <c r="S28" s="2430"/>
      <c r="T28" s="2430"/>
      <c r="U28" s="2430">
        <f>U26-U27</f>
        <v>0</v>
      </c>
      <c r="W28" s="2430">
        <f>V27-W27</f>
        <v>0</v>
      </c>
    </row>
    <row r="29" spans="1:38" s="2417" customFormat="1" ht="23.25" customHeight="1">
      <c r="A29" s="2427" t="s">
        <v>1089</v>
      </c>
      <c r="B29" s="2428" t="s">
        <v>1359</v>
      </c>
      <c r="C29" s="2429">
        <v>2842508</v>
      </c>
      <c r="D29" s="2429">
        <f>'[3]10'!C25</f>
        <v>3061564</v>
      </c>
      <c r="E29" s="2429">
        <f>'[3]10'!D25</f>
        <v>3281298</v>
      </c>
      <c r="F29" s="2429">
        <f>'[3]10'!F25</f>
        <v>3281298</v>
      </c>
      <c r="G29" s="2416"/>
      <c r="H29" s="2429">
        <f>'[3]10'!N25</f>
        <v>3281298</v>
      </c>
      <c r="I29" s="2416"/>
      <c r="J29" s="2416"/>
      <c r="K29" s="2416"/>
      <c r="L29" s="2444"/>
      <c r="M29" s="2430"/>
      <c r="N29" s="2430"/>
      <c r="O29" s="2430"/>
      <c r="P29" s="2430"/>
      <c r="Q29" s="2430"/>
      <c r="R29" s="2430"/>
    </row>
    <row r="30" spans="1:38" s="2417" customFormat="1" ht="23.25" customHeight="1">
      <c r="A30" s="2427" t="s">
        <v>1089</v>
      </c>
      <c r="B30" s="2428" t="s">
        <v>1093</v>
      </c>
      <c r="C30" s="2429">
        <v>419344</v>
      </c>
      <c r="D30" s="2429">
        <f>'[3]10'!C26</f>
        <v>92952</v>
      </c>
      <c r="E30" s="2429">
        <f>'[3]10'!D26</f>
        <v>498307</v>
      </c>
      <c r="F30" s="2429">
        <f>'[3]10'!F26</f>
        <v>498307</v>
      </c>
      <c r="G30" s="2416"/>
      <c r="H30" s="2429">
        <f>'[3]10'!N26</f>
        <v>0</v>
      </c>
      <c r="I30" s="2416"/>
      <c r="J30" s="2416"/>
      <c r="K30" s="2444"/>
      <c r="L30" s="2444"/>
      <c r="P30" s="2430"/>
      <c r="Q30" s="2430"/>
      <c r="R30" s="2430"/>
    </row>
    <row r="31" spans="1:38" s="2417" customFormat="1" ht="23.25" customHeight="1">
      <c r="A31" s="2434">
        <f>A28+1</f>
        <v>3</v>
      </c>
      <c r="B31" s="2428" t="s">
        <v>1075</v>
      </c>
      <c r="C31" s="2429"/>
      <c r="D31" s="2429"/>
      <c r="E31" s="2429"/>
      <c r="F31" s="2429"/>
      <c r="G31" s="2416"/>
      <c r="H31" s="2429"/>
      <c r="I31" s="2416"/>
      <c r="J31" s="2416"/>
      <c r="K31" s="2444"/>
      <c r="L31" s="2444"/>
    </row>
    <row r="32" spans="1:38" s="2417" customFormat="1" ht="23.25" customHeight="1">
      <c r="A32" s="2455" t="s">
        <v>315</v>
      </c>
      <c r="B32" s="2456" t="s">
        <v>1343</v>
      </c>
      <c r="C32" s="2457" t="e">
        <f>C18-C26</f>
        <v>#REF!</v>
      </c>
      <c r="D32" s="2458">
        <f>D18-D26</f>
        <v>50800</v>
      </c>
      <c r="E32" s="2458">
        <f>E18-E26</f>
        <v>54500</v>
      </c>
      <c r="F32" s="2458">
        <f>F18-F26</f>
        <v>52619.199999999255</v>
      </c>
      <c r="G32" s="2422"/>
      <c r="H32" s="2458"/>
      <c r="I32" s="2416"/>
      <c r="J32" s="2416">
        <f>G32-E32</f>
        <v>-54500</v>
      </c>
      <c r="K32" s="2416">
        <f>E32-E8</f>
        <v>-1099.8700000029057</v>
      </c>
      <c r="L32" s="2444"/>
      <c r="M32" s="2454"/>
      <c r="N32" s="2454"/>
      <c r="O32" s="2454"/>
      <c r="P32" s="2430"/>
      <c r="Q32" s="2436" t="s">
        <v>1360</v>
      </c>
      <c r="R32" s="2459">
        <f>R18-R26</f>
        <v>54500</v>
      </c>
      <c r="S32" s="2459">
        <f>S18-S26</f>
        <v>52619.199999999255</v>
      </c>
      <c r="T32" s="2459"/>
      <c r="U32" s="2460"/>
    </row>
    <row r="33" spans="1:21" s="2417" customFormat="1" ht="23.25" customHeight="1">
      <c r="A33" s="2419" t="s">
        <v>81</v>
      </c>
      <c r="B33" s="2461" t="s">
        <v>378</v>
      </c>
      <c r="C33" s="2429"/>
      <c r="D33" s="2429"/>
      <c r="E33" s="2429"/>
      <c r="F33" s="2429"/>
      <c r="G33" s="2416"/>
      <c r="H33" s="2429"/>
      <c r="I33" s="2416"/>
      <c r="J33" s="2416"/>
      <c r="K33" s="2416">
        <f>E30+K32</f>
        <v>497207.12999999709</v>
      </c>
      <c r="L33" s="2416"/>
    </row>
    <row r="34" spans="1:21" s="2460" customFormat="1" ht="23.25" customHeight="1">
      <c r="A34" s="2419" t="s">
        <v>54</v>
      </c>
      <c r="B34" s="2420" t="s">
        <v>1087</v>
      </c>
      <c r="C34" s="2421" t="e">
        <f>C35+C36+C39+C40</f>
        <v>#REF!</v>
      </c>
      <c r="D34" s="2421">
        <f>D35+D36</f>
        <v>3682316</v>
      </c>
      <c r="E34" s="2421">
        <f>E35+E36</f>
        <v>4341805</v>
      </c>
      <c r="F34" s="2421">
        <f>F35+F36</f>
        <v>4423915</v>
      </c>
      <c r="G34" s="2422"/>
      <c r="H34" s="2421">
        <f>H35+H36</f>
        <v>3957823.5</v>
      </c>
      <c r="I34" s="2422"/>
      <c r="J34" s="2422">
        <f>F35+F36</f>
        <v>4423915</v>
      </c>
      <c r="K34" s="2422"/>
      <c r="L34" s="2422"/>
    </row>
    <row r="35" spans="1:21" s="2417" customFormat="1" ht="23.25" customHeight="1">
      <c r="A35" s="2427">
        <v>1</v>
      </c>
      <c r="B35" s="2428" t="s">
        <v>1088</v>
      </c>
      <c r="C35" s="2429">
        <f>518179-11480</f>
        <v>506699</v>
      </c>
      <c r="D35" s="2429">
        <f>D9-D19</f>
        <v>527800</v>
      </c>
      <c r="E35" s="2429">
        <v>562200</v>
      </c>
      <c r="F35" s="2429">
        <f>E35*105%+54000</f>
        <v>644310</v>
      </c>
      <c r="G35" s="2416"/>
      <c r="H35" s="2429">
        <f>F35*105%</f>
        <v>676525.5</v>
      </c>
      <c r="I35" s="2416"/>
      <c r="J35" s="2416"/>
      <c r="K35" s="2416"/>
      <c r="L35" s="2416"/>
      <c r="P35" s="2430"/>
      <c r="Q35" s="2430"/>
      <c r="R35" s="2430"/>
      <c r="S35" s="2430"/>
      <c r="T35" s="2430"/>
      <c r="U35" s="2430"/>
    </row>
    <row r="36" spans="1:21" s="2417" customFormat="1" ht="23.25" customHeight="1">
      <c r="A36" s="2451">
        <f>A35+1</f>
        <v>2</v>
      </c>
      <c r="B36" s="2452" t="s">
        <v>1293</v>
      </c>
      <c r="C36" s="2453" t="e">
        <f>#REF!+C38</f>
        <v>#REF!</v>
      </c>
      <c r="D36" s="2453">
        <f>D37+D38</f>
        <v>3154516</v>
      </c>
      <c r="E36" s="2453">
        <f>E37+E38</f>
        <v>3779605</v>
      </c>
      <c r="F36" s="2453">
        <f>F37+F38</f>
        <v>3779605</v>
      </c>
      <c r="G36" s="2416"/>
      <c r="H36" s="2453">
        <f>H37+H38</f>
        <v>3281298</v>
      </c>
      <c r="I36" s="2416"/>
      <c r="J36" s="2416"/>
      <c r="K36" s="2416"/>
      <c r="L36" s="2416"/>
    </row>
    <row r="37" spans="1:21" s="2417" customFormat="1" ht="23.25" customHeight="1">
      <c r="A37" s="2427" t="s">
        <v>1089</v>
      </c>
      <c r="B37" s="2428" t="s">
        <v>1294</v>
      </c>
      <c r="C37" s="2429" t="e">
        <f>#REF!</f>
        <v>#REF!</v>
      </c>
      <c r="D37" s="2429">
        <f t="shared" ref="D37:F38" si="0">D29</f>
        <v>3061564</v>
      </c>
      <c r="E37" s="2429">
        <f t="shared" si="0"/>
        <v>3281298</v>
      </c>
      <c r="F37" s="2429">
        <f t="shared" si="0"/>
        <v>3281298</v>
      </c>
      <c r="G37" s="2416"/>
      <c r="H37" s="2429">
        <f>H29</f>
        <v>3281298</v>
      </c>
      <c r="I37" s="2416"/>
      <c r="J37" s="2416"/>
      <c r="K37" s="2416"/>
      <c r="L37" s="2416"/>
    </row>
    <row r="38" spans="1:21" s="2433" customFormat="1" ht="23.25" customHeight="1">
      <c r="A38" s="2427" t="s">
        <v>1089</v>
      </c>
      <c r="B38" s="2428" t="s">
        <v>1064</v>
      </c>
      <c r="C38" s="2429">
        <v>419344</v>
      </c>
      <c r="D38" s="2437">
        <f t="shared" si="0"/>
        <v>92952</v>
      </c>
      <c r="E38" s="2437">
        <f t="shared" si="0"/>
        <v>498307</v>
      </c>
      <c r="F38" s="2437">
        <f t="shared" si="0"/>
        <v>498307</v>
      </c>
      <c r="G38" s="2416"/>
      <c r="H38" s="2429">
        <f>G38*5%+G38</f>
        <v>0</v>
      </c>
      <c r="I38" s="2416"/>
      <c r="J38" s="2416"/>
      <c r="K38" s="2416"/>
      <c r="L38" s="2416"/>
    </row>
    <row r="39" spans="1:21" s="2464" customFormat="1" ht="23.25" customHeight="1">
      <c r="A39" s="2434">
        <f>A36+1</f>
        <v>3</v>
      </c>
      <c r="B39" s="2428" t="s">
        <v>1066</v>
      </c>
      <c r="C39" s="2462"/>
      <c r="D39" s="2462"/>
      <c r="E39" s="2462"/>
      <c r="F39" s="2462"/>
      <c r="G39" s="2463"/>
      <c r="H39" s="2462"/>
      <c r="I39" s="2463"/>
      <c r="J39" s="2463"/>
      <c r="K39" s="2463"/>
      <c r="L39" s="2463"/>
    </row>
    <row r="40" spans="1:21" s="2464" customFormat="1" ht="23.25" customHeight="1">
      <c r="A40" s="2434">
        <f>A39+1</f>
        <v>4</v>
      </c>
      <c r="B40" s="2428" t="s">
        <v>1067</v>
      </c>
      <c r="C40" s="2462"/>
      <c r="D40" s="2462"/>
      <c r="E40" s="2462"/>
      <c r="F40" s="2462"/>
      <c r="G40" s="2463"/>
      <c r="H40" s="2462"/>
      <c r="I40" s="2463"/>
      <c r="J40" s="2463"/>
      <c r="K40" s="2463"/>
      <c r="L40" s="2463"/>
      <c r="P40" s="2465"/>
      <c r="Q40" s="2465"/>
    </row>
    <row r="41" spans="1:21" s="2460" customFormat="1" ht="23.25" customHeight="1">
      <c r="A41" s="2419" t="s">
        <v>60</v>
      </c>
      <c r="B41" s="2420" t="s">
        <v>1090</v>
      </c>
      <c r="C41" s="2421" t="e">
        <f>C42+C43+C46+C47</f>
        <v>#REF!</v>
      </c>
      <c r="D41" s="2421">
        <f>D34</f>
        <v>3682316</v>
      </c>
      <c r="E41" s="2421">
        <f>E34</f>
        <v>4341805</v>
      </c>
      <c r="F41" s="2421">
        <f>F34</f>
        <v>4423915</v>
      </c>
      <c r="G41" s="2422"/>
      <c r="H41" s="2421">
        <f>H34</f>
        <v>3957823.5</v>
      </c>
      <c r="I41" s="2422"/>
      <c r="J41" s="2422"/>
      <c r="K41" s="2422"/>
      <c r="L41" s="2422"/>
      <c r="O41" s="2459"/>
      <c r="R41" s="2436">
        <f>H42+H43</f>
        <v>3957823.5</v>
      </c>
    </row>
    <row r="42" spans="1:21" s="2426" customFormat="1" ht="23.25" customHeight="1">
      <c r="A42" s="2427">
        <v>1</v>
      </c>
      <c r="B42" s="2428" t="s">
        <v>1361</v>
      </c>
      <c r="C42" s="2437">
        <v>1358192</v>
      </c>
      <c r="D42" s="2429">
        <f>D41-D43</f>
        <v>1631880.5999999999</v>
      </c>
      <c r="E42" s="2429">
        <f>E41-E43</f>
        <v>1885061.75</v>
      </c>
      <c r="F42" s="2429">
        <f>F41-F43</f>
        <v>1967171.75</v>
      </c>
      <c r="G42" s="2416"/>
      <c r="H42" s="2429">
        <f>H41-H43</f>
        <v>1963268.7999999998</v>
      </c>
      <c r="I42" s="2438"/>
      <c r="J42" s="2438"/>
      <c r="K42" s="2438"/>
      <c r="L42" s="2438"/>
      <c r="O42" s="2425">
        <f>O41-E41</f>
        <v>-4341805</v>
      </c>
    </row>
    <row r="43" spans="1:21" s="2466" customFormat="1" ht="23.25" customHeight="1">
      <c r="A43" s="2434">
        <f>A42+1</f>
        <v>2</v>
      </c>
      <c r="B43" s="2428" t="s">
        <v>1358</v>
      </c>
      <c r="C43" s="2437" t="e">
        <f>#REF!</f>
        <v>#REF!</v>
      </c>
      <c r="D43" s="2429">
        <f>D36*65%</f>
        <v>2050435.4000000001</v>
      </c>
      <c r="E43" s="2429">
        <f>E36*65%</f>
        <v>2456743.25</v>
      </c>
      <c r="F43" s="2429">
        <f>F36*65%</f>
        <v>2456743.25</v>
      </c>
      <c r="G43" s="2416"/>
      <c r="H43" s="2429">
        <f>H36*65%-138289</f>
        <v>1994554.7000000002</v>
      </c>
      <c r="I43" s="2416"/>
      <c r="J43" s="2416"/>
      <c r="K43" s="2416"/>
      <c r="L43" s="2416"/>
    </row>
    <row r="44" spans="1:21" s="2466" customFormat="1" ht="23.25" customHeight="1">
      <c r="A44" s="2427" t="s">
        <v>1089</v>
      </c>
      <c r="B44" s="2428" t="s">
        <v>1359</v>
      </c>
      <c r="C44" s="2429"/>
      <c r="D44" s="2429"/>
      <c r="E44" s="2429"/>
      <c r="F44" s="2429"/>
      <c r="G44" s="2416"/>
      <c r="H44" s="2429"/>
      <c r="I44" s="2416"/>
      <c r="J44" s="2416"/>
      <c r="K44" s="2416"/>
      <c r="L44" s="2416"/>
    </row>
    <row r="45" spans="1:21" s="2466" customFormat="1" ht="23.25" customHeight="1">
      <c r="A45" s="2427" t="s">
        <v>1089</v>
      </c>
      <c r="B45" s="2428" t="s">
        <v>1093</v>
      </c>
      <c r="C45" s="2429"/>
      <c r="D45" s="2429"/>
      <c r="E45" s="2429"/>
      <c r="F45" s="2429"/>
      <c r="G45" s="2416"/>
      <c r="H45" s="2429"/>
      <c r="I45" s="2416"/>
      <c r="J45" s="2416"/>
      <c r="K45" s="2416"/>
      <c r="L45" s="2416"/>
    </row>
    <row r="46" spans="1:21" s="2426" customFormat="1" ht="23.25" customHeight="1">
      <c r="A46" s="2434">
        <f>A43+1</f>
        <v>3</v>
      </c>
      <c r="B46" s="2428" t="s">
        <v>1075</v>
      </c>
      <c r="C46" s="2467"/>
      <c r="D46" s="2467"/>
      <c r="E46" s="2467"/>
      <c r="F46" s="2467"/>
      <c r="G46" s="2468"/>
      <c r="H46" s="2467"/>
      <c r="I46" s="2468"/>
      <c r="J46" s="2468"/>
      <c r="K46" s="2468"/>
      <c r="L46" s="2468"/>
    </row>
    <row r="47" spans="1:21" s="2417" customFormat="1">
      <c r="A47" s="2469"/>
      <c r="B47" s="2470"/>
      <c r="C47" s="2471"/>
      <c r="D47" s="2471"/>
      <c r="E47" s="2471"/>
      <c r="F47" s="2471"/>
      <c r="G47" s="2416"/>
      <c r="H47" s="2471"/>
      <c r="I47" s="2416"/>
      <c r="J47" s="2416"/>
      <c r="K47" s="2416"/>
      <c r="L47" s="2416"/>
    </row>
    <row r="48" spans="1:21" s="2417" customFormat="1" ht="26.25" customHeight="1">
      <c r="A48" s="2472"/>
      <c r="B48" s="2473"/>
      <c r="C48" s="2416"/>
      <c r="D48" s="2416"/>
      <c r="E48" s="2416"/>
      <c r="F48" s="2416"/>
      <c r="G48" s="2416"/>
      <c r="H48" s="2416"/>
      <c r="I48" s="2416"/>
      <c r="J48" s="2416"/>
      <c r="K48" s="2416"/>
      <c r="L48" s="2416"/>
      <c r="M48" s="2430"/>
      <c r="N48" s="2430"/>
      <c r="O48" s="2430"/>
    </row>
    <row r="49" spans="1:18">
      <c r="A49" s="2474"/>
      <c r="B49" s="2475"/>
      <c r="C49" s="2476"/>
      <c r="D49" s="2476"/>
      <c r="E49" s="2476"/>
      <c r="F49" s="2476"/>
      <c r="G49" s="2476"/>
      <c r="H49" s="2476"/>
      <c r="I49" s="2476"/>
      <c r="J49" s="2476"/>
      <c r="K49" s="2476"/>
      <c r="L49" s="2476"/>
      <c r="M49" s="2476"/>
      <c r="N49" s="2476"/>
      <c r="O49" s="2476"/>
      <c r="P49" s="2476"/>
      <c r="Q49" s="2476"/>
      <c r="R49" s="2476"/>
    </row>
    <row r="50" spans="1:18">
      <c r="C50" s="2391"/>
      <c r="D50" s="2391"/>
    </row>
    <row r="51" spans="1:18">
      <c r="C51" s="2391"/>
      <c r="D51" s="2391"/>
    </row>
    <row r="52" spans="1:18">
      <c r="C52" s="2391"/>
      <c r="D52" s="2391"/>
    </row>
    <row r="53" spans="1:18">
      <c r="C53" s="2391"/>
      <c r="D53" s="2391"/>
    </row>
    <row r="54" spans="1:18">
      <c r="C54" s="2391"/>
      <c r="D54" s="2391"/>
    </row>
    <row r="55" spans="1:18">
      <c r="C55" s="2391"/>
      <c r="D55" s="2391"/>
    </row>
    <row r="56" spans="1:18">
      <c r="C56" s="2391"/>
      <c r="D56" s="2391"/>
    </row>
    <row r="57" spans="1:18">
      <c r="C57" s="2391"/>
      <c r="D57" s="2391"/>
    </row>
    <row r="58" spans="1:18">
      <c r="C58" s="2391"/>
      <c r="D58" s="2391"/>
    </row>
    <row r="59" spans="1:18">
      <c r="C59" s="2391"/>
      <c r="D59" s="2391"/>
    </row>
    <row r="60" spans="1:18">
      <c r="C60" s="2391"/>
      <c r="D60" s="2391"/>
    </row>
    <row r="61" spans="1:18">
      <c r="C61" s="2391"/>
      <c r="D61" s="2391"/>
    </row>
    <row r="62" spans="1:18">
      <c r="C62" s="2391"/>
      <c r="D62" s="2391"/>
    </row>
    <row r="63" spans="1:18">
      <c r="C63" s="2391"/>
      <c r="D63" s="2391"/>
    </row>
    <row r="64" spans="1:18">
      <c r="C64" s="2391"/>
      <c r="D64" s="2391"/>
    </row>
    <row r="65" spans="3:4">
      <c r="C65" s="2391"/>
      <c r="D65" s="2391"/>
    </row>
    <row r="66" spans="3:4">
      <c r="C66" s="2391"/>
      <c r="D66" s="2391"/>
    </row>
    <row r="67" spans="3:4">
      <c r="C67" s="2391"/>
      <c r="D67" s="2391"/>
    </row>
    <row r="68" spans="3:4">
      <c r="C68" s="2391"/>
      <c r="D68" s="2391"/>
    </row>
    <row r="69" spans="3:4">
      <c r="C69" s="2391"/>
      <c r="D69" s="2391"/>
    </row>
    <row r="70" spans="3:4">
      <c r="C70" s="2391"/>
      <c r="D70" s="2391"/>
    </row>
    <row r="71" spans="3:4">
      <c r="C71" s="2391"/>
      <c r="D71" s="2391"/>
    </row>
    <row r="72" spans="3:4">
      <c r="C72" s="2391"/>
      <c r="D72" s="2391"/>
    </row>
    <row r="73" spans="3:4">
      <c r="C73" s="2391"/>
      <c r="D73" s="2391"/>
    </row>
    <row r="74" spans="3:4">
      <c r="C74" s="2391"/>
      <c r="D74" s="2391"/>
    </row>
    <row r="75" spans="3:4">
      <c r="C75" s="2391"/>
      <c r="D75" s="2391"/>
    </row>
    <row r="76" spans="3:4">
      <c r="C76" s="2391"/>
      <c r="D76" s="2391"/>
    </row>
    <row r="77" spans="3:4">
      <c r="C77" s="2391"/>
      <c r="D77" s="2391"/>
    </row>
    <row r="78" spans="3:4">
      <c r="C78" s="2391"/>
      <c r="D78" s="2391"/>
    </row>
    <row r="79" spans="3:4">
      <c r="C79" s="2391"/>
      <c r="D79" s="2391"/>
    </row>
    <row r="80" spans="3:4">
      <c r="C80" s="2391"/>
      <c r="D80" s="2391"/>
    </row>
    <row r="81" spans="1:4">
      <c r="C81" s="2391"/>
      <c r="D81" s="2391"/>
    </row>
    <row r="82" spans="1:4">
      <c r="C82" s="2391"/>
      <c r="D82" s="2391"/>
    </row>
    <row r="83" spans="1:4">
      <c r="C83" s="2391"/>
      <c r="D83" s="2391"/>
    </row>
    <row r="84" spans="1:4">
      <c r="C84" s="2391"/>
      <c r="D84" s="2391"/>
    </row>
    <row r="85" spans="1:4">
      <c r="C85" s="2391"/>
      <c r="D85" s="2391"/>
    </row>
    <row r="86" spans="1:4">
      <c r="C86" s="2391"/>
      <c r="D86" s="2391"/>
    </row>
    <row r="87" spans="1:4">
      <c r="C87" s="2391"/>
      <c r="D87" s="2391"/>
    </row>
    <row r="88" spans="1:4">
      <c r="C88" s="2391"/>
      <c r="D88" s="2391"/>
    </row>
    <row r="91" spans="1:4" s="2477" customFormat="1">
      <c r="A91" s="2384"/>
      <c r="B91" s="2386"/>
      <c r="C91" s="2386"/>
      <c r="D91" s="2386"/>
    </row>
    <row r="92" spans="1:4" s="2477" customFormat="1">
      <c r="A92" s="2384"/>
      <c r="B92" s="2386"/>
      <c r="C92" s="2386"/>
      <c r="D92" s="2386"/>
    </row>
    <row r="93" spans="1:4" s="2477" customFormat="1">
      <c r="A93" s="2384"/>
      <c r="B93" s="2386"/>
      <c r="C93" s="2386"/>
      <c r="D93" s="2386"/>
    </row>
    <row r="94" spans="1:4" s="2477" customFormat="1">
      <c r="A94" s="2384"/>
      <c r="B94" s="2386"/>
      <c r="C94" s="2386"/>
      <c r="D94" s="2386"/>
    </row>
    <row r="95" spans="1:4" s="2477" customFormat="1">
      <c r="A95" s="2384"/>
      <c r="B95" s="2386"/>
      <c r="C95" s="2386"/>
      <c r="D95" s="2386"/>
    </row>
    <row r="96" spans="1:4" s="2477" customFormat="1">
      <c r="A96" s="2384"/>
      <c r="B96" s="2386"/>
      <c r="C96" s="2386"/>
      <c r="D96" s="2386"/>
    </row>
    <row r="97" spans="1:4" s="2477" customFormat="1">
      <c r="A97" s="2384"/>
      <c r="B97" s="2386"/>
      <c r="C97" s="2386"/>
      <c r="D97" s="2386"/>
    </row>
    <row r="98" spans="1:4" s="2477" customFormat="1">
      <c r="A98" s="2384"/>
      <c r="B98" s="2386"/>
      <c r="C98" s="2386"/>
      <c r="D98" s="2386"/>
    </row>
    <row r="99" spans="1:4" s="2477" customFormat="1">
      <c r="A99" s="2384"/>
      <c r="B99" s="2386"/>
      <c r="C99" s="2386"/>
      <c r="D99" s="2386"/>
    </row>
    <row r="100" spans="1:4" s="2477" customFormat="1">
      <c r="A100" s="2384"/>
      <c r="B100" s="2386"/>
      <c r="C100" s="2386"/>
      <c r="D100" s="2386"/>
    </row>
    <row r="101" spans="1:4" s="2477" customFormat="1">
      <c r="A101" s="2384"/>
      <c r="B101" s="2386"/>
      <c r="C101" s="2386"/>
      <c r="D101" s="2386"/>
    </row>
    <row r="102" spans="1:4" s="2477" customFormat="1">
      <c r="A102" s="2384"/>
      <c r="B102" s="2386"/>
      <c r="C102" s="2386"/>
      <c r="D102" s="2386"/>
    </row>
    <row r="103" spans="1:4" s="2477" customFormat="1">
      <c r="A103" s="2384"/>
      <c r="B103" s="2386"/>
      <c r="C103" s="2386"/>
      <c r="D103" s="2386"/>
    </row>
    <row r="104" spans="1:4" s="2477" customFormat="1">
      <c r="A104" s="2384"/>
      <c r="B104" s="2386"/>
      <c r="C104" s="2386"/>
      <c r="D104" s="2386"/>
    </row>
  </sheetData>
  <mergeCells count="10">
    <mergeCell ref="R13:T13"/>
    <mergeCell ref="A3:H3"/>
    <mergeCell ref="A4:H4"/>
    <mergeCell ref="A12:A15"/>
    <mergeCell ref="B12:B15"/>
    <mergeCell ref="C12:C15"/>
    <mergeCell ref="D12:D15"/>
    <mergeCell ref="E12:E15"/>
    <mergeCell ref="F12:F15"/>
    <mergeCell ref="H12:H15"/>
  </mergeCells>
  <pageMargins left="0.71" right="0.31" top="0.35" bottom="0.38" header="0.31496062992126" footer="0.31496062992126"/>
  <pageSetup paperSize="9" scale="66"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3"/>
  <sheetViews>
    <sheetView topLeftCell="A43" zoomScale="99" zoomScaleNormal="99" workbookViewId="0">
      <selection activeCell="B140" sqref="B140"/>
    </sheetView>
  </sheetViews>
  <sheetFormatPr defaultColWidth="16.5546875" defaultRowHeight="15.6"/>
  <cols>
    <col min="1" max="1" width="6.44140625" style="1258" customWidth="1"/>
    <col min="2" max="2" width="53.33203125" style="1258" customWidth="1"/>
    <col min="3" max="3" width="16.5546875" style="1298" customWidth="1"/>
    <col min="4" max="4" width="13.6640625" style="1258" customWidth="1"/>
    <col min="5" max="5" width="12.88671875" style="1300" customWidth="1"/>
    <col min="6" max="6" width="10.33203125" style="1258" customWidth="1"/>
    <col min="7" max="7" width="47" style="1258" hidden="1" customWidth="1"/>
    <col min="8" max="8" width="18.109375" style="1258" customWidth="1"/>
    <col min="9" max="9" width="16.5546875" style="1258" customWidth="1"/>
    <col min="10" max="10" width="11.88671875" style="1258" customWidth="1"/>
    <col min="11" max="11" width="10.33203125" style="1258" customWidth="1"/>
    <col min="12" max="16384" width="16.5546875" style="1258"/>
  </cols>
  <sheetData>
    <row r="1" spans="1:12">
      <c r="B1" s="3171" t="s">
        <v>16</v>
      </c>
      <c r="C1" s="3171"/>
      <c r="D1" s="3171"/>
      <c r="E1" s="3171"/>
      <c r="F1" s="3171"/>
      <c r="G1" s="1259"/>
    </row>
    <row r="2" spans="1:12" s="387" customFormat="1">
      <c r="B2" s="3172" t="s">
        <v>22</v>
      </c>
      <c r="C2" s="3172"/>
      <c r="D2" s="3172"/>
      <c r="E2" s="3172"/>
      <c r="F2" s="3172"/>
      <c r="G2" s="1260"/>
    </row>
    <row r="3" spans="1:12" s="387" customFormat="1">
      <c r="B3" s="1260"/>
      <c r="C3" s="1260"/>
      <c r="D3" s="1260"/>
      <c r="E3" s="1260"/>
      <c r="F3" s="1260"/>
      <c r="G3" s="1260"/>
    </row>
    <row r="4" spans="1:12" s="1261" customFormat="1">
      <c r="C4" s="1262"/>
      <c r="D4" s="1263"/>
      <c r="E4" s="3173" t="s">
        <v>27</v>
      </c>
      <c r="F4" s="3173"/>
      <c r="G4" s="1264"/>
    </row>
    <row r="5" spans="1:12" s="1260" customFormat="1" ht="28.5" customHeight="1">
      <c r="A5" s="3169" t="s">
        <v>49</v>
      </c>
      <c r="B5" s="3174" t="s">
        <v>0</v>
      </c>
      <c r="C5" s="3134" t="s">
        <v>879</v>
      </c>
      <c r="D5" s="3176" t="s">
        <v>17</v>
      </c>
      <c r="E5" s="3178" t="s">
        <v>26</v>
      </c>
      <c r="F5" s="3169"/>
      <c r="G5" s="3162" t="s">
        <v>811</v>
      </c>
    </row>
    <row r="6" spans="1:12" s="1260" customFormat="1">
      <c r="A6" s="3170"/>
      <c r="B6" s="3175"/>
      <c r="C6" s="3135"/>
      <c r="D6" s="3177"/>
      <c r="E6" s="1265" t="s">
        <v>1</v>
      </c>
      <c r="F6" s="1266" t="s">
        <v>2</v>
      </c>
      <c r="G6" s="3163"/>
      <c r="H6" s="1128"/>
      <c r="I6" s="1128"/>
      <c r="J6" s="1128"/>
      <c r="K6" s="1128"/>
      <c r="L6" s="1128"/>
    </row>
    <row r="7" spans="1:12" s="1269" customFormat="1">
      <c r="A7" s="1267"/>
      <c r="B7" s="1129">
        <v>1</v>
      </c>
      <c r="C7" s="1130">
        <v>2</v>
      </c>
      <c r="D7" s="1131">
        <v>3</v>
      </c>
      <c r="E7" s="1132" t="s">
        <v>882</v>
      </c>
      <c r="F7" s="1199" t="s">
        <v>883</v>
      </c>
      <c r="G7" s="1268"/>
      <c r="H7" s="1128"/>
      <c r="I7" s="1128"/>
      <c r="J7" s="1128"/>
      <c r="K7" s="1128"/>
      <c r="L7" s="1128"/>
    </row>
    <row r="8" spans="1:12" s="1271" customFormat="1">
      <c r="A8" s="1135" t="s">
        <v>54</v>
      </c>
      <c r="B8" s="1270" t="s">
        <v>812</v>
      </c>
      <c r="C8" s="388">
        <f>C9+C11+C17</f>
        <v>377410</v>
      </c>
      <c r="D8" s="388">
        <f>D9+D11+D17</f>
        <v>428428</v>
      </c>
      <c r="E8" s="388">
        <f t="shared" ref="E8:E35" si="0">D8-C8</f>
        <v>51018</v>
      </c>
      <c r="F8" s="1266">
        <f t="shared" ref="F8:F13" si="1">D8/C8%</f>
        <v>113.51792480326436</v>
      </c>
      <c r="G8" s="1266"/>
      <c r="H8" s="1128"/>
      <c r="I8" s="1128"/>
      <c r="J8" s="1128"/>
      <c r="K8" s="1128"/>
      <c r="L8" s="1128"/>
    </row>
    <row r="9" spans="1:12" s="1260" customFormat="1">
      <c r="A9" s="1138">
        <v>1</v>
      </c>
      <c r="B9" s="1272" t="s">
        <v>813</v>
      </c>
      <c r="C9" s="388">
        <f>'so thu huyen-R-03'!D15</f>
        <v>35300</v>
      </c>
      <c r="D9" s="388">
        <f>'so thu huyen-R-03'!I15</f>
        <v>40900</v>
      </c>
      <c r="E9" s="388">
        <f t="shared" si="0"/>
        <v>5600</v>
      </c>
      <c r="F9" s="1266">
        <f t="shared" si="1"/>
        <v>115.86402266288952</v>
      </c>
      <c r="G9" s="1266"/>
      <c r="H9" s="1128"/>
      <c r="I9" s="1128"/>
      <c r="J9" s="1128"/>
      <c r="K9" s="1128"/>
      <c r="L9" s="1128"/>
    </row>
    <row r="10" spans="1:12" s="1260" customFormat="1" ht="32.4">
      <c r="A10" s="1138"/>
      <c r="B10" s="1273" t="s">
        <v>109</v>
      </c>
      <c r="C10" s="389">
        <f>C9-'so thu huyen-R-03'!F15</f>
        <v>33300</v>
      </c>
      <c r="D10" s="389">
        <f>D9-'so thu huyen-R-03'!K15</f>
        <v>37400</v>
      </c>
      <c r="E10" s="388">
        <f t="shared" si="0"/>
        <v>4100</v>
      </c>
      <c r="F10" s="1266">
        <f t="shared" si="1"/>
        <v>112.31231231231232</v>
      </c>
      <c r="G10" s="1266"/>
      <c r="H10" s="1128"/>
      <c r="I10" s="1128"/>
      <c r="J10" s="1128"/>
      <c r="K10" s="1128"/>
      <c r="L10" s="1128"/>
    </row>
    <row r="11" spans="1:12" s="1260" customFormat="1">
      <c r="A11" s="1138">
        <v>2</v>
      </c>
      <c r="B11" s="1272" t="s">
        <v>814</v>
      </c>
      <c r="C11" s="388">
        <f>SUM(C12,C13,C14,C15,C16)</f>
        <v>333061</v>
      </c>
      <c r="D11" s="388">
        <f>SUM(D12,D13,D14,D15,D16)</f>
        <v>339314</v>
      </c>
      <c r="E11" s="388">
        <f t="shared" si="0"/>
        <v>6253</v>
      </c>
      <c r="F11" s="1266">
        <f t="shared" si="1"/>
        <v>101.87743386346645</v>
      </c>
      <c r="G11" s="1266"/>
      <c r="H11" s="1128"/>
      <c r="I11" s="1128"/>
      <c r="J11" s="1128"/>
      <c r="K11" s="1128"/>
      <c r="L11" s="1128"/>
    </row>
    <row r="12" spans="1:12" s="1275" customFormat="1">
      <c r="A12" s="1140" t="s">
        <v>351</v>
      </c>
      <c r="B12" s="1274" t="s">
        <v>829</v>
      </c>
      <c r="C12" s="386">
        <v>308588</v>
      </c>
      <c r="D12" s="386">
        <f>C12</f>
        <v>308588</v>
      </c>
      <c r="E12" s="391">
        <f t="shared" si="0"/>
        <v>0</v>
      </c>
      <c r="F12" s="1268">
        <f t="shared" si="1"/>
        <v>100</v>
      </c>
      <c r="G12" s="1266"/>
      <c r="H12" s="1128"/>
      <c r="I12" s="1128"/>
      <c r="J12" s="1128"/>
      <c r="K12" s="1128"/>
      <c r="L12" s="1128"/>
    </row>
    <row r="13" spans="1:12" s="1275" customFormat="1">
      <c r="A13" s="1140" t="s">
        <v>357</v>
      </c>
      <c r="B13" s="1274" t="s">
        <v>387</v>
      </c>
      <c r="C13" s="386">
        <v>12116</v>
      </c>
      <c r="D13" s="386">
        <f>C13</f>
        <v>12116</v>
      </c>
      <c r="E13" s="391">
        <f t="shared" si="0"/>
        <v>0</v>
      </c>
      <c r="F13" s="1268">
        <f t="shared" si="1"/>
        <v>100</v>
      </c>
      <c r="G13" s="1206" t="s">
        <v>858</v>
      </c>
      <c r="H13" s="1128"/>
      <c r="I13" s="1128"/>
      <c r="J13" s="1128"/>
      <c r="K13" s="1128"/>
      <c r="L13" s="1128"/>
    </row>
    <row r="14" spans="1:12" s="1275" customFormat="1" ht="30.75" customHeight="1">
      <c r="A14" s="1140" t="s">
        <v>815</v>
      </c>
      <c r="B14" s="1274" t="s">
        <v>386</v>
      </c>
      <c r="C14" s="386"/>
      <c r="D14" s="386">
        <f>11377-I14</f>
        <v>9327</v>
      </c>
      <c r="E14" s="391">
        <f t="shared" si="0"/>
        <v>9327</v>
      </c>
      <c r="F14" s="1268"/>
      <c r="G14" s="1207" t="s">
        <v>868</v>
      </c>
      <c r="H14" s="1275" t="s">
        <v>13</v>
      </c>
      <c r="I14" s="1128">
        <f>'so thu huyen-R-03'!O15</f>
        <v>2050</v>
      </c>
      <c r="J14" s="1128"/>
      <c r="K14" s="1128"/>
      <c r="L14" s="1128"/>
    </row>
    <row r="15" spans="1:12" s="1275" customFormat="1">
      <c r="A15" s="1140" t="s">
        <v>816</v>
      </c>
      <c r="B15" s="1274" t="s">
        <v>388</v>
      </c>
      <c r="C15" s="386">
        <f>12357-6196</f>
        <v>6161</v>
      </c>
      <c r="D15" s="386">
        <f>'BSCD CDCS 2019 (hoan chinh)-05 '!E31</f>
        <v>10147</v>
      </c>
      <c r="E15" s="391">
        <f t="shared" si="0"/>
        <v>3986</v>
      </c>
      <c r="F15" s="1268">
        <f t="shared" ref="F15:F34" si="2">D15/C15%</f>
        <v>164.69728940107126</v>
      </c>
      <c r="G15" s="1206" t="s">
        <v>860</v>
      </c>
      <c r="H15" s="1128"/>
      <c r="I15" s="1128"/>
      <c r="J15" s="1128"/>
      <c r="K15" s="1128"/>
      <c r="L15" s="1128"/>
    </row>
    <row r="16" spans="1:12" s="1275" customFormat="1" ht="35.25" customHeight="1">
      <c r="A16" s="1140" t="s">
        <v>817</v>
      </c>
      <c r="B16" s="1143" t="s">
        <v>828</v>
      </c>
      <c r="C16" s="386">
        <v>6196</v>
      </c>
      <c r="D16" s="386">
        <f>'tang dau tu'!E6</f>
        <v>-864</v>
      </c>
      <c r="E16" s="391">
        <f t="shared" si="0"/>
        <v>-7060</v>
      </c>
      <c r="F16" s="1268">
        <f t="shared" si="2"/>
        <v>-13.94448030987734</v>
      </c>
      <c r="G16" s="1206" t="s">
        <v>861</v>
      </c>
      <c r="H16" s="1128"/>
      <c r="I16" s="1128"/>
      <c r="J16" s="1128"/>
      <c r="K16" s="1128"/>
      <c r="L16" s="1128"/>
    </row>
    <row r="17" spans="1:12" s="1260" customFormat="1">
      <c r="A17" s="1144">
        <v>3</v>
      </c>
      <c r="B17" s="1272" t="s">
        <v>827</v>
      </c>
      <c r="C17" s="388">
        <f>C18+C19</f>
        <v>9049</v>
      </c>
      <c r="D17" s="388">
        <f>SUM(D18:D23)</f>
        <v>48214</v>
      </c>
      <c r="E17" s="388">
        <f t="shared" si="0"/>
        <v>39165</v>
      </c>
      <c r="F17" s="1266">
        <f t="shared" si="2"/>
        <v>532.81025527682618</v>
      </c>
      <c r="G17" s="1206" t="s">
        <v>860</v>
      </c>
      <c r="H17" s="1128"/>
      <c r="I17" s="1128"/>
      <c r="J17" s="1128"/>
      <c r="K17" s="1128"/>
      <c r="L17" s="1128"/>
    </row>
    <row r="18" spans="1:12" s="1275" customFormat="1">
      <c r="A18" s="1146" t="s">
        <v>212</v>
      </c>
      <c r="B18" s="1276" t="s">
        <v>389</v>
      </c>
      <c r="C18" s="386">
        <v>8093</v>
      </c>
      <c r="D18" s="386">
        <f>'BSCD CDCS 2019 (hoan chinh)-05 '!E3</f>
        <v>14001</v>
      </c>
      <c r="E18" s="391">
        <f t="shared" si="0"/>
        <v>5908</v>
      </c>
      <c r="F18" s="1268">
        <f t="shared" si="2"/>
        <v>173.00135919930804</v>
      </c>
      <c r="G18" s="1266"/>
      <c r="H18" s="1128"/>
      <c r="I18" s="1128"/>
      <c r="J18" s="1128"/>
      <c r="K18" s="1128"/>
      <c r="L18" s="1128"/>
    </row>
    <row r="19" spans="1:12" s="1275" customFormat="1">
      <c r="A19" s="1146" t="s">
        <v>214</v>
      </c>
      <c r="B19" s="1276" t="s">
        <v>826</v>
      </c>
      <c r="C19" s="390">
        <v>956</v>
      </c>
      <c r="D19" s="386">
        <f>'BSCD CDCS 2019 (hoan chinh)-05 '!E18</f>
        <v>2248</v>
      </c>
      <c r="E19" s="391">
        <f t="shared" si="0"/>
        <v>1292</v>
      </c>
      <c r="F19" s="1268">
        <f t="shared" si="2"/>
        <v>235.14644351464435</v>
      </c>
      <c r="G19" s="1266"/>
      <c r="H19" s="1128"/>
      <c r="I19" s="1128"/>
      <c r="J19" s="1128"/>
      <c r="K19" s="1128"/>
      <c r="L19" s="1128"/>
    </row>
    <row r="20" spans="1:12" s="1275" customFormat="1">
      <c r="A20" s="1019" t="s">
        <v>925</v>
      </c>
      <c r="B20" s="1212" t="s">
        <v>926</v>
      </c>
      <c r="C20" s="390"/>
      <c r="D20" s="386">
        <f>'BSCD CDCS 2019 (hoan chinh)-05 '!E19</f>
        <v>16000</v>
      </c>
      <c r="E20" s="391">
        <f t="shared" si="0"/>
        <v>16000</v>
      </c>
      <c r="F20" s="1268"/>
      <c r="G20" s="1266"/>
      <c r="H20" s="1128"/>
      <c r="I20" s="1128"/>
      <c r="J20" s="1128"/>
      <c r="K20" s="1128"/>
      <c r="L20" s="1128"/>
    </row>
    <row r="21" spans="1:12" s="1275" customFormat="1">
      <c r="A21" s="1019" t="s">
        <v>1041</v>
      </c>
      <c r="B21" s="408" t="s">
        <v>1033</v>
      </c>
      <c r="C21" s="390"/>
      <c r="D21" s="386">
        <f>'BSCD CDCS 2019 (hoan chinh)-05 '!E22</f>
        <v>672</v>
      </c>
      <c r="E21" s="391"/>
      <c r="F21" s="1268"/>
      <c r="G21" s="1266"/>
      <c r="H21" s="1128"/>
      <c r="I21" s="1128"/>
      <c r="J21" s="1128"/>
      <c r="K21" s="1128"/>
      <c r="L21" s="1128"/>
    </row>
    <row r="22" spans="1:12" s="1275" customFormat="1">
      <c r="A22" s="1019" t="s">
        <v>1042</v>
      </c>
      <c r="B22" s="408" t="s">
        <v>1034</v>
      </c>
      <c r="C22" s="390"/>
      <c r="D22" s="386">
        <f>'BSCD CDCS 2019 (hoan chinh)-05 '!E23</f>
        <v>102</v>
      </c>
      <c r="E22" s="391"/>
      <c r="F22" s="1268"/>
      <c r="G22" s="1266"/>
      <c r="H22" s="1128"/>
      <c r="I22" s="1128"/>
      <c r="J22" s="1128"/>
      <c r="K22" s="1128"/>
      <c r="L22" s="1128"/>
    </row>
    <row r="23" spans="1:12" s="1275" customFormat="1">
      <c r="A23" s="1019" t="s">
        <v>1043</v>
      </c>
      <c r="B23" s="408" t="s">
        <v>1035</v>
      </c>
      <c r="C23" s="390"/>
      <c r="D23" s="386">
        <f>'BSCD CDCS 2019 (hoan chinh)-05 '!E24</f>
        <v>15191</v>
      </c>
      <c r="E23" s="391"/>
      <c r="F23" s="1268"/>
      <c r="G23" s="1266"/>
      <c r="H23" s="1128"/>
      <c r="I23" s="1128"/>
      <c r="J23" s="1128"/>
      <c r="K23" s="1128"/>
      <c r="L23" s="1128"/>
    </row>
    <row r="24" spans="1:12" s="1278" customFormat="1" ht="24" customHeight="1">
      <c r="A24" s="1135" t="s">
        <v>60</v>
      </c>
      <c r="B24" s="1277" t="s">
        <v>825</v>
      </c>
      <c r="C24" s="388">
        <f>C25+C40+C69</f>
        <v>368361</v>
      </c>
      <c r="D24" s="388">
        <f>D25+D40+D69</f>
        <v>380214</v>
      </c>
      <c r="E24" s="388">
        <f t="shared" si="0"/>
        <v>11853</v>
      </c>
      <c r="F24" s="1266">
        <f t="shared" si="2"/>
        <v>103.21776735322143</v>
      </c>
      <c r="G24" s="1266"/>
      <c r="H24" s="1128"/>
      <c r="I24" s="1128"/>
      <c r="J24" s="1128"/>
      <c r="K24" s="1128"/>
      <c r="L24" s="1128"/>
    </row>
    <row r="25" spans="1:12" s="387" customFormat="1">
      <c r="A25" s="1144">
        <v>1</v>
      </c>
      <c r="B25" s="1279" t="s">
        <v>824</v>
      </c>
      <c r="C25" s="388">
        <f>C26+C30+C34</f>
        <v>44170</v>
      </c>
      <c r="D25" s="388">
        <f>D26+D30+D34</f>
        <v>38460</v>
      </c>
      <c r="E25" s="388">
        <f t="shared" si="0"/>
        <v>-5710</v>
      </c>
      <c r="F25" s="1266">
        <f t="shared" si="2"/>
        <v>87.072673760470906</v>
      </c>
      <c r="G25" s="1266"/>
      <c r="I25" s="1128"/>
      <c r="J25" s="1128"/>
      <c r="K25" s="1128"/>
      <c r="L25" s="1128"/>
    </row>
    <row r="26" spans="1:12" s="1278" customFormat="1">
      <c r="A26" s="1129" t="s">
        <v>200</v>
      </c>
      <c r="B26" s="392" t="s">
        <v>823</v>
      </c>
      <c r="C26" s="391">
        <v>13870</v>
      </c>
      <c r="D26" s="391">
        <f>D27+D28</f>
        <v>24310</v>
      </c>
      <c r="E26" s="391">
        <f t="shared" si="0"/>
        <v>10440</v>
      </c>
      <c r="F26" s="1268">
        <f t="shared" si="2"/>
        <v>175.27036770007211</v>
      </c>
      <c r="G26" s="1266"/>
      <c r="H26" s="1128"/>
      <c r="I26" s="1128"/>
      <c r="J26" s="1128"/>
      <c r="K26" s="1128"/>
      <c r="L26" s="1128"/>
    </row>
    <row r="27" spans="1:12" s="1278" customFormat="1">
      <c r="A27" s="1129"/>
      <c r="B27" s="17" t="s">
        <v>957</v>
      </c>
      <c r="C27" s="391">
        <v>13870</v>
      </c>
      <c r="D27" s="391">
        <v>19310</v>
      </c>
      <c r="E27" s="391">
        <f t="shared" ref="E27:E28" si="3">D27-C27</f>
        <v>5440</v>
      </c>
      <c r="F27" s="1268">
        <f t="shared" ref="F27" si="4">D27/C27%</f>
        <v>139.22134102379238</v>
      </c>
      <c r="G27" s="1266"/>
      <c r="H27" s="1128"/>
      <c r="I27" s="1128"/>
      <c r="J27" s="1128"/>
      <c r="K27" s="1128"/>
      <c r="L27" s="1128"/>
    </row>
    <row r="28" spans="1:12" s="1278" customFormat="1">
      <c r="A28" s="1129"/>
      <c r="B28" s="17" t="s">
        <v>958</v>
      </c>
      <c r="C28" s="391"/>
      <c r="D28" s="391">
        <v>5000</v>
      </c>
      <c r="E28" s="391">
        <f t="shared" si="3"/>
        <v>5000</v>
      </c>
      <c r="F28" s="1268"/>
      <c r="G28" s="1266"/>
      <c r="H28" s="1128"/>
      <c r="I28" s="1128"/>
      <c r="J28" s="1128"/>
      <c r="K28" s="1128"/>
      <c r="L28" s="1128"/>
    </row>
    <row r="29" spans="1:12" s="1278" customFormat="1">
      <c r="A29" s="1129"/>
      <c r="B29" s="17"/>
      <c r="C29" s="391"/>
      <c r="D29" s="391"/>
      <c r="E29" s="391"/>
      <c r="F29" s="1268"/>
      <c r="G29" s="1266"/>
      <c r="H29" s="1128"/>
      <c r="I29" s="1128"/>
      <c r="J29" s="1128"/>
      <c r="K29" s="1128"/>
      <c r="L29" s="1128"/>
    </row>
    <row r="30" spans="1:12" s="1278" customFormat="1" ht="31.2">
      <c r="A30" s="1129" t="s">
        <v>208</v>
      </c>
      <c r="B30" s="1280" t="s">
        <v>822</v>
      </c>
      <c r="C30" s="391">
        <f>SUM(C31:C33)</f>
        <v>1800</v>
      </c>
      <c r="D30" s="391">
        <f>SUM(D31:D33)</f>
        <v>3150</v>
      </c>
      <c r="E30" s="391">
        <f t="shared" si="0"/>
        <v>1350</v>
      </c>
      <c r="F30" s="1268">
        <f t="shared" si="2"/>
        <v>175</v>
      </c>
      <c r="G30" s="1266"/>
      <c r="H30" s="1128"/>
      <c r="I30" s="1128"/>
      <c r="J30" s="1128"/>
      <c r="K30" s="1128"/>
      <c r="L30" s="1128"/>
    </row>
    <row r="31" spans="1:12" s="1278" customFormat="1">
      <c r="A31" s="1150"/>
      <c r="B31" s="392" t="s">
        <v>4</v>
      </c>
      <c r="C31" s="391">
        <v>800</v>
      </c>
      <c r="D31" s="391">
        <f>'so thu huyen-R-03'!V15</f>
        <v>1400</v>
      </c>
      <c r="E31" s="391">
        <f t="shared" si="0"/>
        <v>600</v>
      </c>
      <c r="F31" s="1268">
        <f t="shared" si="2"/>
        <v>175</v>
      </c>
      <c r="G31" s="1266"/>
      <c r="H31" s="1128"/>
      <c r="I31" s="1128"/>
      <c r="J31" s="1128"/>
      <c r="K31" s="1128"/>
      <c r="L31" s="1128"/>
    </row>
    <row r="32" spans="1:12" s="1278" customFormat="1">
      <c r="A32" s="1150"/>
      <c r="B32" s="392" t="s">
        <v>5</v>
      </c>
      <c r="C32" s="391">
        <v>600</v>
      </c>
      <c r="D32" s="391">
        <f>'so thu huyen-R-03'!W15</f>
        <v>1050</v>
      </c>
      <c r="E32" s="391">
        <f t="shared" si="0"/>
        <v>450</v>
      </c>
      <c r="F32" s="1268">
        <f t="shared" si="2"/>
        <v>175</v>
      </c>
      <c r="G32" s="1266"/>
      <c r="H32" s="1128"/>
      <c r="I32" s="1128"/>
      <c r="J32" s="1128"/>
      <c r="K32" s="1128"/>
      <c r="L32" s="1128"/>
    </row>
    <row r="33" spans="1:12" s="1278" customFormat="1">
      <c r="A33" s="1150"/>
      <c r="B33" s="392" t="s">
        <v>6</v>
      </c>
      <c r="C33" s="391">
        <v>400</v>
      </c>
      <c r="D33" s="391">
        <f>'so thu huyen-R-03'!X15</f>
        <v>700</v>
      </c>
      <c r="E33" s="391">
        <f t="shared" si="0"/>
        <v>300</v>
      </c>
      <c r="F33" s="1268">
        <f t="shared" si="2"/>
        <v>175</v>
      </c>
      <c r="G33" s="1266"/>
      <c r="H33" s="1128"/>
      <c r="I33" s="1128"/>
      <c r="J33" s="1128"/>
      <c r="K33" s="1128"/>
      <c r="L33" s="1128"/>
    </row>
    <row r="34" spans="1:12" s="1278" customFormat="1">
      <c r="A34" s="1129" t="s">
        <v>335</v>
      </c>
      <c r="B34" s="393" t="s">
        <v>821</v>
      </c>
      <c r="C34" s="391">
        <f>SUM(C35:C39)</f>
        <v>28500</v>
      </c>
      <c r="D34" s="391">
        <f>SUM(D35:D38)</f>
        <v>11000</v>
      </c>
      <c r="E34" s="391">
        <f t="shared" si="0"/>
        <v>-17500</v>
      </c>
      <c r="F34" s="1268">
        <f t="shared" si="2"/>
        <v>38.596491228070178</v>
      </c>
      <c r="G34" s="1266"/>
      <c r="H34" s="1128"/>
      <c r="I34" s="1128"/>
      <c r="J34" s="1128"/>
      <c r="K34" s="1128"/>
      <c r="L34" s="1128"/>
    </row>
    <row r="35" spans="1:12" s="1278" customFormat="1" ht="31.2">
      <c r="A35" s="1135"/>
      <c r="B35" s="420" t="s">
        <v>247</v>
      </c>
      <c r="C35" s="391">
        <v>4000</v>
      </c>
      <c r="D35" s="394">
        <v>3000</v>
      </c>
      <c r="E35" s="391">
        <f t="shared" si="0"/>
        <v>-1000</v>
      </c>
      <c r="F35" s="1266"/>
      <c r="G35" s="1266"/>
      <c r="H35" s="1128"/>
      <c r="I35" s="1128"/>
      <c r="J35" s="1128"/>
      <c r="K35" s="1128"/>
      <c r="L35" s="1128"/>
    </row>
    <row r="36" spans="1:12" s="1278" customFormat="1" ht="31.2">
      <c r="A36" s="1135"/>
      <c r="B36" s="420" t="s">
        <v>863</v>
      </c>
      <c r="C36" s="391"/>
      <c r="D36" s="394"/>
      <c r="E36" s="391"/>
      <c r="F36" s="1266"/>
      <c r="G36" s="1266"/>
      <c r="H36" s="1128"/>
      <c r="I36" s="1128"/>
      <c r="J36" s="1128"/>
      <c r="K36" s="1128"/>
      <c r="L36" s="1128"/>
    </row>
    <row r="37" spans="1:12" s="1278" customFormat="1">
      <c r="A37" s="1135"/>
      <c r="B37" s="416" t="s">
        <v>248</v>
      </c>
      <c r="C37" s="391">
        <v>19500</v>
      </c>
      <c r="D37" s="394">
        <v>3000</v>
      </c>
      <c r="E37" s="391">
        <f>D37-C37</f>
        <v>-16500</v>
      </c>
      <c r="F37" s="1266"/>
      <c r="G37" s="1266"/>
      <c r="H37" s="1145">
        <f>H38-C40</f>
        <v>179577</v>
      </c>
      <c r="I37" s="1128"/>
      <c r="J37" s="1128"/>
      <c r="K37" s="1128"/>
      <c r="L37" s="1128"/>
    </row>
    <row r="38" spans="1:12" s="1278" customFormat="1" ht="31.2">
      <c r="A38" s="1135"/>
      <c r="B38" s="420" t="s">
        <v>249</v>
      </c>
      <c r="C38" s="391">
        <v>5000</v>
      </c>
      <c r="D38" s="394">
        <v>5000</v>
      </c>
      <c r="E38" s="391">
        <f>D38-C38</f>
        <v>0</v>
      </c>
      <c r="F38" s="1266"/>
      <c r="G38" s="1266"/>
      <c r="H38" s="1208">
        <v>496182</v>
      </c>
      <c r="I38" s="1128"/>
      <c r="J38" s="1128"/>
      <c r="K38" s="1128"/>
      <c r="L38" s="1128"/>
    </row>
    <row r="39" spans="1:12" s="1278" customFormat="1">
      <c r="A39" s="1135"/>
      <c r="B39" s="420" t="s">
        <v>852</v>
      </c>
      <c r="C39" s="391"/>
      <c r="D39" s="394"/>
      <c r="E39" s="391"/>
      <c r="F39" s="1266"/>
      <c r="G39" s="1266"/>
      <c r="H39" s="1208"/>
      <c r="I39" s="1128"/>
      <c r="J39" s="1128"/>
      <c r="K39" s="1128"/>
      <c r="L39" s="1128"/>
    </row>
    <row r="40" spans="1:12" s="387" customFormat="1">
      <c r="A40" s="1144">
        <v>2</v>
      </c>
      <c r="B40" s="1279" t="s">
        <v>830</v>
      </c>
      <c r="C40" s="388">
        <f>C41+C44+C45+C46</f>
        <v>316605</v>
      </c>
      <c r="D40" s="388">
        <f>D41+D44+D45+D46</f>
        <v>333143</v>
      </c>
      <c r="E40" s="388">
        <f t="shared" ref="E40:E52" si="5">D40-C40</f>
        <v>16538</v>
      </c>
      <c r="F40" s="1266">
        <f t="shared" ref="F40:F52" si="6">D40/C40%</f>
        <v>105.22354353216151</v>
      </c>
      <c r="G40" s="1266"/>
      <c r="H40" s="1128"/>
      <c r="I40" s="1128"/>
      <c r="J40" s="1128"/>
      <c r="K40" s="1128"/>
      <c r="L40" s="1128"/>
    </row>
    <row r="41" spans="1:12" s="1261" customFormat="1">
      <c r="A41" s="1129" t="s">
        <v>351</v>
      </c>
      <c r="B41" s="392" t="s">
        <v>820</v>
      </c>
      <c r="C41" s="391">
        <v>179577</v>
      </c>
      <c r="D41" s="396">
        <f>C41+7022</f>
        <v>186599</v>
      </c>
      <c r="E41" s="391">
        <f t="shared" si="5"/>
        <v>7022</v>
      </c>
      <c r="F41" s="1268">
        <f t="shared" si="6"/>
        <v>103.91030031685573</v>
      </c>
      <c r="G41" s="1266"/>
      <c r="H41" s="1281">
        <f>I14*50%</f>
        <v>1025</v>
      </c>
      <c r="I41" s="1128">
        <f>I14*20%</f>
        <v>410</v>
      </c>
      <c r="J41" s="1128"/>
      <c r="K41" s="1128"/>
      <c r="L41" s="1128"/>
    </row>
    <row r="42" spans="1:12" s="1261" customFormat="1">
      <c r="A42" s="1146"/>
      <c r="B42" s="487" t="s">
        <v>809</v>
      </c>
      <c r="C42" s="391">
        <f>174796+2000</f>
        <v>176796</v>
      </c>
      <c r="D42" s="396">
        <f>D41-D43</f>
        <v>183548</v>
      </c>
      <c r="E42" s="391">
        <f>D42-C42</f>
        <v>6752</v>
      </c>
      <c r="F42" s="1268">
        <f t="shared" si="6"/>
        <v>103.81909092965904</v>
      </c>
      <c r="G42" s="1207" t="s">
        <v>848</v>
      </c>
      <c r="H42" s="1281"/>
      <c r="I42" s="1128"/>
      <c r="J42" s="1128"/>
      <c r="K42" s="1128"/>
      <c r="L42" s="1128"/>
    </row>
    <row r="43" spans="1:12" s="1261" customFormat="1">
      <c r="A43" s="1146"/>
      <c r="B43" s="487" t="s">
        <v>864</v>
      </c>
      <c r="C43" s="391">
        <f>2106+2675-2000</f>
        <v>2781</v>
      </c>
      <c r="D43" s="396">
        <f>2131+2920-2000</f>
        <v>3051</v>
      </c>
      <c r="E43" s="391">
        <f t="shared" si="5"/>
        <v>270</v>
      </c>
      <c r="F43" s="1268">
        <f t="shared" si="6"/>
        <v>109.70873786407768</v>
      </c>
      <c r="G43" s="1207" t="s">
        <v>848</v>
      </c>
      <c r="H43" s="1281"/>
      <c r="I43" s="1128"/>
      <c r="J43" s="1128"/>
      <c r="K43" s="1128"/>
      <c r="L43" s="1128"/>
    </row>
    <row r="44" spans="1:12" s="1261" customFormat="1">
      <c r="A44" s="1129" t="s">
        <v>357</v>
      </c>
      <c r="B44" s="392" t="s">
        <v>805</v>
      </c>
      <c r="C44" s="391">
        <v>143</v>
      </c>
      <c r="D44" s="396">
        <v>152</v>
      </c>
      <c r="E44" s="391">
        <f t="shared" si="5"/>
        <v>9</v>
      </c>
      <c r="F44" s="1268">
        <f t="shared" si="6"/>
        <v>106.29370629370629</v>
      </c>
      <c r="G44" s="1206" t="s">
        <v>849</v>
      </c>
      <c r="H44" s="1282">
        <f>D41+D44+D45+D46</f>
        <v>333143</v>
      </c>
      <c r="I44" s="1282">
        <f>D40-H44</f>
        <v>0</v>
      </c>
      <c r="J44" s="1128"/>
      <c r="K44" s="1128"/>
      <c r="L44" s="1128"/>
    </row>
    <row r="45" spans="1:12" s="1261" customFormat="1">
      <c r="A45" s="1129" t="s">
        <v>815</v>
      </c>
      <c r="B45" s="1283" t="s">
        <v>804</v>
      </c>
      <c r="C45" s="391">
        <v>1239</v>
      </c>
      <c r="D45" s="396">
        <v>1313</v>
      </c>
      <c r="E45" s="391">
        <f t="shared" si="5"/>
        <v>74</v>
      </c>
      <c r="F45" s="1268">
        <f t="shared" si="6"/>
        <v>105.97255851493139</v>
      </c>
      <c r="G45" s="1206" t="s">
        <v>849</v>
      </c>
      <c r="H45" s="1128"/>
      <c r="I45" s="1128"/>
      <c r="J45" s="1128"/>
      <c r="K45" s="1128"/>
      <c r="L45" s="1128"/>
    </row>
    <row r="46" spans="1:12" s="1261" customFormat="1">
      <c r="A46" s="1146" t="s">
        <v>816</v>
      </c>
      <c r="B46" s="1284" t="s">
        <v>869</v>
      </c>
      <c r="C46" s="1049">
        <f>C8-C25-C41-C44-C45-C69-C70</f>
        <v>135646</v>
      </c>
      <c r="D46" s="1049">
        <f>D8-D25-D41-D44-D45-D69-D70</f>
        <v>145079</v>
      </c>
      <c r="E46" s="1048">
        <f t="shared" si="5"/>
        <v>9433</v>
      </c>
      <c r="F46" s="1268">
        <f t="shared" si="6"/>
        <v>106.95413060466213</v>
      </c>
      <c r="G46" s="1266"/>
      <c r="H46" s="1305">
        <f>C48+C49+C50+C51+C52+C60+C66+C67+C68</f>
        <v>135646</v>
      </c>
      <c r="I46" s="1305">
        <f>D48+D49+D50+D51+D52+D60+D66+D67+D68</f>
        <v>145079</v>
      </c>
      <c r="J46" s="1128"/>
      <c r="K46" s="1128"/>
      <c r="L46" s="1128"/>
    </row>
    <row r="47" spans="1:12" s="1261" customFormat="1" ht="31.2">
      <c r="A47" s="1140"/>
      <c r="B47" s="1301" t="s">
        <v>8</v>
      </c>
      <c r="C47" s="386">
        <v>200</v>
      </c>
      <c r="D47" s="397">
        <f>'so thu huyen-R-03'!Y15</f>
        <v>350</v>
      </c>
      <c r="E47" s="391">
        <f t="shared" si="5"/>
        <v>150</v>
      </c>
      <c r="F47" s="1268">
        <f t="shared" si="6"/>
        <v>175</v>
      </c>
      <c r="G47" s="1266"/>
      <c r="H47" s="1297">
        <f>C46-H46</f>
        <v>0</v>
      </c>
      <c r="I47" s="1297">
        <f>D46-I46</f>
        <v>0</v>
      </c>
      <c r="J47" s="1128"/>
      <c r="K47" s="1128"/>
      <c r="L47" s="1128"/>
    </row>
    <row r="48" spans="1:12" s="1261" customFormat="1">
      <c r="A48" s="1178" t="s">
        <v>870</v>
      </c>
      <c r="B48" s="1179" t="s">
        <v>269</v>
      </c>
      <c r="C48" s="56">
        <f>4371+437-1000</f>
        <v>3808</v>
      </c>
      <c r="D48" s="56">
        <f>4371+437-1000</f>
        <v>3808</v>
      </c>
      <c r="E48" s="1181">
        <f t="shared" si="5"/>
        <v>0</v>
      </c>
      <c r="F48" s="1229">
        <f t="shared" si="6"/>
        <v>100</v>
      </c>
      <c r="G48" s="1207"/>
      <c r="H48" s="1128"/>
      <c r="I48" s="1128"/>
      <c r="J48" s="1128"/>
      <c r="K48" s="1128"/>
      <c r="L48" s="1128"/>
    </row>
    <row r="49" spans="1:12" s="1261" customFormat="1">
      <c r="A49" s="1178" t="s">
        <v>871</v>
      </c>
      <c r="B49" s="1179" t="s">
        <v>270</v>
      </c>
      <c r="C49" s="56">
        <f>6612+661-6000</f>
        <v>1273</v>
      </c>
      <c r="D49" s="426">
        <f>C49</f>
        <v>1273</v>
      </c>
      <c r="E49" s="54">
        <f t="shared" si="5"/>
        <v>0</v>
      </c>
      <c r="F49" s="1229">
        <f t="shared" si="6"/>
        <v>100</v>
      </c>
      <c r="G49" s="1207"/>
      <c r="H49" s="1128"/>
      <c r="I49" s="1128"/>
      <c r="J49" s="1128"/>
      <c r="K49" s="1128"/>
      <c r="L49" s="1128"/>
    </row>
    <row r="50" spans="1:12" s="1261" customFormat="1">
      <c r="A50" s="1178" t="s">
        <v>872</v>
      </c>
      <c r="B50" s="1179" t="s">
        <v>807</v>
      </c>
      <c r="C50" s="56">
        <f>2609+260</f>
        <v>2869</v>
      </c>
      <c r="D50" s="426">
        <f>2766+260</f>
        <v>3026</v>
      </c>
      <c r="E50" s="54">
        <f t="shared" si="5"/>
        <v>157</v>
      </c>
      <c r="F50" s="1229">
        <f t="shared" si="6"/>
        <v>105.47228999651446</v>
      </c>
      <c r="G50" s="1207" t="s">
        <v>850</v>
      </c>
      <c r="H50" s="1128"/>
      <c r="I50" s="1128"/>
      <c r="J50" s="1128"/>
      <c r="K50" s="1128"/>
      <c r="L50" s="1128"/>
    </row>
    <row r="51" spans="1:12" s="1261" customFormat="1">
      <c r="A51" s="1178" t="s">
        <v>873</v>
      </c>
      <c r="B51" s="1179" t="s">
        <v>808</v>
      </c>
      <c r="C51" s="56">
        <f>1074+107</f>
        <v>1181</v>
      </c>
      <c r="D51" s="426">
        <f>1167+107</f>
        <v>1274</v>
      </c>
      <c r="E51" s="54">
        <f t="shared" si="5"/>
        <v>93</v>
      </c>
      <c r="F51" s="1229">
        <f t="shared" si="6"/>
        <v>107.87468247248094</v>
      </c>
      <c r="G51" s="1207" t="s">
        <v>850</v>
      </c>
      <c r="H51" s="1128"/>
      <c r="I51" s="1128"/>
      <c r="J51" s="1128"/>
      <c r="K51" s="1128"/>
      <c r="L51" s="1128"/>
    </row>
    <row r="52" spans="1:12" s="1261" customFormat="1">
      <c r="A52" s="1178" t="s">
        <v>874</v>
      </c>
      <c r="B52" s="1179" t="s">
        <v>276</v>
      </c>
      <c r="C52" s="426">
        <f>SUM(C54:C59)</f>
        <v>31085</v>
      </c>
      <c r="D52" s="426">
        <f>SUM(D54:D59)</f>
        <v>32527</v>
      </c>
      <c r="E52" s="54">
        <f t="shared" si="5"/>
        <v>1442</v>
      </c>
      <c r="F52" s="1229">
        <f t="shared" si="6"/>
        <v>104.63889335692456</v>
      </c>
      <c r="G52" s="1285" t="s">
        <v>851</v>
      </c>
      <c r="H52" s="1128"/>
      <c r="I52" s="1128"/>
      <c r="J52" s="1128"/>
      <c r="K52" s="1128"/>
      <c r="L52" s="1128"/>
    </row>
    <row r="53" spans="1:12" s="1261" customFormat="1">
      <c r="A53" s="1178"/>
      <c r="B53" s="1190" t="s">
        <v>297</v>
      </c>
      <c r="C53" s="56"/>
      <c r="D53" s="426"/>
      <c r="E53" s="144"/>
      <c r="F53" s="1229"/>
      <c r="G53" s="1266"/>
      <c r="H53" s="1128"/>
      <c r="I53" s="1128"/>
      <c r="J53" s="1128"/>
      <c r="K53" s="1128"/>
      <c r="L53" s="1128"/>
    </row>
    <row r="54" spans="1:12" s="1261" customFormat="1">
      <c r="A54" s="1178"/>
      <c r="B54" s="1190" t="s">
        <v>298</v>
      </c>
      <c r="C54" s="56">
        <v>12410</v>
      </c>
      <c r="D54" s="426">
        <v>12410</v>
      </c>
      <c r="E54" s="1181">
        <f t="shared" ref="E54:E60" si="7">D54-C54</f>
        <v>0</v>
      </c>
      <c r="F54" s="1229">
        <f>D54/C54%</f>
        <v>100</v>
      </c>
      <c r="G54" s="1266"/>
      <c r="H54" s="1128"/>
      <c r="I54" s="1128"/>
      <c r="J54" s="1128"/>
      <c r="K54" s="1128"/>
      <c r="L54" s="1128"/>
    </row>
    <row r="55" spans="1:12" s="1261" customFormat="1">
      <c r="A55" s="1178"/>
      <c r="B55" s="1190" t="s">
        <v>299</v>
      </c>
      <c r="C55" s="56">
        <v>4964</v>
      </c>
      <c r="D55" s="426">
        <v>4964</v>
      </c>
      <c r="E55" s="1181">
        <f t="shared" si="7"/>
        <v>0</v>
      </c>
      <c r="F55" s="1229">
        <f>D55/C55%</f>
        <v>100</v>
      </c>
      <c r="G55" s="1266"/>
      <c r="H55" s="1128"/>
      <c r="I55" s="1128"/>
      <c r="J55" s="1128"/>
      <c r="K55" s="1128"/>
      <c r="L55" s="1128"/>
    </row>
    <row r="56" spans="1:12" s="1261" customFormat="1">
      <c r="A56" s="1178"/>
      <c r="B56" s="1190" t="s">
        <v>300</v>
      </c>
      <c r="C56" s="56">
        <v>1500</v>
      </c>
      <c r="D56" s="426">
        <v>1500</v>
      </c>
      <c r="E56" s="1181">
        <f t="shared" si="7"/>
        <v>0</v>
      </c>
      <c r="F56" s="1229">
        <f>D56/C56%</f>
        <v>100</v>
      </c>
      <c r="G56" s="1266"/>
      <c r="H56" s="1128"/>
      <c r="I56" s="1128"/>
      <c r="J56" s="1128"/>
      <c r="K56" s="1128"/>
      <c r="L56" s="1128"/>
    </row>
    <row r="57" spans="1:12" s="1261" customFormat="1">
      <c r="A57" s="1178"/>
      <c r="B57" s="1190" t="s">
        <v>301</v>
      </c>
      <c r="C57" s="56"/>
      <c r="D57" s="426"/>
      <c r="E57" s="1181">
        <f t="shared" si="7"/>
        <v>0</v>
      </c>
      <c r="F57" s="1229"/>
      <c r="G57" s="1266"/>
      <c r="H57" s="1128"/>
      <c r="I57" s="1128"/>
      <c r="J57" s="1128"/>
      <c r="K57" s="1128"/>
      <c r="L57" s="1128"/>
    </row>
    <row r="58" spans="1:12" s="1261" customFormat="1" ht="31.2">
      <c r="A58" s="1178"/>
      <c r="B58" s="1190" t="s">
        <v>303</v>
      </c>
      <c r="C58" s="56">
        <v>200</v>
      </c>
      <c r="D58" s="426">
        <v>350</v>
      </c>
      <c r="E58" s="1186">
        <f t="shared" si="7"/>
        <v>150</v>
      </c>
      <c r="F58" s="1229">
        <f>D58/C58%</f>
        <v>175</v>
      </c>
      <c r="G58" s="1285" t="s">
        <v>851</v>
      </c>
      <c r="H58" s="1128"/>
      <c r="I58" s="1128"/>
      <c r="J58" s="1128"/>
      <c r="K58" s="1128"/>
      <c r="L58" s="1128"/>
    </row>
    <row r="59" spans="1:12" s="1261" customFormat="1">
      <c r="A59" s="1178"/>
      <c r="B59" s="1190" t="s">
        <v>304</v>
      </c>
      <c r="C59" s="56">
        <f>5011+6000+1000</f>
        <v>12011</v>
      </c>
      <c r="D59" s="426">
        <f>5011+7292+1000</f>
        <v>13303</v>
      </c>
      <c r="E59" s="1181">
        <f t="shared" si="7"/>
        <v>1292</v>
      </c>
      <c r="F59" s="1229">
        <f>D59/C59%</f>
        <v>110.75680626092749</v>
      </c>
      <c r="G59" s="1266"/>
      <c r="H59" s="1128"/>
      <c r="I59" s="1128"/>
      <c r="J59" s="1128"/>
      <c r="K59" s="1128"/>
      <c r="L59" s="1128"/>
    </row>
    <row r="60" spans="1:12" s="1261" customFormat="1" ht="44.25" customHeight="1">
      <c r="A60" s="1178" t="s">
        <v>875</v>
      </c>
      <c r="B60" s="1179" t="s">
        <v>278</v>
      </c>
      <c r="C60" s="56">
        <f>SUM(C62:C65)</f>
        <v>16647</v>
      </c>
      <c r="D60" s="56">
        <f>SUM(D62:D65)</f>
        <v>16647</v>
      </c>
      <c r="E60" s="1181">
        <f t="shared" si="7"/>
        <v>0</v>
      </c>
      <c r="F60" s="1229">
        <f>D60/C60%</f>
        <v>100</v>
      </c>
      <c r="G60" s="1207"/>
      <c r="H60" s="1128"/>
      <c r="I60" s="1128"/>
      <c r="J60" s="1128"/>
      <c r="K60" s="1128"/>
      <c r="L60" s="1128"/>
    </row>
    <row r="61" spans="1:12" s="1261" customFormat="1">
      <c r="A61" s="1194"/>
      <c r="B61" s="1179" t="s">
        <v>290</v>
      </c>
      <c r="C61" s="56"/>
      <c r="D61" s="426"/>
      <c r="E61" s="144"/>
      <c r="F61" s="1229"/>
      <c r="G61" s="1266"/>
      <c r="H61" s="1145"/>
      <c r="I61" s="1128"/>
      <c r="J61" s="1128"/>
      <c r="K61" s="1128"/>
      <c r="L61" s="1128"/>
    </row>
    <row r="62" spans="1:12" s="1261" customFormat="1">
      <c r="A62" s="1194"/>
      <c r="B62" s="1195" t="s">
        <v>305</v>
      </c>
      <c r="C62" s="56">
        <v>1277</v>
      </c>
      <c r="D62" s="56">
        <v>1277</v>
      </c>
      <c r="E62" s="1303">
        <f t="shared" ref="E62:E67" si="8">D62-C62</f>
        <v>0</v>
      </c>
      <c r="F62" s="1229">
        <f t="shared" ref="F62:F67" si="9">D62/C62%</f>
        <v>100</v>
      </c>
      <c r="G62" s="1266"/>
      <c r="H62" s="1128"/>
      <c r="I62" s="1128"/>
      <c r="J62" s="1128"/>
      <c r="K62" s="1128"/>
      <c r="L62" s="1128"/>
    </row>
    <row r="63" spans="1:12" s="1261" customFormat="1" ht="16.2">
      <c r="A63" s="1196"/>
      <c r="B63" s="1195" t="s">
        <v>306</v>
      </c>
      <c r="C63" s="56">
        <v>515</v>
      </c>
      <c r="D63" s="56">
        <v>515</v>
      </c>
      <c r="E63" s="1303">
        <f t="shared" si="8"/>
        <v>0</v>
      </c>
      <c r="F63" s="1229">
        <f t="shared" si="9"/>
        <v>100</v>
      </c>
      <c r="G63" s="1266"/>
      <c r="H63" s="1128"/>
      <c r="I63" s="1128"/>
      <c r="J63" s="1128"/>
      <c r="K63" s="1128"/>
      <c r="L63" s="1128"/>
    </row>
    <row r="64" spans="1:12" s="1261" customFormat="1" ht="16.2">
      <c r="A64" s="1196"/>
      <c r="B64" s="1190" t="s">
        <v>307</v>
      </c>
      <c r="C64" s="56">
        <f>15771-1649</f>
        <v>14122</v>
      </c>
      <c r="D64" s="56">
        <f>15771-1649+733</f>
        <v>14855</v>
      </c>
      <c r="E64" s="54">
        <f t="shared" si="8"/>
        <v>733</v>
      </c>
      <c r="F64" s="1229">
        <f t="shared" si="9"/>
        <v>105.19048293442856</v>
      </c>
      <c r="G64" s="1206" t="s">
        <v>855</v>
      </c>
      <c r="H64" s="1128"/>
      <c r="I64" s="1128"/>
      <c r="J64" s="1128"/>
      <c r="K64" s="1128"/>
      <c r="L64" s="1128"/>
    </row>
    <row r="65" spans="1:12" s="1261" customFormat="1" ht="16.2">
      <c r="A65" s="1196"/>
      <c r="B65" s="1190" t="s">
        <v>308</v>
      </c>
      <c r="C65" s="56">
        <v>733</v>
      </c>
      <c r="D65" s="56"/>
      <c r="E65" s="54">
        <f t="shared" si="8"/>
        <v>-733</v>
      </c>
      <c r="F65" s="1229">
        <f t="shared" si="9"/>
        <v>0</v>
      </c>
      <c r="G65" s="1266"/>
      <c r="H65" s="1128"/>
      <c r="I65" s="1128"/>
      <c r="J65" s="1128"/>
      <c r="K65" s="1128"/>
      <c r="L65" s="1128"/>
    </row>
    <row r="66" spans="1:12" s="1261" customFormat="1" ht="93.6">
      <c r="A66" s="1178" t="s">
        <v>876</v>
      </c>
      <c r="B66" s="1179" t="s">
        <v>277</v>
      </c>
      <c r="C66" s="56">
        <f>71620+662+3813</f>
        <v>76095</v>
      </c>
      <c r="D66" s="426">
        <f>C66+919+606+2853+356+264+3454-814+205</f>
        <v>83938</v>
      </c>
      <c r="E66" s="54">
        <f t="shared" si="8"/>
        <v>7843</v>
      </c>
      <c r="F66" s="1229">
        <f t="shared" si="9"/>
        <v>110.30685327551087</v>
      </c>
      <c r="G66" s="464" t="s">
        <v>862</v>
      </c>
      <c r="H66" s="1128"/>
      <c r="I66" s="1128"/>
      <c r="J66" s="1128"/>
      <c r="K66" s="1128"/>
      <c r="L66" s="1128"/>
    </row>
    <row r="67" spans="1:12" s="1261" customFormat="1">
      <c r="A67" s="1178" t="s">
        <v>877</v>
      </c>
      <c r="B67" s="1179" t="s">
        <v>720</v>
      </c>
      <c r="C67" s="1186">
        <f>D67-615+418+125-146+320</f>
        <v>2688</v>
      </c>
      <c r="D67" s="1186">
        <f>3303-418-125+146-320</f>
        <v>2586</v>
      </c>
      <c r="E67" s="1181">
        <f t="shared" si="8"/>
        <v>-102</v>
      </c>
      <c r="F67" s="1229">
        <f t="shared" si="9"/>
        <v>96.205357142857153</v>
      </c>
      <c r="G67" s="1206" t="s">
        <v>849</v>
      </c>
      <c r="H67" s="1128"/>
      <c r="I67" s="1128"/>
      <c r="J67" s="1128"/>
      <c r="K67" s="1128"/>
      <c r="L67" s="1128"/>
    </row>
    <row r="68" spans="1:12" s="1261" customFormat="1">
      <c r="A68" s="1178" t="s">
        <v>878</v>
      </c>
      <c r="B68" s="507" t="s">
        <v>819</v>
      </c>
      <c r="C68" s="56"/>
      <c r="D68" s="426"/>
      <c r="E68" s="1181">
        <f t="shared" ref="E68:E72" si="10">D68-C68</f>
        <v>0</v>
      </c>
      <c r="F68" s="1229" t="e">
        <f t="shared" ref="F68:F72" si="11">D68/C68%</f>
        <v>#DIV/0!</v>
      </c>
      <c r="G68" s="1206" t="s">
        <v>849</v>
      </c>
      <c r="H68" s="1128">
        <f>I14*30%</f>
        <v>615</v>
      </c>
      <c r="I68" s="1128"/>
      <c r="J68" s="1128"/>
      <c r="K68" s="1128"/>
      <c r="L68" s="1128"/>
    </row>
    <row r="69" spans="1:12" s="387" customFormat="1">
      <c r="A69" s="1144">
        <v>3</v>
      </c>
      <c r="B69" s="1279" t="s">
        <v>320</v>
      </c>
      <c r="C69" s="388">
        <v>7586</v>
      </c>
      <c r="D69" s="398">
        <f>ROUND((D8)*2.01%,0)</f>
        <v>8611</v>
      </c>
      <c r="E69" s="1096">
        <f t="shared" si="10"/>
        <v>1025</v>
      </c>
      <c r="F69" s="1266">
        <f t="shared" si="11"/>
        <v>113.51173213814923</v>
      </c>
      <c r="G69" s="1266"/>
      <c r="H69" s="1128">
        <f>(D8)*2.01%</f>
        <v>8611.402799999998</v>
      </c>
      <c r="I69" s="1128"/>
      <c r="J69" s="1128"/>
      <c r="K69" s="1128"/>
      <c r="L69" s="1128"/>
    </row>
    <row r="70" spans="1:12" s="387" customFormat="1">
      <c r="A70" s="1144" t="s">
        <v>315</v>
      </c>
      <c r="B70" s="1279" t="s">
        <v>818</v>
      </c>
      <c r="C70" s="388">
        <v>9049</v>
      </c>
      <c r="D70" s="395">
        <f>D17</f>
        <v>48214</v>
      </c>
      <c r="E70" s="1096">
        <f t="shared" si="10"/>
        <v>39165</v>
      </c>
      <c r="F70" s="1266">
        <f t="shared" si="11"/>
        <v>532.81025527682618</v>
      </c>
      <c r="G70" s="1266"/>
      <c r="H70" s="1128"/>
      <c r="I70" s="1128"/>
      <c r="J70" s="1128"/>
      <c r="K70" s="1128"/>
      <c r="L70" s="1128"/>
    </row>
    <row r="71" spans="1:12" s="387" customFormat="1">
      <c r="A71" s="1286"/>
      <c r="B71" s="1287" t="s">
        <v>15</v>
      </c>
      <c r="C71" s="388">
        <f>C24+C70</f>
        <v>377410</v>
      </c>
      <c r="D71" s="395">
        <f>D24+D70</f>
        <v>428428</v>
      </c>
      <c r="E71" s="1096">
        <f t="shared" si="10"/>
        <v>51018</v>
      </c>
      <c r="F71" s="1266">
        <f t="shared" si="11"/>
        <v>113.51792480326436</v>
      </c>
      <c r="G71" s="1266"/>
      <c r="H71" s="1128"/>
      <c r="I71" s="1128"/>
      <c r="J71" s="1128"/>
      <c r="K71" s="1128"/>
      <c r="L71" s="1128"/>
    </row>
    <row r="72" spans="1:12" s="1278" customFormat="1">
      <c r="A72" s="1288"/>
      <c r="B72" s="1279" t="s">
        <v>11</v>
      </c>
      <c r="C72" s="1302">
        <v>5278</v>
      </c>
      <c r="D72" s="395">
        <f>C72+I14*10%</f>
        <v>5483</v>
      </c>
      <c r="E72" s="1096">
        <f t="shared" si="10"/>
        <v>205</v>
      </c>
      <c r="F72" s="1266">
        <f t="shared" si="11"/>
        <v>103.88404698749527</v>
      </c>
      <c r="G72" s="1266"/>
      <c r="H72" s="1128"/>
      <c r="I72" s="1128"/>
      <c r="J72" s="1128"/>
      <c r="K72" s="1128"/>
      <c r="L72" s="1128"/>
    </row>
    <row r="73" spans="1:12" s="1292" customFormat="1">
      <c r="A73" s="1289"/>
      <c r="B73" s="1290"/>
      <c r="C73" s="1064"/>
      <c r="D73" s="1065">
        <v>0</v>
      </c>
      <c r="E73" s="1066"/>
      <c r="F73" s="1268"/>
      <c r="G73" s="1291"/>
      <c r="H73" s="1128"/>
      <c r="I73" s="1128"/>
      <c r="J73" s="1128"/>
      <c r="K73" s="1128"/>
      <c r="L73" s="1128"/>
    </row>
    <row r="74" spans="1:12">
      <c r="A74" s="1293"/>
      <c r="B74" s="1293"/>
      <c r="C74" s="1294"/>
      <c r="D74" s="1295"/>
      <c r="E74" s="1296"/>
      <c r="F74" s="1293"/>
      <c r="G74" s="1293"/>
    </row>
    <row r="75" spans="1:12" s="1128" customFormat="1"/>
    <row r="76" spans="1:12" s="1128" customFormat="1">
      <c r="D76" s="1145">
        <f>D71-D8</f>
        <v>0</v>
      </c>
      <c r="E76" s="1297"/>
    </row>
    <row r="77" spans="1:12" s="1128" customFormat="1"/>
    <row r="78" spans="1:12" s="1128" customFormat="1"/>
    <row r="79" spans="1:12">
      <c r="D79" s="1299">
        <f>C67+615</f>
        <v>3303</v>
      </c>
    </row>
    <row r="83" spans="4:4">
      <c r="D83" s="1299"/>
    </row>
  </sheetData>
  <mergeCells count="9">
    <mergeCell ref="G5:G6"/>
    <mergeCell ref="A5:A6"/>
    <mergeCell ref="B1:F1"/>
    <mergeCell ref="B2:F2"/>
    <mergeCell ref="E4:F4"/>
    <mergeCell ref="B5:B6"/>
    <mergeCell ref="D5:D6"/>
    <mergeCell ref="E5:F5"/>
    <mergeCell ref="C5:C6"/>
  </mergeCells>
  <pageMargins left="0.67" right="0.23622047244094491" top="0.33" bottom="0.35433070866141736" header="0.31496062992125984" footer="0.31496062992125984"/>
  <pageSetup paperSize="9" scale="7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2"/>
  <sheetViews>
    <sheetView topLeftCell="A10" zoomScale="85" zoomScaleNormal="85" workbookViewId="0">
      <selection activeCell="B140" sqref="B140"/>
    </sheetView>
  </sheetViews>
  <sheetFormatPr defaultColWidth="9.109375" defaultRowHeight="13.8"/>
  <cols>
    <col min="1" max="1" width="8.6640625" style="2" customWidth="1"/>
    <col min="2" max="2" width="47.33203125" style="2" customWidth="1"/>
    <col min="3" max="3" width="16.33203125" style="29" customWidth="1"/>
    <col min="4" max="4" width="14.109375" style="2" customWidth="1"/>
    <col min="5" max="5" width="14.109375" style="51" customWidth="1"/>
    <col min="6" max="6" width="14" style="2" customWidth="1"/>
    <col min="7" max="7" width="40.44140625" style="2" hidden="1" customWidth="1"/>
    <col min="8" max="8" width="18.109375" style="2" customWidth="1"/>
    <col min="9" max="9" width="16.5546875" style="2" customWidth="1"/>
    <col min="10" max="10" width="11.88671875" style="2" customWidth="1"/>
    <col min="11" max="11" width="10.33203125" style="2" customWidth="1"/>
    <col min="12" max="16384" width="9.109375" style="2"/>
  </cols>
  <sheetData>
    <row r="1" spans="1:12" ht="17.399999999999999">
      <c r="B1" s="3097" t="s">
        <v>16</v>
      </c>
      <c r="C1" s="3097"/>
      <c r="D1" s="3097"/>
      <c r="E1" s="3097"/>
      <c r="F1" s="3097"/>
      <c r="G1" s="605"/>
    </row>
    <row r="2" spans="1:12" s="3" customFormat="1" ht="17.399999999999999">
      <c r="B2" s="3153" t="s">
        <v>24</v>
      </c>
      <c r="C2" s="3153"/>
      <c r="D2" s="3153"/>
      <c r="E2" s="3153"/>
      <c r="F2" s="3153"/>
      <c r="G2" s="606"/>
    </row>
    <row r="3" spans="1:12" s="3" customFormat="1" ht="17.399999999999999">
      <c r="B3" s="400"/>
      <c r="C3" s="400"/>
      <c r="D3" s="400"/>
      <c r="E3" s="400"/>
      <c r="F3" s="400"/>
      <c r="G3" s="606"/>
    </row>
    <row r="4" spans="1:12" s="4" customFormat="1">
      <c r="C4" s="5"/>
      <c r="D4" s="6"/>
      <c r="E4" s="3154" t="s">
        <v>27</v>
      </c>
      <c r="F4" s="3154"/>
      <c r="G4" s="1010"/>
    </row>
    <row r="5" spans="1:12" s="1" customFormat="1" ht="28.5" customHeight="1">
      <c r="A5" s="3157" t="s">
        <v>49</v>
      </c>
      <c r="B5" s="3164" t="s">
        <v>0</v>
      </c>
      <c r="C5" s="3134" t="s">
        <v>879</v>
      </c>
      <c r="D5" s="3167" t="s">
        <v>17</v>
      </c>
      <c r="E5" s="3166" t="s">
        <v>26</v>
      </c>
      <c r="F5" s="3157"/>
      <c r="G5" s="3160" t="s">
        <v>811</v>
      </c>
    </row>
    <row r="6" spans="1:12" s="1" customFormat="1" ht="55.5" customHeight="1">
      <c r="A6" s="3158"/>
      <c r="B6" s="3165"/>
      <c r="C6" s="3135"/>
      <c r="D6" s="3168"/>
      <c r="E6" s="85" t="s">
        <v>1</v>
      </c>
      <c r="F6" s="86" t="s">
        <v>2</v>
      </c>
      <c r="G6" s="3161"/>
      <c r="H6"/>
      <c r="I6"/>
      <c r="J6"/>
      <c r="K6"/>
      <c r="L6"/>
    </row>
    <row r="7" spans="1:12" s="7" customFormat="1" ht="15.6">
      <c r="A7" s="1012"/>
      <c r="B7" s="1129">
        <v>1</v>
      </c>
      <c r="C7" s="1130">
        <v>2</v>
      </c>
      <c r="D7" s="1131">
        <v>3</v>
      </c>
      <c r="E7" s="1132" t="s">
        <v>882</v>
      </c>
      <c r="F7" s="1199" t="s">
        <v>883</v>
      </c>
      <c r="G7" s="87"/>
      <c r="H7"/>
      <c r="I7"/>
      <c r="J7"/>
      <c r="K7"/>
      <c r="L7"/>
    </row>
    <row r="8" spans="1:12" s="8" customFormat="1" ht="15.6">
      <c r="A8" s="1013" t="s">
        <v>54</v>
      </c>
      <c r="B8" s="1014" t="s">
        <v>812</v>
      </c>
      <c r="C8" s="14">
        <f>C9+C11+C17</f>
        <v>520576</v>
      </c>
      <c r="D8" s="14">
        <f>D9+D11+D17</f>
        <v>586857</v>
      </c>
      <c r="E8" s="14">
        <f t="shared" ref="E8:E34" si="0">D8-C8</f>
        <v>66281</v>
      </c>
      <c r="F8" s="45">
        <f>D8/C8%</f>
        <v>112.73224274649618</v>
      </c>
      <c r="G8" s="45"/>
      <c r="H8" s="106">
        <f>D8-C8</f>
        <v>66281</v>
      </c>
      <c r="I8" s="106"/>
      <c r="J8"/>
      <c r="K8"/>
      <c r="L8"/>
    </row>
    <row r="9" spans="1:12" s="35" customFormat="1" ht="15.6">
      <c r="A9" s="1015">
        <v>1</v>
      </c>
      <c r="B9" s="34" t="s">
        <v>813</v>
      </c>
      <c r="C9" s="32">
        <f>'so thu huyen-R-03'!D17</f>
        <v>55250</v>
      </c>
      <c r="D9" s="32">
        <f>'so thu huyen-R-03'!I17</f>
        <v>54700</v>
      </c>
      <c r="E9" s="31">
        <f t="shared" si="0"/>
        <v>-550</v>
      </c>
      <c r="F9" s="45">
        <f>D9/C9%</f>
        <v>99.004524886877832</v>
      </c>
      <c r="G9" s="45"/>
      <c r="H9" s="141"/>
      <c r="I9"/>
      <c r="J9"/>
      <c r="K9"/>
      <c r="L9"/>
    </row>
    <row r="10" spans="1:12" s="35" customFormat="1" ht="28.8">
      <c r="A10" s="1015"/>
      <c r="B10" s="138" t="s">
        <v>109</v>
      </c>
      <c r="C10" s="32">
        <f>C9-'so thu huyen-R-03'!F17</f>
        <v>50250</v>
      </c>
      <c r="D10" s="139">
        <f>D9-'so thu huyen-R-03'!K17</f>
        <v>50700</v>
      </c>
      <c r="E10" s="31">
        <f t="shared" si="0"/>
        <v>450</v>
      </c>
      <c r="F10" s="45"/>
      <c r="G10" s="45"/>
      <c r="H10"/>
      <c r="I10"/>
      <c r="J10"/>
      <c r="K10"/>
      <c r="L10"/>
    </row>
    <row r="11" spans="1:12" s="35" customFormat="1" ht="15.6">
      <c r="A11" s="1015">
        <v>2</v>
      </c>
      <c r="B11" s="34" t="s">
        <v>814</v>
      </c>
      <c r="C11" s="32">
        <f>SUM(C12:C16)</f>
        <v>453719</v>
      </c>
      <c r="D11" s="32">
        <f>SUM(D12:D16)</f>
        <v>495881</v>
      </c>
      <c r="E11" s="31">
        <f t="shared" si="0"/>
        <v>42162</v>
      </c>
      <c r="F11" s="45">
        <f>D11/C11%</f>
        <v>109.29253568838864</v>
      </c>
      <c r="G11" s="45"/>
      <c r="H11"/>
      <c r="I11"/>
      <c r="J11"/>
      <c r="K11"/>
      <c r="L11"/>
    </row>
    <row r="12" spans="1:12" s="12" customFormat="1" ht="15.6">
      <c r="A12" s="1016" t="s">
        <v>351</v>
      </c>
      <c r="B12" s="10" t="s">
        <v>829</v>
      </c>
      <c r="C12" s="11">
        <v>424184</v>
      </c>
      <c r="D12" s="11">
        <f>C12</f>
        <v>424184</v>
      </c>
      <c r="E12" s="9">
        <f t="shared" si="0"/>
        <v>0</v>
      </c>
      <c r="F12" s="42">
        <f>D12/C12%</f>
        <v>100</v>
      </c>
      <c r="G12" s="45"/>
      <c r="H12" s="106"/>
      <c r="I12" s="1101"/>
      <c r="J12"/>
      <c r="K12"/>
      <c r="L12"/>
    </row>
    <row r="13" spans="1:12" s="12" customFormat="1" ht="15.6">
      <c r="A13" s="1016" t="s">
        <v>357</v>
      </c>
      <c r="B13" s="10" t="s">
        <v>387</v>
      </c>
      <c r="C13" s="11">
        <v>18360</v>
      </c>
      <c r="D13" s="11">
        <f>C13</f>
        <v>18360</v>
      </c>
      <c r="E13" s="9">
        <f t="shared" si="0"/>
        <v>0</v>
      </c>
      <c r="F13" s="42">
        <f>D13/C13%</f>
        <v>100</v>
      </c>
      <c r="G13" s="1094" t="s">
        <v>858</v>
      </c>
      <c r="H13" s="106"/>
      <c r="I13"/>
      <c r="J13"/>
      <c r="K13"/>
      <c r="L13"/>
    </row>
    <row r="14" spans="1:12" s="12" customFormat="1" ht="27.6">
      <c r="A14" s="1016" t="s">
        <v>815</v>
      </c>
      <c r="B14" s="10" t="s">
        <v>386</v>
      </c>
      <c r="C14" s="11"/>
      <c r="D14" s="11">
        <f>19246-I14</f>
        <v>19021</v>
      </c>
      <c r="E14" s="9">
        <f t="shared" si="0"/>
        <v>19021</v>
      </c>
      <c r="F14" s="42"/>
      <c r="G14" s="1093" t="s">
        <v>859</v>
      </c>
      <c r="H14" s="12" t="s">
        <v>13</v>
      </c>
      <c r="I14" s="286">
        <f>'so thu huyen-R-03'!O17</f>
        <v>225</v>
      </c>
      <c r="J14"/>
      <c r="K14"/>
      <c r="L14"/>
    </row>
    <row r="15" spans="1:12" s="12" customFormat="1" ht="15.6">
      <c r="A15" s="1016" t="s">
        <v>816</v>
      </c>
      <c r="B15" s="10" t="s">
        <v>388</v>
      </c>
      <c r="C15" s="11">
        <f>11175-5390</f>
        <v>5785</v>
      </c>
      <c r="D15" s="56">
        <f>'BSCD CDCS 2019 (hoan chinh)-05 '!D31</f>
        <v>12251</v>
      </c>
      <c r="E15" s="9">
        <f t="shared" si="0"/>
        <v>6466</v>
      </c>
      <c r="F15" s="42">
        <f t="shared" ref="F15:F34" si="1">D15/C15%</f>
        <v>211.77182368193604</v>
      </c>
      <c r="G15" s="1094" t="s">
        <v>860</v>
      </c>
      <c r="H15" s="287">
        <v>1500</v>
      </c>
      <c r="I15" s="287" t="s">
        <v>168</v>
      </c>
      <c r="J15" s="286"/>
      <c r="K15" s="286"/>
      <c r="L15"/>
    </row>
    <row r="16" spans="1:12" s="12" customFormat="1" ht="27.6">
      <c r="A16" s="1016" t="s">
        <v>817</v>
      </c>
      <c r="B16" s="1017" t="s">
        <v>828</v>
      </c>
      <c r="C16" s="11">
        <v>5390</v>
      </c>
      <c r="D16" s="56">
        <f>'tang dau tu'!D6</f>
        <v>22065</v>
      </c>
      <c r="E16" s="9">
        <f t="shared" si="0"/>
        <v>16675</v>
      </c>
      <c r="F16" s="42">
        <f t="shared" si="1"/>
        <v>409.36920222634507</v>
      </c>
      <c r="G16" s="1094" t="s">
        <v>861</v>
      </c>
      <c r="H16" s="287"/>
      <c r="I16" s="287"/>
      <c r="J16" s="286"/>
      <c r="K16" s="286"/>
      <c r="L16"/>
    </row>
    <row r="17" spans="1:12" s="52" customFormat="1" ht="15.6">
      <c r="A17" s="1018">
        <v>3</v>
      </c>
      <c r="B17" s="1035" t="s">
        <v>827</v>
      </c>
      <c r="C17" s="144">
        <f>C18+C19</f>
        <v>11607</v>
      </c>
      <c r="D17" s="144">
        <f>SUM(D18:D23)</f>
        <v>36276</v>
      </c>
      <c r="E17" s="31">
        <f t="shared" si="0"/>
        <v>24669</v>
      </c>
      <c r="F17" s="45">
        <f t="shared" si="1"/>
        <v>312.53553889894033</v>
      </c>
      <c r="G17" s="1094" t="s">
        <v>860</v>
      </c>
      <c r="H17" s="106"/>
      <c r="I17"/>
      <c r="J17"/>
      <c r="K17"/>
      <c r="L17"/>
    </row>
    <row r="18" spans="1:12" s="41" customFormat="1" ht="15.6">
      <c r="A18" s="1019" t="s">
        <v>212</v>
      </c>
      <c r="B18" s="90" t="s">
        <v>389</v>
      </c>
      <c r="C18" s="39">
        <v>10738</v>
      </c>
      <c r="D18" s="40">
        <f>'BSCD CDCS 2019 (hoan chinh)-05 '!D3</f>
        <v>9443</v>
      </c>
      <c r="E18" s="9">
        <f t="shared" si="0"/>
        <v>-1295</v>
      </c>
      <c r="F18" s="42">
        <f t="shared" si="1"/>
        <v>87.940026075619301</v>
      </c>
      <c r="G18" s="45"/>
      <c r="H18"/>
      <c r="I18"/>
      <c r="J18"/>
      <c r="K18"/>
      <c r="L18"/>
    </row>
    <row r="19" spans="1:12" s="41" customFormat="1" ht="15.6">
      <c r="A19" s="1019" t="s">
        <v>214</v>
      </c>
      <c r="B19" s="90" t="s">
        <v>826</v>
      </c>
      <c r="C19" s="55">
        <v>869</v>
      </c>
      <c r="D19" s="40">
        <f>'BSCD CDCS 2019 (hoan chinh)-05 '!D18</f>
        <v>1525</v>
      </c>
      <c r="E19" s="9">
        <f t="shared" si="0"/>
        <v>656</v>
      </c>
      <c r="F19" s="42">
        <f t="shared" si="1"/>
        <v>175.48906789413118</v>
      </c>
      <c r="G19" s="45"/>
      <c r="H19" s="286" t="s">
        <v>169</v>
      </c>
      <c r="I19" s="286">
        <v>100</v>
      </c>
      <c r="J19"/>
      <c r="K19"/>
      <c r="L19"/>
    </row>
    <row r="20" spans="1:12" s="41" customFormat="1" ht="15.6">
      <c r="A20" s="1019" t="s">
        <v>925</v>
      </c>
      <c r="B20" s="1212" t="s">
        <v>926</v>
      </c>
      <c r="C20" s="55"/>
      <c r="D20" s="40">
        <f>'BSCD CDCS 2019 (hoan chinh)-05 '!D19</f>
        <v>1200</v>
      </c>
      <c r="E20" s="1104">
        <f t="shared" si="0"/>
        <v>1200</v>
      </c>
      <c r="F20" s="1105"/>
      <c r="G20" s="45"/>
      <c r="H20" s="286"/>
      <c r="I20" s="286"/>
      <c r="J20"/>
      <c r="K20"/>
      <c r="L20"/>
    </row>
    <row r="21" spans="1:12" s="41" customFormat="1" ht="15.6">
      <c r="A21" s="1019" t="s">
        <v>1041</v>
      </c>
      <c r="B21" s="408" t="s">
        <v>1033</v>
      </c>
      <c r="C21" s="55"/>
      <c r="D21" s="40">
        <f>'BSCD CDCS 2019 (hoan chinh)-05 '!D22</f>
        <v>895</v>
      </c>
      <c r="E21" s="1104"/>
      <c r="F21" s="1105"/>
      <c r="G21" s="45"/>
      <c r="H21" s="286"/>
      <c r="I21" s="286"/>
      <c r="J21"/>
      <c r="K21"/>
      <c r="L21"/>
    </row>
    <row r="22" spans="1:12" s="41" customFormat="1" ht="15.6">
      <c r="A22" s="1019" t="s">
        <v>1042</v>
      </c>
      <c r="B22" s="408" t="s">
        <v>1034</v>
      </c>
      <c r="C22" s="55"/>
      <c r="D22" s="40">
        <f>'BSCD CDCS 2019 (hoan chinh)-05 '!D23</f>
        <v>150</v>
      </c>
      <c r="E22" s="1104"/>
      <c r="F22" s="1105"/>
      <c r="G22" s="45"/>
      <c r="H22" s="286"/>
      <c r="I22" s="286"/>
      <c r="J22"/>
      <c r="K22"/>
      <c r="L22"/>
    </row>
    <row r="23" spans="1:12" s="41" customFormat="1" ht="15.6">
      <c r="A23" s="1019" t="s">
        <v>1043</v>
      </c>
      <c r="B23" s="408" t="s">
        <v>1035</v>
      </c>
      <c r="C23" s="55"/>
      <c r="D23" s="40">
        <f>'BSCD CDCS 2019 (hoan chinh)-05 '!D24</f>
        <v>23063</v>
      </c>
      <c r="E23" s="1104"/>
      <c r="F23" s="1105"/>
      <c r="G23" s="45"/>
      <c r="H23" s="286"/>
      <c r="I23" s="286"/>
      <c r="J23"/>
      <c r="K23"/>
      <c r="L23"/>
    </row>
    <row r="24" spans="1:12" s="15" customFormat="1" ht="15.6">
      <c r="A24" s="1013" t="s">
        <v>60</v>
      </c>
      <c r="B24" s="599" t="s">
        <v>825</v>
      </c>
      <c r="C24" s="14">
        <f>C25+C40+C69</f>
        <v>508969</v>
      </c>
      <c r="D24" s="14">
        <f>D25+D40+D69</f>
        <v>550581</v>
      </c>
      <c r="E24" s="31">
        <f t="shared" si="0"/>
        <v>41612</v>
      </c>
      <c r="F24" s="45">
        <f t="shared" si="1"/>
        <v>108.17574351286622</v>
      </c>
      <c r="G24" s="45"/>
      <c r="H24" s="106"/>
      <c r="I24"/>
      <c r="J24"/>
      <c r="K24"/>
      <c r="L24"/>
    </row>
    <row r="25" spans="1:12" s="33" customFormat="1" ht="15.6">
      <c r="A25" s="1018">
        <v>1</v>
      </c>
      <c r="B25" s="30" t="s">
        <v>824</v>
      </c>
      <c r="C25" s="31">
        <f>C26+C30+C34</f>
        <v>38990</v>
      </c>
      <c r="D25" s="31">
        <f>D26+D30+D34</f>
        <v>54765</v>
      </c>
      <c r="E25" s="31">
        <f t="shared" si="0"/>
        <v>15775</v>
      </c>
      <c r="F25" s="45">
        <f t="shared" si="1"/>
        <v>140.459092074891</v>
      </c>
      <c r="G25" s="45"/>
      <c r="H25"/>
      <c r="I25"/>
      <c r="J25"/>
      <c r="K25"/>
      <c r="L25"/>
    </row>
    <row r="26" spans="1:12" s="15" customFormat="1" ht="15.6">
      <c r="A26" s="1012" t="s">
        <v>200</v>
      </c>
      <c r="B26" s="16" t="s">
        <v>823</v>
      </c>
      <c r="C26" s="9">
        <v>12490</v>
      </c>
      <c r="D26" s="54">
        <f>D27+D28</f>
        <v>22365</v>
      </c>
      <c r="E26" s="9">
        <f t="shared" si="0"/>
        <v>9875</v>
      </c>
      <c r="F26" s="42">
        <f t="shared" si="1"/>
        <v>179.06325060048039</v>
      </c>
      <c r="G26" s="45"/>
      <c r="H26"/>
      <c r="I26"/>
      <c r="J26"/>
      <c r="K26"/>
      <c r="L26"/>
    </row>
    <row r="27" spans="1:12" s="598" customFormat="1" ht="15.6">
      <c r="A27" s="1012"/>
      <c r="B27" s="17" t="s">
        <v>957</v>
      </c>
      <c r="C27" s="1104">
        <v>12490</v>
      </c>
      <c r="D27" s="54">
        <v>17365</v>
      </c>
      <c r="E27" s="1104">
        <f t="shared" ref="E27:E28" si="2">D27-C27</f>
        <v>4875</v>
      </c>
      <c r="F27" s="1105">
        <f t="shared" ref="F27" si="3">D27/C27%</f>
        <v>139.03122497998399</v>
      </c>
      <c r="G27" s="45"/>
      <c r="H27"/>
      <c r="I27"/>
      <c r="J27"/>
      <c r="K27"/>
      <c r="L27"/>
    </row>
    <row r="28" spans="1:12" s="598" customFormat="1" ht="15.6">
      <c r="A28" s="1012"/>
      <c r="B28" s="17" t="s">
        <v>958</v>
      </c>
      <c r="C28" s="1104"/>
      <c r="D28" s="54">
        <v>5000</v>
      </c>
      <c r="E28" s="1104">
        <f t="shared" si="2"/>
        <v>5000</v>
      </c>
      <c r="F28" s="1105"/>
      <c r="G28" s="45"/>
      <c r="H28"/>
      <c r="I28"/>
      <c r="J28"/>
      <c r="K28"/>
      <c r="L28"/>
    </row>
    <row r="29" spans="1:12" s="598" customFormat="1" ht="15.6">
      <c r="A29" s="1012"/>
      <c r="B29" s="17"/>
      <c r="C29" s="1104"/>
      <c r="D29" s="54"/>
      <c r="E29" s="1104"/>
      <c r="F29" s="1105"/>
      <c r="G29" s="45"/>
      <c r="H29"/>
      <c r="I29"/>
      <c r="J29"/>
      <c r="K29"/>
      <c r="L29"/>
    </row>
    <row r="30" spans="1:12" s="15" customFormat="1" ht="27.6">
      <c r="A30" s="1012" t="s">
        <v>208</v>
      </c>
      <c r="B30" s="43" t="s">
        <v>822</v>
      </c>
      <c r="C30" s="9">
        <f>SUM(C31:C33)</f>
        <v>4500</v>
      </c>
      <c r="D30" s="9">
        <f>SUM(D31:D33)</f>
        <v>3600</v>
      </c>
      <c r="E30" s="9">
        <f t="shared" si="0"/>
        <v>-900</v>
      </c>
      <c r="F30" s="42">
        <f t="shared" si="1"/>
        <v>80</v>
      </c>
      <c r="G30" s="45"/>
      <c r="H30"/>
      <c r="I30"/>
      <c r="J30"/>
      <c r="K30"/>
      <c r="L30"/>
    </row>
    <row r="31" spans="1:12" s="15" customFormat="1" ht="15.6">
      <c r="A31" s="1067"/>
      <c r="B31" s="16" t="s">
        <v>4</v>
      </c>
      <c r="C31" s="9">
        <v>2000</v>
      </c>
      <c r="D31" s="9">
        <f>'so thu huyen-R-03'!V17</f>
        <v>1600</v>
      </c>
      <c r="E31" s="9">
        <f t="shared" si="0"/>
        <v>-400</v>
      </c>
      <c r="F31" s="42">
        <f t="shared" si="1"/>
        <v>80</v>
      </c>
      <c r="G31" s="45"/>
      <c r="H31"/>
      <c r="I31"/>
      <c r="J31"/>
      <c r="K31"/>
      <c r="L31"/>
    </row>
    <row r="32" spans="1:12" s="15" customFormat="1" ht="15.6">
      <c r="A32" s="1067"/>
      <c r="B32" s="17" t="s">
        <v>5</v>
      </c>
      <c r="C32" s="9">
        <v>1500</v>
      </c>
      <c r="D32" s="9">
        <f>'so thu huyen-R-03'!W17</f>
        <v>1200</v>
      </c>
      <c r="E32" s="9">
        <f t="shared" si="0"/>
        <v>-300</v>
      </c>
      <c r="F32" s="42">
        <f t="shared" si="1"/>
        <v>80</v>
      </c>
      <c r="G32" s="45"/>
      <c r="H32"/>
      <c r="I32"/>
      <c r="J32"/>
      <c r="K32"/>
      <c r="L32"/>
    </row>
    <row r="33" spans="1:12" s="15" customFormat="1" ht="15.6">
      <c r="A33" s="1067"/>
      <c r="B33" s="17" t="s">
        <v>6</v>
      </c>
      <c r="C33" s="9">
        <v>1000</v>
      </c>
      <c r="D33" s="9">
        <f>'so thu huyen-R-03'!X17</f>
        <v>800</v>
      </c>
      <c r="E33" s="9">
        <f t="shared" si="0"/>
        <v>-200</v>
      </c>
      <c r="F33" s="42">
        <f t="shared" si="1"/>
        <v>80</v>
      </c>
      <c r="G33" s="45"/>
      <c r="H33"/>
      <c r="I33"/>
      <c r="J33"/>
      <c r="K33"/>
      <c r="L33"/>
    </row>
    <row r="34" spans="1:12" s="15" customFormat="1" ht="15.6">
      <c r="A34" s="1012" t="s">
        <v>335</v>
      </c>
      <c r="B34" s="44" t="s">
        <v>821</v>
      </c>
      <c r="C34" s="9">
        <f>SUM(C35:C39)</f>
        <v>22000</v>
      </c>
      <c r="D34" s="9">
        <f>SUM(D35:D38)</f>
        <v>28800</v>
      </c>
      <c r="E34" s="9">
        <f t="shared" si="0"/>
        <v>6800</v>
      </c>
      <c r="F34" s="42">
        <f t="shared" si="1"/>
        <v>130.90909090909091</v>
      </c>
      <c r="G34" s="45"/>
      <c r="H34"/>
      <c r="I34"/>
      <c r="J34"/>
      <c r="K34"/>
      <c r="L34"/>
    </row>
    <row r="35" spans="1:12" s="15" customFormat="1" ht="31.2">
      <c r="A35" s="1013"/>
      <c r="B35" s="420" t="s">
        <v>247</v>
      </c>
      <c r="C35" s="39">
        <v>4000</v>
      </c>
      <c r="D35" s="426">
        <v>3000</v>
      </c>
      <c r="E35" s="1104">
        <f t="shared" ref="E35:E39" si="4">D35-C35</f>
        <v>-1000</v>
      </c>
      <c r="F35" s="1105">
        <f t="shared" ref="F35:F38" si="5">D35/C35%</f>
        <v>75</v>
      </c>
      <c r="G35" s="417"/>
      <c r="H35"/>
      <c r="I35"/>
      <c r="J35"/>
      <c r="K35"/>
      <c r="L35"/>
    </row>
    <row r="36" spans="1:12" s="598" customFormat="1" ht="31.2">
      <c r="A36" s="1013"/>
      <c r="B36" s="420" t="s">
        <v>863</v>
      </c>
      <c r="C36" s="39"/>
      <c r="D36" s="426"/>
      <c r="E36" s="1104">
        <f t="shared" si="4"/>
        <v>0</v>
      </c>
      <c r="F36" s="1105"/>
      <c r="G36" s="417"/>
      <c r="H36"/>
      <c r="I36"/>
      <c r="J36"/>
      <c r="K36"/>
      <c r="L36"/>
    </row>
    <row r="37" spans="1:12" s="15" customFormat="1" ht="15.6">
      <c r="A37" s="1013"/>
      <c r="B37" s="416" t="s">
        <v>248</v>
      </c>
      <c r="C37" s="39">
        <v>13000</v>
      </c>
      <c r="D37" s="426">
        <v>20800</v>
      </c>
      <c r="E37" s="1104">
        <f t="shared" si="4"/>
        <v>7800</v>
      </c>
      <c r="F37" s="1105">
        <f t="shared" si="5"/>
        <v>160</v>
      </c>
      <c r="G37" s="417"/>
      <c r="H37"/>
      <c r="I37"/>
      <c r="J37"/>
      <c r="K37"/>
      <c r="L37"/>
    </row>
    <row r="38" spans="1:12" s="15" customFormat="1" ht="31.2">
      <c r="A38" s="1013"/>
      <c r="B38" s="420" t="s">
        <v>249</v>
      </c>
      <c r="C38" s="39">
        <v>5000</v>
      </c>
      <c r="D38" s="426">
        <v>5000</v>
      </c>
      <c r="E38" s="1104">
        <f t="shared" si="4"/>
        <v>0</v>
      </c>
      <c r="F38" s="1105">
        <f t="shared" si="5"/>
        <v>100</v>
      </c>
      <c r="G38" s="417"/>
      <c r="H38"/>
      <c r="I38"/>
      <c r="J38"/>
      <c r="K38"/>
      <c r="L38"/>
    </row>
    <row r="39" spans="1:12" s="598" customFormat="1" ht="31.2">
      <c r="A39" s="1013"/>
      <c r="B39" s="420" t="s">
        <v>852</v>
      </c>
      <c r="C39" s="39"/>
      <c r="D39" s="426"/>
      <c r="E39" s="1104">
        <f t="shared" si="4"/>
        <v>0</v>
      </c>
      <c r="F39" s="1105"/>
      <c r="G39" s="417"/>
      <c r="H39"/>
      <c r="I39"/>
      <c r="J39"/>
      <c r="K39"/>
      <c r="L39"/>
    </row>
    <row r="40" spans="1:12" s="33" customFormat="1" ht="15.6">
      <c r="A40" s="1018">
        <v>2</v>
      </c>
      <c r="B40" s="30" t="s">
        <v>830</v>
      </c>
      <c r="C40" s="1102">
        <f>C41+C44+C45+C46</f>
        <v>459516</v>
      </c>
      <c r="D40" s="1102">
        <f>D41+D44+D45+D46</f>
        <v>484020</v>
      </c>
      <c r="E40" s="31">
        <f t="shared" ref="E40:E68" si="6">D40-C40</f>
        <v>24504</v>
      </c>
      <c r="F40" s="45">
        <f>D40/C40%</f>
        <v>105.33256730995221</v>
      </c>
      <c r="G40" s="45"/>
      <c r="H40"/>
      <c r="I40"/>
      <c r="J40"/>
      <c r="K40"/>
      <c r="L40"/>
    </row>
    <row r="41" spans="1:12" s="4" customFormat="1" ht="15.6">
      <c r="A41" s="1012" t="s">
        <v>351</v>
      </c>
      <c r="B41" s="16" t="s">
        <v>820</v>
      </c>
      <c r="C41" s="9">
        <v>283462</v>
      </c>
      <c r="D41" s="94">
        <f>C41+13208</f>
        <v>296670</v>
      </c>
      <c r="E41" s="9">
        <f t="shared" si="6"/>
        <v>13208</v>
      </c>
      <c r="F41" s="42">
        <f>D41/C41%</f>
        <v>104.65953108353148</v>
      </c>
      <c r="G41" s="1097" t="s">
        <v>853</v>
      </c>
      <c r="H41">
        <f>I14*50%</f>
        <v>112.5</v>
      </c>
      <c r="I41"/>
      <c r="J41"/>
      <c r="K41"/>
      <c r="L41"/>
    </row>
    <row r="42" spans="1:12" s="4" customFormat="1" ht="15.6">
      <c r="A42" s="1019"/>
      <c r="B42" s="487" t="s">
        <v>809</v>
      </c>
      <c r="C42" s="9">
        <f>275884+3000</f>
        <v>278884</v>
      </c>
      <c r="D42" s="94">
        <f>D41-D43</f>
        <v>291142</v>
      </c>
      <c r="E42" s="1099">
        <f t="shared" si="6"/>
        <v>12258</v>
      </c>
      <c r="F42" s="42"/>
      <c r="G42" s="1097" t="s">
        <v>853</v>
      </c>
      <c r="H42"/>
      <c r="I42"/>
      <c r="J42"/>
      <c r="K42"/>
      <c r="L42"/>
    </row>
    <row r="43" spans="1:12" s="4" customFormat="1" ht="15.6">
      <c r="A43" s="1019"/>
      <c r="B43" s="487" t="s">
        <v>810</v>
      </c>
      <c r="C43" s="9">
        <f>7578-3000</f>
        <v>4578</v>
      </c>
      <c r="D43" s="1100">
        <f>8528-3000</f>
        <v>5528</v>
      </c>
      <c r="E43" s="9">
        <f t="shared" si="6"/>
        <v>950</v>
      </c>
      <c r="F43" s="42"/>
      <c r="G43" s="1097" t="s">
        <v>853</v>
      </c>
      <c r="H43" s="106"/>
      <c r="I43"/>
      <c r="J43"/>
      <c r="K43"/>
      <c r="L43"/>
    </row>
    <row r="44" spans="1:12" s="4" customFormat="1" ht="15.6">
      <c r="A44" s="1012" t="s">
        <v>357</v>
      </c>
      <c r="B44" s="16" t="s">
        <v>805</v>
      </c>
      <c r="C44" s="9">
        <v>180</v>
      </c>
      <c r="D44" s="94">
        <v>180</v>
      </c>
      <c r="E44" s="9">
        <f t="shared" si="6"/>
        <v>0</v>
      </c>
      <c r="F44" s="42">
        <f t="shared" ref="F44:F52" si="7">D44/C44%</f>
        <v>100</v>
      </c>
      <c r="G44" s="45"/>
      <c r="H44" s="106"/>
      <c r="I44"/>
      <c r="J44"/>
      <c r="K44"/>
      <c r="L44"/>
    </row>
    <row r="45" spans="1:12" s="4" customFormat="1" ht="15.6">
      <c r="A45" s="1012" t="s">
        <v>815</v>
      </c>
      <c r="B45" s="91" t="s">
        <v>804</v>
      </c>
      <c r="C45" s="9">
        <v>1892</v>
      </c>
      <c r="D45" s="94">
        <v>1892</v>
      </c>
      <c r="E45" s="9">
        <f t="shared" si="6"/>
        <v>0</v>
      </c>
      <c r="F45" s="42">
        <f t="shared" si="7"/>
        <v>99.999999999999986</v>
      </c>
      <c r="G45" s="45"/>
      <c r="H45"/>
      <c r="I45"/>
      <c r="J45"/>
      <c r="K45"/>
      <c r="L45"/>
    </row>
    <row r="46" spans="1:12" s="4" customFormat="1" ht="15.6">
      <c r="A46" s="1019" t="s">
        <v>816</v>
      </c>
      <c r="B46" s="1255" t="s">
        <v>869</v>
      </c>
      <c r="C46" s="1047">
        <f>C8-C25-C41-C44-C45-C69-C70</f>
        <v>173982</v>
      </c>
      <c r="D46" s="1047">
        <f>D8-D25-D41-D44-D45-D69-D70</f>
        <v>185278</v>
      </c>
      <c r="E46" s="1041">
        <f t="shared" si="6"/>
        <v>11296</v>
      </c>
      <c r="F46" s="1043">
        <f t="shared" si="7"/>
        <v>106.4926256739203</v>
      </c>
      <c r="G46" s="45"/>
      <c r="H46" s="60">
        <f>D8-D25-D41-D44-D45-D69-D70</f>
        <v>185278</v>
      </c>
      <c r="I46"/>
      <c r="J46"/>
      <c r="K46"/>
      <c r="L46"/>
    </row>
    <row r="47" spans="1:12" s="20" customFormat="1" ht="31.2">
      <c r="A47" s="1016"/>
      <c r="B47" s="1170" t="s">
        <v>8</v>
      </c>
      <c r="C47" s="11">
        <v>500</v>
      </c>
      <c r="D47" s="62">
        <f>'so thu huyen-R-03'!Y17</f>
        <v>400</v>
      </c>
      <c r="E47" s="9">
        <f t="shared" si="6"/>
        <v>-100</v>
      </c>
      <c r="F47" s="42">
        <f t="shared" si="7"/>
        <v>80</v>
      </c>
      <c r="G47" s="45"/>
      <c r="H47"/>
      <c r="I47"/>
      <c r="J47"/>
      <c r="K47"/>
      <c r="L47"/>
    </row>
    <row r="48" spans="1:12" s="20" customFormat="1" ht="15.6">
      <c r="A48" s="1178" t="s">
        <v>870</v>
      </c>
      <c r="B48" s="1179" t="s">
        <v>269</v>
      </c>
      <c r="C48" s="56">
        <f>933+93</f>
        <v>1026</v>
      </c>
      <c r="D48" s="56">
        <f>933+93</f>
        <v>1026</v>
      </c>
      <c r="E48" s="1181">
        <f t="shared" si="6"/>
        <v>0</v>
      </c>
      <c r="F48" s="1105">
        <f t="shared" si="7"/>
        <v>100</v>
      </c>
      <c r="G48" s="45"/>
      <c r="H48"/>
      <c r="I48"/>
      <c r="J48"/>
      <c r="K48"/>
      <c r="L48"/>
    </row>
    <row r="49" spans="1:12" s="20" customFormat="1" ht="15.6">
      <c r="A49" s="1178" t="s">
        <v>871</v>
      </c>
      <c r="B49" s="1179" t="s">
        <v>270</v>
      </c>
      <c r="C49" s="56">
        <f>754+75</f>
        <v>829</v>
      </c>
      <c r="D49" s="56">
        <f>754+75</f>
        <v>829</v>
      </c>
      <c r="E49" s="54">
        <f t="shared" si="6"/>
        <v>0</v>
      </c>
      <c r="F49" s="1105">
        <f t="shared" si="7"/>
        <v>100.00000000000001</v>
      </c>
      <c r="G49" s="1093" t="s">
        <v>857</v>
      </c>
      <c r="H49" s="1304">
        <f>C48+C49+C50+C51+C52+C60+C66+C67+C68</f>
        <v>173982.323</v>
      </c>
      <c r="I49" s="1304">
        <f>D48+D49+D50+D51+D52+D60+D66+D67+D68</f>
        <v>185278.30358000001</v>
      </c>
      <c r="J49"/>
      <c r="K49"/>
      <c r="L49"/>
    </row>
    <row r="50" spans="1:12" s="20" customFormat="1" ht="15.6">
      <c r="A50" s="1178" t="s">
        <v>872</v>
      </c>
      <c r="B50" s="1179" t="s">
        <v>807</v>
      </c>
      <c r="C50" s="56">
        <f>2847.994+285</f>
        <v>3132.9940000000001</v>
      </c>
      <c r="D50" s="426">
        <f>C50*107%</f>
        <v>3352.3035800000002</v>
      </c>
      <c r="E50" s="54">
        <f t="shared" si="6"/>
        <v>219.3095800000001</v>
      </c>
      <c r="F50" s="1105">
        <f t="shared" si="7"/>
        <v>107</v>
      </c>
      <c r="G50" s="45"/>
      <c r="H50" s="106">
        <f>C46-H49</f>
        <v>-0.32300000000395812</v>
      </c>
      <c r="I50" s="1101">
        <f>D46-I49</f>
        <v>-0.30358000000705943</v>
      </c>
      <c r="J50"/>
      <c r="K50"/>
      <c r="L50"/>
    </row>
    <row r="51" spans="1:12" s="20" customFormat="1" ht="15.6">
      <c r="A51" s="1178" t="s">
        <v>873</v>
      </c>
      <c r="B51" s="1179" t="s">
        <v>808</v>
      </c>
      <c r="C51" s="56">
        <v>744.32899999999995</v>
      </c>
      <c r="D51" s="426">
        <v>791</v>
      </c>
      <c r="E51" s="54">
        <f t="shared" si="6"/>
        <v>46.671000000000049</v>
      </c>
      <c r="F51" s="1105">
        <f t="shared" si="7"/>
        <v>106.27021115662565</v>
      </c>
      <c r="G51" s="45"/>
      <c r="H51"/>
      <c r="I51"/>
      <c r="J51"/>
      <c r="K51"/>
      <c r="L51"/>
    </row>
    <row r="52" spans="1:12" s="20" customFormat="1" ht="15.6">
      <c r="A52" s="1178" t="s">
        <v>874</v>
      </c>
      <c r="B52" s="1179" t="s">
        <v>276</v>
      </c>
      <c r="C52" s="56">
        <f>C54+C55+C56+C58+C59</f>
        <v>33953</v>
      </c>
      <c r="D52" s="56">
        <f>D54+D55+D56+D58+D59</f>
        <v>33853</v>
      </c>
      <c r="E52" s="54">
        <f t="shared" si="6"/>
        <v>-100</v>
      </c>
      <c r="F52" s="1105">
        <f t="shared" si="7"/>
        <v>99.705475215739412</v>
      </c>
      <c r="G52" s="1097" t="s">
        <v>854</v>
      </c>
      <c r="H52"/>
      <c r="I52"/>
      <c r="J52"/>
      <c r="K52"/>
      <c r="L52"/>
    </row>
    <row r="53" spans="1:12" s="20" customFormat="1" ht="15.6">
      <c r="A53" s="1178"/>
      <c r="B53" s="1190" t="s">
        <v>297</v>
      </c>
      <c r="C53" s="56"/>
      <c r="D53" s="56"/>
      <c r="E53" s="1181">
        <f t="shared" si="6"/>
        <v>0</v>
      </c>
      <c r="F53" s="1105"/>
      <c r="G53" s="45"/>
      <c r="H53"/>
      <c r="I53"/>
      <c r="J53"/>
      <c r="K53"/>
      <c r="L53"/>
    </row>
    <row r="54" spans="1:12" s="20" customFormat="1" ht="15.6">
      <c r="A54" s="1178"/>
      <c r="B54" s="1190" t="s">
        <v>298</v>
      </c>
      <c r="C54" s="56">
        <v>13146</v>
      </c>
      <c r="D54" s="56">
        <v>13146</v>
      </c>
      <c r="E54" s="1181">
        <f t="shared" si="6"/>
        <v>0</v>
      </c>
      <c r="F54" s="1105">
        <f>D54/C54%</f>
        <v>100</v>
      </c>
      <c r="G54" s="45"/>
      <c r="H54"/>
      <c r="I54"/>
      <c r="J54"/>
      <c r="K54"/>
      <c r="L54"/>
    </row>
    <row r="55" spans="1:12" s="20" customFormat="1" ht="15.6">
      <c r="A55" s="1178"/>
      <c r="B55" s="1190" t="s">
        <v>299</v>
      </c>
      <c r="C55" s="56">
        <v>5258</v>
      </c>
      <c r="D55" s="56">
        <v>5258</v>
      </c>
      <c r="E55" s="1181">
        <f t="shared" si="6"/>
        <v>0</v>
      </c>
      <c r="F55" s="1105">
        <f>D55/C55%</f>
        <v>100</v>
      </c>
      <c r="G55" s="45"/>
      <c r="H55"/>
      <c r="I55"/>
      <c r="J55"/>
      <c r="K55"/>
      <c r="L55"/>
    </row>
    <row r="56" spans="1:12" s="20" customFormat="1" ht="15.6">
      <c r="A56" s="1178"/>
      <c r="B56" s="1190" t="s">
        <v>300</v>
      </c>
      <c r="C56" s="56">
        <v>1500</v>
      </c>
      <c r="D56" s="56">
        <v>1500</v>
      </c>
      <c r="E56" s="1181">
        <f t="shared" si="6"/>
        <v>0</v>
      </c>
      <c r="F56" s="1105">
        <f>D56/C56%</f>
        <v>100</v>
      </c>
      <c r="G56" s="45"/>
      <c r="H56"/>
      <c r="I56"/>
      <c r="J56"/>
      <c r="K56"/>
      <c r="L56"/>
    </row>
    <row r="57" spans="1:12" s="20" customFormat="1" ht="15.6">
      <c r="A57" s="1178"/>
      <c r="B57" s="1190" t="s">
        <v>301</v>
      </c>
      <c r="C57" s="56"/>
      <c r="D57" s="56"/>
      <c r="E57" s="1181">
        <f t="shared" si="6"/>
        <v>0</v>
      </c>
      <c r="F57" s="1105"/>
      <c r="G57" s="45"/>
      <c r="H57"/>
      <c r="I57"/>
      <c r="J57"/>
      <c r="K57"/>
      <c r="L57"/>
    </row>
    <row r="58" spans="1:12" s="20" customFormat="1" ht="31.2">
      <c r="A58" s="1178"/>
      <c r="B58" s="1190" t="s">
        <v>303</v>
      </c>
      <c r="C58" s="56">
        <v>500</v>
      </c>
      <c r="D58" s="56">
        <f>D47</f>
        <v>400</v>
      </c>
      <c r="E58" s="54">
        <f t="shared" si="6"/>
        <v>-100</v>
      </c>
      <c r="F58" s="1105">
        <f>D58/C58%</f>
        <v>80</v>
      </c>
      <c r="G58" s="1097" t="s">
        <v>854</v>
      </c>
      <c r="H58"/>
      <c r="I58"/>
      <c r="J58"/>
      <c r="K58"/>
      <c r="L58"/>
    </row>
    <row r="59" spans="1:12" s="20" customFormat="1" ht="15.6">
      <c r="A59" s="1178"/>
      <c r="B59" s="1190" t="s">
        <v>304</v>
      </c>
      <c r="C59" s="56">
        <f>12893+656</f>
        <v>13549</v>
      </c>
      <c r="D59" s="56">
        <f>12893+656</f>
        <v>13549</v>
      </c>
      <c r="E59" s="1181">
        <f t="shared" si="6"/>
        <v>0</v>
      </c>
      <c r="F59" s="1105">
        <f>D59/C59%</f>
        <v>100</v>
      </c>
      <c r="G59" s="45"/>
      <c r="H59"/>
      <c r="I59"/>
      <c r="J59"/>
      <c r="K59"/>
      <c r="L59"/>
    </row>
    <row r="60" spans="1:12" s="20" customFormat="1" ht="15.6">
      <c r="A60" s="1178" t="s">
        <v>875</v>
      </c>
      <c r="B60" s="1179" t="s">
        <v>278</v>
      </c>
      <c r="C60" s="56">
        <f>C62+C63+C64+C65</f>
        <v>30481</v>
      </c>
      <c r="D60" s="56">
        <f>D62+D63+D64+D65</f>
        <v>30481</v>
      </c>
      <c r="E60" s="1181">
        <f t="shared" si="6"/>
        <v>0</v>
      </c>
      <c r="F60" s="1105">
        <f>D60/C60%</f>
        <v>100</v>
      </c>
      <c r="G60" s="45"/>
      <c r="H60"/>
      <c r="I60"/>
      <c r="J60"/>
      <c r="K60"/>
      <c r="L60"/>
    </row>
    <row r="61" spans="1:12" s="20" customFormat="1" ht="15.6">
      <c r="A61" s="1194"/>
      <c r="B61" s="1179" t="s">
        <v>290</v>
      </c>
      <c r="C61" s="56"/>
      <c r="D61" s="426"/>
      <c r="E61" s="1181">
        <f t="shared" si="6"/>
        <v>0</v>
      </c>
      <c r="F61" s="1105"/>
      <c r="G61" s="45"/>
      <c r="H61"/>
      <c r="I61"/>
      <c r="J61"/>
      <c r="K61"/>
      <c r="L61"/>
    </row>
    <row r="62" spans="1:12" s="20" customFormat="1" ht="15.6">
      <c r="A62" s="1194"/>
      <c r="B62" s="1195" t="s">
        <v>305</v>
      </c>
      <c r="C62" s="56">
        <v>3181</v>
      </c>
      <c r="D62" s="56">
        <v>3181</v>
      </c>
      <c r="E62" s="1181">
        <f t="shared" si="6"/>
        <v>0</v>
      </c>
      <c r="F62" s="1105">
        <f t="shared" ref="F62:F68" si="8">D62/C62%</f>
        <v>100</v>
      </c>
      <c r="G62" s="45"/>
      <c r="H62"/>
      <c r="I62"/>
      <c r="J62"/>
      <c r="K62"/>
      <c r="L62"/>
    </row>
    <row r="63" spans="1:12" s="20" customFormat="1" ht="16.2">
      <c r="A63" s="1196"/>
      <c r="B63" s="1195" t="s">
        <v>306</v>
      </c>
      <c r="C63" s="56">
        <v>1547</v>
      </c>
      <c r="D63" s="56">
        <v>1547</v>
      </c>
      <c r="E63" s="1181">
        <f t="shared" si="6"/>
        <v>0</v>
      </c>
      <c r="F63" s="1105">
        <f t="shared" si="8"/>
        <v>100</v>
      </c>
      <c r="G63" s="45"/>
      <c r="H63"/>
      <c r="I63"/>
      <c r="J63"/>
      <c r="K63"/>
      <c r="L63"/>
    </row>
    <row r="64" spans="1:12" s="20" customFormat="1" ht="16.2">
      <c r="A64" s="1196"/>
      <c r="B64" s="1190" t="s">
        <v>307</v>
      </c>
      <c r="C64" s="56">
        <v>25255</v>
      </c>
      <c r="D64" s="56">
        <f>25255+498</f>
        <v>25753</v>
      </c>
      <c r="E64" s="54">
        <f t="shared" si="6"/>
        <v>498</v>
      </c>
      <c r="F64" s="1105">
        <f t="shared" si="8"/>
        <v>101.971886755098</v>
      </c>
      <c r="G64" s="1094" t="s">
        <v>855</v>
      </c>
      <c r="H64"/>
      <c r="I64"/>
      <c r="J64"/>
      <c r="K64"/>
      <c r="L64"/>
    </row>
    <row r="65" spans="1:12" s="20" customFormat="1" ht="16.2">
      <c r="A65" s="1196"/>
      <c r="B65" s="1190" t="s">
        <v>308</v>
      </c>
      <c r="C65" s="56">
        <v>498</v>
      </c>
      <c r="D65" s="56"/>
      <c r="E65" s="54">
        <f t="shared" si="6"/>
        <v>-498</v>
      </c>
      <c r="F65" s="1105">
        <f t="shared" si="8"/>
        <v>0</v>
      </c>
      <c r="G65" s="45"/>
      <c r="H65"/>
      <c r="I65"/>
      <c r="J65"/>
      <c r="K65"/>
      <c r="L65"/>
    </row>
    <row r="66" spans="1:12" s="20" customFormat="1" ht="82.8">
      <c r="A66" s="1178" t="s">
        <v>876</v>
      </c>
      <c r="B66" s="1179" t="s">
        <v>277</v>
      </c>
      <c r="C66" s="56">
        <f>27941+69258-3742+7273-656</f>
        <v>100074</v>
      </c>
      <c r="D66" s="426">
        <f>C66+1071+3635+748+336+5144+3+656</f>
        <v>111667</v>
      </c>
      <c r="E66" s="54">
        <f t="shared" si="6"/>
        <v>11593</v>
      </c>
      <c r="F66" s="1105">
        <f t="shared" si="8"/>
        <v>111.58442752363251</v>
      </c>
      <c r="G66" s="1095" t="s">
        <v>867</v>
      </c>
      <c r="H66"/>
      <c r="I66"/>
      <c r="J66"/>
      <c r="K66"/>
      <c r="L66"/>
    </row>
    <row r="67" spans="1:12" s="20" customFormat="1" ht="15.6">
      <c r="A67" s="1178" t="s">
        <v>877</v>
      </c>
      <c r="B67" s="1179" t="s">
        <v>720</v>
      </c>
      <c r="C67" s="56">
        <f>3742</f>
        <v>3742</v>
      </c>
      <c r="D67" s="56">
        <f>3742-101-124+247-485</f>
        <v>3279</v>
      </c>
      <c r="E67" s="54">
        <f t="shared" si="6"/>
        <v>-463</v>
      </c>
      <c r="F67" s="1105">
        <f t="shared" si="8"/>
        <v>87.626937466595393</v>
      </c>
      <c r="G67" s="45"/>
      <c r="H67"/>
      <c r="I67"/>
      <c r="J67"/>
      <c r="K67"/>
      <c r="L67"/>
    </row>
    <row r="68" spans="1:12" s="20" customFormat="1" ht="15.6">
      <c r="A68" s="1178" t="s">
        <v>878</v>
      </c>
      <c r="B68" s="507" t="s">
        <v>819</v>
      </c>
      <c r="C68" s="56"/>
      <c r="D68" s="426"/>
      <c r="E68" s="54">
        <f t="shared" si="6"/>
        <v>0</v>
      </c>
      <c r="F68" s="1105" t="e">
        <f t="shared" si="8"/>
        <v>#DIV/0!</v>
      </c>
      <c r="G68" s="45"/>
      <c r="H68"/>
      <c r="I68"/>
      <c r="J68"/>
      <c r="K68"/>
      <c r="L68"/>
    </row>
    <row r="69" spans="1:12" s="33" customFormat="1" ht="15.6">
      <c r="A69" s="1018">
        <v>3</v>
      </c>
      <c r="B69" s="30" t="s">
        <v>320</v>
      </c>
      <c r="C69" s="31">
        <v>10463</v>
      </c>
      <c r="D69" s="95">
        <f>ROUND((D8)*2.01%,0)</f>
        <v>11796</v>
      </c>
      <c r="E69" s="144">
        <f t="shared" ref="E69:E72" si="9">D69-C69</f>
        <v>1333</v>
      </c>
      <c r="F69" s="45">
        <f t="shared" ref="F69:F72" si="10">D69/C69%</f>
        <v>112.74013189333843</v>
      </c>
      <c r="G69" s="45"/>
      <c r="H69">
        <f>(D8)*2.01%</f>
        <v>11795.825699999998</v>
      </c>
      <c r="I69"/>
      <c r="J69"/>
      <c r="K69"/>
      <c r="L69"/>
    </row>
    <row r="70" spans="1:12" s="33" customFormat="1" ht="15.6">
      <c r="A70" s="1018" t="s">
        <v>315</v>
      </c>
      <c r="B70" s="143" t="s">
        <v>818</v>
      </c>
      <c r="C70" s="144">
        <v>11607</v>
      </c>
      <c r="D70" s="145">
        <f>D17</f>
        <v>36276</v>
      </c>
      <c r="E70" s="144">
        <f t="shared" si="9"/>
        <v>24669</v>
      </c>
      <c r="F70" s="45">
        <f t="shared" si="10"/>
        <v>312.53553889894033</v>
      </c>
      <c r="G70" s="45"/>
      <c r="H70"/>
      <c r="I70"/>
      <c r="J70"/>
      <c r="K70"/>
      <c r="L70"/>
    </row>
    <row r="71" spans="1:12" s="33" customFormat="1" ht="15.6">
      <c r="A71" s="1021"/>
      <c r="B71" s="53" t="s">
        <v>15</v>
      </c>
      <c r="C71" s="31">
        <f>C24+C70</f>
        <v>520576</v>
      </c>
      <c r="D71" s="64">
        <f>D24+D70</f>
        <v>586857</v>
      </c>
      <c r="E71" s="144">
        <f t="shared" si="9"/>
        <v>66281</v>
      </c>
      <c r="F71" s="45">
        <f t="shared" si="10"/>
        <v>112.73224274649618</v>
      </c>
      <c r="G71" s="45"/>
      <c r="H71"/>
      <c r="I71"/>
      <c r="J71"/>
      <c r="K71"/>
      <c r="L71"/>
    </row>
    <row r="72" spans="1:12" s="15" customFormat="1" ht="15.6">
      <c r="A72" s="1036"/>
      <c r="B72" s="1037" t="s">
        <v>11</v>
      </c>
      <c r="C72" s="1038">
        <v>7726</v>
      </c>
      <c r="D72" s="1039">
        <f>C72+I14*10%</f>
        <v>7748.5</v>
      </c>
      <c r="E72" s="144">
        <f t="shared" si="9"/>
        <v>22.5</v>
      </c>
      <c r="F72" s="45">
        <f t="shared" si="10"/>
        <v>100.29122443696608</v>
      </c>
      <c r="G72" s="1040"/>
      <c r="H72"/>
      <c r="I72"/>
      <c r="J72"/>
      <c r="K72"/>
      <c r="L72"/>
    </row>
    <row r="73" spans="1:12" ht="14.4">
      <c r="D73" s="1101">
        <f>D71-D8</f>
        <v>0</v>
      </c>
      <c r="E73"/>
      <c r="F73"/>
      <c r="G73"/>
    </row>
    <row r="74" spans="1:12" s="24" customFormat="1" ht="15.6">
      <c r="B74" s="3159"/>
      <c r="C74" s="3159"/>
      <c r="D74" s="1101">
        <f>D67-225</f>
        <v>3054</v>
      </c>
      <c r="E74"/>
      <c r="F74"/>
      <c r="G74"/>
      <c r="J74" s="25"/>
    </row>
    <row r="75" spans="1:12" s="24" customFormat="1" ht="15.6">
      <c r="B75" s="288"/>
      <c r="D75"/>
      <c r="E75"/>
      <c r="F75"/>
      <c r="G75"/>
      <c r="I75" s="3126"/>
      <c r="J75" s="3126"/>
      <c r="K75" s="3126"/>
    </row>
    <row r="76" spans="1:12" s="24" customFormat="1" ht="15.6">
      <c r="D76"/>
      <c r="E76"/>
      <c r="F76"/>
      <c r="G76"/>
      <c r="I76" s="58"/>
      <c r="J76" s="58"/>
      <c r="K76" s="58"/>
    </row>
    <row r="77" spans="1:12" s="24" customFormat="1" ht="15.6">
      <c r="D77"/>
      <c r="E77"/>
      <c r="F77"/>
      <c r="G77"/>
      <c r="I77" s="58"/>
      <c r="J77" s="58"/>
      <c r="K77" s="58"/>
    </row>
    <row r="78" spans="1:12" s="24" customFormat="1" ht="15.6">
      <c r="D78"/>
      <c r="E78"/>
      <c r="F78"/>
      <c r="G78"/>
      <c r="J78" s="25"/>
    </row>
    <row r="79" spans="1:12" s="26" customFormat="1" ht="15.6">
      <c r="D79" s="1101"/>
      <c r="E79" s="1101"/>
      <c r="F79"/>
      <c r="G79"/>
      <c r="J79" s="27"/>
    </row>
    <row r="80" spans="1:12" s="28" customFormat="1" ht="15.6">
      <c r="B80" s="3127"/>
      <c r="C80" s="3127"/>
      <c r="D80"/>
      <c r="E80"/>
      <c r="F80"/>
      <c r="G80"/>
      <c r="I80" s="3128"/>
      <c r="J80" s="3128"/>
      <c r="K80" s="3128"/>
    </row>
    <row r="81" spans="4:7" ht="14.4">
      <c r="D81"/>
      <c r="E81"/>
      <c r="F81"/>
      <c r="G81"/>
    </row>
    <row r="82" spans="4:7" ht="14.4">
      <c r="D82"/>
      <c r="E82"/>
      <c r="F82"/>
      <c r="G82"/>
    </row>
  </sheetData>
  <mergeCells count="13">
    <mergeCell ref="B1:F1"/>
    <mergeCell ref="B2:F2"/>
    <mergeCell ref="E4:F4"/>
    <mergeCell ref="B5:B6"/>
    <mergeCell ref="D5:D6"/>
    <mergeCell ref="E5:F5"/>
    <mergeCell ref="C5:C6"/>
    <mergeCell ref="A5:A6"/>
    <mergeCell ref="B74:C74"/>
    <mergeCell ref="I75:K75"/>
    <mergeCell ref="B80:C80"/>
    <mergeCell ref="I80:K80"/>
    <mergeCell ref="G5:G6"/>
  </mergeCells>
  <pageMargins left="0.6692913385826772" right="0.23622047244094491" top="0.31496062992125984" bottom="0.35433070866141736" header="0.31496062992125984" footer="0.31496062992125984"/>
  <pageSetup paperSize="9" scale="7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6"/>
  <sheetViews>
    <sheetView topLeftCell="A37" zoomScale="92" zoomScaleNormal="92" workbookViewId="0">
      <selection activeCell="B140" sqref="B140"/>
    </sheetView>
  </sheetViews>
  <sheetFormatPr defaultColWidth="16.5546875" defaultRowHeight="13.8"/>
  <cols>
    <col min="1" max="1" width="8.44140625" style="2" customWidth="1"/>
    <col min="2" max="2" width="50" style="2" customWidth="1"/>
    <col min="3" max="3" width="14.33203125" style="29" customWidth="1"/>
    <col min="4" max="4" width="15.88671875" style="2" customWidth="1"/>
    <col min="5" max="5" width="10.44140625" style="51" customWidth="1"/>
    <col min="6" max="6" width="10.109375" style="2" customWidth="1"/>
    <col min="7" max="7" width="19.44140625" style="2" customWidth="1"/>
    <col min="8" max="8" width="18.109375" style="2" customWidth="1"/>
    <col min="9" max="9" width="16.5546875" style="2" customWidth="1"/>
    <col min="10" max="10" width="11.88671875" style="2" customWidth="1"/>
    <col min="11" max="11" width="10.33203125" style="2" customWidth="1"/>
    <col min="12" max="12" width="16.5546875" style="2" customWidth="1"/>
    <col min="13" max="16384" width="16.5546875" style="2"/>
  </cols>
  <sheetData>
    <row r="1" spans="1:12" ht="17.399999999999999">
      <c r="B1" s="3097" t="s">
        <v>16</v>
      </c>
      <c r="C1" s="3097"/>
      <c r="D1" s="3097"/>
      <c r="E1" s="3097"/>
      <c r="F1" s="3097"/>
      <c r="G1" s="605"/>
    </row>
    <row r="2" spans="1:12" s="3" customFormat="1" ht="17.399999999999999">
      <c r="B2" s="3153" t="s">
        <v>23</v>
      </c>
      <c r="C2" s="3153"/>
      <c r="D2" s="3153"/>
      <c r="E2" s="3153"/>
      <c r="F2" s="3153"/>
      <c r="G2" s="606"/>
    </row>
    <row r="3" spans="1:12" s="3" customFormat="1" ht="17.399999999999999">
      <c r="B3" s="400"/>
      <c r="C3" s="400"/>
      <c r="D3" s="400"/>
      <c r="E3" s="400"/>
      <c r="F3" s="400"/>
      <c r="G3" s="606"/>
    </row>
    <row r="4" spans="1:12" s="4" customFormat="1">
      <c r="C4" s="5"/>
      <c r="D4" s="6"/>
      <c r="E4" s="3154" t="s">
        <v>27</v>
      </c>
      <c r="F4" s="3154"/>
      <c r="G4" s="1010"/>
    </row>
    <row r="5" spans="1:12" s="1" customFormat="1" ht="34.200000000000003" customHeight="1">
      <c r="A5" s="3157" t="s">
        <v>49</v>
      </c>
      <c r="B5" s="3164" t="s">
        <v>0</v>
      </c>
      <c r="C5" s="3134" t="s">
        <v>879</v>
      </c>
      <c r="D5" s="3167" t="s">
        <v>17</v>
      </c>
      <c r="E5" s="3166" t="s">
        <v>26</v>
      </c>
      <c r="F5" s="3157"/>
      <c r="G5" s="3160" t="s">
        <v>811</v>
      </c>
    </row>
    <row r="6" spans="1:12" s="1" customFormat="1" ht="25.5" customHeight="1">
      <c r="A6" s="3158"/>
      <c r="B6" s="3165"/>
      <c r="C6" s="3135"/>
      <c r="D6" s="3168"/>
      <c r="E6" s="85" t="s">
        <v>1</v>
      </c>
      <c r="F6" s="86" t="s">
        <v>2</v>
      </c>
      <c r="G6" s="3161"/>
      <c r="H6"/>
      <c r="I6"/>
      <c r="J6"/>
      <c r="K6"/>
      <c r="L6"/>
    </row>
    <row r="7" spans="1:12" s="7" customFormat="1" ht="15.6">
      <c r="A7" s="1012"/>
      <c r="B7" s="1129">
        <v>1</v>
      </c>
      <c r="C7" s="1130">
        <v>2</v>
      </c>
      <c r="D7" s="1131">
        <v>3</v>
      </c>
      <c r="E7" s="1132" t="s">
        <v>882</v>
      </c>
      <c r="F7" s="1199" t="s">
        <v>883</v>
      </c>
      <c r="G7" s="88"/>
      <c r="H7"/>
      <c r="I7"/>
      <c r="J7"/>
      <c r="K7"/>
      <c r="L7"/>
    </row>
    <row r="8" spans="1:12" s="8" customFormat="1" ht="15.6">
      <c r="A8" s="1013" t="s">
        <v>54</v>
      </c>
      <c r="B8" s="1014" t="s">
        <v>812</v>
      </c>
      <c r="C8" s="14">
        <f>C9+C11+C17</f>
        <v>368825</v>
      </c>
      <c r="D8" s="14">
        <f>D9+D11+D17</f>
        <v>440312</v>
      </c>
      <c r="E8" s="14">
        <f t="shared" ref="E8:E34" si="0">D8-C8</f>
        <v>71487</v>
      </c>
      <c r="F8" s="45">
        <f t="shared" ref="F8:F13" si="1">D8/C8%</f>
        <v>119.38236290923879</v>
      </c>
      <c r="G8" s="45"/>
      <c r="H8"/>
      <c r="I8"/>
      <c r="J8"/>
      <c r="K8"/>
      <c r="L8"/>
    </row>
    <row r="9" spans="1:12" s="35" customFormat="1" ht="15.6">
      <c r="A9" s="1015">
        <v>1</v>
      </c>
      <c r="B9" s="34" t="s">
        <v>813</v>
      </c>
      <c r="C9" s="32">
        <f>'so thu huyen-R-03'!D16</f>
        <v>27000</v>
      </c>
      <c r="D9" s="32">
        <f>'so thu huyen-R-03'!I16</f>
        <v>30400</v>
      </c>
      <c r="E9" s="31">
        <f t="shared" si="0"/>
        <v>3400</v>
      </c>
      <c r="F9" s="45">
        <f t="shared" si="1"/>
        <v>112.5925925925926</v>
      </c>
      <c r="G9" s="45"/>
      <c r="H9"/>
      <c r="I9"/>
      <c r="J9"/>
      <c r="K9"/>
      <c r="L9"/>
    </row>
    <row r="10" spans="1:12" s="35" customFormat="1" ht="28.8">
      <c r="A10" s="1015"/>
      <c r="B10" s="138" t="s">
        <v>109</v>
      </c>
      <c r="C10" s="32">
        <f>C9-'so thu huyen-R-03'!F16</f>
        <v>26000</v>
      </c>
      <c r="D10" s="139">
        <f>D9-'so thu huyen-R-03'!K16</f>
        <v>27900</v>
      </c>
      <c r="E10" s="31">
        <f t="shared" si="0"/>
        <v>1900</v>
      </c>
      <c r="F10" s="45">
        <f t="shared" si="1"/>
        <v>107.30769230769231</v>
      </c>
      <c r="G10" s="45"/>
      <c r="H10"/>
      <c r="I10"/>
      <c r="J10"/>
      <c r="K10"/>
      <c r="L10"/>
    </row>
    <row r="11" spans="1:12" s="35" customFormat="1" ht="15.6">
      <c r="A11" s="1015">
        <v>2</v>
      </c>
      <c r="B11" s="34" t="s">
        <v>814</v>
      </c>
      <c r="C11" s="32">
        <f>SUM(C12:C16)</f>
        <v>332460</v>
      </c>
      <c r="D11" s="32">
        <f>SUM(D12:D16)</f>
        <v>356897</v>
      </c>
      <c r="E11" s="31">
        <f t="shared" si="0"/>
        <v>24437</v>
      </c>
      <c r="F11" s="45">
        <f t="shared" si="1"/>
        <v>107.35035793779703</v>
      </c>
      <c r="G11" s="45"/>
      <c r="H11"/>
      <c r="I11"/>
      <c r="J11"/>
      <c r="K11"/>
      <c r="L11"/>
    </row>
    <row r="12" spans="1:12" s="12" customFormat="1" ht="15.6">
      <c r="A12" s="1016" t="s">
        <v>351</v>
      </c>
      <c r="B12" s="10" t="s">
        <v>829</v>
      </c>
      <c r="C12" s="11">
        <v>309834</v>
      </c>
      <c r="D12" s="11">
        <f>C12</f>
        <v>309834</v>
      </c>
      <c r="E12" s="9">
        <f t="shared" si="0"/>
        <v>0</v>
      </c>
      <c r="F12" s="42">
        <f t="shared" si="1"/>
        <v>100</v>
      </c>
      <c r="G12" s="45"/>
      <c r="H12"/>
      <c r="I12"/>
      <c r="J12"/>
      <c r="K12"/>
      <c r="L12"/>
    </row>
    <row r="13" spans="1:12" s="12" customFormat="1" ht="15.6">
      <c r="A13" s="1016" t="s">
        <v>357</v>
      </c>
      <c r="B13" s="10" t="s">
        <v>387</v>
      </c>
      <c r="C13" s="11">
        <v>14863</v>
      </c>
      <c r="D13" s="11">
        <f>C13</f>
        <v>14863</v>
      </c>
      <c r="E13" s="9">
        <f t="shared" si="0"/>
        <v>0</v>
      </c>
      <c r="F13" s="42">
        <f t="shared" si="1"/>
        <v>100</v>
      </c>
      <c r="G13" s="45"/>
      <c r="H13"/>
      <c r="I13"/>
      <c r="J13"/>
      <c r="K13"/>
      <c r="L13"/>
    </row>
    <row r="14" spans="1:12" s="12" customFormat="1" ht="15.6">
      <c r="A14" s="1016" t="s">
        <v>815</v>
      </c>
      <c r="B14" s="10" t="s">
        <v>386</v>
      </c>
      <c r="C14" s="11"/>
      <c r="D14" s="11">
        <f>13275-I14</f>
        <v>12325</v>
      </c>
      <c r="E14" s="9">
        <f t="shared" si="0"/>
        <v>12325</v>
      </c>
      <c r="F14" s="42"/>
      <c r="G14" s="45"/>
      <c r="H14" s="12" t="s">
        <v>13</v>
      </c>
      <c r="I14">
        <f>'so thu huyen-R-03'!O16</f>
        <v>950</v>
      </c>
      <c r="J14"/>
      <c r="K14"/>
      <c r="L14"/>
    </row>
    <row r="15" spans="1:12" s="12" customFormat="1" ht="15.6">
      <c r="A15" s="1016" t="s">
        <v>816</v>
      </c>
      <c r="B15" s="10" t="s">
        <v>388</v>
      </c>
      <c r="C15" s="11">
        <v>5463</v>
      </c>
      <c r="D15" s="56">
        <f>'BSCD CDCS 2019 (hoan chinh)-05 '!G31</f>
        <v>9475</v>
      </c>
      <c r="E15" s="9">
        <f t="shared" si="0"/>
        <v>4012</v>
      </c>
      <c r="F15" s="42">
        <f t="shared" ref="F15:F34" si="2">D15/C15%</f>
        <v>173.43950210507046</v>
      </c>
      <c r="G15" s="45"/>
      <c r="H15"/>
      <c r="I15"/>
      <c r="J15"/>
      <c r="K15"/>
      <c r="L15"/>
    </row>
    <row r="16" spans="1:12" s="12" customFormat="1" ht="27.6">
      <c r="A16" s="1016" t="s">
        <v>817</v>
      </c>
      <c r="B16" s="1017" t="s">
        <v>828</v>
      </c>
      <c r="C16" s="11">
        <v>2300</v>
      </c>
      <c r="D16" s="56">
        <f>'tang dau tu'!G6</f>
        <v>10400</v>
      </c>
      <c r="E16" s="9">
        <f t="shared" si="0"/>
        <v>8100</v>
      </c>
      <c r="F16" s="42">
        <f t="shared" si="2"/>
        <v>452.17391304347825</v>
      </c>
      <c r="G16" s="45"/>
      <c r="H16"/>
      <c r="I16"/>
      <c r="J16"/>
      <c r="K16"/>
      <c r="L16"/>
    </row>
    <row r="17" spans="1:12" s="52" customFormat="1" ht="15.6">
      <c r="A17" s="1018">
        <v>3</v>
      </c>
      <c r="B17" s="1035" t="s">
        <v>827</v>
      </c>
      <c r="C17" s="144">
        <f>C18+C19</f>
        <v>9365</v>
      </c>
      <c r="D17" s="144">
        <f>SUM(D18:D23)</f>
        <v>53015</v>
      </c>
      <c r="E17" s="31">
        <f t="shared" si="0"/>
        <v>43650</v>
      </c>
      <c r="F17" s="45">
        <f t="shared" si="2"/>
        <v>566.09717031500259</v>
      </c>
      <c r="G17" s="45"/>
      <c r="H17"/>
      <c r="I17"/>
      <c r="J17"/>
      <c r="K17"/>
      <c r="L17"/>
    </row>
    <row r="18" spans="1:12" s="41" customFormat="1" ht="15.6">
      <c r="A18" s="1019" t="s">
        <v>212</v>
      </c>
      <c r="B18" s="90" t="s">
        <v>389</v>
      </c>
      <c r="C18" s="39">
        <v>8713</v>
      </c>
      <c r="D18" s="40">
        <f>'BSCD CDCS 2019 (hoan chinh)-05 '!G3</f>
        <v>28953</v>
      </c>
      <c r="E18" s="9">
        <f t="shared" si="0"/>
        <v>20240</v>
      </c>
      <c r="F18" s="42">
        <f t="shared" si="2"/>
        <v>332.29656834614946</v>
      </c>
      <c r="G18" s="45"/>
      <c r="H18"/>
      <c r="I18"/>
      <c r="J18"/>
      <c r="K18"/>
      <c r="L18"/>
    </row>
    <row r="19" spans="1:12" s="41" customFormat="1" ht="15.6">
      <c r="A19" s="1019" t="s">
        <v>214</v>
      </c>
      <c r="B19" s="90" t="s">
        <v>826</v>
      </c>
      <c r="C19" s="55">
        <v>652</v>
      </c>
      <c r="D19" s="40">
        <f>'BSCD CDCS 2019 (hoan chinh)-05 '!G18</f>
        <v>1592</v>
      </c>
      <c r="E19" s="9">
        <f t="shared" si="0"/>
        <v>940</v>
      </c>
      <c r="F19" s="42">
        <f t="shared" si="2"/>
        <v>244.17177914110431</v>
      </c>
      <c r="G19" s="45"/>
      <c r="H19"/>
      <c r="I19"/>
      <c r="J19"/>
      <c r="K19"/>
      <c r="L19"/>
    </row>
    <row r="20" spans="1:12" s="41" customFormat="1" ht="15.6">
      <c r="A20" s="1019" t="s">
        <v>925</v>
      </c>
      <c r="B20" s="1212" t="s">
        <v>926</v>
      </c>
      <c r="C20" s="55"/>
      <c r="D20" s="40">
        <f>'BSCD CDCS 2019 (hoan chinh)-05 '!G19</f>
        <v>1000</v>
      </c>
      <c r="E20" s="1104">
        <f t="shared" si="0"/>
        <v>1000</v>
      </c>
      <c r="F20" s="1105"/>
      <c r="G20" s="45"/>
      <c r="H20"/>
      <c r="I20"/>
      <c r="J20"/>
      <c r="K20"/>
      <c r="L20"/>
    </row>
    <row r="21" spans="1:12" s="41" customFormat="1" ht="15.6">
      <c r="A21" s="1019" t="s">
        <v>1041</v>
      </c>
      <c r="B21" s="408" t="s">
        <v>1033</v>
      </c>
      <c r="C21" s="55"/>
      <c r="D21" s="40">
        <f>'BSCD CDCS 2019 (hoan chinh)-05 '!G22</f>
        <v>858</v>
      </c>
      <c r="E21" s="1104"/>
      <c r="F21" s="1105"/>
      <c r="G21" s="45"/>
      <c r="H21"/>
      <c r="I21"/>
      <c r="J21"/>
      <c r="K21"/>
      <c r="L21"/>
    </row>
    <row r="22" spans="1:12" s="41" customFormat="1" ht="15.6">
      <c r="A22" s="1019" t="s">
        <v>1042</v>
      </c>
      <c r="B22" s="408" t="s">
        <v>1034</v>
      </c>
      <c r="C22" s="55"/>
      <c r="D22" s="40">
        <f>'BSCD CDCS 2019 (hoan chinh)-05 '!G23</f>
        <v>102</v>
      </c>
      <c r="E22" s="1104"/>
      <c r="F22" s="1105"/>
      <c r="G22" s="45"/>
      <c r="H22"/>
      <c r="I22"/>
      <c r="J22"/>
      <c r="K22"/>
      <c r="L22"/>
    </row>
    <row r="23" spans="1:12" s="41" customFormat="1" ht="15.6">
      <c r="A23" s="1019" t="s">
        <v>1043</v>
      </c>
      <c r="B23" s="408" t="s">
        <v>1035</v>
      </c>
      <c r="C23" s="55"/>
      <c r="D23" s="40">
        <f>'BSCD CDCS 2019 (hoan chinh)-05 '!G24</f>
        <v>20510</v>
      </c>
      <c r="E23" s="1104"/>
      <c r="F23" s="1105"/>
      <c r="G23" s="45"/>
      <c r="H23"/>
      <c r="I23"/>
      <c r="J23"/>
      <c r="K23"/>
      <c r="L23"/>
    </row>
    <row r="24" spans="1:12" s="15" customFormat="1" ht="15.6">
      <c r="A24" s="1013" t="s">
        <v>60</v>
      </c>
      <c r="B24" s="599" t="s">
        <v>825</v>
      </c>
      <c r="C24" s="14">
        <f>C25+C40+C69</f>
        <v>359460</v>
      </c>
      <c r="D24" s="14">
        <f>D25+D40+D69</f>
        <v>387297</v>
      </c>
      <c r="E24" s="31">
        <f t="shared" si="0"/>
        <v>27837</v>
      </c>
      <c r="F24" s="45">
        <f t="shared" si="2"/>
        <v>107.74411617426139</v>
      </c>
      <c r="G24" s="45"/>
      <c r="H24" s="106">
        <f>D9+D11</f>
        <v>387297</v>
      </c>
      <c r="I24"/>
      <c r="J24"/>
      <c r="K24"/>
      <c r="L24"/>
    </row>
    <row r="25" spans="1:12" s="33" customFormat="1" ht="15.6">
      <c r="A25" s="1018">
        <v>1</v>
      </c>
      <c r="B25" s="30" t="s">
        <v>824</v>
      </c>
      <c r="C25" s="31">
        <f>C26+C30+C34</f>
        <v>30110</v>
      </c>
      <c r="D25" s="31">
        <f>D26+D30+D34</f>
        <v>39560</v>
      </c>
      <c r="E25" s="31">
        <f t="shared" si="0"/>
        <v>9450</v>
      </c>
      <c r="F25" s="45">
        <f t="shared" si="2"/>
        <v>131.38492195283959</v>
      </c>
      <c r="G25" s="45"/>
      <c r="I25"/>
      <c r="J25"/>
      <c r="K25"/>
      <c r="L25"/>
    </row>
    <row r="26" spans="1:12" s="15" customFormat="1" ht="15.6">
      <c r="A26" s="1012" t="s">
        <v>200</v>
      </c>
      <c r="B26" s="16" t="s">
        <v>823</v>
      </c>
      <c r="C26" s="9">
        <v>9210</v>
      </c>
      <c r="D26" s="54">
        <f>D27+D28</f>
        <v>17810</v>
      </c>
      <c r="E26" s="9">
        <f t="shared" si="0"/>
        <v>8600</v>
      </c>
      <c r="F26" s="42">
        <f t="shared" si="2"/>
        <v>193.37676438653639</v>
      </c>
      <c r="G26" s="45"/>
      <c r="H26"/>
      <c r="I26"/>
      <c r="J26"/>
      <c r="K26"/>
      <c r="L26"/>
    </row>
    <row r="27" spans="1:12" s="598" customFormat="1" ht="15.6">
      <c r="A27" s="1012"/>
      <c r="B27" s="17" t="s">
        <v>957</v>
      </c>
      <c r="C27" s="1104">
        <v>9210</v>
      </c>
      <c r="D27" s="54">
        <v>12810</v>
      </c>
      <c r="E27" s="1104">
        <f t="shared" ref="E27:E28" si="3">D27-C27</f>
        <v>3600</v>
      </c>
      <c r="F27" s="1105">
        <f t="shared" ref="F27" si="4">D27/C27%</f>
        <v>139.08794788273616</v>
      </c>
      <c r="G27" s="45"/>
      <c r="H27"/>
      <c r="I27"/>
      <c r="J27"/>
      <c r="K27"/>
      <c r="L27"/>
    </row>
    <row r="28" spans="1:12" s="598" customFormat="1" ht="15.6">
      <c r="A28" s="1012"/>
      <c r="B28" s="17" t="s">
        <v>958</v>
      </c>
      <c r="C28" s="1104"/>
      <c r="D28" s="54">
        <v>5000</v>
      </c>
      <c r="E28" s="1104">
        <f t="shared" si="3"/>
        <v>5000</v>
      </c>
      <c r="F28" s="1105"/>
      <c r="G28" s="45"/>
      <c r="H28"/>
      <c r="I28"/>
      <c r="J28"/>
      <c r="K28"/>
      <c r="L28"/>
    </row>
    <row r="29" spans="1:12" s="598" customFormat="1" ht="15.6">
      <c r="A29" s="1012"/>
      <c r="B29" s="17"/>
      <c r="C29" s="1104"/>
      <c r="D29" s="54"/>
      <c r="E29" s="1104"/>
      <c r="F29" s="1105"/>
      <c r="G29" s="45"/>
      <c r="H29"/>
      <c r="I29"/>
      <c r="J29"/>
      <c r="K29"/>
      <c r="L29"/>
    </row>
    <row r="30" spans="1:12" s="15" customFormat="1" ht="27.6">
      <c r="A30" s="1012" t="s">
        <v>208</v>
      </c>
      <c r="B30" s="43" t="s">
        <v>822</v>
      </c>
      <c r="C30" s="9">
        <f>SUM(C31:C33)</f>
        <v>900</v>
      </c>
      <c r="D30" s="9">
        <f>SUM(D31:D33)</f>
        <v>2250</v>
      </c>
      <c r="E30" s="9">
        <f t="shared" si="0"/>
        <v>1350</v>
      </c>
      <c r="F30" s="42">
        <f t="shared" si="2"/>
        <v>250</v>
      </c>
      <c r="G30" s="45"/>
      <c r="H30"/>
      <c r="I30"/>
      <c r="J30"/>
      <c r="K30"/>
      <c r="L30"/>
    </row>
    <row r="31" spans="1:12" s="15" customFormat="1" ht="15.6">
      <c r="A31" s="1067"/>
      <c r="B31" s="16" t="s">
        <v>4</v>
      </c>
      <c r="C31" s="9">
        <v>400</v>
      </c>
      <c r="D31" s="9">
        <f>'so thu huyen-R-03'!V16</f>
        <v>1000</v>
      </c>
      <c r="E31" s="9">
        <f t="shared" si="0"/>
        <v>600</v>
      </c>
      <c r="F31" s="42">
        <f t="shared" si="2"/>
        <v>250</v>
      </c>
      <c r="G31" s="45"/>
      <c r="H31"/>
      <c r="I31"/>
      <c r="J31"/>
      <c r="K31"/>
      <c r="L31"/>
    </row>
    <row r="32" spans="1:12" s="15" customFormat="1" ht="15.6">
      <c r="A32" s="1067"/>
      <c r="B32" s="17" t="s">
        <v>5</v>
      </c>
      <c r="C32" s="9">
        <v>300</v>
      </c>
      <c r="D32" s="9">
        <f>'so thu huyen-R-03'!W16</f>
        <v>750</v>
      </c>
      <c r="E32" s="9">
        <f t="shared" si="0"/>
        <v>450</v>
      </c>
      <c r="F32" s="42">
        <f t="shared" si="2"/>
        <v>250</v>
      </c>
      <c r="G32" s="45"/>
      <c r="H32"/>
      <c r="I32"/>
      <c r="J32"/>
      <c r="K32"/>
      <c r="L32"/>
    </row>
    <row r="33" spans="1:12" s="15" customFormat="1" ht="15.6">
      <c r="A33" s="1067"/>
      <c r="B33" s="17" t="s">
        <v>6</v>
      </c>
      <c r="C33" s="9">
        <v>200</v>
      </c>
      <c r="D33" s="9">
        <f>'so thu huyen-R-03'!X16</f>
        <v>500</v>
      </c>
      <c r="E33" s="9">
        <f t="shared" si="0"/>
        <v>300</v>
      </c>
      <c r="F33" s="42">
        <f t="shared" si="2"/>
        <v>250</v>
      </c>
      <c r="G33" s="45"/>
      <c r="H33"/>
      <c r="I33"/>
      <c r="J33"/>
      <c r="K33"/>
      <c r="L33"/>
    </row>
    <row r="34" spans="1:12" s="15" customFormat="1" ht="15.6">
      <c r="A34" s="1012" t="s">
        <v>335</v>
      </c>
      <c r="B34" s="44" t="s">
        <v>821</v>
      </c>
      <c r="C34" s="9">
        <f>SUM(C35:C39)</f>
        <v>20000</v>
      </c>
      <c r="D34" s="9">
        <f>SUM(D35:D38)</f>
        <v>19500</v>
      </c>
      <c r="E34" s="9">
        <f t="shared" si="0"/>
        <v>-500</v>
      </c>
      <c r="F34" s="42">
        <f t="shared" si="2"/>
        <v>97.5</v>
      </c>
      <c r="G34" s="45"/>
      <c r="H34"/>
      <c r="I34"/>
      <c r="J34"/>
      <c r="K34"/>
      <c r="L34"/>
    </row>
    <row r="35" spans="1:12" s="15" customFormat="1" ht="31.2">
      <c r="A35" s="1013"/>
      <c r="B35" s="420" t="s">
        <v>247</v>
      </c>
      <c r="C35" s="39">
        <v>4000</v>
      </c>
      <c r="D35" s="56">
        <v>3000</v>
      </c>
      <c r="E35" s="140"/>
      <c r="F35" s="417"/>
      <c r="G35" s="417"/>
      <c r="H35"/>
      <c r="I35"/>
      <c r="J35"/>
      <c r="K35"/>
      <c r="L35"/>
    </row>
    <row r="36" spans="1:12" s="598" customFormat="1" ht="31.2">
      <c r="A36" s="1013"/>
      <c r="B36" s="420" t="s">
        <v>863</v>
      </c>
      <c r="C36" s="39"/>
      <c r="D36" s="56"/>
      <c r="E36" s="140"/>
      <c r="F36" s="417"/>
      <c r="G36" s="417"/>
      <c r="H36"/>
      <c r="I36"/>
      <c r="J36"/>
      <c r="K36"/>
      <c r="L36"/>
    </row>
    <row r="37" spans="1:12" s="15" customFormat="1" ht="16.2">
      <c r="A37" s="1013"/>
      <c r="B37" s="416" t="s">
        <v>248</v>
      </c>
      <c r="C37" s="39">
        <v>11000</v>
      </c>
      <c r="D37" s="56">
        <v>11500</v>
      </c>
      <c r="E37" s="140"/>
      <c r="F37" s="417"/>
      <c r="G37" s="417"/>
      <c r="H37"/>
      <c r="I37"/>
      <c r="J37"/>
      <c r="K37"/>
      <c r="L37"/>
    </row>
    <row r="38" spans="1:12" s="15" customFormat="1" ht="31.2">
      <c r="A38" s="1013"/>
      <c r="B38" s="420" t="s">
        <v>249</v>
      </c>
      <c r="C38" s="39">
        <v>5000</v>
      </c>
      <c r="D38" s="56">
        <v>5000</v>
      </c>
      <c r="E38" s="140"/>
      <c r="F38" s="417"/>
      <c r="G38" s="417"/>
      <c r="H38"/>
      <c r="I38"/>
      <c r="J38"/>
      <c r="K38"/>
      <c r="L38"/>
    </row>
    <row r="39" spans="1:12" s="598" customFormat="1" ht="31.2">
      <c r="A39" s="1013"/>
      <c r="B39" s="420" t="s">
        <v>852</v>
      </c>
      <c r="C39" s="39"/>
      <c r="D39" s="56"/>
      <c r="E39" s="140"/>
      <c r="F39" s="417"/>
      <c r="G39" s="417"/>
      <c r="H39"/>
      <c r="I39"/>
      <c r="J39"/>
      <c r="K39"/>
      <c r="L39"/>
    </row>
    <row r="40" spans="1:12" s="33" customFormat="1" ht="15.6">
      <c r="A40" s="1018">
        <v>2</v>
      </c>
      <c r="B40" s="30" t="s">
        <v>830</v>
      </c>
      <c r="C40" s="1102">
        <f>C41+C44+C45+C46</f>
        <v>321937</v>
      </c>
      <c r="D40" s="1102">
        <f>D41+D44+D45+D46</f>
        <v>338887</v>
      </c>
      <c r="E40" s="31">
        <f t="shared" ref="E40:E69" si="5">D40-C40</f>
        <v>16950</v>
      </c>
      <c r="F40" s="45">
        <f t="shared" ref="F40:F52" si="6">D40/C40%</f>
        <v>105.26500526500527</v>
      </c>
      <c r="G40" s="45"/>
      <c r="H40"/>
      <c r="I40"/>
      <c r="J40"/>
      <c r="K40"/>
      <c r="L40"/>
    </row>
    <row r="41" spans="1:12" s="4" customFormat="1" ht="15.6">
      <c r="A41" s="1012" t="s">
        <v>351</v>
      </c>
      <c r="B41" s="16" t="s">
        <v>820</v>
      </c>
      <c r="C41" s="9">
        <v>192188</v>
      </c>
      <c r="D41" s="94">
        <f>C41+8596</f>
        <v>200784</v>
      </c>
      <c r="E41" s="9">
        <f t="shared" si="5"/>
        <v>8596</v>
      </c>
      <c r="F41" s="42">
        <f t="shared" si="6"/>
        <v>104.47270381085187</v>
      </c>
      <c r="G41" s="45"/>
      <c r="H41">
        <f>I14*50%</f>
        <v>475</v>
      </c>
      <c r="I41"/>
      <c r="J41"/>
      <c r="K41"/>
      <c r="L41"/>
    </row>
    <row r="42" spans="1:12" s="4" customFormat="1" ht="15.6">
      <c r="A42" s="1019"/>
      <c r="B42" s="487" t="s">
        <v>809</v>
      </c>
      <c r="C42" s="9">
        <v>190374</v>
      </c>
      <c r="D42" s="1100">
        <f>C42+8179</f>
        <v>198553</v>
      </c>
      <c r="E42" s="1104">
        <f t="shared" si="5"/>
        <v>8179</v>
      </c>
      <c r="F42" s="1105">
        <f t="shared" si="6"/>
        <v>104.29627995419543</v>
      </c>
      <c r="G42" s="45"/>
      <c r="H42" s="1101">
        <f>D41+D44+D45+D46</f>
        <v>338887</v>
      </c>
      <c r="I42"/>
      <c r="J42"/>
      <c r="K42"/>
      <c r="L42"/>
    </row>
    <row r="43" spans="1:12" s="4" customFormat="1" ht="15.6">
      <c r="A43" s="1019"/>
      <c r="B43" s="487" t="s">
        <v>810</v>
      </c>
      <c r="C43" s="9">
        <v>1814</v>
      </c>
      <c r="D43" s="1100">
        <v>2231</v>
      </c>
      <c r="E43" s="1104">
        <f t="shared" si="5"/>
        <v>417</v>
      </c>
      <c r="F43" s="1105">
        <f t="shared" si="6"/>
        <v>122.98787210584344</v>
      </c>
      <c r="G43" s="45"/>
      <c r="H43" s="1101">
        <f>H42-D40</f>
        <v>0</v>
      </c>
      <c r="I43"/>
      <c r="J43"/>
      <c r="K43"/>
      <c r="L43"/>
    </row>
    <row r="44" spans="1:12" s="4" customFormat="1" ht="15.6">
      <c r="A44" s="1012" t="s">
        <v>357</v>
      </c>
      <c r="B44" s="16" t="s">
        <v>805</v>
      </c>
      <c r="C44" s="9">
        <v>150</v>
      </c>
      <c r="D44" s="94">
        <f>C44</f>
        <v>150</v>
      </c>
      <c r="E44" s="9">
        <f t="shared" si="5"/>
        <v>0</v>
      </c>
      <c r="F44" s="42">
        <f t="shared" si="6"/>
        <v>100</v>
      </c>
      <c r="G44" s="45"/>
      <c r="H44"/>
      <c r="I44"/>
      <c r="J44"/>
      <c r="K44"/>
      <c r="L44"/>
    </row>
    <row r="45" spans="1:12" s="4" customFormat="1" ht="15.6">
      <c r="A45" s="1012" t="s">
        <v>815</v>
      </c>
      <c r="B45" s="91" t="s">
        <v>804</v>
      </c>
      <c r="C45" s="9">
        <v>1122</v>
      </c>
      <c r="D45" s="94">
        <f>C45</f>
        <v>1122</v>
      </c>
      <c r="E45" s="9">
        <f t="shared" si="5"/>
        <v>0</v>
      </c>
      <c r="F45" s="42">
        <f t="shared" si="6"/>
        <v>100</v>
      </c>
      <c r="G45" s="45"/>
      <c r="H45"/>
      <c r="I45"/>
      <c r="J45"/>
      <c r="K45"/>
      <c r="L45"/>
    </row>
    <row r="46" spans="1:12" s="4" customFormat="1" ht="15.6">
      <c r="A46" s="1019" t="s">
        <v>816</v>
      </c>
      <c r="B46" s="1255" t="s">
        <v>869</v>
      </c>
      <c r="C46" s="1047">
        <f>C8-C25-C41-C44-C45-C69-C70</f>
        <v>128477</v>
      </c>
      <c r="D46" s="1047">
        <f>D8-D25-D41-D44-D45-D69-D70</f>
        <v>136831</v>
      </c>
      <c r="E46" s="1041">
        <f t="shared" si="5"/>
        <v>8354</v>
      </c>
      <c r="F46" s="1043">
        <f t="shared" si="6"/>
        <v>106.50233115654942</v>
      </c>
      <c r="G46" s="45"/>
      <c r="H46" s="1305">
        <f>C48+C49+C50+C51+C52+C60+C66+C67+C68</f>
        <v>128477</v>
      </c>
      <c r="I46" s="1305">
        <f>D48+D49+D50+D51+D52+D60+D66+D67+D68</f>
        <v>136831</v>
      </c>
      <c r="J46"/>
      <c r="K46"/>
      <c r="L46"/>
    </row>
    <row r="47" spans="1:12" s="20" customFormat="1" ht="15.6">
      <c r="A47" s="1016"/>
      <c r="B47" s="19" t="s">
        <v>8</v>
      </c>
      <c r="C47" s="11">
        <v>100</v>
      </c>
      <c r="D47" s="62">
        <f>'so thu huyen-R-03'!Y16</f>
        <v>250</v>
      </c>
      <c r="E47" s="9">
        <f t="shared" si="5"/>
        <v>150</v>
      </c>
      <c r="F47" s="42">
        <f t="shared" si="6"/>
        <v>250</v>
      </c>
      <c r="G47" s="45"/>
      <c r="H47" s="1315">
        <f>C46-H46</f>
        <v>0</v>
      </c>
      <c r="I47" s="1315">
        <f>D46-I46</f>
        <v>0</v>
      </c>
      <c r="J47"/>
      <c r="K47"/>
      <c r="L47"/>
    </row>
    <row r="48" spans="1:12" s="20" customFormat="1" ht="15.6">
      <c r="A48" s="1178" t="s">
        <v>870</v>
      </c>
      <c r="B48" s="1179" t="s">
        <v>269</v>
      </c>
      <c r="C48" s="56">
        <f>5414+541-4000</f>
        <v>1955</v>
      </c>
      <c r="D48" s="56">
        <f>5414+541-4000</f>
        <v>1955</v>
      </c>
      <c r="E48" s="54">
        <f t="shared" si="5"/>
        <v>0</v>
      </c>
      <c r="F48" s="1105">
        <f t="shared" si="6"/>
        <v>100</v>
      </c>
      <c r="G48" s="45"/>
      <c r="H48"/>
      <c r="I48"/>
      <c r="J48"/>
      <c r="K48"/>
      <c r="L48"/>
    </row>
    <row r="49" spans="1:12" s="20" customFormat="1" ht="15.6">
      <c r="A49" s="1178" t="s">
        <v>871</v>
      </c>
      <c r="B49" s="1179" t="s">
        <v>270</v>
      </c>
      <c r="C49" s="56">
        <f>5650-4500</f>
        <v>1150</v>
      </c>
      <c r="D49" s="426">
        <f>C49</f>
        <v>1150</v>
      </c>
      <c r="E49" s="54">
        <f t="shared" si="5"/>
        <v>0</v>
      </c>
      <c r="F49" s="1105">
        <f t="shared" si="6"/>
        <v>100</v>
      </c>
      <c r="G49" s="45"/>
      <c r="H49"/>
      <c r="I49"/>
      <c r="J49"/>
      <c r="K49"/>
      <c r="L49"/>
    </row>
    <row r="50" spans="1:12" s="20" customFormat="1" ht="15.6">
      <c r="A50" s="1178" t="s">
        <v>872</v>
      </c>
      <c r="B50" s="1179" t="s">
        <v>807</v>
      </c>
      <c r="C50" s="56">
        <v>413</v>
      </c>
      <c r="D50" s="426">
        <f>ROUND(C50*1.39/1.3,0)</f>
        <v>442</v>
      </c>
      <c r="E50" s="54">
        <f t="shared" si="5"/>
        <v>29</v>
      </c>
      <c r="F50" s="1105">
        <f t="shared" si="6"/>
        <v>107.02179176755448</v>
      </c>
      <c r="G50" s="45"/>
      <c r="H50"/>
      <c r="I50"/>
      <c r="J50"/>
      <c r="K50"/>
      <c r="L50"/>
    </row>
    <row r="51" spans="1:12" s="20" customFormat="1" ht="15.6">
      <c r="A51" s="1178" t="s">
        <v>873</v>
      </c>
      <c r="B51" s="1179" t="s">
        <v>808</v>
      </c>
      <c r="C51" s="56">
        <f>653+65</f>
        <v>718</v>
      </c>
      <c r="D51" s="426">
        <f>692+65</f>
        <v>757</v>
      </c>
      <c r="E51" s="54">
        <f t="shared" si="5"/>
        <v>39</v>
      </c>
      <c r="F51" s="1105">
        <f t="shared" si="6"/>
        <v>105.43175487465182</v>
      </c>
      <c r="G51" s="45"/>
      <c r="H51"/>
      <c r="I51"/>
      <c r="J51"/>
      <c r="K51"/>
      <c r="L51"/>
    </row>
    <row r="52" spans="1:12" s="20" customFormat="1" ht="15.6">
      <c r="A52" s="1178" t="s">
        <v>874</v>
      </c>
      <c r="B52" s="1179" t="s">
        <v>276</v>
      </c>
      <c r="C52" s="56">
        <f>C54+C55+C56+C57+C58+C59</f>
        <v>31310</v>
      </c>
      <c r="D52" s="426">
        <f>SUM(D54:D59)</f>
        <v>31460</v>
      </c>
      <c r="E52" s="54">
        <f t="shared" si="5"/>
        <v>150</v>
      </c>
      <c r="F52" s="1105">
        <f t="shared" si="6"/>
        <v>100.47908016608112</v>
      </c>
      <c r="G52" s="45"/>
      <c r="H52"/>
      <c r="I52"/>
      <c r="J52"/>
      <c r="K52"/>
      <c r="L52"/>
    </row>
    <row r="53" spans="1:12" s="20" customFormat="1" ht="15.6">
      <c r="A53" s="1178"/>
      <c r="B53" s="1190" t="s">
        <v>297</v>
      </c>
      <c r="C53" s="56"/>
      <c r="D53" s="426"/>
      <c r="E53" s="54">
        <f t="shared" si="5"/>
        <v>0</v>
      </c>
      <c r="F53" s="1105"/>
      <c r="G53" s="45"/>
      <c r="H53"/>
      <c r="I53"/>
      <c r="J53"/>
      <c r="K53"/>
      <c r="L53"/>
    </row>
    <row r="54" spans="1:12" s="20" customFormat="1" ht="15.6">
      <c r="A54" s="1178"/>
      <c r="B54" s="1190" t="s">
        <v>298</v>
      </c>
      <c r="C54" s="56">
        <v>9834</v>
      </c>
      <c r="D54" s="426">
        <v>9834</v>
      </c>
      <c r="E54" s="54">
        <f t="shared" si="5"/>
        <v>0</v>
      </c>
      <c r="F54" s="1105">
        <f>D54/C54%</f>
        <v>100</v>
      </c>
      <c r="G54" s="45"/>
      <c r="H54"/>
      <c r="I54"/>
      <c r="J54"/>
      <c r="K54"/>
      <c r="L54"/>
    </row>
    <row r="55" spans="1:12" s="20" customFormat="1" ht="15.6">
      <c r="A55" s="1178"/>
      <c r="B55" s="1190" t="s">
        <v>299</v>
      </c>
      <c r="C55" s="56">
        <v>3934</v>
      </c>
      <c r="D55" s="426">
        <v>3934</v>
      </c>
      <c r="E55" s="54">
        <f t="shared" si="5"/>
        <v>0</v>
      </c>
      <c r="F55" s="1105">
        <f>D55/C55%</f>
        <v>99.999999999999986</v>
      </c>
      <c r="G55" s="45"/>
      <c r="H55"/>
      <c r="I55"/>
      <c r="J55"/>
      <c r="K55"/>
      <c r="L55"/>
    </row>
    <row r="56" spans="1:12" s="20" customFormat="1" ht="15.6">
      <c r="A56" s="1178"/>
      <c r="B56" s="1190" t="s">
        <v>300</v>
      </c>
      <c r="C56" s="56">
        <v>1300</v>
      </c>
      <c r="D56" s="426">
        <v>1300</v>
      </c>
      <c r="E56" s="54">
        <f t="shared" si="5"/>
        <v>0</v>
      </c>
      <c r="F56" s="1105">
        <f>D56/C56%</f>
        <v>100</v>
      </c>
      <c r="G56" s="45"/>
      <c r="H56"/>
      <c r="I56"/>
      <c r="J56"/>
      <c r="K56"/>
      <c r="L56"/>
    </row>
    <row r="57" spans="1:12" s="20" customFormat="1" ht="15.6">
      <c r="A57" s="1178"/>
      <c r="B57" s="1190" t="s">
        <v>301</v>
      </c>
      <c r="C57" s="56"/>
      <c r="D57" s="426"/>
      <c r="E57" s="54">
        <f t="shared" si="5"/>
        <v>0</v>
      </c>
      <c r="F57" s="1105"/>
      <c r="G57" s="45"/>
      <c r="H57"/>
      <c r="I57"/>
      <c r="J57"/>
      <c r="K57"/>
      <c r="L57"/>
    </row>
    <row r="58" spans="1:12" s="20" customFormat="1" ht="31.2">
      <c r="A58" s="1178"/>
      <c r="B58" s="1256" t="s">
        <v>303</v>
      </c>
      <c r="C58" s="56">
        <v>100</v>
      </c>
      <c r="D58" s="426">
        <v>250</v>
      </c>
      <c r="E58" s="54">
        <f t="shared" si="5"/>
        <v>150</v>
      </c>
      <c r="F58" s="1105">
        <f>D58/C58%</f>
        <v>250</v>
      </c>
      <c r="G58" s="45"/>
      <c r="H58"/>
      <c r="I58"/>
      <c r="J58"/>
      <c r="K58"/>
      <c r="L58"/>
    </row>
    <row r="59" spans="1:12" s="20" customFormat="1" ht="15.6">
      <c r="A59" s="1178"/>
      <c r="B59" s="1190" t="s">
        <v>304</v>
      </c>
      <c r="C59" s="56">
        <f>7077+4500+565+4000</f>
        <v>16142</v>
      </c>
      <c r="D59" s="56">
        <f>7077+4500+565+4000</f>
        <v>16142</v>
      </c>
      <c r="E59" s="54">
        <f t="shared" si="5"/>
        <v>0</v>
      </c>
      <c r="F59" s="1105">
        <f>D59/C59%</f>
        <v>100.00000000000001</v>
      </c>
      <c r="G59" s="45"/>
      <c r="H59"/>
      <c r="I59"/>
      <c r="J59"/>
      <c r="K59"/>
      <c r="L59"/>
    </row>
    <row r="60" spans="1:12" s="20" customFormat="1" ht="15.6">
      <c r="A60" s="1178" t="s">
        <v>875</v>
      </c>
      <c r="B60" s="1179" t="s">
        <v>278</v>
      </c>
      <c r="C60" s="56">
        <v>18499</v>
      </c>
      <c r="D60" s="426">
        <v>18499</v>
      </c>
      <c r="E60" s="54">
        <f t="shared" si="5"/>
        <v>0</v>
      </c>
      <c r="F60" s="1105">
        <f>D60/C60%</f>
        <v>100</v>
      </c>
      <c r="G60" s="45"/>
      <c r="H60"/>
      <c r="I60"/>
      <c r="J60"/>
      <c r="K60"/>
      <c r="L60"/>
    </row>
    <row r="61" spans="1:12" s="20" customFormat="1" ht="15.6">
      <c r="A61" s="1194"/>
      <c r="B61" s="1179" t="s">
        <v>290</v>
      </c>
      <c r="C61" s="56"/>
      <c r="D61" s="426"/>
      <c r="E61" s="54">
        <f t="shared" si="5"/>
        <v>0</v>
      </c>
      <c r="F61" s="1105"/>
      <c r="G61" s="45"/>
      <c r="H61"/>
      <c r="I61"/>
      <c r="J61"/>
      <c r="K61"/>
      <c r="L61"/>
    </row>
    <row r="62" spans="1:12" s="20" customFormat="1" ht="15.6">
      <c r="A62" s="1194"/>
      <c r="B62" s="1195" t="s">
        <v>305</v>
      </c>
      <c r="C62" s="56">
        <v>1789</v>
      </c>
      <c r="D62" s="426">
        <v>1789</v>
      </c>
      <c r="E62" s="54">
        <f t="shared" si="5"/>
        <v>0</v>
      </c>
      <c r="F62" s="1105">
        <f t="shared" ref="F62:F69" si="7">D62/C62%</f>
        <v>100</v>
      </c>
      <c r="G62" s="45"/>
      <c r="H62"/>
      <c r="I62"/>
      <c r="J62"/>
      <c r="K62"/>
      <c r="L62"/>
    </row>
    <row r="63" spans="1:12" s="20" customFormat="1" ht="16.2">
      <c r="A63" s="1196"/>
      <c r="B63" s="1195" t="s">
        <v>306</v>
      </c>
      <c r="C63" s="56">
        <v>823</v>
      </c>
      <c r="D63" s="426">
        <v>823</v>
      </c>
      <c r="E63" s="54">
        <f t="shared" si="5"/>
        <v>0</v>
      </c>
      <c r="F63" s="1105">
        <f t="shared" si="7"/>
        <v>100</v>
      </c>
      <c r="G63" s="45"/>
      <c r="H63"/>
      <c r="I63"/>
      <c r="J63"/>
      <c r="K63"/>
      <c r="L63"/>
    </row>
    <row r="64" spans="1:12" s="20" customFormat="1" ht="16.2">
      <c r="A64" s="1196"/>
      <c r="B64" s="1190" t="s">
        <v>307</v>
      </c>
      <c r="C64" s="56">
        <v>15369</v>
      </c>
      <c r="D64" s="426">
        <f>15369+518</f>
        <v>15887</v>
      </c>
      <c r="E64" s="54">
        <f t="shared" si="5"/>
        <v>518</v>
      </c>
      <c r="F64" s="1105">
        <f t="shared" si="7"/>
        <v>103.37042097729196</v>
      </c>
      <c r="G64" s="45"/>
      <c r="H64"/>
      <c r="I64"/>
      <c r="J64"/>
      <c r="K64"/>
      <c r="L64"/>
    </row>
    <row r="65" spans="1:12" s="20" customFormat="1" ht="16.2">
      <c r="A65" s="1196"/>
      <c r="B65" s="1190" t="s">
        <v>308</v>
      </c>
      <c r="C65" s="56">
        <v>518</v>
      </c>
      <c r="D65" s="426"/>
      <c r="E65" s="54">
        <f t="shared" si="5"/>
        <v>-518</v>
      </c>
      <c r="F65" s="1105">
        <f t="shared" si="7"/>
        <v>0</v>
      </c>
      <c r="G65" s="45"/>
      <c r="H65"/>
      <c r="I65"/>
      <c r="J65"/>
      <c r="K65"/>
      <c r="L65"/>
    </row>
    <row r="66" spans="1:12" s="20" customFormat="1" ht="31.2">
      <c r="A66" s="1178" t="s">
        <v>876</v>
      </c>
      <c r="B66" s="1179" t="s">
        <v>277</v>
      </c>
      <c r="C66" s="56">
        <f>69747-2536+4008</f>
        <v>71219</v>
      </c>
      <c r="D66" s="426">
        <f>76424-672-514-27+4103+940</f>
        <v>80254</v>
      </c>
      <c r="E66" s="54">
        <f t="shared" si="5"/>
        <v>9035</v>
      </c>
      <c r="F66" s="1105">
        <f t="shared" si="7"/>
        <v>112.68622137350987</v>
      </c>
      <c r="G66" s="45"/>
      <c r="H66"/>
      <c r="I66"/>
      <c r="J66"/>
      <c r="K66"/>
      <c r="L66"/>
    </row>
    <row r="67" spans="1:12" s="20" customFormat="1" ht="15.6">
      <c r="A67" s="1178" t="s">
        <v>877</v>
      </c>
      <c r="B67" s="1179" t="s">
        <v>720</v>
      </c>
      <c r="C67" s="56">
        <v>3213</v>
      </c>
      <c r="D67" s="56">
        <f>3213-97-125-402+156-431</f>
        <v>2314</v>
      </c>
      <c r="E67" s="54">
        <f t="shared" si="5"/>
        <v>-899</v>
      </c>
      <c r="F67" s="1105">
        <f t="shared" si="7"/>
        <v>72.019919078742603</v>
      </c>
      <c r="G67" s="45"/>
      <c r="H67"/>
      <c r="I67"/>
      <c r="J67"/>
      <c r="K67"/>
      <c r="L67"/>
    </row>
    <row r="68" spans="1:12" s="20" customFormat="1" ht="15.6">
      <c r="A68" s="1178" t="s">
        <v>878</v>
      </c>
      <c r="B68" s="507" t="s">
        <v>819</v>
      </c>
      <c r="C68" s="56"/>
      <c r="D68" s="426"/>
      <c r="E68" s="54">
        <f t="shared" si="5"/>
        <v>0</v>
      </c>
      <c r="F68" s="1105" t="e">
        <f t="shared" si="7"/>
        <v>#DIV/0!</v>
      </c>
      <c r="G68" s="45"/>
      <c r="H68"/>
      <c r="I68"/>
      <c r="J68"/>
      <c r="K68"/>
      <c r="L68"/>
    </row>
    <row r="69" spans="1:12" s="33" customFormat="1" ht="15.6">
      <c r="A69" s="1018">
        <v>3</v>
      </c>
      <c r="B69" s="30" t="s">
        <v>320</v>
      </c>
      <c r="C69" s="31">
        <v>7413</v>
      </c>
      <c r="D69" s="95">
        <f>ROUND((D8)*2.01%,0)</f>
        <v>8850</v>
      </c>
      <c r="E69" s="31">
        <f t="shared" si="5"/>
        <v>1437</v>
      </c>
      <c r="F69" s="45">
        <f t="shared" si="7"/>
        <v>119.38486442735736</v>
      </c>
      <c r="G69" s="45"/>
      <c r="H69"/>
      <c r="I69"/>
      <c r="J69"/>
      <c r="K69"/>
      <c r="L69"/>
    </row>
    <row r="70" spans="1:12" s="33" customFormat="1" ht="15.6">
      <c r="A70" s="1018" t="s">
        <v>315</v>
      </c>
      <c r="B70" s="143" t="s">
        <v>818</v>
      </c>
      <c r="C70" s="144">
        <v>9365</v>
      </c>
      <c r="D70" s="145">
        <f>D17</f>
        <v>53015</v>
      </c>
      <c r="E70" s="1102">
        <f t="shared" ref="E70:E72" si="8">D70-C70</f>
        <v>43650</v>
      </c>
      <c r="F70" s="45">
        <f t="shared" ref="F70:F72" si="9">D70/C70%</f>
        <v>566.09717031500259</v>
      </c>
      <c r="G70" s="45"/>
      <c r="H70"/>
      <c r="I70"/>
      <c r="J70"/>
      <c r="K70"/>
      <c r="L70"/>
    </row>
    <row r="71" spans="1:12" s="33" customFormat="1" ht="15.6">
      <c r="A71" s="1021"/>
      <c r="B71" s="53" t="s">
        <v>15</v>
      </c>
      <c r="C71" s="31">
        <f>C24+C70</f>
        <v>368825</v>
      </c>
      <c r="D71" s="64">
        <f>D24+D70</f>
        <v>440312</v>
      </c>
      <c r="E71" s="1102">
        <f t="shared" si="8"/>
        <v>71487</v>
      </c>
      <c r="F71" s="45">
        <f t="shared" si="9"/>
        <v>119.38236290923879</v>
      </c>
      <c r="G71" s="45"/>
      <c r="H71"/>
      <c r="I71"/>
      <c r="J71"/>
      <c r="K71"/>
      <c r="L71"/>
    </row>
    <row r="72" spans="1:12" s="15" customFormat="1" ht="15.6">
      <c r="A72" s="1036"/>
      <c r="B72" s="1037" t="s">
        <v>11</v>
      </c>
      <c r="C72" s="1038">
        <v>5179</v>
      </c>
      <c r="D72" s="1063">
        <f>ROUND(C72+I14*10%,0)</f>
        <v>5274</v>
      </c>
      <c r="E72" s="1102">
        <f t="shared" si="8"/>
        <v>95</v>
      </c>
      <c r="F72" s="45">
        <f t="shared" si="9"/>
        <v>101.83433095192122</v>
      </c>
      <c r="G72" s="1040"/>
      <c r="H72"/>
      <c r="I72"/>
      <c r="J72"/>
      <c r="K72"/>
      <c r="L72"/>
    </row>
    <row r="73" spans="1:12" s="18" customFormat="1" ht="15.6">
      <c r="B73" s="1058"/>
      <c r="C73" s="1059"/>
      <c r="D73" s="1060">
        <v>0</v>
      </c>
      <c r="E73" s="1061"/>
      <c r="F73" s="1062"/>
      <c r="G73" s="1011"/>
      <c r="H73"/>
      <c r="I73"/>
      <c r="J73"/>
      <c r="K73"/>
      <c r="L73"/>
    </row>
    <row r="76" spans="1:12">
      <c r="D76" s="1116"/>
    </row>
    <row r="105" spans="2:2">
      <c r="B105" s="2" t="s">
        <v>238</v>
      </c>
    </row>
    <row r="106" spans="2:2">
      <c r="B106" s="2" t="s">
        <v>239</v>
      </c>
    </row>
  </sheetData>
  <mergeCells count="9">
    <mergeCell ref="A5:A6"/>
    <mergeCell ref="G5:G6"/>
    <mergeCell ref="B1:F1"/>
    <mergeCell ref="B2:F2"/>
    <mergeCell ref="E4:F4"/>
    <mergeCell ref="B5:B6"/>
    <mergeCell ref="D5:D6"/>
    <mergeCell ref="E5:F5"/>
    <mergeCell ref="C5:C6"/>
  </mergeCells>
  <pageMargins left="0.6692913385826772" right="0.23622047244094491" top="0.31496062992125984" bottom="0.35433070866141736" header="0.31496062992125984" footer="0.31496062992125984"/>
  <pageSetup paperSize="9" scale="7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77"/>
  <sheetViews>
    <sheetView topLeftCell="A28" zoomScale="85" zoomScaleNormal="85" workbookViewId="0">
      <selection activeCell="B140" sqref="B140"/>
    </sheetView>
  </sheetViews>
  <sheetFormatPr defaultColWidth="16.5546875" defaultRowHeight="15.6"/>
  <cols>
    <col min="1" max="1" width="8.33203125" style="1118" customWidth="1"/>
    <col min="2" max="2" width="51.5546875" style="1118" customWidth="1"/>
    <col min="3" max="3" width="16.109375" style="1119" customWidth="1"/>
    <col min="4" max="4" width="20.109375" style="1118" customWidth="1"/>
    <col min="5" max="5" width="12.88671875" style="1158" customWidth="1"/>
    <col min="6" max="6" width="12.109375" style="1118" customWidth="1"/>
    <col min="7" max="7" width="20.109375" style="1118" customWidth="1"/>
    <col min="8" max="8" width="18.109375" style="1118" customWidth="1"/>
    <col min="9" max="9" width="16.5546875" style="1118" customWidth="1"/>
    <col min="10" max="10" width="11.88671875" style="1118" customWidth="1"/>
    <col min="11" max="11" width="10.33203125" style="1118" customWidth="1"/>
    <col min="12" max="16384" width="16.5546875" style="1118"/>
  </cols>
  <sheetData>
    <row r="1" spans="1:12">
      <c r="B1" s="3129" t="s">
        <v>16</v>
      </c>
      <c r="C1" s="3129"/>
      <c r="D1" s="3129"/>
      <c r="E1" s="3129"/>
      <c r="F1" s="3129"/>
      <c r="G1" s="1120"/>
    </row>
    <row r="2" spans="1:12" s="3" customFormat="1">
      <c r="B2" s="3130" t="s">
        <v>25</v>
      </c>
      <c r="C2" s="3130"/>
      <c r="D2" s="3130"/>
      <c r="E2" s="3130"/>
      <c r="F2" s="3130"/>
      <c r="G2" s="1125"/>
    </row>
    <row r="3" spans="1:12" s="3" customFormat="1">
      <c r="B3" s="1125"/>
      <c r="C3" s="1125"/>
      <c r="D3" s="1125"/>
      <c r="E3" s="1125"/>
      <c r="F3" s="1125"/>
      <c r="G3" s="1125"/>
    </row>
    <row r="4" spans="1:12" s="1121" customFormat="1">
      <c r="C4" s="1122"/>
      <c r="D4" s="1197"/>
      <c r="E4" s="3179" t="s">
        <v>27</v>
      </c>
      <c r="F4" s="3179"/>
      <c r="G4" s="3179"/>
    </row>
    <row r="5" spans="1:12" s="1125" customFormat="1" ht="33" customHeight="1">
      <c r="A5" s="3123" t="s">
        <v>49</v>
      </c>
      <c r="B5" s="3155" t="s">
        <v>0</v>
      </c>
      <c r="C5" s="3134" t="s">
        <v>879</v>
      </c>
      <c r="D5" s="3134" t="s">
        <v>17</v>
      </c>
      <c r="E5" s="3136" t="s">
        <v>26</v>
      </c>
      <c r="F5" s="3123"/>
      <c r="G5" s="3162" t="s">
        <v>811</v>
      </c>
    </row>
    <row r="6" spans="1:12" s="1125" customFormat="1" ht="40.5" customHeight="1">
      <c r="A6" s="3124"/>
      <c r="B6" s="3156"/>
      <c r="C6" s="3135"/>
      <c r="D6" s="3135"/>
      <c r="E6" s="1126" t="s">
        <v>1</v>
      </c>
      <c r="F6" s="1198" t="s">
        <v>2</v>
      </c>
      <c r="G6" s="3163"/>
      <c r="H6" s="1128"/>
      <c r="I6" s="1128"/>
      <c r="J6" s="1128"/>
      <c r="K6" s="1128"/>
      <c r="L6" s="1128"/>
    </row>
    <row r="7" spans="1:12" s="1134" customFormat="1" ht="21.75" customHeight="1">
      <c r="A7" s="1129"/>
      <c r="B7" s="1129">
        <v>1</v>
      </c>
      <c r="C7" s="1130">
        <v>2</v>
      </c>
      <c r="D7" s="1131">
        <v>3</v>
      </c>
      <c r="E7" s="1132" t="s">
        <v>882</v>
      </c>
      <c r="F7" s="1199" t="s">
        <v>883</v>
      </c>
      <c r="G7" s="1199"/>
      <c r="H7" s="1128"/>
      <c r="I7" s="1128"/>
      <c r="J7" s="1128"/>
      <c r="K7" s="1128"/>
      <c r="L7" s="1128"/>
    </row>
    <row r="8" spans="1:12" s="1137" customFormat="1">
      <c r="A8" s="1135" t="s">
        <v>54</v>
      </c>
      <c r="B8" s="1306" t="s">
        <v>812</v>
      </c>
      <c r="C8" s="1034">
        <f>C9+C11+C17</f>
        <v>205709</v>
      </c>
      <c r="D8" s="1034">
        <f>D9+D11+D17</f>
        <v>248126</v>
      </c>
      <c r="E8" s="1034">
        <f>E9+E11+E17</f>
        <v>39542</v>
      </c>
      <c r="F8" s="1307">
        <f t="shared" ref="F8:F13" si="0">D8/C8%</f>
        <v>120.61990481699875</v>
      </c>
      <c r="G8" s="1307"/>
      <c r="H8" s="1145">
        <f>D8-C8</f>
        <v>42417</v>
      </c>
      <c r="I8" s="1151">
        <f>E8-E24</f>
        <v>24818</v>
      </c>
      <c r="J8" s="1145">
        <f>E8-E71</f>
        <v>-2875</v>
      </c>
      <c r="K8" s="1128"/>
      <c r="L8" s="1128"/>
    </row>
    <row r="9" spans="1:12" s="1139" customFormat="1">
      <c r="A9" s="1138">
        <v>1</v>
      </c>
      <c r="B9" s="1202" t="s">
        <v>813</v>
      </c>
      <c r="C9" s="32">
        <f>'so thu huyen-R-03'!D18</f>
        <v>62000</v>
      </c>
      <c r="D9" s="32">
        <f>'so thu huyen-R-03'!I18</f>
        <v>65900</v>
      </c>
      <c r="E9" s="46">
        <f>D9-C9</f>
        <v>3900</v>
      </c>
      <c r="F9" s="1307">
        <f t="shared" si="0"/>
        <v>106.29032258064517</v>
      </c>
      <c r="G9" s="1307"/>
      <c r="H9" s="1145">
        <f>D9-C9</f>
        <v>3900</v>
      </c>
      <c r="I9" s="1128"/>
      <c r="J9" s="1128"/>
      <c r="K9" s="1128"/>
      <c r="L9" s="1128"/>
    </row>
    <row r="10" spans="1:12" s="1139" customFormat="1" ht="32.4">
      <c r="A10" s="1138"/>
      <c r="B10" s="1203" t="s">
        <v>109</v>
      </c>
      <c r="C10" s="139">
        <f>C9-'so thu huyen-R-03'!F18</f>
        <v>59000</v>
      </c>
      <c r="D10" s="139">
        <f>D9-'so thu huyen-R-03'!K18</f>
        <v>62400</v>
      </c>
      <c r="E10" s="46">
        <f>D10-C10</f>
        <v>3400</v>
      </c>
      <c r="F10" s="1307">
        <f t="shared" si="0"/>
        <v>105.76271186440678</v>
      </c>
      <c r="G10" s="1307"/>
      <c r="H10" s="1145">
        <f>D10-C10</f>
        <v>3400</v>
      </c>
      <c r="I10" s="1128"/>
      <c r="J10" s="1128"/>
      <c r="K10" s="1128"/>
      <c r="L10" s="1128"/>
    </row>
    <row r="11" spans="1:12" s="1139" customFormat="1">
      <c r="A11" s="1138">
        <v>2</v>
      </c>
      <c r="B11" s="1202" t="s">
        <v>814</v>
      </c>
      <c r="C11" s="32">
        <f>SUM(C12:C16)</f>
        <v>141575</v>
      </c>
      <c r="D11" s="32">
        <f>SUM(D12:D16)</f>
        <v>152399</v>
      </c>
      <c r="E11" s="32">
        <f>SUM(E12:E15)</f>
        <v>7949</v>
      </c>
      <c r="F11" s="1307">
        <f t="shared" si="0"/>
        <v>107.64541762316793</v>
      </c>
      <c r="G11" s="1307"/>
      <c r="H11" s="1033">
        <f>3246*2-I14</f>
        <v>4792</v>
      </c>
      <c r="I11" s="1128"/>
      <c r="J11" s="1128"/>
      <c r="K11" s="1128"/>
      <c r="L11" s="1128"/>
    </row>
    <row r="12" spans="1:12" s="1142" customFormat="1">
      <c r="A12" s="1140" t="s">
        <v>351</v>
      </c>
      <c r="B12" s="1204" t="s">
        <v>829</v>
      </c>
      <c r="C12" s="1103">
        <v>128090</v>
      </c>
      <c r="D12" s="1103">
        <f>C12</f>
        <v>128090</v>
      </c>
      <c r="E12" s="103">
        <f>D12-C12</f>
        <v>0</v>
      </c>
      <c r="F12" s="1227">
        <f t="shared" si="0"/>
        <v>100</v>
      </c>
      <c r="G12" s="1227"/>
      <c r="H12" s="1128"/>
      <c r="I12" s="1145">
        <f>D14+I14</f>
        <v>7474</v>
      </c>
      <c r="J12" s="1128"/>
      <c r="K12" s="1128"/>
      <c r="L12" s="1128"/>
    </row>
    <row r="13" spans="1:12" s="1142" customFormat="1">
      <c r="A13" s="1140" t="s">
        <v>357</v>
      </c>
      <c r="B13" s="1204" t="s">
        <v>387</v>
      </c>
      <c r="C13" s="1103">
        <v>6071</v>
      </c>
      <c r="D13" s="1103">
        <f>C13</f>
        <v>6071</v>
      </c>
      <c r="E13" s="103">
        <f>D13-C13</f>
        <v>0</v>
      </c>
      <c r="F13" s="1227">
        <f t="shared" si="0"/>
        <v>100</v>
      </c>
      <c r="G13" s="1227"/>
      <c r="H13" s="1128"/>
      <c r="I13" s="1128"/>
      <c r="J13" s="1128"/>
      <c r="K13" s="1128"/>
      <c r="L13" s="1128"/>
    </row>
    <row r="14" spans="1:12" s="1142" customFormat="1">
      <c r="A14" s="1140" t="s">
        <v>815</v>
      </c>
      <c r="B14" s="1204" t="s">
        <v>386</v>
      </c>
      <c r="C14" s="1103"/>
      <c r="D14" s="1103">
        <f>7474-I14</f>
        <v>5774</v>
      </c>
      <c r="E14" s="103">
        <f>D14-C14</f>
        <v>5774</v>
      </c>
      <c r="F14" s="1227"/>
      <c r="G14" s="1227"/>
      <c r="H14" s="1142" t="s">
        <v>13</v>
      </c>
      <c r="I14" s="1208">
        <f>'so thu huyen-R-03'!O18</f>
        <v>1700</v>
      </c>
      <c r="J14" s="1128"/>
      <c r="K14" s="1128"/>
      <c r="L14" s="1128"/>
    </row>
    <row r="15" spans="1:12" s="1142" customFormat="1">
      <c r="A15" s="1140" t="s">
        <v>816</v>
      </c>
      <c r="B15" s="1204" t="s">
        <v>388</v>
      </c>
      <c r="C15" s="1103">
        <v>4664</v>
      </c>
      <c r="D15" s="56">
        <f>'BSCD CDCS 2019 (hoan chinh)-05 '!K31</f>
        <v>6839</v>
      </c>
      <c r="E15" s="103">
        <f>D15-C15</f>
        <v>2175</v>
      </c>
      <c r="F15" s="1227">
        <f>D15/C15%</f>
        <v>146.63379073756431</v>
      </c>
      <c r="G15" s="1227"/>
      <c r="H15" s="1128"/>
      <c r="I15" s="1128"/>
      <c r="J15" s="1128"/>
      <c r="K15" s="1128"/>
      <c r="L15" s="1128"/>
    </row>
    <row r="16" spans="1:12" s="1142" customFormat="1" ht="31.2">
      <c r="A16" s="1140" t="s">
        <v>817</v>
      </c>
      <c r="B16" s="1143" t="s">
        <v>828</v>
      </c>
      <c r="C16" s="1103">
        <v>2750</v>
      </c>
      <c r="D16" s="56">
        <f>'tang dau tu'!K6</f>
        <v>5625</v>
      </c>
      <c r="E16" s="103">
        <f>D16-C16</f>
        <v>2875</v>
      </c>
      <c r="F16" s="1227">
        <f>D16/C16%</f>
        <v>204.54545454545453</v>
      </c>
      <c r="G16" s="1227"/>
      <c r="H16" s="1128"/>
      <c r="I16" s="1128"/>
      <c r="J16" s="1128"/>
      <c r="K16" s="1128"/>
      <c r="L16" s="1128"/>
    </row>
    <row r="17" spans="1:12" s="1125" customFormat="1">
      <c r="A17" s="1144">
        <v>3</v>
      </c>
      <c r="B17" s="1308" t="s">
        <v>827</v>
      </c>
      <c r="C17" s="144">
        <f>C18+C19</f>
        <v>2134</v>
      </c>
      <c r="D17" s="144">
        <f>SUM(D18:D23)</f>
        <v>29827</v>
      </c>
      <c r="E17" s="46">
        <f t="shared" ref="E17:E26" si="1">D17-C17</f>
        <v>27693</v>
      </c>
      <c r="F17" s="1307">
        <f t="shared" ref="F17:F26" si="2">D17/C17%</f>
        <v>1397.7038425492033</v>
      </c>
      <c r="G17" s="1227"/>
      <c r="H17" s="1145">
        <f>D17+D15</f>
        <v>36666</v>
      </c>
      <c r="I17" s="1128"/>
      <c r="J17" s="1128"/>
      <c r="K17" s="1128"/>
      <c r="L17" s="1128"/>
    </row>
    <row r="18" spans="1:12" s="1147" customFormat="1">
      <c r="A18" s="1146" t="s">
        <v>212</v>
      </c>
      <c r="B18" s="1212" t="s">
        <v>389</v>
      </c>
      <c r="C18" s="39">
        <v>1264</v>
      </c>
      <c r="D18" s="40">
        <f>'BSCD CDCS 2019 (hoan chinh)-05 '!K3</f>
        <v>6522</v>
      </c>
      <c r="E18" s="103">
        <f t="shared" si="1"/>
        <v>5258</v>
      </c>
      <c r="F18" s="1227">
        <f t="shared" si="2"/>
        <v>515.98101265822777</v>
      </c>
      <c r="G18" s="1227"/>
      <c r="H18" s="1309">
        <f>D18+D70</f>
        <v>36349</v>
      </c>
      <c r="I18" s="1128"/>
      <c r="J18" s="1128"/>
      <c r="K18" s="1128"/>
      <c r="L18" s="1128"/>
    </row>
    <row r="19" spans="1:12" s="1147" customFormat="1">
      <c r="A19" s="1146" t="s">
        <v>214</v>
      </c>
      <c r="B19" s="1212" t="s">
        <v>826</v>
      </c>
      <c r="C19" s="61">
        <v>870</v>
      </c>
      <c r="D19" s="40">
        <f>'BSCD CDCS 2019 (hoan chinh)-05 '!K18</f>
        <v>1812</v>
      </c>
      <c r="E19" s="103">
        <f t="shared" si="1"/>
        <v>942</v>
      </c>
      <c r="F19" s="1227">
        <f t="shared" si="2"/>
        <v>208.27586206896552</v>
      </c>
      <c r="G19" s="1227"/>
      <c r="H19" s="1128"/>
      <c r="I19" s="1128"/>
      <c r="J19" s="1128"/>
      <c r="K19" s="1128"/>
      <c r="L19" s="1128"/>
    </row>
    <row r="20" spans="1:12" s="1147" customFormat="1">
      <c r="A20" s="1019" t="s">
        <v>925</v>
      </c>
      <c r="B20" s="1212" t="s">
        <v>926</v>
      </c>
      <c r="C20" s="61"/>
      <c r="D20" s="40">
        <f>'BSCD CDCS 2019 (hoan chinh)-05 '!K19</f>
        <v>13000</v>
      </c>
      <c r="E20" s="103">
        <f t="shared" si="1"/>
        <v>13000</v>
      </c>
      <c r="F20" s="1227"/>
      <c r="G20" s="1227"/>
      <c r="H20" s="1128"/>
      <c r="I20" s="1128"/>
      <c r="J20" s="1128"/>
      <c r="K20" s="1128"/>
      <c r="L20" s="1128"/>
    </row>
    <row r="21" spans="1:12" s="1147" customFormat="1">
      <c r="A21" s="1019" t="s">
        <v>1041</v>
      </c>
      <c r="B21" s="408" t="s">
        <v>1033</v>
      </c>
      <c r="C21" s="61"/>
      <c r="D21" s="40">
        <f>'BSCD CDCS 2019 (hoan chinh)-05 '!K22</f>
        <v>0</v>
      </c>
      <c r="E21" s="103"/>
      <c r="F21" s="1227"/>
      <c r="G21" s="1227"/>
      <c r="H21" s="1128"/>
      <c r="I21" s="1128"/>
      <c r="J21" s="1128"/>
      <c r="K21" s="1128"/>
      <c r="L21" s="1128"/>
    </row>
    <row r="22" spans="1:12" s="1147" customFormat="1">
      <c r="A22" s="1019" t="s">
        <v>1042</v>
      </c>
      <c r="B22" s="408" t="s">
        <v>1034</v>
      </c>
      <c r="C22" s="61"/>
      <c r="D22" s="40">
        <f>'BSCD CDCS 2019 (hoan chinh)-05 '!K23</f>
        <v>78</v>
      </c>
      <c r="E22" s="103"/>
      <c r="F22" s="1227"/>
      <c r="G22" s="1227"/>
      <c r="H22" s="1128"/>
      <c r="I22" s="1128"/>
      <c r="J22" s="1128"/>
      <c r="K22" s="1128"/>
      <c r="L22" s="1128"/>
    </row>
    <row r="23" spans="1:12" s="1147" customFormat="1">
      <c r="A23" s="1019" t="s">
        <v>1043</v>
      </c>
      <c r="B23" s="408" t="s">
        <v>1035</v>
      </c>
      <c r="C23" s="61"/>
      <c r="D23" s="40">
        <f>'BSCD CDCS 2019 (hoan chinh)-05 '!K24</f>
        <v>8415</v>
      </c>
      <c r="E23" s="103"/>
      <c r="F23" s="1227"/>
      <c r="G23" s="1227"/>
      <c r="H23" s="1128"/>
      <c r="I23" s="1128"/>
      <c r="J23" s="1128"/>
      <c r="K23" s="1128"/>
      <c r="L23" s="1128"/>
    </row>
    <row r="24" spans="1:12" s="1148" customFormat="1">
      <c r="A24" s="1135" t="s">
        <v>60</v>
      </c>
      <c r="B24" s="1213" t="s">
        <v>825</v>
      </c>
      <c r="C24" s="14">
        <f>C25+C40+C69</f>
        <v>203575</v>
      </c>
      <c r="D24" s="289">
        <f>D25+D40+D69</f>
        <v>218299</v>
      </c>
      <c r="E24" s="46">
        <f t="shared" si="1"/>
        <v>14724</v>
      </c>
      <c r="F24" s="1307">
        <f t="shared" si="2"/>
        <v>107.23271521552253</v>
      </c>
      <c r="G24" s="1307"/>
      <c r="H24" s="1128"/>
      <c r="I24" s="1128"/>
      <c r="J24" s="1128"/>
      <c r="K24" s="1128"/>
      <c r="L24" s="1128"/>
    </row>
    <row r="25" spans="1:12" s="3" customFormat="1">
      <c r="A25" s="1144">
        <v>1</v>
      </c>
      <c r="B25" s="1109" t="s">
        <v>824</v>
      </c>
      <c r="C25" s="1102">
        <f>C26+C30+C34</f>
        <v>26780</v>
      </c>
      <c r="D25" s="1102">
        <f>D26+D30+D34</f>
        <v>30105</v>
      </c>
      <c r="E25" s="46">
        <f t="shared" si="1"/>
        <v>3325</v>
      </c>
      <c r="F25" s="1307">
        <f t="shared" si="2"/>
        <v>112.41598207617625</v>
      </c>
      <c r="G25" s="1307"/>
      <c r="H25" s="1128"/>
      <c r="I25" s="1128"/>
      <c r="J25" s="1128"/>
      <c r="K25" s="1128"/>
      <c r="L25" s="1128"/>
    </row>
    <row r="26" spans="1:12" s="1148" customFormat="1">
      <c r="A26" s="1129" t="s">
        <v>200</v>
      </c>
      <c r="B26" s="17" t="s">
        <v>823</v>
      </c>
      <c r="C26" s="1104">
        <v>8580</v>
      </c>
      <c r="D26" s="54">
        <f>D27+D28</f>
        <v>16955</v>
      </c>
      <c r="E26" s="103">
        <f t="shared" si="1"/>
        <v>8375</v>
      </c>
      <c r="F26" s="1227">
        <f t="shared" si="2"/>
        <v>197.6107226107226</v>
      </c>
      <c r="G26" s="1227"/>
      <c r="H26" s="1128"/>
      <c r="I26" s="1128"/>
      <c r="J26" s="1128"/>
      <c r="K26" s="1128"/>
      <c r="L26" s="1128"/>
    </row>
    <row r="27" spans="1:12" s="1148" customFormat="1">
      <c r="A27" s="1129"/>
      <c r="B27" s="17" t="s">
        <v>957</v>
      </c>
      <c r="C27" s="1104">
        <v>8580</v>
      </c>
      <c r="D27" s="54">
        <v>11955</v>
      </c>
      <c r="E27" s="103">
        <f t="shared" ref="E27:E28" si="3">D27-C27</f>
        <v>3375</v>
      </c>
      <c r="F27" s="1227">
        <f t="shared" ref="F27" si="4">D27/C27%</f>
        <v>139.33566433566435</v>
      </c>
      <c r="G27" s="1227"/>
      <c r="H27" s="1128"/>
      <c r="I27" s="1128"/>
      <c r="J27" s="1128"/>
      <c r="K27" s="1128"/>
      <c r="L27" s="1128"/>
    </row>
    <row r="28" spans="1:12" s="1148" customFormat="1">
      <c r="A28" s="1129"/>
      <c r="B28" s="17" t="s">
        <v>958</v>
      </c>
      <c r="C28" s="1104"/>
      <c r="D28" s="54">
        <v>5000</v>
      </c>
      <c r="E28" s="103">
        <f t="shared" si="3"/>
        <v>5000</v>
      </c>
      <c r="F28" s="1227"/>
      <c r="G28" s="1227"/>
      <c r="H28" s="1128"/>
      <c r="I28" s="1128"/>
      <c r="J28" s="1128"/>
      <c r="K28" s="1128"/>
      <c r="L28" s="1128"/>
    </row>
    <row r="29" spans="1:12" s="1148" customFormat="1">
      <c r="A29" s="1129"/>
      <c r="B29" s="17"/>
      <c r="C29" s="1104"/>
      <c r="D29" s="54"/>
      <c r="E29" s="103"/>
      <c r="F29" s="1227"/>
      <c r="G29" s="1227"/>
      <c r="H29" s="1128"/>
      <c r="I29" s="1128"/>
      <c r="J29" s="1128"/>
      <c r="K29" s="1128"/>
      <c r="L29" s="1128"/>
    </row>
    <row r="30" spans="1:12" s="1148" customFormat="1" ht="31.2">
      <c r="A30" s="1129" t="s">
        <v>208</v>
      </c>
      <c r="B30" s="1149" t="s">
        <v>822</v>
      </c>
      <c r="C30" s="1104">
        <f>SUM(C31:C33)</f>
        <v>2700</v>
      </c>
      <c r="D30" s="1104">
        <f>SUM(D31:D33)</f>
        <v>3150</v>
      </c>
      <c r="E30" s="13">
        <f>SUM(E31:E33)</f>
        <v>450</v>
      </c>
      <c r="F30" s="1227">
        <f>D30/C30%</f>
        <v>116.66666666666667</v>
      </c>
      <c r="G30" s="1227"/>
      <c r="H30" s="1128"/>
      <c r="I30" s="1128"/>
      <c r="J30" s="1128"/>
      <c r="K30" s="1128"/>
      <c r="L30" s="1128"/>
    </row>
    <row r="31" spans="1:12" s="1148" customFormat="1">
      <c r="A31" s="1135"/>
      <c r="B31" s="17" t="s">
        <v>4</v>
      </c>
      <c r="C31" s="1104">
        <v>1200</v>
      </c>
      <c r="D31" s="1104">
        <f>'so thu huyen-R-03'!V18</f>
        <v>1400</v>
      </c>
      <c r="E31" s="103">
        <f>D31-C31</f>
        <v>200</v>
      </c>
      <c r="F31" s="1227">
        <f>D31/C31%</f>
        <v>116.66666666666667</v>
      </c>
      <c r="G31" s="1227"/>
      <c r="H31" s="1128"/>
      <c r="I31" s="1128"/>
      <c r="J31" s="1128"/>
      <c r="K31" s="1128"/>
      <c r="L31" s="1128"/>
    </row>
    <row r="32" spans="1:12" s="1148" customFormat="1">
      <c r="A32" s="1135"/>
      <c r="B32" s="17" t="s">
        <v>5</v>
      </c>
      <c r="C32" s="1104">
        <v>900</v>
      </c>
      <c r="D32" s="1104">
        <f>'so thu huyen-R-03'!W18</f>
        <v>1050</v>
      </c>
      <c r="E32" s="103">
        <f>D32-C32</f>
        <v>150</v>
      </c>
      <c r="F32" s="1227">
        <f>D32/C32%</f>
        <v>116.66666666666667</v>
      </c>
      <c r="G32" s="1227"/>
      <c r="H32" s="1128"/>
      <c r="I32" s="1128"/>
      <c r="J32" s="1128"/>
      <c r="K32" s="1128"/>
      <c r="L32" s="1128"/>
    </row>
    <row r="33" spans="1:12" s="1148" customFormat="1">
      <c r="A33" s="1135"/>
      <c r="B33" s="17" t="s">
        <v>6</v>
      </c>
      <c r="C33" s="1104">
        <v>600</v>
      </c>
      <c r="D33" s="1104">
        <f>'so thu huyen-R-03'!X18</f>
        <v>700</v>
      </c>
      <c r="E33" s="103">
        <f>D33-C33</f>
        <v>100</v>
      </c>
      <c r="F33" s="1227">
        <f>D33/C33%</f>
        <v>116.66666666666667</v>
      </c>
      <c r="G33" s="1227"/>
      <c r="H33" s="1128"/>
      <c r="I33" s="1128"/>
      <c r="J33" s="1128"/>
      <c r="K33" s="1128"/>
      <c r="L33" s="1128"/>
    </row>
    <row r="34" spans="1:12" s="1148" customFormat="1">
      <c r="A34" s="1129" t="s">
        <v>335</v>
      </c>
      <c r="B34" s="44" t="s">
        <v>821</v>
      </c>
      <c r="C34" s="1104">
        <f>SUM(C35:C39)</f>
        <v>15500</v>
      </c>
      <c r="D34" s="1104">
        <f>SUM(D35:D38)</f>
        <v>10000</v>
      </c>
      <c r="E34" s="103">
        <f t="shared" ref="E34:E39" si="5">D34-C34</f>
        <v>-5500</v>
      </c>
      <c r="F34" s="1227">
        <f t="shared" ref="F34:F38" si="6">D34/C34%</f>
        <v>64.516129032258064</v>
      </c>
      <c r="G34" s="1227"/>
      <c r="H34" s="1128"/>
      <c r="I34" s="1128"/>
      <c r="J34" s="1128"/>
      <c r="K34" s="1128"/>
      <c r="L34" s="1128"/>
    </row>
    <row r="35" spans="1:12" s="1148" customFormat="1" ht="31.2">
      <c r="A35" s="1135"/>
      <c r="B35" s="420" t="s">
        <v>247</v>
      </c>
      <c r="C35" s="1104">
        <v>2500</v>
      </c>
      <c r="D35" s="54">
        <v>1000</v>
      </c>
      <c r="E35" s="103">
        <f t="shared" si="5"/>
        <v>-1500</v>
      </c>
      <c r="F35" s="1227">
        <f t="shared" si="6"/>
        <v>40</v>
      </c>
      <c r="G35" s="1227"/>
      <c r="H35" s="1128"/>
      <c r="I35" s="1128"/>
      <c r="J35" s="1128"/>
      <c r="K35" s="1128"/>
      <c r="L35" s="1128"/>
    </row>
    <row r="36" spans="1:12" s="1148" customFormat="1" ht="31.2">
      <c r="A36" s="1135"/>
      <c r="B36" s="420" t="s">
        <v>863</v>
      </c>
      <c r="C36" s="1104"/>
      <c r="D36" s="54"/>
      <c r="E36" s="103">
        <f t="shared" si="5"/>
        <v>0</v>
      </c>
      <c r="F36" s="1227"/>
      <c r="G36" s="1227"/>
      <c r="H36" s="1128"/>
      <c r="I36" s="1128"/>
      <c r="J36" s="1128"/>
      <c r="K36" s="1128"/>
      <c r="L36" s="1128"/>
    </row>
    <row r="37" spans="1:12" s="1148" customFormat="1">
      <c r="A37" s="1135"/>
      <c r="B37" s="416" t="s">
        <v>248</v>
      </c>
      <c r="C37" s="1104">
        <v>10000</v>
      </c>
      <c r="D37" s="54">
        <v>5000</v>
      </c>
      <c r="E37" s="103">
        <f t="shared" si="5"/>
        <v>-5000</v>
      </c>
      <c r="F37" s="1227">
        <f t="shared" si="6"/>
        <v>50</v>
      </c>
      <c r="G37" s="1227"/>
      <c r="H37" s="1128"/>
      <c r="I37" s="1128"/>
      <c r="J37" s="1128"/>
      <c r="K37" s="1128"/>
      <c r="L37" s="1128"/>
    </row>
    <row r="38" spans="1:12" s="1148" customFormat="1" ht="31.2">
      <c r="A38" s="1135"/>
      <c r="B38" s="420" t="s">
        <v>249</v>
      </c>
      <c r="C38" s="1104">
        <v>3000</v>
      </c>
      <c r="D38" s="54">
        <v>4000</v>
      </c>
      <c r="E38" s="103">
        <f t="shared" si="5"/>
        <v>1000</v>
      </c>
      <c r="F38" s="1227">
        <f t="shared" si="6"/>
        <v>133.33333333333334</v>
      </c>
      <c r="G38" s="1227"/>
      <c r="H38" s="1128"/>
      <c r="I38" s="1128"/>
      <c r="J38" s="1128"/>
      <c r="K38" s="1128"/>
      <c r="L38" s="1128"/>
    </row>
    <row r="39" spans="1:12" s="1148" customFormat="1">
      <c r="A39" s="1135"/>
      <c r="B39" s="420" t="s">
        <v>852</v>
      </c>
      <c r="C39" s="1104"/>
      <c r="D39" s="54"/>
      <c r="E39" s="103">
        <f t="shared" si="5"/>
        <v>0</v>
      </c>
      <c r="F39" s="1227"/>
      <c r="G39" s="1227"/>
      <c r="H39" s="1128"/>
      <c r="I39" s="1128"/>
      <c r="J39" s="1128"/>
      <c r="K39" s="1128"/>
      <c r="L39" s="1128"/>
    </row>
    <row r="40" spans="1:12" s="3" customFormat="1">
      <c r="A40" s="1144">
        <v>2</v>
      </c>
      <c r="B40" s="1109" t="s">
        <v>12</v>
      </c>
      <c r="C40" s="1102">
        <f>C41+C45+C44+C46</f>
        <v>172660</v>
      </c>
      <c r="D40" s="1102">
        <f>D41+D45+D44+D46</f>
        <v>183207</v>
      </c>
      <c r="E40" s="47">
        <f>SUM(E41:E46)</f>
        <v>14635</v>
      </c>
      <c r="F40" s="1307">
        <f t="shared" ref="F40:F47" si="7">D40/C40%</f>
        <v>106.10853700915094</v>
      </c>
      <c r="G40" s="1307"/>
      <c r="H40" s="1128"/>
      <c r="I40" s="1128"/>
      <c r="J40" s="1128"/>
      <c r="K40" s="1128"/>
      <c r="L40" s="1128"/>
    </row>
    <row r="41" spans="1:12" s="1121" customFormat="1">
      <c r="A41" s="1129" t="s">
        <v>351</v>
      </c>
      <c r="B41" s="17" t="s">
        <v>820</v>
      </c>
      <c r="C41" s="1104">
        <v>79710</v>
      </c>
      <c r="D41" s="1100">
        <f>C41+4088</f>
        <v>83798</v>
      </c>
      <c r="E41" s="103">
        <f t="shared" ref="E41:E47" si="8">D41-C41</f>
        <v>4088</v>
      </c>
      <c r="F41" s="1227">
        <f t="shared" si="7"/>
        <v>105.12859114289299</v>
      </c>
      <c r="G41" s="1227"/>
      <c r="H41" s="1128"/>
      <c r="I41" s="1128"/>
      <c r="J41" s="1128"/>
      <c r="K41" s="1128"/>
      <c r="L41" s="1128"/>
    </row>
    <row r="42" spans="1:12" s="1121" customFormat="1">
      <c r="A42" s="1146"/>
      <c r="B42" s="487" t="s">
        <v>809</v>
      </c>
      <c r="C42" s="1104">
        <f>C41-C43</f>
        <v>76037</v>
      </c>
      <c r="D42" s="1100">
        <f>D41-D43</f>
        <v>79801</v>
      </c>
      <c r="E42" s="103">
        <f t="shared" si="8"/>
        <v>3764</v>
      </c>
      <c r="F42" s="1227">
        <f t="shared" si="7"/>
        <v>104.95022160264082</v>
      </c>
      <c r="G42" s="1227"/>
      <c r="H42" s="1128"/>
      <c r="I42" s="1128"/>
      <c r="J42" s="1128"/>
      <c r="K42" s="1128"/>
      <c r="L42" s="1128"/>
    </row>
    <row r="43" spans="1:12" s="1121" customFormat="1">
      <c r="A43" s="1146"/>
      <c r="B43" s="487" t="s">
        <v>810</v>
      </c>
      <c r="C43" s="1104">
        <f>4673-1000</f>
        <v>3673</v>
      </c>
      <c r="D43" s="1100">
        <f>4997-1000</f>
        <v>3997</v>
      </c>
      <c r="E43" s="103">
        <f t="shared" si="8"/>
        <v>324</v>
      </c>
      <c r="F43" s="1227">
        <f t="shared" si="7"/>
        <v>108.82112714402396</v>
      </c>
      <c r="G43" s="1227"/>
      <c r="H43" s="1128"/>
      <c r="I43" s="1128"/>
      <c r="J43" s="1128"/>
      <c r="K43" s="1128"/>
      <c r="L43" s="1128"/>
    </row>
    <row r="44" spans="1:12" s="1121" customFormat="1">
      <c r="A44" s="1129" t="s">
        <v>357</v>
      </c>
      <c r="B44" s="17" t="s">
        <v>805</v>
      </c>
      <c r="C44" s="1104">
        <v>211</v>
      </c>
      <c r="D44" s="1100">
        <f>C44</f>
        <v>211</v>
      </c>
      <c r="E44" s="103">
        <f t="shared" si="8"/>
        <v>0</v>
      </c>
      <c r="F44" s="1227">
        <f t="shared" si="7"/>
        <v>100</v>
      </c>
      <c r="G44" s="1227"/>
      <c r="H44" s="1128"/>
      <c r="I44" s="1128"/>
      <c r="J44" s="1128"/>
      <c r="K44" s="1128"/>
      <c r="L44" s="1128"/>
    </row>
    <row r="45" spans="1:12" s="1121" customFormat="1">
      <c r="A45" s="1129" t="s">
        <v>815</v>
      </c>
      <c r="B45" s="1110" t="s">
        <v>804</v>
      </c>
      <c r="C45" s="1104">
        <v>4455</v>
      </c>
      <c r="D45" s="1100">
        <f>C45</f>
        <v>4455</v>
      </c>
      <c r="E45" s="103">
        <f t="shared" si="8"/>
        <v>0</v>
      </c>
      <c r="F45" s="1227">
        <f t="shared" si="7"/>
        <v>100</v>
      </c>
      <c r="G45" s="1227"/>
      <c r="H45" s="1128"/>
      <c r="I45" s="1128"/>
      <c r="J45" s="1128"/>
      <c r="K45" s="1128"/>
      <c r="L45" s="1128"/>
    </row>
    <row r="46" spans="1:12" s="1121" customFormat="1">
      <c r="A46" s="1129" t="s">
        <v>816</v>
      </c>
      <c r="B46" s="1310" t="s">
        <v>869</v>
      </c>
      <c r="C46" s="1041">
        <v>88284</v>
      </c>
      <c r="D46" s="1047">
        <f>D8-D25-D41-D44-D45-D69-D70</f>
        <v>94743</v>
      </c>
      <c r="E46" s="1068">
        <f t="shared" si="8"/>
        <v>6459</v>
      </c>
      <c r="F46" s="1216">
        <f t="shared" si="7"/>
        <v>107.31616147886366</v>
      </c>
      <c r="G46" s="1227"/>
      <c r="H46" s="60"/>
      <c r="I46" s="1128"/>
      <c r="J46" s="1128"/>
      <c r="K46" s="1128"/>
      <c r="L46" s="1128"/>
    </row>
    <row r="47" spans="1:12" s="1153" customFormat="1" ht="31.2">
      <c r="A47" s="1140"/>
      <c r="B47" s="1170" t="s">
        <v>8</v>
      </c>
      <c r="C47" s="1103">
        <v>300</v>
      </c>
      <c r="D47" s="1106">
        <f>'so thu huyen-R-03'!Y18</f>
        <v>350</v>
      </c>
      <c r="E47" s="103">
        <f t="shared" si="8"/>
        <v>50</v>
      </c>
      <c r="F47" s="1227">
        <f t="shared" si="7"/>
        <v>116.66666666666667</v>
      </c>
      <c r="G47" s="1227"/>
      <c r="H47" s="1128"/>
      <c r="I47" s="1128"/>
      <c r="J47" s="1128"/>
      <c r="K47" s="1128"/>
      <c r="L47" s="1128"/>
    </row>
    <row r="48" spans="1:12" s="1153" customFormat="1">
      <c r="A48" s="1178" t="s">
        <v>870</v>
      </c>
      <c r="B48" s="1179" t="s">
        <v>269</v>
      </c>
      <c r="C48" s="54">
        <f>3380+338-1000</f>
        <v>2718</v>
      </c>
      <c r="D48" s="93">
        <f>3380+338-1000</f>
        <v>2718</v>
      </c>
      <c r="E48" s="103">
        <f t="shared" ref="E48:E72" si="9">D48-C48</f>
        <v>0</v>
      </c>
      <c r="F48" s="1227">
        <f t="shared" ref="F48:F72" si="10">D48/C48%</f>
        <v>100</v>
      </c>
      <c r="G48" s="1227"/>
      <c r="H48" s="1313">
        <f>C48+C49+C50+C51+C52+C60+C66+C67+C68</f>
        <v>88284</v>
      </c>
      <c r="I48" s="1313">
        <f>D48+D49+D50+D51+D52+D60+D66+D67+D68</f>
        <v>94743</v>
      </c>
      <c r="J48" s="1128"/>
      <c r="K48" s="1128"/>
      <c r="L48" s="1128"/>
    </row>
    <row r="49" spans="1:12" s="1153" customFormat="1">
      <c r="A49" s="1178" t="s">
        <v>871</v>
      </c>
      <c r="B49" s="1179" t="s">
        <v>270</v>
      </c>
      <c r="C49" s="54">
        <f>3233+323-2000</f>
        <v>1556</v>
      </c>
      <c r="D49" s="93">
        <f>3233+323-2000</f>
        <v>1556</v>
      </c>
      <c r="E49" s="103">
        <f t="shared" si="9"/>
        <v>0</v>
      </c>
      <c r="F49" s="1227">
        <f t="shared" si="10"/>
        <v>100</v>
      </c>
      <c r="G49" s="1227"/>
      <c r="H49" s="1500">
        <f>C46-H48</f>
        <v>0</v>
      </c>
      <c r="I49" s="1500">
        <f>D46-I48</f>
        <v>0</v>
      </c>
      <c r="J49" s="1128"/>
      <c r="K49" s="1128"/>
      <c r="L49" s="1128"/>
    </row>
    <row r="50" spans="1:12" s="1153" customFormat="1">
      <c r="A50" s="1178" t="s">
        <v>872</v>
      </c>
      <c r="B50" s="1179" t="s">
        <v>807</v>
      </c>
      <c r="C50" s="54">
        <f>1639+163</f>
        <v>1802</v>
      </c>
      <c r="D50" s="93">
        <f>1691+163</f>
        <v>1854</v>
      </c>
      <c r="E50" s="103">
        <f t="shared" si="9"/>
        <v>52</v>
      </c>
      <c r="F50" s="1227">
        <f t="shared" si="10"/>
        <v>102.88568257491676</v>
      </c>
      <c r="G50" s="1227"/>
      <c r="H50" s="1128"/>
      <c r="I50" s="1128"/>
      <c r="J50" s="1128"/>
      <c r="K50" s="1128"/>
      <c r="L50" s="1128"/>
    </row>
    <row r="51" spans="1:12" s="1153" customFormat="1">
      <c r="A51" s="1178" t="s">
        <v>873</v>
      </c>
      <c r="B51" s="1179" t="s">
        <v>808</v>
      </c>
      <c r="C51" s="54">
        <f>476+48</f>
        <v>524</v>
      </c>
      <c r="D51" s="93">
        <f>494+48</f>
        <v>542</v>
      </c>
      <c r="E51" s="103">
        <f t="shared" si="9"/>
        <v>18</v>
      </c>
      <c r="F51" s="1227">
        <f t="shared" si="10"/>
        <v>103.43511450381679</v>
      </c>
      <c r="G51" s="1227"/>
      <c r="H51" s="1128"/>
      <c r="I51" s="1128"/>
      <c r="J51" s="1128"/>
      <c r="K51" s="1128"/>
      <c r="L51" s="1128"/>
    </row>
    <row r="52" spans="1:12" s="1153" customFormat="1">
      <c r="A52" s="1178" t="s">
        <v>874</v>
      </c>
      <c r="B52" s="1179" t="s">
        <v>276</v>
      </c>
      <c r="C52" s="54">
        <f>SUM(C54:C59)</f>
        <v>14892</v>
      </c>
      <c r="D52" s="54">
        <f>SUM(D54:D59)</f>
        <v>15046</v>
      </c>
      <c r="E52" s="103">
        <f t="shared" si="9"/>
        <v>154</v>
      </c>
      <c r="F52" s="1227">
        <f t="shared" si="10"/>
        <v>101.03411227504701</v>
      </c>
      <c r="G52" s="1227"/>
      <c r="H52" s="1128"/>
      <c r="I52" s="1128"/>
      <c r="J52" s="1128"/>
      <c r="K52" s="1128"/>
      <c r="L52" s="1128"/>
    </row>
    <row r="53" spans="1:12" s="1153" customFormat="1">
      <c r="A53" s="1178"/>
      <c r="B53" s="1190" t="s">
        <v>297</v>
      </c>
      <c r="C53" s="56"/>
      <c r="D53" s="426"/>
      <c r="E53" s="103">
        <f t="shared" si="9"/>
        <v>0</v>
      </c>
      <c r="F53" s="1227"/>
      <c r="G53" s="1227"/>
      <c r="H53" s="1128"/>
      <c r="I53" s="1128"/>
      <c r="J53" s="1128"/>
      <c r="K53" s="1128"/>
      <c r="L53" s="1128"/>
    </row>
    <row r="54" spans="1:12" s="1153" customFormat="1">
      <c r="A54" s="1178"/>
      <c r="B54" s="1190" t="s">
        <v>298</v>
      </c>
      <c r="C54" s="56">
        <v>664</v>
      </c>
      <c r="D54" s="426">
        <v>664</v>
      </c>
      <c r="E54" s="103">
        <f t="shared" si="9"/>
        <v>0</v>
      </c>
      <c r="F54" s="1227">
        <f t="shared" si="10"/>
        <v>100</v>
      </c>
      <c r="G54" s="1227"/>
      <c r="H54" s="1128"/>
      <c r="I54" s="1128"/>
      <c r="J54" s="1128"/>
      <c r="K54" s="1128"/>
      <c r="L54" s="1128"/>
    </row>
    <row r="55" spans="1:12" s="1153" customFormat="1">
      <c r="A55" s="1178"/>
      <c r="B55" s="1190" t="s">
        <v>299</v>
      </c>
      <c r="C55" s="56">
        <v>266</v>
      </c>
      <c r="D55" s="426">
        <v>266</v>
      </c>
      <c r="E55" s="103">
        <f t="shared" si="9"/>
        <v>0</v>
      </c>
      <c r="F55" s="1227">
        <f t="shared" si="10"/>
        <v>100</v>
      </c>
      <c r="G55" s="1227"/>
      <c r="H55" s="1128"/>
      <c r="I55" s="1128"/>
      <c r="J55" s="1128"/>
      <c r="K55" s="1128"/>
      <c r="L55" s="1128"/>
    </row>
    <row r="56" spans="1:12" s="1153" customFormat="1">
      <c r="A56" s="1178"/>
      <c r="B56" s="1190" t="s">
        <v>300</v>
      </c>
      <c r="C56" s="56">
        <v>400</v>
      </c>
      <c r="D56" s="426">
        <v>400</v>
      </c>
      <c r="E56" s="103">
        <f t="shared" si="9"/>
        <v>0</v>
      </c>
      <c r="F56" s="1227">
        <f t="shared" si="10"/>
        <v>100</v>
      </c>
      <c r="G56" s="1227"/>
      <c r="H56" s="1128"/>
      <c r="I56" s="1128"/>
      <c r="J56" s="1128"/>
      <c r="K56" s="1128"/>
      <c r="L56" s="1128"/>
    </row>
    <row r="57" spans="1:12" s="1153" customFormat="1">
      <c r="A57" s="1178"/>
      <c r="B57" s="1190" t="s">
        <v>301</v>
      </c>
      <c r="C57" s="56">
        <v>8500</v>
      </c>
      <c r="D57" s="426">
        <v>8500</v>
      </c>
      <c r="E57" s="103">
        <f t="shared" si="9"/>
        <v>0</v>
      </c>
      <c r="F57" s="1227">
        <f t="shared" si="10"/>
        <v>100</v>
      </c>
      <c r="G57" s="1227"/>
      <c r="H57" s="1128"/>
      <c r="I57" s="1128"/>
      <c r="J57" s="1128"/>
      <c r="K57" s="1128"/>
      <c r="L57" s="1128"/>
    </row>
    <row r="58" spans="1:12" s="1153" customFormat="1" ht="31.2">
      <c r="A58" s="1178"/>
      <c r="B58" s="1256" t="s">
        <v>303</v>
      </c>
      <c r="C58" s="56">
        <v>300</v>
      </c>
      <c r="D58" s="426">
        <v>350</v>
      </c>
      <c r="E58" s="103">
        <f t="shared" si="9"/>
        <v>50</v>
      </c>
      <c r="F58" s="1227">
        <f t="shared" si="10"/>
        <v>116.66666666666667</v>
      </c>
      <c r="G58" s="1227"/>
      <c r="H58" s="1128"/>
      <c r="I58" s="1128"/>
      <c r="J58" s="1128"/>
      <c r="K58" s="1128"/>
      <c r="L58" s="1128"/>
    </row>
    <row r="59" spans="1:12" s="1153" customFormat="1">
      <c r="A59" s="1178"/>
      <c r="B59" s="1190" t="s">
        <v>304</v>
      </c>
      <c r="C59" s="56">
        <f>1762+2000+1000</f>
        <v>4762</v>
      </c>
      <c r="D59" s="426">
        <f>1866+2000+1000</f>
        <v>4866</v>
      </c>
      <c r="E59" s="103">
        <f t="shared" si="9"/>
        <v>104</v>
      </c>
      <c r="F59" s="1227">
        <f t="shared" si="10"/>
        <v>102.18395632087359</v>
      </c>
      <c r="G59" s="1227"/>
      <c r="H59" s="1128"/>
      <c r="I59" s="1128"/>
      <c r="J59" s="1128"/>
      <c r="K59" s="1128"/>
      <c r="L59" s="1128"/>
    </row>
    <row r="60" spans="1:12" s="1153" customFormat="1">
      <c r="A60" s="1178" t="s">
        <v>875</v>
      </c>
      <c r="B60" s="1179" t="s">
        <v>278</v>
      </c>
      <c r="C60" s="54">
        <v>8484</v>
      </c>
      <c r="D60" s="93">
        <v>8491</v>
      </c>
      <c r="E60" s="103">
        <f t="shared" si="9"/>
        <v>7</v>
      </c>
      <c r="F60" s="1227">
        <f t="shared" si="10"/>
        <v>100.08250825082507</v>
      </c>
      <c r="G60" s="1227"/>
      <c r="H60" s="1128"/>
      <c r="I60" s="1128"/>
      <c r="J60" s="1128"/>
      <c r="K60" s="1128"/>
      <c r="L60" s="1128"/>
    </row>
    <row r="61" spans="1:12" s="1153" customFormat="1">
      <c r="A61" s="1194"/>
      <c r="B61" s="1179" t="s">
        <v>290</v>
      </c>
      <c r="C61" s="56"/>
      <c r="D61" s="426"/>
      <c r="E61" s="103">
        <f t="shared" si="9"/>
        <v>0</v>
      </c>
      <c r="F61" s="1227"/>
      <c r="G61" s="1227"/>
      <c r="H61" s="1128"/>
      <c r="I61" s="1128"/>
      <c r="J61" s="1128"/>
      <c r="K61" s="1128"/>
      <c r="L61" s="1128"/>
    </row>
    <row r="62" spans="1:12" s="1153" customFormat="1">
      <c r="A62" s="1194"/>
      <c r="B62" s="1195" t="s">
        <v>305</v>
      </c>
      <c r="C62" s="56">
        <v>2714</v>
      </c>
      <c r="D62" s="426">
        <v>2721</v>
      </c>
      <c r="E62" s="103">
        <f t="shared" si="9"/>
        <v>7</v>
      </c>
      <c r="F62" s="1227">
        <f t="shared" si="10"/>
        <v>100.25792188651437</v>
      </c>
      <c r="G62" s="1227"/>
      <c r="H62" s="1128"/>
      <c r="I62" s="1128"/>
      <c r="J62" s="1128"/>
      <c r="K62" s="1128"/>
      <c r="L62" s="1128"/>
    </row>
    <row r="63" spans="1:12" s="1153" customFormat="1" ht="16.2">
      <c r="A63" s="1196"/>
      <c r="B63" s="1195" t="s">
        <v>306</v>
      </c>
      <c r="C63" s="56">
        <v>555</v>
      </c>
      <c r="D63" s="426">
        <v>555</v>
      </c>
      <c r="E63" s="103">
        <f t="shared" si="9"/>
        <v>0</v>
      </c>
      <c r="F63" s="1227">
        <f t="shared" si="10"/>
        <v>100</v>
      </c>
      <c r="G63" s="1227"/>
      <c r="H63" s="1128"/>
      <c r="I63" s="1128"/>
      <c r="J63" s="1128"/>
      <c r="K63" s="1128"/>
      <c r="L63" s="1128"/>
    </row>
    <row r="64" spans="1:12" s="1153" customFormat="1" ht="16.2">
      <c r="A64" s="1196"/>
      <c r="B64" s="1190" t="s">
        <v>307</v>
      </c>
      <c r="C64" s="56">
        <v>5215</v>
      </c>
      <c r="D64" s="426">
        <v>5215</v>
      </c>
      <c r="E64" s="103">
        <f t="shared" si="9"/>
        <v>0</v>
      </c>
      <c r="F64" s="1227">
        <f t="shared" si="10"/>
        <v>100</v>
      </c>
      <c r="G64" s="1227"/>
      <c r="H64" s="1128"/>
      <c r="I64" s="1128"/>
      <c r="J64" s="1128"/>
      <c r="K64" s="1128"/>
      <c r="L64" s="1128"/>
    </row>
    <row r="65" spans="1:12" s="1153" customFormat="1" ht="16.2">
      <c r="A65" s="1196"/>
      <c r="B65" s="1190" t="s">
        <v>308</v>
      </c>
      <c r="C65" s="56"/>
      <c r="D65" s="426"/>
      <c r="E65" s="103">
        <f t="shared" si="9"/>
        <v>0</v>
      </c>
      <c r="F65" s="1227"/>
      <c r="G65" s="1227"/>
      <c r="H65" s="1128"/>
      <c r="I65" s="1128"/>
      <c r="J65" s="1128"/>
      <c r="K65" s="1128"/>
      <c r="L65" s="1128"/>
    </row>
    <row r="66" spans="1:12" s="1153" customFormat="1" ht="31.2">
      <c r="A66" s="1178" t="s">
        <v>876</v>
      </c>
      <c r="B66" s="1179" t="s">
        <v>277</v>
      </c>
      <c r="C66" s="56">
        <f>46636+6051+2521</f>
        <v>55208</v>
      </c>
      <c r="D66" s="426">
        <f>52919+191+5692+2691</f>
        <v>61493</v>
      </c>
      <c r="E66" s="103">
        <f t="shared" si="9"/>
        <v>6285</v>
      </c>
      <c r="F66" s="1227">
        <f t="shared" si="10"/>
        <v>111.38421967830749</v>
      </c>
      <c r="G66" s="1227"/>
      <c r="H66" s="1128"/>
      <c r="I66" s="1128"/>
      <c r="J66" s="1128"/>
      <c r="K66" s="1128"/>
      <c r="L66" s="1128"/>
    </row>
    <row r="67" spans="1:12" s="1153" customFormat="1">
      <c r="A67" s="1178" t="s">
        <v>877</v>
      </c>
      <c r="B67" s="1179" t="s">
        <v>720</v>
      </c>
      <c r="C67" s="54">
        <f>D67-510+512-115+170</f>
        <v>3100</v>
      </c>
      <c r="D67" s="93">
        <f>3610-116-396+115-170</f>
        <v>3043</v>
      </c>
      <c r="E67" s="103">
        <f t="shared" si="9"/>
        <v>-57</v>
      </c>
      <c r="F67" s="1227">
        <f t="shared" si="10"/>
        <v>98.161290322580641</v>
      </c>
      <c r="G67" s="1227"/>
      <c r="H67" s="1128"/>
      <c r="I67" s="1128"/>
      <c r="J67" s="1128"/>
      <c r="K67" s="1128"/>
      <c r="L67" s="1128"/>
    </row>
    <row r="68" spans="1:12" s="1153" customFormat="1">
      <c r="A68" s="1178" t="s">
        <v>878</v>
      </c>
      <c r="B68" s="507" t="s">
        <v>819</v>
      </c>
      <c r="C68" s="54"/>
      <c r="D68" s="426"/>
      <c r="E68" s="103">
        <f t="shared" si="9"/>
        <v>0</v>
      </c>
      <c r="F68" s="1227"/>
      <c r="G68" s="1227"/>
      <c r="H68" s="1128"/>
      <c r="I68" s="1128"/>
      <c r="J68" s="1128"/>
      <c r="K68" s="1128"/>
      <c r="L68" s="1128"/>
    </row>
    <row r="69" spans="1:12" s="3" customFormat="1">
      <c r="A69" s="1144">
        <v>3</v>
      </c>
      <c r="B69" s="1109" t="s">
        <v>320</v>
      </c>
      <c r="C69" s="1102">
        <v>4135</v>
      </c>
      <c r="D69" s="95">
        <f>ROUND((D8)*2.01%,0)</f>
        <v>4987</v>
      </c>
      <c r="E69" s="46">
        <f t="shared" si="9"/>
        <v>852</v>
      </c>
      <c r="F69" s="1307">
        <f t="shared" si="10"/>
        <v>120.60459492140265</v>
      </c>
      <c r="G69" s="1307"/>
      <c r="H69" s="1128"/>
      <c r="I69" s="1128"/>
      <c r="J69" s="1128"/>
      <c r="K69" s="1128"/>
      <c r="L69" s="1128"/>
    </row>
    <row r="70" spans="1:12" s="3" customFormat="1">
      <c r="A70" s="1144" t="s">
        <v>315</v>
      </c>
      <c r="B70" s="1311" t="s">
        <v>818</v>
      </c>
      <c r="C70" s="144">
        <v>2134</v>
      </c>
      <c r="D70" s="145">
        <f>D17</f>
        <v>29827</v>
      </c>
      <c r="E70" s="46">
        <f t="shared" si="9"/>
        <v>27693</v>
      </c>
      <c r="F70" s="1307">
        <f t="shared" si="10"/>
        <v>1397.7038425492033</v>
      </c>
      <c r="G70" s="1307"/>
      <c r="H70" s="1128"/>
      <c r="I70" s="1128"/>
      <c r="J70" s="1128"/>
      <c r="K70" s="1128"/>
      <c r="L70" s="1128"/>
    </row>
    <row r="71" spans="1:12" s="3" customFormat="1">
      <c r="A71" s="3180" t="s">
        <v>15</v>
      </c>
      <c r="B71" s="3180"/>
      <c r="C71" s="290">
        <f>C24+C70</f>
        <v>205709</v>
      </c>
      <c r="D71" s="290">
        <f>D24+D70</f>
        <v>248126</v>
      </c>
      <c r="E71" s="46">
        <f t="shared" si="9"/>
        <v>42417</v>
      </c>
      <c r="F71" s="1307">
        <f t="shared" si="10"/>
        <v>120.61990481699875</v>
      </c>
      <c r="G71" s="1307"/>
      <c r="H71" s="1151"/>
      <c r="I71" s="1128"/>
      <c r="J71" s="1128"/>
      <c r="K71" s="1128"/>
      <c r="L71" s="1128"/>
    </row>
    <row r="72" spans="1:12" s="1148" customFormat="1">
      <c r="A72" s="1219"/>
      <c r="B72" s="1109" t="s">
        <v>11</v>
      </c>
      <c r="C72" s="36">
        <v>3393</v>
      </c>
      <c r="D72" s="37">
        <f>C72+I14*10%</f>
        <v>3563</v>
      </c>
      <c r="E72" s="46">
        <f t="shared" si="9"/>
        <v>170</v>
      </c>
      <c r="F72" s="1307">
        <f t="shared" si="10"/>
        <v>105.01031535514294</v>
      </c>
      <c r="G72" s="1307"/>
      <c r="H72" s="1128"/>
      <c r="I72" s="1128"/>
      <c r="J72" s="1128"/>
      <c r="K72" s="1128"/>
      <c r="L72" s="1128"/>
    </row>
    <row r="73" spans="1:12" s="1156" customFormat="1">
      <c r="A73" s="1220"/>
      <c r="B73" s="1221"/>
      <c r="C73" s="1025"/>
      <c r="D73" s="1026">
        <v>0</v>
      </c>
      <c r="E73" s="1027"/>
      <c r="F73" s="1222"/>
      <c r="G73" s="1222"/>
      <c r="H73" s="1128"/>
      <c r="I73" s="1128"/>
      <c r="J73" s="1128"/>
      <c r="K73" s="1128"/>
      <c r="L73" s="1128"/>
    </row>
    <row r="74" spans="1:12" s="1128" customFormat="1"/>
    <row r="75" spans="1:12" s="1128" customFormat="1">
      <c r="D75" s="1145"/>
    </row>
    <row r="76" spans="1:12" s="1128" customFormat="1"/>
    <row r="77" spans="1:12" s="1128" customFormat="1"/>
  </sheetData>
  <mergeCells count="10">
    <mergeCell ref="G5:G6"/>
    <mergeCell ref="E4:G4"/>
    <mergeCell ref="A71:B71"/>
    <mergeCell ref="A5:A6"/>
    <mergeCell ref="B1:F1"/>
    <mergeCell ref="B2:F2"/>
    <mergeCell ref="B5:B6"/>
    <mergeCell ref="D5:D6"/>
    <mergeCell ref="E5:F5"/>
    <mergeCell ref="C5:C6"/>
  </mergeCells>
  <pageMargins left="0.97" right="0.23622047244094499" top="0.32" bottom="0.35433070866141703" header="0.31496062992126" footer="0.31496062992126"/>
  <pageSetup paperSize="9" scale="7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10"/>
  <sheetViews>
    <sheetView workbookViewId="0">
      <selection activeCell="I14" sqref="I14"/>
    </sheetView>
  </sheetViews>
  <sheetFormatPr defaultColWidth="9.109375" defaultRowHeight="16.8"/>
  <cols>
    <col min="1" max="1" width="7" style="1515" customWidth="1"/>
    <col min="2" max="2" width="32.6640625" style="1518" customWidth="1"/>
    <col min="3" max="3" width="14.44140625" style="1515" customWidth="1"/>
    <col min="4" max="4" width="13.5546875" style="1515" customWidth="1"/>
    <col min="5" max="6" width="9.109375" style="1515"/>
    <col min="7" max="7" width="7.5546875" style="1515" customWidth="1"/>
    <col min="8" max="8" width="9.88671875" style="1515" customWidth="1"/>
    <col min="9" max="16384" width="9.109375" style="1515"/>
  </cols>
  <sheetData>
    <row r="4" spans="1:12" ht="50.4">
      <c r="C4" s="1516" t="s">
        <v>38</v>
      </c>
      <c r="D4" s="1517" t="s">
        <v>28</v>
      </c>
      <c r="E4" s="1517" t="s">
        <v>29</v>
      </c>
      <c r="F4" s="1517" t="s">
        <v>30</v>
      </c>
      <c r="G4" s="1517" t="s">
        <v>31</v>
      </c>
      <c r="H4" s="1517" t="s">
        <v>32</v>
      </c>
      <c r="I4" s="1517" t="s">
        <v>33</v>
      </c>
      <c r="J4" s="1517" t="s">
        <v>34</v>
      </c>
      <c r="K4" s="1517" t="s">
        <v>35</v>
      </c>
      <c r="L4" s="1517" t="s">
        <v>36</v>
      </c>
    </row>
    <row r="5" spans="1:12" ht="33.6">
      <c r="A5" s="1519" t="s">
        <v>54</v>
      </c>
      <c r="B5" s="1518" t="s">
        <v>919</v>
      </c>
    </row>
    <row r="6" spans="1:12" ht="33.6">
      <c r="A6" s="1519" t="s">
        <v>60</v>
      </c>
      <c r="B6" s="1518" t="s">
        <v>920</v>
      </c>
    </row>
    <row r="7" spans="1:12" ht="33.6">
      <c r="A7" s="1519" t="s">
        <v>315</v>
      </c>
      <c r="B7" s="1518" t="s">
        <v>924</v>
      </c>
    </row>
    <row r="8" spans="1:12" ht="33.6">
      <c r="A8" s="1519" t="s">
        <v>317</v>
      </c>
      <c r="B8" s="1518" t="s">
        <v>921</v>
      </c>
    </row>
    <row r="9" spans="1:12" ht="33.6">
      <c r="B9" s="1518" t="s">
        <v>922</v>
      </c>
    </row>
    <row r="10" spans="1:12" ht="50.4">
      <c r="B10" s="1518" t="s">
        <v>923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
  <sheetViews>
    <sheetView topLeftCell="A4" zoomScale="82" zoomScaleNormal="82" workbookViewId="0">
      <selection activeCell="A64" sqref="A64"/>
    </sheetView>
  </sheetViews>
  <sheetFormatPr defaultColWidth="11.109375" defaultRowHeight="13.2"/>
  <cols>
    <col min="1" max="1" width="5.109375" style="2478" customWidth="1"/>
    <col min="2" max="2" width="45.109375" style="2479" customWidth="1"/>
    <col min="3" max="4" width="12.44140625" style="2480" customWidth="1"/>
    <col min="5" max="5" width="8.44140625" style="2480" customWidth="1"/>
    <col min="6" max="6" width="13.5546875" style="2480" customWidth="1"/>
    <col min="7" max="8" width="11.77734375" style="2480" hidden="1" customWidth="1"/>
    <col min="9" max="9" width="12.6640625" style="2480" hidden="1" customWidth="1"/>
    <col min="10" max="10" width="11.77734375" style="2480" hidden="1" customWidth="1"/>
    <col min="11" max="11" width="14.33203125" style="2480" hidden="1" customWidth="1"/>
    <col min="12" max="12" width="11.77734375" style="2480" hidden="1" customWidth="1"/>
    <col min="13" max="13" width="11.109375" style="2480" hidden="1" customWidth="1"/>
    <col min="14" max="14" width="13.6640625" style="2480" customWidth="1"/>
    <col min="15" max="16" width="11.109375" style="2480" hidden="1" customWidth="1"/>
    <col min="17" max="18" width="12.33203125" style="2480" hidden="1" customWidth="1"/>
    <col min="19" max="19" width="16.6640625" style="2480" customWidth="1"/>
    <col min="20" max="256" width="11.109375" style="2480"/>
    <col min="257" max="257" width="5.109375" style="2480" customWidth="1"/>
    <col min="258" max="258" width="45.109375" style="2480" customWidth="1"/>
    <col min="259" max="260" width="12.44140625" style="2480" customWidth="1"/>
    <col min="261" max="261" width="8.44140625" style="2480" customWidth="1"/>
    <col min="262" max="262" width="13.5546875" style="2480" customWidth="1"/>
    <col min="263" max="269" width="0" style="2480" hidden="1" customWidth="1"/>
    <col min="270" max="270" width="13.6640625" style="2480" customWidth="1"/>
    <col min="271" max="274" width="0" style="2480" hidden="1" customWidth="1"/>
    <col min="275" max="275" width="16.6640625" style="2480" customWidth="1"/>
    <col min="276" max="512" width="11.109375" style="2480"/>
    <col min="513" max="513" width="5.109375" style="2480" customWidth="1"/>
    <col min="514" max="514" width="45.109375" style="2480" customWidth="1"/>
    <col min="515" max="516" width="12.44140625" style="2480" customWidth="1"/>
    <col min="517" max="517" width="8.44140625" style="2480" customWidth="1"/>
    <col min="518" max="518" width="13.5546875" style="2480" customWidth="1"/>
    <col min="519" max="525" width="0" style="2480" hidden="1" customWidth="1"/>
    <col min="526" max="526" width="13.6640625" style="2480" customWidth="1"/>
    <col min="527" max="530" width="0" style="2480" hidden="1" customWidth="1"/>
    <col min="531" max="531" width="16.6640625" style="2480" customWidth="1"/>
    <col min="532" max="768" width="11.109375" style="2480"/>
    <col min="769" max="769" width="5.109375" style="2480" customWidth="1"/>
    <col min="770" max="770" width="45.109375" style="2480" customWidth="1"/>
    <col min="771" max="772" width="12.44140625" style="2480" customWidth="1"/>
    <col min="773" max="773" width="8.44140625" style="2480" customWidth="1"/>
    <col min="774" max="774" width="13.5546875" style="2480" customWidth="1"/>
    <col min="775" max="781" width="0" style="2480" hidden="1" customWidth="1"/>
    <col min="782" max="782" width="13.6640625" style="2480" customWidth="1"/>
    <col min="783" max="786" width="0" style="2480" hidden="1" customWidth="1"/>
    <col min="787" max="787" width="16.6640625" style="2480" customWidth="1"/>
    <col min="788" max="1024" width="11.109375" style="2480"/>
    <col min="1025" max="1025" width="5.109375" style="2480" customWidth="1"/>
    <col min="1026" max="1026" width="45.109375" style="2480" customWidth="1"/>
    <col min="1027" max="1028" width="12.44140625" style="2480" customWidth="1"/>
    <col min="1029" max="1029" width="8.44140625" style="2480" customWidth="1"/>
    <col min="1030" max="1030" width="13.5546875" style="2480" customWidth="1"/>
    <col min="1031" max="1037" width="0" style="2480" hidden="1" customWidth="1"/>
    <col min="1038" max="1038" width="13.6640625" style="2480" customWidth="1"/>
    <col min="1039" max="1042" width="0" style="2480" hidden="1" customWidth="1"/>
    <col min="1043" max="1043" width="16.6640625" style="2480" customWidth="1"/>
    <col min="1044" max="1280" width="11.109375" style="2480"/>
    <col min="1281" max="1281" width="5.109375" style="2480" customWidth="1"/>
    <col min="1282" max="1282" width="45.109375" style="2480" customWidth="1"/>
    <col min="1283" max="1284" width="12.44140625" style="2480" customWidth="1"/>
    <col min="1285" max="1285" width="8.44140625" style="2480" customWidth="1"/>
    <col min="1286" max="1286" width="13.5546875" style="2480" customWidth="1"/>
    <col min="1287" max="1293" width="0" style="2480" hidden="1" customWidth="1"/>
    <col min="1294" max="1294" width="13.6640625" style="2480" customWidth="1"/>
    <col min="1295" max="1298" width="0" style="2480" hidden="1" customWidth="1"/>
    <col min="1299" max="1299" width="16.6640625" style="2480" customWidth="1"/>
    <col min="1300" max="1536" width="11.109375" style="2480"/>
    <col min="1537" max="1537" width="5.109375" style="2480" customWidth="1"/>
    <col min="1538" max="1538" width="45.109375" style="2480" customWidth="1"/>
    <col min="1539" max="1540" width="12.44140625" style="2480" customWidth="1"/>
    <col min="1541" max="1541" width="8.44140625" style="2480" customWidth="1"/>
    <col min="1542" max="1542" width="13.5546875" style="2480" customWidth="1"/>
    <col min="1543" max="1549" width="0" style="2480" hidden="1" customWidth="1"/>
    <col min="1550" max="1550" width="13.6640625" style="2480" customWidth="1"/>
    <col min="1551" max="1554" width="0" style="2480" hidden="1" customWidth="1"/>
    <col min="1555" max="1555" width="16.6640625" style="2480" customWidth="1"/>
    <col min="1556" max="1792" width="11.109375" style="2480"/>
    <col min="1793" max="1793" width="5.109375" style="2480" customWidth="1"/>
    <col min="1794" max="1794" width="45.109375" style="2480" customWidth="1"/>
    <col min="1795" max="1796" width="12.44140625" style="2480" customWidth="1"/>
    <col min="1797" max="1797" width="8.44140625" style="2480" customWidth="1"/>
    <col min="1798" max="1798" width="13.5546875" style="2480" customWidth="1"/>
    <col min="1799" max="1805" width="0" style="2480" hidden="1" customWidth="1"/>
    <col min="1806" max="1806" width="13.6640625" style="2480" customWidth="1"/>
    <col min="1807" max="1810" width="0" style="2480" hidden="1" customWidth="1"/>
    <col min="1811" max="1811" width="16.6640625" style="2480" customWidth="1"/>
    <col min="1812" max="2048" width="11.109375" style="2480"/>
    <col min="2049" max="2049" width="5.109375" style="2480" customWidth="1"/>
    <col min="2050" max="2050" width="45.109375" style="2480" customWidth="1"/>
    <col min="2051" max="2052" width="12.44140625" style="2480" customWidth="1"/>
    <col min="2053" max="2053" width="8.44140625" style="2480" customWidth="1"/>
    <col min="2054" max="2054" width="13.5546875" style="2480" customWidth="1"/>
    <col min="2055" max="2061" width="0" style="2480" hidden="1" customWidth="1"/>
    <col min="2062" max="2062" width="13.6640625" style="2480" customWidth="1"/>
    <col min="2063" max="2066" width="0" style="2480" hidden="1" customWidth="1"/>
    <col min="2067" max="2067" width="16.6640625" style="2480" customWidth="1"/>
    <col min="2068" max="2304" width="11.109375" style="2480"/>
    <col min="2305" max="2305" width="5.109375" style="2480" customWidth="1"/>
    <col min="2306" max="2306" width="45.109375" style="2480" customWidth="1"/>
    <col min="2307" max="2308" width="12.44140625" style="2480" customWidth="1"/>
    <col min="2309" max="2309" width="8.44140625" style="2480" customWidth="1"/>
    <col min="2310" max="2310" width="13.5546875" style="2480" customWidth="1"/>
    <col min="2311" max="2317" width="0" style="2480" hidden="1" customWidth="1"/>
    <col min="2318" max="2318" width="13.6640625" style="2480" customWidth="1"/>
    <col min="2319" max="2322" width="0" style="2480" hidden="1" customWidth="1"/>
    <col min="2323" max="2323" width="16.6640625" style="2480" customWidth="1"/>
    <col min="2324" max="2560" width="11.109375" style="2480"/>
    <col min="2561" max="2561" width="5.109375" style="2480" customWidth="1"/>
    <col min="2562" max="2562" width="45.109375" style="2480" customWidth="1"/>
    <col min="2563" max="2564" width="12.44140625" style="2480" customWidth="1"/>
    <col min="2565" max="2565" width="8.44140625" style="2480" customWidth="1"/>
    <col min="2566" max="2566" width="13.5546875" style="2480" customWidth="1"/>
    <col min="2567" max="2573" width="0" style="2480" hidden="1" customWidth="1"/>
    <col min="2574" max="2574" width="13.6640625" style="2480" customWidth="1"/>
    <col min="2575" max="2578" width="0" style="2480" hidden="1" customWidth="1"/>
    <col min="2579" max="2579" width="16.6640625" style="2480" customWidth="1"/>
    <col min="2580" max="2816" width="11.109375" style="2480"/>
    <col min="2817" max="2817" width="5.109375" style="2480" customWidth="1"/>
    <col min="2818" max="2818" width="45.109375" style="2480" customWidth="1"/>
    <col min="2819" max="2820" width="12.44140625" style="2480" customWidth="1"/>
    <col min="2821" max="2821" width="8.44140625" style="2480" customWidth="1"/>
    <col min="2822" max="2822" width="13.5546875" style="2480" customWidth="1"/>
    <col min="2823" max="2829" width="0" style="2480" hidden="1" customWidth="1"/>
    <col min="2830" max="2830" width="13.6640625" style="2480" customWidth="1"/>
    <col min="2831" max="2834" width="0" style="2480" hidden="1" customWidth="1"/>
    <col min="2835" max="2835" width="16.6640625" style="2480" customWidth="1"/>
    <col min="2836" max="3072" width="11.109375" style="2480"/>
    <col min="3073" max="3073" width="5.109375" style="2480" customWidth="1"/>
    <col min="3074" max="3074" width="45.109375" style="2480" customWidth="1"/>
    <col min="3075" max="3076" width="12.44140625" style="2480" customWidth="1"/>
    <col min="3077" max="3077" width="8.44140625" style="2480" customWidth="1"/>
    <col min="3078" max="3078" width="13.5546875" style="2480" customWidth="1"/>
    <col min="3079" max="3085" width="0" style="2480" hidden="1" customWidth="1"/>
    <col min="3086" max="3086" width="13.6640625" style="2480" customWidth="1"/>
    <col min="3087" max="3090" width="0" style="2480" hidden="1" customWidth="1"/>
    <col min="3091" max="3091" width="16.6640625" style="2480" customWidth="1"/>
    <col min="3092" max="3328" width="11.109375" style="2480"/>
    <col min="3329" max="3329" width="5.109375" style="2480" customWidth="1"/>
    <col min="3330" max="3330" width="45.109375" style="2480" customWidth="1"/>
    <col min="3331" max="3332" width="12.44140625" style="2480" customWidth="1"/>
    <col min="3333" max="3333" width="8.44140625" style="2480" customWidth="1"/>
    <col min="3334" max="3334" width="13.5546875" style="2480" customWidth="1"/>
    <col min="3335" max="3341" width="0" style="2480" hidden="1" customWidth="1"/>
    <col min="3342" max="3342" width="13.6640625" style="2480" customWidth="1"/>
    <col min="3343" max="3346" width="0" style="2480" hidden="1" customWidth="1"/>
    <col min="3347" max="3347" width="16.6640625" style="2480" customWidth="1"/>
    <col min="3348" max="3584" width="11.109375" style="2480"/>
    <col min="3585" max="3585" width="5.109375" style="2480" customWidth="1"/>
    <col min="3586" max="3586" width="45.109375" style="2480" customWidth="1"/>
    <col min="3587" max="3588" width="12.44140625" style="2480" customWidth="1"/>
    <col min="3589" max="3589" width="8.44140625" style="2480" customWidth="1"/>
    <col min="3590" max="3590" width="13.5546875" style="2480" customWidth="1"/>
    <col min="3591" max="3597" width="0" style="2480" hidden="1" customWidth="1"/>
    <col min="3598" max="3598" width="13.6640625" style="2480" customWidth="1"/>
    <col min="3599" max="3602" width="0" style="2480" hidden="1" customWidth="1"/>
    <col min="3603" max="3603" width="16.6640625" style="2480" customWidth="1"/>
    <col min="3604" max="3840" width="11.109375" style="2480"/>
    <col min="3841" max="3841" width="5.109375" style="2480" customWidth="1"/>
    <col min="3842" max="3842" width="45.109375" style="2480" customWidth="1"/>
    <col min="3843" max="3844" width="12.44140625" style="2480" customWidth="1"/>
    <col min="3845" max="3845" width="8.44140625" style="2480" customWidth="1"/>
    <col min="3846" max="3846" width="13.5546875" style="2480" customWidth="1"/>
    <col min="3847" max="3853" width="0" style="2480" hidden="1" customWidth="1"/>
    <col min="3854" max="3854" width="13.6640625" style="2480" customWidth="1"/>
    <col min="3855" max="3858" width="0" style="2480" hidden="1" customWidth="1"/>
    <col min="3859" max="3859" width="16.6640625" style="2480" customWidth="1"/>
    <col min="3860" max="4096" width="11.109375" style="2480"/>
    <col min="4097" max="4097" width="5.109375" style="2480" customWidth="1"/>
    <col min="4098" max="4098" width="45.109375" style="2480" customWidth="1"/>
    <col min="4099" max="4100" width="12.44140625" style="2480" customWidth="1"/>
    <col min="4101" max="4101" width="8.44140625" style="2480" customWidth="1"/>
    <col min="4102" max="4102" width="13.5546875" style="2480" customWidth="1"/>
    <col min="4103" max="4109" width="0" style="2480" hidden="1" customWidth="1"/>
    <col min="4110" max="4110" width="13.6640625" style="2480" customWidth="1"/>
    <col min="4111" max="4114" width="0" style="2480" hidden="1" customWidth="1"/>
    <col min="4115" max="4115" width="16.6640625" style="2480" customWidth="1"/>
    <col min="4116" max="4352" width="11.109375" style="2480"/>
    <col min="4353" max="4353" width="5.109375" style="2480" customWidth="1"/>
    <col min="4354" max="4354" width="45.109375" style="2480" customWidth="1"/>
    <col min="4355" max="4356" width="12.44140625" style="2480" customWidth="1"/>
    <col min="4357" max="4357" width="8.44140625" style="2480" customWidth="1"/>
    <col min="4358" max="4358" width="13.5546875" style="2480" customWidth="1"/>
    <col min="4359" max="4365" width="0" style="2480" hidden="1" customWidth="1"/>
    <col min="4366" max="4366" width="13.6640625" style="2480" customWidth="1"/>
    <col min="4367" max="4370" width="0" style="2480" hidden="1" customWidth="1"/>
    <col min="4371" max="4371" width="16.6640625" style="2480" customWidth="1"/>
    <col min="4372" max="4608" width="11.109375" style="2480"/>
    <col min="4609" max="4609" width="5.109375" style="2480" customWidth="1"/>
    <col min="4610" max="4610" width="45.109375" style="2480" customWidth="1"/>
    <col min="4611" max="4612" width="12.44140625" style="2480" customWidth="1"/>
    <col min="4613" max="4613" width="8.44140625" style="2480" customWidth="1"/>
    <col min="4614" max="4614" width="13.5546875" style="2480" customWidth="1"/>
    <col min="4615" max="4621" width="0" style="2480" hidden="1" customWidth="1"/>
    <col min="4622" max="4622" width="13.6640625" style="2480" customWidth="1"/>
    <col min="4623" max="4626" width="0" style="2480" hidden="1" customWidth="1"/>
    <col min="4627" max="4627" width="16.6640625" style="2480" customWidth="1"/>
    <col min="4628" max="4864" width="11.109375" style="2480"/>
    <col min="4865" max="4865" width="5.109375" style="2480" customWidth="1"/>
    <col min="4866" max="4866" width="45.109375" style="2480" customWidth="1"/>
    <col min="4867" max="4868" width="12.44140625" style="2480" customWidth="1"/>
    <col min="4869" max="4869" width="8.44140625" style="2480" customWidth="1"/>
    <col min="4870" max="4870" width="13.5546875" style="2480" customWidth="1"/>
    <col min="4871" max="4877" width="0" style="2480" hidden="1" customWidth="1"/>
    <col min="4878" max="4878" width="13.6640625" style="2480" customWidth="1"/>
    <col min="4879" max="4882" width="0" style="2480" hidden="1" customWidth="1"/>
    <col min="4883" max="4883" width="16.6640625" style="2480" customWidth="1"/>
    <col min="4884" max="5120" width="11.109375" style="2480"/>
    <col min="5121" max="5121" width="5.109375" style="2480" customWidth="1"/>
    <col min="5122" max="5122" width="45.109375" style="2480" customWidth="1"/>
    <col min="5123" max="5124" width="12.44140625" style="2480" customWidth="1"/>
    <col min="5125" max="5125" width="8.44140625" style="2480" customWidth="1"/>
    <col min="5126" max="5126" width="13.5546875" style="2480" customWidth="1"/>
    <col min="5127" max="5133" width="0" style="2480" hidden="1" customWidth="1"/>
    <col min="5134" max="5134" width="13.6640625" style="2480" customWidth="1"/>
    <col min="5135" max="5138" width="0" style="2480" hidden="1" customWidth="1"/>
    <col min="5139" max="5139" width="16.6640625" style="2480" customWidth="1"/>
    <col min="5140" max="5376" width="11.109375" style="2480"/>
    <col min="5377" max="5377" width="5.109375" style="2480" customWidth="1"/>
    <col min="5378" max="5378" width="45.109375" style="2480" customWidth="1"/>
    <col min="5379" max="5380" width="12.44140625" style="2480" customWidth="1"/>
    <col min="5381" max="5381" width="8.44140625" style="2480" customWidth="1"/>
    <col min="5382" max="5382" width="13.5546875" style="2480" customWidth="1"/>
    <col min="5383" max="5389" width="0" style="2480" hidden="1" customWidth="1"/>
    <col min="5390" max="5390" width="13.6640625" style="2480" customWidth="1"/>
    <col min="5391" max="5394" width="0" style="2480" hidden="1" customWidth="1"/>
    <col min="5395" max="5395" width="16.6640625" style="2480" customWidth="1"/>
    <col min="5396" max="5632" width="11.109375" style="2480"/>
    <col min="5633" max="5633" width="5.109375" style="2480" customWidth="1"/>
    <col min="5634" max="5634" width="45.109375" style="2480" customWidth="1"/>
    <col min="5635" max="5636" width="12.44140625" style="2480" customWidth="1"/>
    <col min="5637" max="5637" width="8.44140625" style="2480" customWidth="1"/>
    <col min="5638" max="5638" width="13.5546875" style="2480" customWidth="1"/>
    <col min="5639" max="5645" width="0" style="2480" hidden="1" customWidth="1"/>
    <col min="5646" max="5646" width="13.6640625" style="2480" customWidth="1"/>
    <col min="5647" max="5650" width="0" style="2480" hidden="1" customWidth="1"/>
    <col min="5651" max="5651" width="16.6640625" style="2480" customWidth="1"/>
    <col min="5652" max="5888" width="11.109375" style="2480"/>
    <col min="5889" max="5889" width="5.109375" style="2480" customWidth="1"/>
    <col min="5890" max="5890" width="45.109375" style="2480" customWidth="1"/>
    <col min="5891" max="5892" width="12.44140625" style="2480" customWidth="1"/>
    <col min="5893" max="5893" width="8.44140625" style="2480" customWidth="1"/>
    <col min="5894" max="5894" width="13.5546875" style="2480" customWidth="1"/>
    <col min="5895" max="5901" width="0" style="2480" hidden="1" customWidth="1"/>
    <col min="5902" max="5902" width="13.6640625" style="2480" customWidth="1"/>
    <col min="5903" max="5906" width="0" style="2480" hidden="1" customWidth="1"/>
    <col min="5907" max="5907" width="16.6640625" style="2480" customWidth="1"/>
    <col min="5908" max="6144" width="11.109375" style="2480"/>
    <col min="6145" max="6145" width="5.109375" style="2480" customWidth="1"/>
    <col min="6146" max="6146" width="45.109375" style="2480" customWidth="1"/>
    <col min="6147" max="6148" width="12.44140625" style="2480" customWidth="1"/>
    <col min="6149" max="6149" width="8.44140625" style="2480" customWidth="1"/>
    <col min="6150" max="6150" width="13.5546875" style="2480" customWidth="1"/>
    <col min="6151" max="6157" width="0" style="2480" hidden="1" customWidth="1"/>
    <col min="6158" max="6158" width="13.6640625" style="2480" customWidth="1"/>
    <col min="6159" max="6162" width="0" style="2480" hidden="1" customWidth="1"/>
    <col min="6163" max="6163" width="16.6640625" style="2480" customWidth="1"/>
    <col min="6164" max="6400" width="11.109375" style="2480"/>
    <col min="6401" max="6401" width="5.109375" style="2480" customWidth="1"/>
    <col min="6402" max="6402" width="45.109375" style="2480" customWidth="1"/>
    <col min="6403" max="6404" width="12.44140625" style="2480" customWidth="1"/>
    <col min="6405" max="6405" width="8.44140625" style="2480" customWidth="1"/>
    <col min="6406" max="6406" width="13.5546875" style="2480" customWidth="1"/>
    <col min="6407" max="6413" width="0" style="2480" hidden="1" customWidth="1"/>
    <col min="6414" max="6414" width="13.6640625" style="2480" customWidth="1"/>
    <col min="6415" max="6418" width="0" style="2480" hidden="1" customWidth="1"/>
    <col min="6419" max="6419" width="16.6640625" style="2480" customWidth="1"/>
    <col min="6420" max="6656" width="11.109375" style="2480"/>
    <col min="6657" max="6657" width="5.109375" style="2480" customWidth="1"/>
    <col min="6658" max="6658" width="45.109375" style="2480" customWidth="1"/>
    <col min="6659" max="6660" width="12.44140625" style="2480" customWidth="1"/>
    <col min="6661" max="6661" width="8.44140625" style="2480" customWidth="1"/>
    <col min="6662" max="6662" width="13.5546875" style="2480" customWidth="1"/>
    <col min="6663" max="6669" width="0" style="2480" hidden="1" customWidth="1"/>
    <col min="6670" max="6670" width="13.6640625" style="2480" customWidth="1"/>
    <col min="6671" max="6674" width="0" style="2480" hidden="1" customWidth="1"/>
    <col min="6675" max="6675" width="16.6640625" style="2480" customWidth="1"/>
    <col min="6676" max="6912" width="11.109375" style="2480"/>
    <col min="6913" max="6913" width="5.109375" style="2480" customWidth="1"/>
    <col min="6914" max="6914" width="45.109375" style="2480" customWidth="1"/>
    <col min="6915" max="6916" width="12.44140625" style="2480" customWidth="1"/>
    <col min="6917" max="6917" width="8.44140625" style="2480" customWidth="1"/>
    <col min="6918" max="6918" width="13.5546875" style="2480" customWidth="1"/>
    <col min="6919" max="6925" width="0" style="2480" hidden="1" customWidth="1"/>
    <col min="6926" max="6926" width="13.6640625" style="2480" customWidth="1"/>
    <col min="6927" max="6930" width="0" style="2480" hidden="1" customWidth="1"/>
    <col min="6931" max="6931" width="16.6640625" style="2480" customWidth="1"/>
    <col min="6932" max="7168" width="11.109375" style="2480"/>
    <col min="7169" max="7169" width="5.109375" style="2480" customWidth="1"/>
    <col min="7170" max="7170" width="45.109375" style="2480" customWidth="1"/>
    <col min="7171" max="7172" width="12.44140625" style="2480" customWidth="1"/>
    <col min="7173" max="7173" width="8.44140625" style="2480" customWidth="1"/>
    <col min="7174" max="7174" width="13.5546875" style="2480" customWidth="1"/>
    <col min="7175" max="7181" width="0" style="2480" hidden="1" customWidth="1"/>
    <col min="7182" max="7182" width="13.6640625" style="2480" customWidth="1"/>
    <col min="7183" max="7186" width="0" style="2480" hidden="1" customWidth="1"/>
    <col min="7187" max="7187" width="16.6640625" style="2480" customWidth="1"/>
    <col min="7188" max="7424" width="11.109375" style="2480"/>
    <col min="7425" max="7425" width="5.109375" style="2480" customWidth="1"/>
    <col min="7426" max="7426" width="45.109375" style="2480" customWidth="1"/>
    <col min="7427" max="7428" width="12.44140625" style="2480" customWidth="1"/>
    <col min="7429" max="7429" width="8.44140625" style="2480" customWidth="1"/>
    <col min="7430" max="7430" width="13.5546875" style="2480" customWidth="1"/>
    <col min="7431" max="7437" width="0" style="2480" hidden="1" customWidth="1"/>
    <col min="7438" max="7438" width="13.6640625" style="2480" customWidth="1"/>
    <col min="7439" max="7442" width="0" style="2480" hidden="1" customWidth="1"/>
    <col min="7443" max="7443" width="16.6640625" style="2480" customWidth="1"/>
    <col min="7444" max="7680" width="11.109375" style="2480"/>
    <col min="7681" max="7681" width="5.109375" style="2480" customWidth="1"/>
    <col min="7682" max="7682" width="45.109375" style="2480" customWidth="1"/>
    <col min="7683" max="7684" width="12.44140625" style="2480" customWidth="1"/>
    <col min="7685" max="7685" width="8.44140625" style="2480" customWidth="1"/>
    <col min="7686" max="7686" width="13.5546875" style="2480" customWidth="1"/>
    <col min="7687" max="7693" width="0" style="2480" hidden="1" customWidth="1"/>
    <col min="7694" max="7694" width="13.6640625" style="2480" customWidth="1"/>
    <col min="7695" max="7698" width="0" style="2480" hidden="1" customWidth="1"/>
    <col min="7699" max="7699" width="16.6640625" style="2480" customWidth="1"/>
    <col min="7700" max="7936" width="11.109375" style="2480"/>
    <col min="7937" max="7937" width="5.109375" style="2480" customWidth="1"/>
    <col min="7938" max="7938" width="45.109375" style="2480" customWidth="1"/>
    <col min="7939" max="7940" width="12.44140625" style="2480" customWidth="1"/>
    <col min="7941" max="7941" width="8.44140625" style="2480" customWidth="1"/>
    <col min="7942" max="7942" width="13.5546875" style="2480" customWidth="1"/>
    <col min="7943" max="7949" width="0" style="2480" hidden="1" customWidth="1"/>
    <col min="7950" max="7950" width="13.6640625" style="2480" customWidth="1"/>
    <col min="7951" max="7954" width="0" style="2480" hidden="1" customWidth="1"/>
    <col min="7955" max="7955" width="16.6640625" style="2480" customWidth="1"/>
    <col min="7956" max="8192" width="11.109375" style="2480"/>
    <col min="8193" max="8193" width="5.109375" style="2480" customWidth="1"/>
    <col min="8194" max="8194" width="45.109375" style="2480" customWidth="1"/>
    <col min="8195" max="8196" width="12.44140625" style="2480" customWidth="1"/>
    <col min="8197" max="8197" width="8.44140625" style="2480" customWidth="1"/>
    <col min="8198" max="8198" width="13.5546875" style="2480" customWidth="1"/>
    <col min="8199" max="8205" width="0" style="2480" hidden="1" customWidth="1"/>
    <col min="8206" max="8206" width="13.6640625" style="2480" customWidth="1"/>
    <col min="8207" max="8210" width="0" style="2480" hidden="1" customWidth="1"/>
    <col min="8211" max="8211" width="16.6640625" style="2480" customWidth="1"/>
    <col min="8212" max="8448" width="11.109375" style="2480"/>
    <col min="8449" max="8449" width="5.109375" style="2480" customWidth="1"/>
    <col min="8450" max="8450" width="45.109375" style="2480" customWidth="1"/>
    <col min="8451" max="8452" width="12.44140625" style="2480" customWidth="1"/>
    <col min="8453" max="8453" width="8.44140625" style="2480" customWidth="1"/>
    <col min="8454" max="8454" width="13.5546875" style="2480" customWidth="1"/>
    <col min="8455" max="8461" width="0" style="2480" hidden="1" customWidth="1"/>
    <col min="8462" max="8462" width="13.6640625" style="2480" customWidth="1"/>
    <col min="8463" max="8466" width="0" style="2480" hidden="1" customWidth="1"/>
    <col min="8467" max="8467" width="16.6640625" style="2480" customWidth="1"/>
    <col min="8468" max="8704" width="11.109375" style="2480"/>
    <col min="8705" max="8705" width="5.109375" style="2480" customWidth="1"/>
    <col min="8706" max="8706" width="45.109375" style="2480" customWidth="1"/>
    <col min="8707" max="8708" width="12.44140625" style="2480" customWidth="1"/>
    <col min="8709" max="8709" width="8.44140625" style="2480" customWidth="1"/>
    <col min="8710" max="8710" width="13.5546875" style="2480" customWidth="1"/>
    <col min="8711" max="8717" width="0" style="2480" hidden="1" customWidth="1"/>
    <col min="8718" max="8718" width="13.6640625" style="2480" customWidth="1"/>
    <col min="8719" max="8722" width="0" style="2480" hidden="1" customWidth="1"/>
    <col min="8723" max="8723" width="16.6640625" style="2480" customWidth="1"/>
    <col min="8724" max="8960" width="11.109375" style="2480"/>
    <col min="8961" max="8961" width="5.109375" style="2480" customWidth="1"/>
    <col min="8962" max="8962" width="45.109375" style="2480" customWidth="1"/>
    <col min="8963" max="8964" width="12.44140625" style="2480" customWidth="1"/>
    <col min="8965" max="8965" width="8.44140625" style="2480" customWidth="1"/>
    <col min="8966" max="8966" width="13.5546875" style="2480" customWidth="1"/>
    <col min="8967" max="8973" width="0" style="2480" hidden="1" customWidth="1"/>
    <col min="8974" max="8974" width="13.6640625" style="2480" customWidth="1"/>
    <col min="8975" max="8978" width="0" style="2480" hidden="1" customWidth="1"/>
    <col min="8979" max="8979" width="16.6640625" style="2480" customWidth="1"/>
    <col min="8980" max="9216" width="11.109375" style="2480"/>
    <col min="9217" max="9217" width="5.109375" style="2480" customWidth="1"/>
    <col min="9218" max="9218" width="45.109375" style="2480" customWidth="1"/>
    <col min="9219" max="9220" width="12.44140625" style="2480" customWidth="1"/>
    <col min="9221" max="9221" width="8.44140625" style="2480" customWidth="1"/>
    <col min="9222" max="9222" width="13.5546875" style="2480" customWidth="1"/>
    <col min="9223" max="9229" width="0" style="2480" hidden="1" customWidth="1"/>
    <col min="9230" max="9230" width="13.6640625" style="2480" customWidth="1"/>
    <col min="9231" max="9234" width="0" style="2480" hidden="1" customWidth="1"/>
    <col min="9235" max="9235" width="16.6640625" style="2480" customWidth="1"/>
    <col min="9236" max="9472" width="11.109375" style="2480"/>
    <col min="9473" max="9473" width="5.109375" style="2480" customWidth="1"/>
    <col min="9474" max="9474" width="45.109375" style="2480" customWidth="1"/>
    <col min="9475" max="9476" width="12.44140625" style="2480" customWidth="1"/>
    <col min="9477" max="9477" width="8.44140625" style="2480" customWidth="1"/>
    <col min="9478" max="9478" width="13.5546875" style="2480" customWidth="1"/>
    <col min="9479" max="9485" width="0" style="2480" hidden="1" customWidth="1"/>
    <col min="9486" max="9486" width="13.6640625" style="2480" customWidth="1"/>
    <col min="9487" max="9490" width="0" style="2480" hidden="1" customWidth="1"/>
    <col min="9491" max="9491" width="16.6640625" style="2480" customWidth="1"/>
    <col min="9492" max="9728" width="11.109375" style="2480"/>
    <col min="9729" max="9729" width="5.109375" style="2480" customWidth="1"/>
    <col min="9730" max="9730" width="45.109375" style="2480" customWidth="1"/>
    <col min="9731" max="9732" width="12.44140625" style="2480" customWidth="1"/>
    <col min="9733" max="9733" width="8.44140625" style="2480" customWidth="1"/>
    <col min="9734" max="9734" width="13.5546875" style="2480" customWidth="1"/>
    <col min="9735" max="9741" width="0" style="2480" hidden="1" customWidth="1"/>
    <col min="9742" max="9742" width="13.6640625" style="2480" customWidth="1"/>
    <col min="9743" max="9746" width="0" style="2480" hidden="1" customWidth="1"/>
    <col min="9747" max="9747" width="16.6640625" style="2480" customWidth="1"/>
    <col min="9748" max="9984" width="11.109375" style="2480"/>
    <col min="9985" max="9985" width="5.109375" style="2480" customWidth="1"/>
    <col min="9986" max="9986" width="45.109375" style="2480" customWidth="1"/>
    <col min="9987" max="9988" width="12.44140625" style="2480" customWidth="1"/>
    <col min="9989" max="9989" width="8.44140625" style="2480" customWidth="1"/>
    <col min="9990" max="9990" width="13.5546875" style="2480" customWidth="1"/>
    <col min="9991" max="9997" width="0" style="2480" hidden="1" customWidth="1"/>
    <col min="9998" max="9998" width="13.6640625" style="2480" customWidth="1"/>
    <col min="9999" max="10002" width="0" style="2480" hidden="1" customWidth="1"/>
    <col min="10003" max="10003" width="16.6640625" style="2480" customWidth="1"/>
    <col min="10004" max="10240" width="11.109375" style="2480"/>
    <col min="10241" max="10241" width="5.109375" style="2480" customWidth="1"/>
    <col min="10242" max="10242" width="45.109375" style="2480" customWidth="1"/>
    <col min="10243" max="10244" width="12.44140625" style="2480" customWidth="1"/>
    <col min="10245" max="10245" width="8.44140625" style="2480" customWidth="1"/>
    <col min="10246" max="10246" width="13.5546875" style="2480" customWidth="1"/>
    <col min="10247" max="10253" width="0" style="2480" hidden="1" customWidth="1"/>
    <col min="10254" max="10254" width="13.6640625" style="2480" customWidth="1"/>
    <col min="10255" max="10258" width="0" style="2480" hidden="1" customWidth="1"/>
    <col min="10259" max="10259" width="16.6640625" style="2480" customWidth="1"/>
    <col min="10260" max="10496" width="11.109375" style="2480"/>
    <col min="10497" max="10497" width="5.109375" style="2480" customWidth="1"/>
    <col min="10498" max="10498" width="45.109375" style="2480" customWidth="1"/>
    <col min="10499" max="10500" width="12.44140625" style="2480" customWidth="1"/>
    <col min="10501" max="10501" width="8.44140625" style="2480" customWidth="1"/>
    <col min="10502" max="10502" width="13.5546875" style="2480" customWidth="1"/>
    <col min="10503" max="10509" width="0" style="2480" hidden="1" customWidth="1"/>
    <col min="10510" max="10510" width="13.6640625" style="2480" customWidth="1"/>
    <col min="10511" max="10514" width="0" style="2480" hidden="1" customWidth="1"/>
    <col min="10515" max="10515" width="16.6640625" style="2480" customWidth="1"/>
    <col min="10516" max="10752" width="11.109375" style="2480"/>
    <col min="10753" max="10753" width="5.109375" style="2480" customWidth="1"/>
    <col min="10754" max="10754" width="45.109375" style="2480" customWidth="1"/>
    <col min="10755" max="10756" width="12.44140625" style="2480" customWidth="1"/>
    <col min="10757" max="10757" width="8.44140625" style="2480" customWidth="1"/>
    <col min="10758" max="10758" width="13.5546875" style="2480" customWidth="1"/>
    <col min="10759" max="10765" width="0" style="2480" hidden="1" customWidth="1"/>
    <col min="10766" max="10766" width="13.6640625" style="2480" customWidth="1"/>
    <col min="10767" max="10770" width="0" style="2480" hidden="1" customWidth="1"/>
    <col min="10771" max="10771" width="16.6640625" style="2480" customWidth="1"/>
    <col min="10772" max="11008" width="11.109375" style="2480"/>
    <col min="11009" max="11009" width="5.109375" style="2480" customWidth="1"/>
    <col min="11010" max="11010" width="45.109375" style="2480" customWidth="1"/>
    <col min="11011" max="11012" width="12.44140625" style="2480" customWidth="1"/>
    <col min="11013" max="11013" width="8.44140625" style="2480" customWidth="1"/>
    <col min="11014" max="11014" width="13.5546875" style="2480" customWidth="1"/>
    <col min="11015" max="11021" width="0" style="2480" hidden="1" customWidth="1"/>
    <col min="11022" max="11022" width="13.6640625" style="2480" customWidth="1"/>
    <col min="11023" max="11026" width="0" style="2480" hidden="1" customWidth="1"/>
    <col min="11027" max="11027" width="16.6640625" style="2480" customWidth="1"/>
    <col min="11028" max="11264" width="11.109375" style="2480"/>
    <col min="11265" max="11265" width="5.109375" style="2480" customWidth="1"/>
    <col min="11266" max="11266" width="45.109375" style="2480" customWidth="1"/>
    <col min="11267" max="11268" width="12.44140625" style="2480" customWidth="1"/>
    <col min="11269" max="11269" width="8.44140625" style="2480" customWidth="1"/>
    <col min="11270" max="11270" width="13.5546875" style="2480" customWidth="1"/>
    <col min="11271" max="11277" width="0" style="2480" hidden="1" customWidth="1"/>
    <col min="11278" max="11278" width="13.6640625" style="2480" customWidth="1"/>
    <col min="11279" max="11282" width="0" style="2480" hidden="1" customWidth="1"/>
    <col min="11283" max="11283" width="16.6640625" style="2480" customWidth="1"/>
    <col min="11284" max="11520" width="11.109375" style="2480"/>
    <col min="11521" max="11521" width="5.109375" style="2480" customWidth="1"/>
    <col min="11522" max="11522" width="45.109375" style="2480" customWidth="1"/>
    <col min="11523" max="11524" width="12.44140625" style="2480" customWidth="1"/>
    <col min="11525" max="11525" width="8.44140625" style="2480" customWidth="1"/>
    <col min="11526" max="11526" width="13.5546875" style="2480" customWidth="1"/>
    <col min="11527" max="11533" width="0" style="2480" hidden="1" customWidth="1"/>
    <col min="11534" max="11534" width="13.6640625" style="2480" customWidth="1"/>
    <col min="11535" max="11538" width="0" style="2480" hidden="1" customWidth="1"/>
    <col min="11539" max="11539" width="16.6640625" style="2480" customWidth="1"/>
    <col min="11540" max="11776" width="11.109375" style="2480"/>
    <col min="11777" max="11777" width="5.109375" style="2480" customWidth="1"/>
    <col min="11778" max="11778" width="45.109375" style="2480" customWidth="1"/>
    <col min="11779" max="11780" width="12.44140625" style="2480" customWidth="1"/>
    <col min="11781" max="11781" width="8.44140625" style="2480" customWidth="1"/>
    <col min="11782" max="11782" width="13.5546875" style="2480" customWidth="1"/>
    <col min="11783" max="11789" width="0" style="2480" hidden="1" customWidth="1"/>
    <col min="11790" max="11790" width="13.6640625" style="2480" customWidth="1"/>
    <col min="11791" max="11794" width="0" style="2480" hidden="1" customWidth="1"/>
    <col min="11795" max="11795" width="16.6640625" style="2480" customWidth="1"/>
    <col min="11796" max="12032" width="11.109375" style="2480"/>
    <col min="12033" max="12033" width="5.109375" style="2480" customWidth="1"/>
    <col min="12034" max="12034" width="45.109375" style="2480" customWidth="1"/>
    <col min="12035" max="12036" width="12.44140625" style="2480" customWidth="1"/>
    <col min="12037" max="12037" width="8.44140625" style="2480" customWidth="1"/>
    <col min="12038" max="12038" width="13.5546875" style="2480" customWidth="1"/>
    <col min="12039" max="12045" width="0" style="2480" hidden="1" customWidth="1"/>
    <col min="12046" max="12046" width="13.6640625" style="2480" customWidth="1"/>
    <col min="12047" max="12050" width="0" style="2480" hidden="1" customWidth="1"/>
    <col min="12051" max="12051" width="16.6640625" style="2480" customWidth="1"/>
    <col min="12052" max="12288" width="11.109375" style="2480"/>
    <col min="12289" max="12289" width="5.109375" style="2480" customWidth="1"/>
    <col min="12290" max="12290" width="45.109375" style="2480" customWidth="1"/>
    <col min="12291" max="12292" width="12.44140625" style="2480" customWidth="1"/>
    <col min="12293" max="12293" width="8.44140625" style="2480" customWidth="1"/>
    <col min="12294" max="12294" width="13.5546875" style="2480" customWidth="1"/>
    <col min="12295" max="12301" width="0" style="2480" hidden="1" customWidth="1"/>
    <col min="12302" max="12302" width="13.6640625" style="2480" customWidth="1"/>
    <col min="12303" max="12306" width="0" style="2480" hidden="1" customWidth="1"/>
    <col min="12307" max="12307" width="16.6640625" style="2480" customWidth="1"/>
    <col min="12308" max="12544" width="11.109375" style="2480"/>
    <col min="12545" max="12545" width="5.109375" style="2480" customWidth="1"/>
    <col min="12546" max="12546" width="45.109375" style="2480" customWidth="1"/>
    <col min="12547" max="12548" width="12.44140625" style="2480" customWidth="1"/>
    <col min="12549" max="12549" width="8.44140625" style="2480" customWidth="1"/>
    <col min="12550" max="12550" width="13.5546875" style="2480" customWidth="1"/>
    <col min="12551" max="12557" width="0" style="2480" hidden="1" customWidth="1"/>
    <col min="12558" max="12558" width="13.6640625" style="2480" customWidth="1"/>
    <col min="12559" max="12562" width="0" style="2480" hidden="1" customWidth="1"/>
    <col min="12563" max="12563" width="16.6640625" style="2480" customWidth="1"/>
    <col min="12564" max="12800" width="11.109375" style="2480"/>
    <col min="12801" max="12801" width="5.109375" style="2480" customWidth="1"/>
    <col min="12802" max="12802" width="45.109375" style="2480" customWidth="1"/>
    <col min="12803" max="12804" width="12.44140625" style="2480" customWidth="1"/>
    <col min="12805" max="12805" width="8.44140625" style="2480" customWidth="1"/>
    <col min="12806" max="12806" width="13.5546875" style="2480" customWidth="1"/>
    <col min="12807" max="12813" width="0" style="2480" hidden="1" customWidth="1"/>
    <col min="12814" max="12814" width="13.6640625" style="2480" customWidth="1"/>
    <col min="12815" max="12818" width="0" style="2480" hidden="1" customWidth="1"/>
    <col min="12819" max="12819" width="16.6640625" style="2480" customWidth="1"/>
    <col min="12820" max="13056" width="11.109375" style="2480"/>
    <col min="13057" max="13057" width="5.109375" style="2480" customWidth="1"/>
    <col min="13058" max="13058" width="45.109375" style="2480" customWidth="1"/>
    <col min="13059" max="13060" width="12.44140625" style="2480" customWidth="1"/>
    <col min="13061" max="13061" width="8.44140625" style="2480" customWidth="1"/>
    <col min="13062" max="13062" width="13.5546875" style="2480" customWidth="1"/>
    <col min="13063" max="13069" width="0" style="2480" hidden="1" customWidth="1"/>
    <col min="13070" max="13070" width="13.6640625" style="2480" customWidth="1"/>
    <col min="13071" max="13074" width="0" style="2480" hidden="1" customWidth="1"/>
    <col min="13075" max="13075" width="16.6640625" style="2480" customWidth="1"/>
    <col min="13076" max="13312" width="11.109375" style="2480"/>
    <col min="13313" max="13313" width="5.109375" style="2480" customWidth="1"/>
    <col min="13314" max="13314" width="45.109375" style="2480" customWidth="1"/>
    <col min="13315" max="13316" width="12.44140625" style="2480" customWidth="1"/>
    <col min="13317" max="13317" width="8.44140625" style="2480" customWidth="1"/>
    <col min="13318" max="13318" width="13.5546875" style="2480" customWidth="1"/>
    <col min="13319" max="13325" width="0" style="2480" hidden="1" customWidth="1"/>
    <col min="13326" max="13326" width="13.6640625" style="2480" customWidth="1"/>
    <col min="13327" max="13330" width="0" style="2480" hidden="1" customWidth="1"/>
    <col min="13331" max="13331" width="16.6640625" style="2480" customWidth="1"/>
    <col min="13332" max="13568" width="11.109375" style="2480"/>
    <col min="13569" max="13569" width="5.109375" style="2480" customWidth="1"/>
    <col min="13570" max="13570" width="45.109375" style="2480" customWidth="1"/>
    <col min="13571" max="13572" width="12.44140625" style="2480" customWidth="1"/>
    <col min="13573" max="13573" width="8.44140625" style="2480" customWidth="1"/>
    <col min="13574" max="13574" width="13.5546875" style="2480" customWidth="1"/>
    <col min="13575" max="13581" width="0" style="2480" hidden="1" customWidth="1"/>
    <col min="13582" max="13582" width="13.6640625" style="2480" customWidth="1"/>
    <col min="13583" max="13586" width="0" style="2480" hidden="1" customWidth="1"/>
    <col min="13587" max="13587" width="16.6640625" style="2480" customWidth="1"/>
    <col min="13588" max="13824" width="11.109375" style="2480"/>
    <col min="13825" max="13825" width="5.109375" style="2480" customWidth="1"/>
    <col min="13826" max="13826" width="45.109375" style="2480" customWidth="1"/>
    <col min="13827" max="13828" width="12.44140625" style="2480" customWidth="1"/>
    <col min="13829" max="13829" width="8.44140625" style="2480" customWidth="1"/>
    <col min="13830" max="13830" width="13.5546875" style="2480" customWidth="1"/>
    <col min="13831" max="13837" width="0" style="2480" hidden="1" customWidth="1"/>
    <col min="13838" max="13838" width="13.6640625" style="2480" customWidth="1"/>
    <col min="13839" max="13842" width="0" style="2480" hidden="1" customWidth="1"/>
    <col min="13843" max="13843" width="16.6640625" style="2480" customWidth="1"/>
    <col min="13844" max="14080" width="11.109375" style="2480"/>
    <col min="14081" max="14081" width="5.109375" style="2480" customWidth="1"/>
    <col min="14082" max="14082" width="45.109375" style="2480" customWidth="1"/>
    <col min="14083" max="14084" width="12.44140625" style="2480" customWidth="1"/>
    <col min="14085" max="14085" width="8.44140625" style="2480" customWidth="1"/>
    <col min="14086" max="14086" width="13.5546875" style="2480" customWidth="1"/>
    <col min="14087" max="14093" width="0" style="2480" hidden="1" customWidth="1"/>
    <col min="14094" max="14094" width="13.6640625" style="2480" customWidth="1"/>
    <col min="14095" max="14098" width="0" style="2480" hidden="1" customWidth="1"/>
    <col min="14099" max="14099" width="16.6640625" style="2480" customWidth="1"/>
    <col min="14100" max="14336" width="11.109375" style="2480"/>
    <col min="14337" max="14337" width="5.109375" style="2480" customWidth="1"/>
    <col min="14338" max="14338" width="45.109375" style="2480" customWidth="1"/>
    <col min="14339" max="14340" width="12.44140625" style="2480" customWidth="1"/>
    <col min="14341" max="14341" width="8.44140625" style="2480" customWidth="1"/>
    <col min="14342" max="14342" width="13.5546875" style="2480" customWidth="1"/>
    <col min="14343" max="14349" width="0" style="2480" hidden="1" customWidth="1"/>
    <col min="14350" max="14350" width="13.6640625" style="2480" customWidth="1"/>
    <col min="14351" max="14354" width="0" style="2480" hidden="1" customWidth="1"/>
    <col min="14355" max="14355" width="16.6640625" style="2480" customWidth="1"/>
    <col min="14356" max="14592" width="11.109375" style="2480"/>
    <col min="14593" max="14593" width="5.109375" style="2480" customWidth="1"/>
    <col min="14594" max="14594" width="45.109375" style="2480" customWidth="1"/>
    <col min="14595" max="14596" width="12.44140625" style="2480" customWidth="1"/>
    <col min="14597" max="14597" width="8.44140625" style="2480" customWidth="1"/>
    <col min="14598" max="14598" width="13.5546875" style="2480" customWidth="1"/>
    <col min="14599" max="14605" width="0" style="2480" hidden="1" customWidth="1"/>
    <col min="14606" max="14606" width="13.6640625" style="2480" customWidth="1"/>
    <col min="14607" max="14610" width="0" style="2480" hidden="1" customWidth="1"/>
    <col min="14611" max="14611" width="16.6640625" style="2480" customWidth="1"/>
    <col min="14612" max="14848" width="11.109375" style="2480"/>
    <col min="14849" max="14849" width="5.109375" style="2480" customWidth="1"/>
    <col min="14850" max="14850" width="45.109375" style="2480" customWidth="1"/>
    <col min="14851" max="14852" width="12.44140625" style="2480" customWidth="1"/>
    <col min="14853" max="14853" width="8.44140625" style="2480" customWidth="1"/>
    <col min="14854" max="14854" width="13.5546875" style="2480" customWidth="1"/>
    <col min="14855" max="14861" width="0" style="2480" hidden="1" customWidth="1"/>
    <col min="14862" max="14862" width="13.6640625" style="2480" customWidth="1"/>
    <col min="14863" max="14866" width="0" style="2480" hidden="1" customWidth="1"/>
    <col min="14867" max="14867" width="16.6640625" style="2480" customWidth="1"/>
    <col min="14868" max="15104" width="11.109375" style="2480"/>
    <col min="15105" max="15105" width="5.109375" style="2480" customWidth="1"/>
    <col min="15106" max="15106" width="45.109375" style="2480" customWidth="1"/>
    <col min="15107" max="15108" width="12.44140625" style="2480" customWidth="1"/>
    <col min="15109" max="15109" width="8.44140625" style="2480" customWidth="1"/>
    <col min="15110" max="15110" width="13.5546875" style="2480" customWidth="1"/>
    <col min="15111" max="15117" width="0" style="2480" hidden="1" customWidth="1"/>
    <col min="15118" max="15118" width="13.6640625" style="2480" customWidth="1"/>
    <col min="15119" max="15122" width="0" style="2480" hidden="1" customWidth="1"/>
    <col min="15123" max="15123" width="16.6640625" style="2480" customWidth="1"/>
    <col min="15124" max="15360" width="11.109375" style="2480"/>
    <col min="15361" max="15361" width="5.109375" style="2480" customWidth="1"/>
    <col min="15362" max="15362" width="45.109375" style="2480" customWidth="1"/>
    <col min="15363" max="15364" width="12.44140625" style="2480" customWidth="1"/>
    <col min="15365" max="15365" width="8.44140625" style="2480" customWidth="1"/>
    <col min="15366" max="15366" width="13.5546875" style="2480" customWidth="1"/>
    <col min="15367" max="15373" width="0" style="2480" hidden="1" customWidth="1"/>
    <col min="15374" max="15374" width="13.6640625" style="2480" customWidth="1"/>
    <col min="15375" max="15378" width="0" style="2480" hidden="1" customWidth="1"/>
    <col min="15379" max="15379" width="16.6640625" style="2480" customWidth="1"/>
    <col min="15380" max="15616" width="11.109375" style="2480"/>
    <col min="15617" max="15617" width="5.109375" style="2480" customWidth="1"/>
    <col min="15618" max="15618" width="45.109375" style="2480" customWidth="1"/>
    <col min="15619" max="15620" width="12.44140625" style="2480" customWidth="1"/>
    <col min="15621" max="15621" width="8.44140625" style="2480" customWidth="1"/>
    <col min="15622" max="15622" width="13.5546875" style="2480" customWidth="1"/>
    <col min="15623" max="15629" width="0" style="2480" hidden="1" customWidth="1"/>
    <col min="15630" max="15630" width="13.6640625" style="2480" customWidth="1"/>
    <col min="15631" max="15634" width="0" style="2480" hidden="1" customWidth="1"/>
    <col min="15635" max="15635" width="16.6640625" style="2480" customWidth="1"/>
    <col min="15636" max="15872" width="11.109375" style="2480"/>
    <col min="15873" max="15873" width="5.109375" style="2480" customWidth="1"/>
    <col min="15874" max="15874" width="45.109375" style="2480" customWidth="1"/>
    <col min="15875" max="15876" width="12.44140625" style="2480" customWidth="1"/>
    <col min="15877" max="15877" width="8.44140625" style="2480" customWidth="1"/>
    <col min="15878" max="15878" width="13.5546875" style="2480" customWidth="1"/>
    <col min="15879" max="15885" width="0" style="2480" hidden="1" customWidth="1"/>
    <col min="15886" max="15886" width="13.6640625" style="2480" customWidth="1"/>
    <col min="15887" max="15890" width="0" style="2480" hidden="1" customWidth="1"/>
    <col min="15891" max="15891" width="16.6640625" style="2480" customWidth="1"/>
    <col min="15892" max="16128" width="11.109375" style="2480"/>
    <col min="16129" max="16129" width="5.109375" style="2480" customWidth="1"/>
    <col min="16130" max="16130" width="45.109375" style="2480" customWidth="1"/>
    <col min="16131" max="16132" width="12.44140625" style="2480" customWidth="1"/>
    <col min="16133" max="16133" width="8.44140625" style="2480" customWidth="1"/>
    <col min="16134" max="16134" width="13.5546875" style="2480" customWidth="1"/>
    <col min="16135" max="16141" width="0" style="2480" hidden="1" customWidth="1"/>
    <col min="16142" max="16142" width="13.6640625" style="2480" customWidth="1"/>
    <col min="16143" max="16146" width="0" style="2480" hidden="1" customWidth="1"/>
    <col min="16147" max="16147" width="16.6640625" style="2480" customWidth="1"/>
    <col min="16148" max="16384" width="11.109375" style="2480"/>
  </cols>
  <sheetData>
    <row r="1" spans="1:14">
      <c r="A1" s="2478" t="s">
        <v>69</v>
      </c>
      <c r="E1" s="2478" t="s">
        <v>1362</v>
      </c>
    </row>
    <row r="2" spans="1:14" s="2483" customFormat="1">
      <c r="A2" s="2481"/>
      <c r="B2" s="2482"/>
      <c r="E2" s="2090"/>
      <c r="F2" s="2090"/>
      <c r="N2" s="2090"/>
    </row>
    <row r="3" spans="1:14" s="2483" customFormat="1">
      <c r="A3" s="2481"/>
      <c r="B3" s="2482"/>
      <c r="D3" s="2090"/>
      <c r="E3" s="2090"/>
      <c r="F3" s="2090"/>
    </row>
    <row r="4" spans="1:14" ht="15.6" customHeight="1">
      <c r="A4" s="2946" t="s">
        <v>1363</v>
      </c>
      <c r="B4" s="2946"/>
      <c r="C4" s="2946"/>
      <c r="D4" s="2946"/>
      <c r="E4" s="2946"/>
      <c r="F4" s="2946"/>
      <c r="G4" s="2946"/>
      <c r="H4" s="2946"/>
      <c r="I4" s="2946"/>
      <c r="J4" s="2946"/>
      <c r="K4" s="2946"/>
      <c r="L4" s="2946"/>
      <c r="M4" s="2946"/>
      <c r="N4" s="2946"/>
    </row>
    <row r="5" spans="1:14">
      <c r="A5" s="2484" t="s">
        <v>1266</v>
      </c>
      <c r="B5" s="2485"/>
      <c r="C5" s="2486"/>
      <c r="D5" s="2487"/>
      <c r="E5" s="2487"/>
      <c r="F5" s="2487"/>
    </row>
    <row r="6" spans="1:14">
      <c r="A6" s="2484"/>
      <c r="B6" s="2485"/>
      <c r="C6" s="2486"/>
      <c r="D6" s="2487"/>
      <c r="E6" s="2487"/>
      <c r="F6" s="2487"/>
    </row>
    <row r="7" spans="1:14">
      <c r="B7" s="2488"/>
      <c r="C7" s="2489"/>
      <c r="N7" s="2102"/>
    </row>
    <row r="8" spans="1:14" hidden="1">
      <c r="B8" s="2488" t="s">
        <v>1342</v>
      </c>
      <c r="C8" s="2490">
        <v>8774023</v>
      </c>
      <c r="D8" s="2491">
        <v>9395999</v>
      </c>
      <c r="E8" s="2491"/>
      <c r="F8" s="2492">
        <v>9211045</v>
      </c>
      <c r="G8" s="2491"/>
      <c r="H8" s="2491"/>
      <c r="I8" s="2491"/>
      <c r="J8" s="2491"/>
      <c r="K8" s="2491"/>
      <c r="L8" s="2491"/>
      <c r="M8" s="2491"/>
      <c r="N8" s="2491">
        <v>7591924</v>
      </c>
    </row>
    <row r="9" spans="1:14" hidden="1">
      <c r="B9" s="2488" t="s">
        <v>1364</v>
      </c>
      <c r="C9" s="2493">
        <f>C29/C8%</f>
        <v>58.489782851036523</v>
      </c>
      <c r="D9" s="2491"/>
      <c r="E9" s="2491"/>
      <c r="F9" s="2492"/>
      <c r="G9" s="2491"/>
      <c r="H9" s="2491"/>
      <c r="I9" s="2491"/>
      <c r="J9" s="2491"/>
      <c r="K9" s="2491"/>
      <c r="L9" s="2491"/>
      <c r="M9" s="2491"/>
      <c r="N9" s="2491"/>
    </row>
    <row r="10" spans="1:14" hidden="1">
      <c r="B10" s="2494" t="s">
        <v>1365</v>
      </c>
      <c r="C10" s="2495">
        <f>C8*C9%</f>
        <v>5131907</v>
      </c>
      <c r="D10" s="2496">
        <f>D8*C9%</f>
        <v>5495699.4117855625</v>
      </c>
      <c r="E10" s="2496"/>
      <c r="F10" s="2497">
        <f>F8*C9%</f>
        <v>5387520.2188112568</v>
      </c>
      <c r="G10" s="2496"/>
      <c r="H10" s="2496"/>
      <c r="I10" s="2496"/>
      <c r="J10" s="2496"/>
      <c r="K10" s="2496"/>
      <c r="L10" s="2496"/>
      <c r="M10" s="2496"/>
      <c r="N10" s="2496"/>
    </row>
    <row r="11" spans="1:14" hidden="1">
      <c r="B11" s="2488" t="s">
        <v>1366</v>
      </c>
      <c r="C11" s="2490">
        <v>1538030</v>
      </c>
      <c r="D11" s="2491">
        <v>1624530</v>
      </c>
      <c r="E11" s="2491"/>
      <c r="F11" s="2492">
        <v>1712983</v>
      </c>
      <c r="G11" s="2491"/>
      <c r="H11" s="2491"/>
      <c r="I11" s="2491"/>
      <c r="J11" s="2491"/>
      <c r="K11" s="2491"/>
      <c r="L11" s="2491"/>
      <c r="M11" s="2491"/>
      <c r="N11" s="2491"/>
    </row>
    <row r="12" spans="1:14" hidden="1">
      <c r="B12" s="2488" t="s">
        <v>1367</v>
      </c>
      <c r="C12" s="2493">
        <f>C31/C11%</f>
        <v>79.745518617972351</v>
      </c>
      <c r="D12" s="2491"/>
      <c r="E12" s="2491"/>
      <c r="F12" s="2492"/>
      <c r="G12" s="2491"/>
      <c r="H12" s="2491"/>
      <c r="I12" s="2491"/>
      <c r="J12" s="2491"/>
      <c r="K12" s="2491"/>
      <c r="L12" s="2491"/>
      <c r="M12" s="2491"/>
      <c r="N12" s="2491"/>
    </row>
    <row r="13" spans="1:14" hidden="1">
      <c r="B13" s="2488" t="s">
        <v>1368</v>
      </c>
      <c r="C13" s="2490">
        <f>C11*C12%</f>
        <v>1226510.0000000002</v>
      </c>
      <c r="D13" s="2491">
        <f>D11*C12%</f>
        <v>1295489.8736045463</v>
      </c>
      <c r="E13" s="2491"/>
      <c r="F13" s="2492">
        <f>F11*C12%</f>
        <v>1366027.1771877015</v>
      </c>
      <c r="G13" s="2491"/>
      <c r="H13" s="2491"/>
      <c r="I13" s="2491"/>
      <c r="J13" s="2491"/>
      <c r="K13" s="2491"/>
      <c r="L13" s="2491"/>
      <c r="M13" s="2491"/>
      <c r="N13" s="2491"/>
    </row>
    <row r="14" spans="1:14" hidden="1">
      <c r="B14" s="2488"/>
      <c r="C14" s="2490">
        <f>C10-C29</f>
        <v>0</v>
      </c>
      <c r="D14" s="2490">
        <f>D10-D29</f>
        <v>725556.41178556252</v>
      </c>
      <c r="E14" s="2491"/>
      <c r="F14" s="2490">
        <f>F10-F29</f>
        <v>511023.0988112567</v>
      </c>
      <c r="G14" s="2491"/>
      <c r="H14" s="2491"/>
      <c r="I14" s="2491"/>
      <c r="J14" s="2491"/>
      <c r="K14" s="2491"/>
      <c r="L14" s="2491"/>
      <c r="M14" s="2491"/>
      <c r="N14" s="2491"/>
    </row>
    <row r="15" spans="1:14" hidden="1">
      <c r="B15" s="2488" t="s">
        <v>1369</v>
      </c>
      <c r="C15" s="2490">
        <v>1894822</v>
      </c>
      <c r="D15" s="2490">
        <v>2149067</v>
      </c>
      <c r="E15" s="2491"/>
      <c r="F15" s="2490">
        <v>1619121</v>
      </c>
      <c r="G15" s="2491"/>
      <c r="H15" s="2491"/>
      <c r="I15" s="2491"/>
      <c r="J15" s="2491"/>
      <c r="K15" s="2491"/>
      <c r="L15" s="2491"/>
      <c r="M15" s="2491"/>
      <c r="N15" s="2491"/>
    </row>
    <row r="16" spans="1:14" hidden="1">
      <c r="B16" s="2488" t="s">
        <v>1370</v>
      </c>
      <c r="C16" s="2490"/>
      <c r="D16" s="2490"/>
      <c r="E16" s="2491"/>
      <c r="F16" s="2490"/>
      <c r="G16" s="2491"/>
      <c r="H16" s="2491"/>
      <c r="I16" s="2491"/>
      <c r="J16" s="2491"/>
      <c r="K16" s="2491"/>
      <c r="L16" s="2491"/>
      <c r="M16" s="2491"/>
      <c r="N16" s="2491"/>
    </row>
    <row r="17" spans="1:20">
      <c r="B17" s="2488"/>
      <c r="C17" s="2490"/>
      <c r="D17" s="2490"/>
      <c r="E17" s="2491"/>
      <c r="F17" s="2498"/>
      <c r="G17" s="2491"/>
      <c r="H17" s="2491"/>
      <c r="I17" s="2491"/>
      <c r="J17" s="2491"/>
      <c r="K17" s="2491"/>
      <c r="L17" s="2491"/>
      <c r="M17" s="2491"/>
      <c r="N17" s="2498" t="s">
        <v>167</v>
      </c>
    </row>
    <row r="18" spans="1:20" ht="18" customHeight="1">
      <c r="A18" s="2947" t="s">
        <v>715</v>
      </c>
      <c r="B18" s="2921" t="s">
        <v>257</v>
      </c>
      <c r="C18" s="2921" t="s">
        <v>1371</v>
      </c>
      <c r="D18" s="2921" t="s">
        <v>1275</v>
      </c>
      <c r="E18" s="2921" t="s">
        <v>1316</v>
      </c>
      <c r="F18" s="2921" t="s">
        <v>1276</v>
      </c>
      <c r="N18" s="2921" t="s">
        <v>1278</v>
      </c>
    </row>
    <row r="19" spans="1:20">
      <c r="A19" s="2948"/>
      <c r="B19" s="2919"/>
      <c r="C19" s="2919"/>
      <c r="D19" s="2919"/>
      <c r="E19" s="2919"/>
      <c r="F19" s="2919"/>
      <c r="N19" s="2919"/>
    </row>
    <row r="20" spans="1:20">
      <c r="A20" s="2948"/>
      <c r="B20" s="2919"/>
      <c r="C20" s="2919"/>
      <c r="D20" s="2919"/>
      <c r="E20" s="2919"/>
      <c r="F20" s="2919"/>
      <c r="N20" s="2919"/>
    </row>
    <row r="21" spans="1:20" ht="44.4" customHeight="1">
      <c r="A21" s="2949"/>
      <c r="B21" s="2920"/>
      <c r="C21" s="2920"/>
      <c r="D21" s="2920"/>
      <c r="E21" s="2920"/>
      <c r="F21" s="2920"/>
      <c r="I21" s="2499">
        <v>8284923</v>
      </c>
      <c r="J21" s="2499">
        <v>115.79989257136435</v>
      </c>
      <c r="K21" s="2499">
        <v>8861901.9800000004</v>
      </c>
      <c r="L21" s="2499">
        <v>9275081.784</v>
      </c>
      <c r="N21" s="2920"/>
    </row>
    <row r="22" spans="1:20" s="2478" customFormat="1">
      <c r="A22" s="2500" t="s">
        <v>80</v>
      </c>
      <c r="B22" s="2501" t="s">
        <v>81</v>
      </c>
      <c r="C22" s="2500">
        <v>1</v>
      </c>
      <c r="D22" s="2500">
        <v>2</v>
      </c>
      <c r="E22" s="2500" t="s">
        <v>1209</v>
      </c>
      <c r="F22" s="2500">
        <v>4</v>
      </c>
      <c r="G22" s="2502">
        <f>G23-D23</f>
        <v>312154</v>
      </c>
      <c r="H22" s="2502">
        <f>H23-F23</f>
        <v>618979.87999999896</v>
      </c>
      <c r="I22" s="2480"/>
      <c r="J22" s="2480"/>
      <c r="K22" s="2480"/>
      <c r="L22" s="2480"/>
      <c r="M22" s="2480"/>
      <c r="N22" s="2503">
        <v>5</v>
      </c>
    </row>
    <row r="23" spans="1:20" s="2509" customFormat="1">
      <c r="A23" s="2504"/>
      <c r="B23" s="2505" t="s">
        <v>1372</v>
      </c>
      <c r="C23" s="2506">
        <f>C24+C29</f>
        <v>8286423</v>
      </c>
      <c r="D23" s="2506">
        <f>D24+D29</f>
        <v>8549748</v>
      </c>
      <c r="E23" s="2507">
        <f>D23/C23%</f>
        <v>103.177788534329</v>
      </c>
      <c r="F23" s="2506">
        <f>F24+F29</f>
        <v>8656102.120000001</v>
      </c>
      <c r="G23" s="2508">
        <v>8861902</v>
      </c>
      <c r="H23" s="2508">
        <v>9275082</v>
      </c>
      <c r="I23" s="2508">
        <v>8286423</v>
      </c>
      <c r="J23" s="2508">
        <f>C23-I23</f>
        <v>0</v>
      </c>
      <c r="K23" s="2508">
        <f>K21-D23</f>
        <v>312153.98000000045</v>
      </c>
      <c r="L23" s="2508">
        <f>L21-F23</f>
        <v>618979.66399999894</v>
      </c>
      <c r="M23" s="2508">
        <v>8286423</v>
      </c>
      <c r="N23" s="2506">
        <f>N24+N29</f>
        <v>6876260.1200000001</v>
      </c>
      <c r="S23" s="2510"/>
      <c r="T23" s="2510"/>
    </row>
    <row r="24" spans="1:20" s="2516" customFormat="1">
      <c r="A24" s="2511" t="s">
        <v>80</v>
      </c>
      <c r="B24" s="2512" t="s">
        <v>1373</v>
      </c>
      <c r="C24" s="2513">
        <f>C25+C26</f>
        <v>3154516</v>
      </c>
      <c r="D24" s="2513">
        <f>D25+D26</f>
        <v>3779605</v>
      </c>
      <c r="E24" s="2514">
        <f t="shared" ref="E24:E43" si="0">D24/C24%</f>
        <v>119.81568646347014</v>
      </c>
      <c r="F24" s="2513">
        <f>F25+F26</f>
        <v>3779605</v>
      </c>
      <c r="G24" s="2515"/>
      <c r="H24" s="2515"/>
      <c r="I24" s="2515"/>
      <c r="J24" s="2515"/>
      <c r="K24" s="2515"/>
      <c r="L24" s="2515"/>
      <c r="M24" s="2515"/>
      <c r="N24" s="2513">
        <f>N25+N26</f>
        <v>3281298</v>
      </c>
    </row>
    <row r="25" spans="1:20" s="2482" customFormat="1">
      <c r="A25" s="2517" t="s">
        <v>54</v>
      </c>
      <c r="B25" s="2518" t="s">
        <v>1359</v>
      </c>
      <c r="C25" s="2513">
        <v>3061564</v>
      </c>
      <c r="D25" s="2513">
        <v>3281298</v>
      </c>
      <c r="E25" s="2514">
        <f t="shared" si="0"/>
        <v>107.17718133607529</v>
      </c>
      <c r="F25" s="2513">
        <v>3281298</v>
      </c>
      <c r="G25" s="2519"/>
      <c r="H25" s="2519"/>
      <c r="I25" s="2519"/>
      <c r="J25" s="2519"/>
      <c r="K25" s="2519"/>
      <c r="L25" s="2519"/>
      <c r="M25" s="2519"/>
      <c r="N25" s="2513">
        <f>F25</f>
        <v>3281298</v>
      </c>
      <c r="S25" s="2520"/>
    </row>
    <row r="26" spans="1:20" s="2482" customFormat="1">
      <c r="A26" s="2511" t="s">
        <v>60</v>
      </c>
      <c r="B26" s="2518" t="s">
        <v>1374</v>
      </c>
      <c r="C26" s="2513">
        <v>92952</v>
      </c>
      <c r="D26" s="2513">
        <f>D27+D28</f>
        <v>498307</v>
      </c>
      <c r="E26" s="2514">
        <f t="shared" si="0"/>
        <v>536.09067045356744</v>
      </c>
      <c r="F26" s="2513">
        <f>D26</f>
        <v>498307</v>
      </c>
      <c r="G26" s="2519"/>
      <c r="H26" s="2519"/>
      <c r="I26" s="2519"/>
      <c r="J26" s="2519"/>
      <c r="K26" s="2519"/>
      <c r="L26" s="2519"/>
      <c r="M26" s="2519"/>
      <c r="N26" s="2513"/>
    </row>
    <row r="27" spans="1:20" s="2482" customFormat="1">
      <c r="A27" s="2521"/>
      <c r="B27" s="2522" t="s">
        <v>1375</v>
      </c>
      <c r="C27" s="2523"/>
      <c r="D27" s="2523">
        <v>461507</v>
      </c>
      <c r="E27" s="2524"/>
      <c r="F27" s="2523"/>
      <c r="G27" s="2519"/>
      <c r="H27" s="2519"/>
      <c r="I27" s="2519"/>
      <c r="J27" s="2519"/>
      <c r="K27" s="2519"/>
      <c r="L27" s="2519"/>
      <c r="M27" s="2519"/>
      <c r="N27" s="2523"/>
    </row>
    <row r="28" spans="1:20" s="2482" customFormat="1">
      <c r="A28" s="2521"/>
      <c r="B28" s="2522" t="s">
        <v>1376</v>
      </c>
      <c r="C28" s="2523"/>
      <c r="D28" s="2523">
        <v>36800</v>
      </c>
      <c r="E28" s="2524"/>
      <c r="F28" s="2523"/>
      <c r="G28" s="2519"/>
      <c r="H28" s="2519"/>
      <c r="I28" s="2519"/>
      <c r="J28" s="2519"/>
      <c r="K28" s="2519"/>
      <c r="L28" s="2519"/>
      <c r="M28" s="2519"/>
      <c r="N28" s="2523"/>
      <c r="S28" s="2520"/>
    </row>
    <row r="29" spans="1:20" s="2516" customFormat="1">
      <c r="A29" s="2525" t="s">
        <v>81</v>
      </c>
      <c r="B29" s="2526" t="s">
        <v>1127</v>
      </c>
      <c r="C29" s="2527">
        <f>C30+C35+C39+C40+C41+C42+C43</f>
        <v>5131907</v>
      </c>
      <c r="D29" s="2527">
        <f>D30+D35+D39+D40+D41+D42+D43</f>
        <v>4770143</v>
      </c>
      <c r="E29" s="2528">
        <f t="shared" si="0"/>
        <v>92.950690649694153</v>
      </c>
      <c r="F29" s="2527">
        <f>F30+F35+F39+F40+F41+F42+F43</f>
        <v>4876497.12</v>
      </c>
      <c r="G29" s="2529"/>
      <c r="H29" s="2515"/>
      <c r="I29" s="2246">
        <v>5178497</v>
      </c>
      <c r="J29" s="2246">
        <v>5376620.2800000003</v>
      </c>
      <c r="K29" s="2246">
        <v>5908912.6140000001</v>
      </c>
      <c r="L29" s="2515"/>
      <c r="M29" s="2515"/>
      <c r="N29" s="2527">
        <f>N30+N35+N39+N40+N41+N42+N43</f>
        <v>3594962.12</v>
      </c>
      <c r="S29" s="2530"/>
      <c r="T29" s="2530"/>
    </row>
    <row r="30" spans="1:20" s="2516" customFormat="1">
      <c r="A30" s="2517" t="s">
        <v>54</v>
      </c>
      <c r="B30" s="2360" t="s">
        <v>824</v>
      </c>
      <c r="C30" s="2531">
        <f>SUM(C31:C34)</f>
        <v>2708833</v>
      </c>
      <c r="D30" s="2531">
        <f>SUM(D31:D34)</f>
        <v>2274151</v>
      </c>
      <c r="E30" s="2514">
        <f t="shared" si="0"/>
        <v>83.953163594802632</v>
      </c>
      <c r="F30" s="2531">
        <f>SUM(F31:F34)</f>
        <v>2353749</v>
      </c>
      <c r="G30" s="2529"/>
      <c r="H30" s="2515"/>
      <c r="I30" s="2515"/>
      <c r="J30" s="2529">
        <v>-170965.38999999873</v>
      </c>
      <c r="K30" s="2529">
        <v>-179838.88240000233</v>
      </c>
      <c r="L30" s="2515"/>
      <c r="M30" s="2515"/>
      <c r="N30" s="2531">
        <f>SUM(N31:N34)</f>
        <v>1284871</v>
      </c>
      <c r="S30" s="2530"/>
    </row>
    <row r="31" spans="1:20" s="2482" customFormat="1">
      <c r="A31" s="2532">
        <v>1</v>
      </c>
      <c r="B31" s="2533" t="s">
        <v>1118</v>
      </c>
      <c r="C31" s="2534">
        <v>1226510</v>
      </c>
      <c r="D31" s="2534">
        <f>'[3]11'!E27</f>
        <v>1298690</v>
      </c>
      <c r="E31" s="2524">
        <f t="shared" si="0"/>
        <v>105.88499074610073</v>
      </c>
      <c r="F31" s="2534">
        <f>'[3]11'!F25</f>
        <v>1284871</v>
      </c>
      <c r="G31" s="2535"/>
      <c r="H31" s="2519"/>
      <c r="I31" s="2519"/>
      <c r="J31" s="2248">
        <v>83378.389999998733</v>
      </c>
      <c r="K31" s="2248">
        <v>91717.832400001585</v>
      </c>
      <c r="L31" s="2519"/>
      <c r="M31" s="2519"/>
      <c r="N31" s="2523">
        <f>F31</f>
        <v>1284871</v>
      </c>
      <c r="S31" s="2520"/>
    </row>
    <row r="32" spans="1:20" s="2482" customFormat="1">
      <c r="A32" s="2536">
        <v>2</v>
      </c>
      <c r="B32" s="2537" t="s">
        <v>324</v>
      </c>
      <c r="C32" s="2534">
        <v>125505</v>
      </c>
      <c r="D32" s="2534"/>
      <c r="E32" s="2524"/>
      <c r="F32" s="2534"/>
      <c r="G32" s="2519"/>
      <c r="H32" s="2519"/>
      <c r="I32" s="2535">
        <f>D32+D37</f>
        <v>13341</v>
      </c>
      <c r="J32" s="2535">
        <f>F32+F37</f>
        <v>13341</v>
      </c>
      <c r="K32" s="2535">
        <f>G32+G37</f>
        <v>0</v>
      </c>
      <c r="L32" s="2519"/>
      <c r="M32" s="2519"/>
      <c r="N32" s="2523"/>
    </row>
    <row r="33" spans="1:18" s="2482" customFormat="1">
      <c r="A33" s="2536">
        <v>3</v>
      </c>
      <c r="B33" s="2537" t="s">
        <v>1074</v>
      </c>
      <c r="C33" s="2534">
        <v>1356818</v>
      </c>
      <c r="D33" s="2534">
        <f>'[3]11'!E57</f>
        <v>975461</v>
      </c>
      <c r="E33" s="2524">
        <f t="shared" si="0"/>
        <v>71.89328266576652</v>
      </c>
      <c r="F33" s="2534">
        <f>'[3]11'!F57</f>
        <v>1068878</v>
      </c>
      <c r="G33" s="2519"/>
      <c r="H33" s="2519"/>
      <c r="I33" s="2535">
        <f>D33+D38</f>
        <v>1272778</v>
      </c>
      <c r="J33" s="2535">
        <f>F33+F38</f>
        <v>1312195</v>
      </c>
      <c r="K33" s="2519"/>
      <c r="L33" s="2519"/>
      <c r="M33" s="2519"/>
      <c r="N33" s="2523"/>
    </row>
    <row r="34" spans="1:18" s="2482" customFormat="1" ht="52.8">
      <c r="A34" s="2521">
        <v>4</v>
      </c>
      <c r="B34" s="2157" t="s">
        <v>1377</v>
      </c>
      <c r="C34" s="2534"/>
      <c r="D34" s="2534"/>
      <c r="E34" s="2524"/>
      <c r="F34" s="2534"/>
      <c r="G34" s="2519"/>
      <c r="H34" s="2519"/>
      <c r="I34" s="2538">
        <f>I33-'[3]007'!I28</f>
        <v>843476.8</v>
      </c>
      <c r="J34" s="2519"/>
      <c r="K34" s="2519"/>
      <c r="L34" s="2519"/>
      <c r="M34" s="2519"/>
      <c r="N34" s="2539"/>
    </row>
    <row r="35" spans="1:18" s="2516" customFormat="1">
      <c r="A35" s="2511" t="s">
        <v>60</v>
      </c>
      <c r="B35" s="2513" t="s">
        <v>286</v>
      </c>
      <c r="C35" s="2513">
        <f>SUM(C36:C38)</f>
        <v>2189287</v>
      </c>
      <c r="D35" s="2513">
        <f>SUM(D36:D38)</f>
        <v>2319761</v>
      </c>
      <c r="E35" s="2514">
        <f t="shared" si="0"/>
        <v>105.95965718519318</v>
      </c>
      <c r="F35" s="2513">
        <f>SUM(F36:F38)</f>
        <v>2354542.12</v>
      </c>
      <c r="G35" s="2529"/>
      <c r="H35" s="2515"/>
      <c r="I35" s="2529">
        <f>D30+D35</f>
        <v>4593912</v>
      </c>
      <c r="J35" s="2515"/>
      <c r="K35" s="2246">
        <v>2397808.21</v>
      </c>
      <c r="L35" s="2515"/>
      <c r="M35" s="2515"/>
      <c r="N35" s="2513">
        <f>SUM(N36:N38)</f>
        <v>2143981.12</v>
      </c>
    </row>
    <row r="36" spans="1:18" s="2482" customFormat="1">
      <c r="A36" s="2532">
        <v>1</v>
      </c>
      <c r="B36" s="2540" t="s">
        <v>286</v>
      </c>
      <c r="C36" s="2534">
        <v>1869740</v>
      </c>
      <c r="D36" s="2534">
        <v>2009103</v>
      </c>
      <c r="E36" s="2524">
        <f t="shared" si="0"/>
        <v>107.45360317477295</v>
      </c>
      <c r="F36" s="2534">
        <f>D36*104%+8416+1</f>
        <v>2097884.12</v>
      </c>
      <c r="G36" s="2519"/>
      <c r="H36" s="2519"/>
      <c r="I36" s="2519"/>
      <c r="J36" s="2519"/>
      <c r="K36" s="2519"/>
      <c r="L36" s="2519"/>
      <c r="M36" s="2519"/>
      <c r="N36" s="2523">
        <f>F36-74601+120698</f>
        <v>2143981.12</v>
      </c>
      <c r="O36" s="2482">
        <v>5233462.9800000004</v>
      </c>
      <c r="P36" s="2482">
        <v>3265978</v>
      </c>
      <c r="Q36" s="2482">
        <f>P36/O36%</f>
        <v>62.405676938599456</v>
      </c>
      <c r="R36" s="2482">
        <f>100-Q36</f>
        <v>37.594323061400544</v>
      </c>
    </row>
    <row r="37" spans="1:18" s="2482" customFormat="1">
      <c r="A37" s="2536">
        <v>2</v>
      </c>
      <c r="B37" s="2537" t="s">
        <v>1378</v>
      </c>
      <c r="C37" s="2534">
        <v>53248</v>
      </c>
      <c r="D37" s="2534">
        <v>13341</v>
      </c>
      <c r="E37" s="2524">
        <f t="shared" si="0"/>
        <v>25.054462139423077</v>
      </c>
      <c r="F37" s="2534">
        <f>D37</f>
        <v>13341</v>
      </c>
      <c r="G37" s="2519"/>
      <c r="H37" s="2519"/>
      <c r="I37" s="2535"/>
      <c r="J37" s="2519"/>
      <c r="K37" s="2519"/>
      <c r="L37" s="2519"/>
      <c r="M37" s="2519"/>
      <c r="N37" s="2523"/>
    </row>
    <row r="38" spans="1:18" s="2482" customFormat="1">
      <c r="A38" s="2536">
        <v>3</v>
      </c>
      <c r="B38" s="2537" t="s">
        <v>1379</v>
      </c>
      <c r="C38" s="2534">
        <v>266299</v>
      </c>
      <c r="D38" s="2534">
        <v>297317</v>
      </c>
      <c r="E38" s="2524">
        <f t="shared" si="0"/>
        <v>111.64780941723401</v>
      </c>
      <c r="F38" s="2534">
        <f>D38-54000</f>
        <v>243317</v>
      </c>
      <c r="G38" s="2519"/>
      <c r="H38" s="2519"/>
      <c r="I38" s="2519"/>
      <c r="J38" s="2519"/>
      <c r="K38" s="2519"/>
      <c r="L38" s="2519"/>
      <c r="M38" s="2519"/>
      <c r="N38" s="2523"/>
    </row>
    <row r="39" spans="1:18" s="2516" customFormat="1">
      <c r="A39" s="2541" t="s">
        <v>315</v>
      </c>
      <c r="B39" s="2360" t="s">
        <v>320</v>
      </c>
      <c r="C39" s="2531">
        <v>63876</v>
      </c>
      <c r="D39" s="2531">
        <f>57931+100</f>
        <v>58031</v>
      </c>
      <c r="E39" s="2514">
        <f t="shared" si="0"/>
        <v>90.849458325505665</v>
      </c>
      <c r="F39" s="2531">
        <v>67096</v>
      </c>
      <c r="G39" s="2515"/>
      <c r="H39" s="2515"/>
      <c r="I39" s="2515"/>
      <c r="J39" s="2515"/>
      <c r="K39" s="2515"/>
      <c r="L39" s="2515"/>
      <c r="M39" s="2515"/>
      <c r="N39" s="2513">
        <v>65000</v>
      </c>
      <c r="O39" s="2516">
        <v>140664</v>
      </c>
      <c r="P39" s="2516">
        <v>75207</v>
      </c>
    </row>
    <row r="40" spans="1:18" s="2516" customFormat="1">
      <c r="A40" s="2541" t="s">
        <v>317</v>
      </c>
      <c r="B40" s="2360" t="s">
        <v>1072</v>
      </c>
      <c r="C40" s="2531">
        <v>1000</v>
      </c>
      <c r="D40" s="2531">
        <f>C40</f>
        <v>1000</v>
      </c>
      <c r="E40" s="2514">
        <f t="shared" si="0"/>
        <v>100</v>
      </c>
      <c r="F40" s="2531">
        <f>'[3]04-12'!J51</f>
        <v>1000</v>
      </c>
      <c r="G40" s="2515"/>
      <c r="H40" s="2515"/>
      <c r="I40" s="2515"/>
      <c r="J40" s="2515"/>
      <c r="K40" s="2515"/>
      <c r="L40" s="2515"/>
      <c r="M40" s="2515"/>
      <c r="N40" s="2513">
        <f t="shared" ref="N40:N43" si="1">F40</f>
        <v>1000</v>
      </c>
    </row>
    <row r="41" spans="1:18" s="2516" customFormat="1">
      <c r="A41" s="2541" t="s">
        <v>319</v>
      </c>
      <c r="B41" s="2360" t="s">
        <v>1302</v>
      </c>
      <c r="C41" s="2531">
        <v>75799</v>
      </c>
      <c r="D41" s="2531">
        <v>117200</v>
      </c>
      <c r="E41" s="2514">
        <f t="shared" si="0"/>
        <v>154.61945408250767</v>
      </c>
      <c r="F41" s="2531">
        <f>'[3]04-12'!J64</f>
        <v>100000</v>
      </c>
      <c r="G41" s="2515"/>
      <c r="H41" s="2515"/>
      <c r="I41" s="2515"/>
      <c r="J41" s="2515"/>
      <c r="K41" s="2515"/>
      <c r="L41" s="2515"/>
      <c r="M41" s="2515"/>
      <c r="N41" s="2513">
        <f t="shared" si="1"/>
        <v>100000</v>
      </c>
    </row>
    <row r="42" spans="1:18" s="2516" customFormat="1">
      <c r="A42" s="2511" t="s">
        <v>321</v>
      </c>
      <c r="B42" s="2513" t="s">
        <v>322</v>
      </c>
      <c r="C42" s="2531">
        <v>93012</v>
      </c>
      <c r="D42" s="2531"/>
      <c r="E42" s="2514"/>
      <c r="F42" s="2531"/>
      <c r="G42" s="2515"/>
      <c r="H42" s="2515"/>
      <c r="I42" s="2515"/>
      <c r="J42" s="2515"/>
      <c r="K42" s="2515"/>
      <c r="L42" s="2515"/>
      <c r="M42" s="2515"/>
      <c r="N42" s="2513">
        <f t="shared" si="1"/>
        <v>0</v>
      </c>
      <c r="O42" s="2516">
        <v>166565</v>
      </c>
      <c r="P42" s="2516">
        <v>40585</v>
      </c>
      <c r="Q42" s="2516">
        <f>P42/O42%</f>
        <v>24.365863176537687</v>
      </c>
      <c r="R42" s="2516">
        <f>100-Q42</f>
        <v>75.634136823462313</v>
      </c>
    </row>
    <row r="43" spans="1:18" s="2516" customFormat="1" ht="26.4">
      <c r="A43" s="2542" t="s">
        <v>579</v>
      </c>
      <c r="B43" s="2543" t="s">
        <v>1071</v>
      </c>
      <c r="C43" s="2544">
        <v>100</v>
      </c>
      <c r="D43" s="2545"/>
      <c r="E43" s="2546">
        <f t="shared" si="0"/>
        <v>0</v>
      </c>
      <c r="F43" s="2543">
        <f>'[3]04-12'!J50</f>
        <v>110</v>
      </c>
      <c r="G43" s="2547"/>
      <c r="H43" s="2547"/>
      <c r="I43" s="2547"/>
      <c r="J43" s="2547"/>
      <c r="K43" s="2547"/>
      <c r="L43" s="2547"/>
      <c r="M43" s="2547"/>
      <c r="N43" s="2548">
        <f t="shared" si="1"/>
        <v>110</v>
      </c>
    </row>
    <row r="44" spans="1:18" s="2482" customFormat="1" ht="50.4" customHeight="1">
      <c r="A44" s="2549"/>
      <c r="B44" s="2913"/>
      <c r="C44" s="2913"/>
      <c r="D44" s="2913"/>
      <c r="E44" s="2913"/>
      <c r="F44" s="2913"/>
      <c r="G44" s="2550"/>
      <c r="H44" s="2550"/>
      <c r="I44" s="2550"/>
    </row>
    <row r="45" spans="1:18" s="2482" customFormat="1" ht="43.2" customHeight="1">
      <c r="A45" s="2516"/>
      <c r="B45" s="2914"/>
      <c r="C45" s="2914"/>
      <c r="D45" s="2914"/>
      <c r="E45" s="2914"/>
      <c r="F45" s="2914"/>
      <c r="G45" s="2551"/>
      <c r="H45" s="2551"/>
    </row>
    <row r="46" spans="1:18" s="2482" customFormat="1">
      <c r="A46" s="2516"/>
    </row>
    <row r="47" spans="1:18">
      <c r="C47" s="2552"/>
    </row>
  </sheetData>
  <mergeCells count="10">
    <mergeCell ref="B44:F44"/>
    <mergeCell ref="B45:F45"/>
    <mergeCell ref="A4:N4"/>
    <mergeCell ref="A18:A21"/>
    <mergeCell ref="B18:B21"/>
    <mergeCell ref="C18:C21"/>
    <mergeCell ref="D18:D21"/>
    <mergeCell ref="E18:E21"/>
    <mergeCell ref="F18:F21"/>
    <mergeCell ref="N18:N21"/>
  </mergeCells>
  <printOptions horizontalCentered="1"/>
  <pageMargins left="0.19" right="0.3" top="0.34" bottom="0.26" header="0.22" footer="0.17"/>
  <pageSetup paperSize="9" scale="93"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03"/>
  <sheetViews>
    <sheetView showZeros="0" topLeftCell="A4" zoomScale="85" zoomScaleNormal="85" workbookViewId="0">
      <selection activeCell="A64" sqref="A64"/>
    </sheetView>
  </sheetViews>
  <sheetFormatPr defaultColWidth="10" defaultRowHeight="15.6"/>
  <cols>
    <col min="1" max="1" width="4.33203125" style="2393" customWidth="1"/>
    <col min="2" max="2" width="51.5546875" style="2386" customWidth="1"/>
    <col min="3" max="7" width="15.33203125" style="2386" customWidth="1"/>
    <col min="8" max="8" width="11.21875" style="2386" bestFit="1" customWidth="1"/>
    <col min="9" max="9" width="10.21875" style="2386" bestFit="1" customWidth="1"/>
    <col min="10" max="256" width="10" style="2386"/>
    <col min="257" max="257" width="4.33203125" style="2386" customWidth="1"/>
    <col min="258" max="258" width="51.5546875" style="2386" customWidth="1"/>
    <col min="259" max="263" width="15.33203125" style="2386" customWidth="1"/>
    <col min="264" max="264" width="11.21875" style="2386" bestFit="1" customWidth="1"/>
    <col min="265" max="265" width="10.21875" style="2386" bestFit="1" customWidth="1"/>
    <col min="266" max="512" width="10" style="2386"/>
    <col min="513" max="513" width="4.33203125" style="2386" customWidth="1"/>
    <col min="514" max="514" width="51.5546875" style="2386" customWidth="1"/>
    <col min="515" max="519" width="15.33203125" style="2386" customWidth="1"/>
    <col min="520" max="520" width="11.21875" style="2386" bestFit="1" customWidth="1"/>
    <col min="521" max="521" width="10.21875" style="2386" bestFit="1" customWidth="1"/>
    <col min="522" max="768" width="10" style="2386"/>
    <col min="769" max="769" width="4.33203125" style="2386" customWidth="1"/>
    <col min="770" max="770" width="51.5546875" style="2386" customWidth="1"/>
    <col min="771" max="775" width="15.33203125" style="2386" customWidth="1"/>
    <col min="776" max="776" width="11.21875" style="2386" bestFit="1" customWidth="1"/>
    <col min="777" max="777" width="10.21875" style="2386" bestFit="1" customWidth="1"/>
    <col min="778" max="1024" width="10" style="2386"/>
    <col min="1025" max="1025" width="4.33203125" style="2386" customWidth="1"/>
    <col min="1026" max="1026" width="51.5546875" style="2386" customWidth="1"/>
    <col min="1027" max="1031" width="15.33203125" style="2386" customWidth="1"/>
    <col min="1032" max="1032" width="11.21875" style="2386" bestFit="1" customWidth="1"/>
    <col min="1033" max="1033" width="10.21875" style="2386" bestFit="1" customWidth="1"/>
    <col min="1034" max="1280" width="10" style="2386"/>
    <col min="1281" max="1281" width="4.33203125" style="2386" customWidth="1"/>
    <col min="1282" max="1282" width="51.5546875" style="2386" customWidth="1"/>
    <col min="1283" max="1287" width="15.33203125" style="2386" customWidth="1"/>
    <col min="1288" max="1288" width="11.21875" style="2386" bestFit="1" customWidth="1"/>
    <col min="1289" max="1289" width="10.21875" style="2386" bestFit="1" customWidth="1"/>
    <col min="1290" max="1536" width="10" style="2386"/>
    <col min="1537" max="1537" width="4.33203125" style="2386" customWidth="1"/>
    <col min="1538" max="1538" width="51.5546875" style="2386" customWidth="1"/>
    <col min="1539" max="1543" width="15.33203125" style="2386" customWidth="1"/>
    <col min="1544" max="1544" width="11.21875" style="2386" bestFit="1" customWidth="1"/>
    <col min="1545" max="1545" width="10.21875" style="2386" bestFit="1" customWidth="1"/>
    <col min="1546" max="1792" width="10" style="2386"/>
    <col min="1793" max="1793" width="4.33203125" style="2386" customWidth="1"/>
    <col min="1794" max="1794" width="51.5546875" style="2386" customWidth="1"/>
    <col min="1795" max="1799" width="15.33203125" style="2386" customWidth="1"/>
    <col min="1800" max="1800" width="11.21875" style="2386" bestFit="1" customWidth="1"/>
    <col min="1801" max="1801" width="10.21875" style="2386" bestFit="1" customWidth="1"/>
    <col min="1802" max="2048" width="10" style="2386"/>
    <col min="2049" max="2049" width="4.33203125" style="2386" customWidth="1"/>
    <col min="2050" max="2050" width="51.5546875" style="2386" customWidth="1"/>
    <col min="2051" max="2055" width="15.33203125" style="2386" customWidth="1"/>
    <col min="2056" max="2056" width="11.21875" style="2386" bestFit="1" customWidth="1"/>
    <col min="2057" max="2057" width="10.21875" style="2386" bestFit="1" customWidth="1"/>
    <col min="2058" max="2304" width="10" style="2386"/>
    <col min="2305" max="2305" width="4.33203125" style="2386" customWidth="1"/>
    <col min="2306" max="2306" width="51.5546875" style="2386" customWidth="1"/>
    <col min="2307" max="2311" width="15.33203125" style="2386" customWidth="1"/>
    <col min="2312" max="2312" width="11.21875" style="2386" bestFit="1" customWidth="1"/>
    <col min="2313" max="2313" width="10.21875" style="2386" bestFit="1" customWidth="1"/>
    <col min="2314" max="2560" width="10" style="2386"/>
    <col min="2561" max="2561" width="4.33203125" style="2386" customWidth="1"/>
    <col min="2562" max="2562" width="51.5546875" style="2386" customWidth="1"/>
    <col min="2563" max="2567" width="15.33203125" style="2386" customWidth="1"/>
    <col min="2568" max="2568" width="11.21875" style="2386" bestFit="1" customWidth="1"/>
    <col min="2569" max="2569" width="10.21875" style="2386" bestFit="1" customWidth="1"/>
    <col min="2570" max="2816" width="10" style="2386"/>
    <col min="2817" max="2817" width="4.33203125" style="2386" customWidth="1"/>
    <col min="2818" max="2818" width="51.5546875" style="2386" customWidth="1"/>
    <col min="2819" max="2823" width="15.33203125" style="2386" customWidth="1"/>
    <col min="2824" max="2824" width="11.21875" style="2386" bestFit="1" customWidth="1"/>
    <col min="2825" max="2825" width="10.21875" style="2386" bestFit="1" customWidth="1"/>
    <col min="2826" max="3072" width="10" style="2386"/>
    <col min="3073" max="3073" width="4.33203125" style="2386" customWidth="1"/>
    <col min="3074" max="3074" width="51.5546875" style="2386" customWidth="1"/>
    <col min="3075" max="3079" width="15.33203125" style="2386" customWidth="1"/>
    <col min="3080" max="3080" width="11.21875" style="2386" bestFit="1" customWidth="1"/>
    <col min="3081" max="3081" width="10.21875" style="2386" bestFit="1" customWidth="1"/>
    <col min="3082" max="3328" width="10" style="2386"/>
    <col min="3329" max="3329" width="4.33203125" style="2386" customWidth="1"/>
    <col min="3330" max="3330" width="51.5546875" style="2386" customWidth="1"/>
    <col min="3331" max="3335" width="15.33203125" style="2386" customWidth="1"/>
    <col min="3336" max="3336" width="11.21875" style="2386" bestFit="1" customWidth="1"/>
    <col min="3337" max="3337" width="10.21875" style="2386" bestFit="1" customWidth="1"/>
    <col min="3338" max="3584" width="10" style="2386"/>
    <col min="3585" max="3585" width="4.33203125" style="2386" customWidth="1"/>
    <col min="3586" max="3586" width="51.5546875" style="2386" customWidth="1"/>
    <col min="3587" max="3591" width="15.33203125" style="2386" customWidth="1"/>
    <col min="3592" max="3592" width="11.21875" style="2386" bestFit="1" customWidth="1"/>
    <col min="3593" max="3593" width="10.21875" style="2386" bestFit="1" customWidth="1"/>
    <col min="3594" max="3840" width="10" style="2386"/>
    <col min="3841" max="3841" width="4.33203125" style="2386" customWidth="1"/>
    <col min="3842" max="3842" width="51.5546875" style="2386" customWidth="1"/>
    <col min="3843" max="3847" width="15.33203125" style="2386" customWidth="1"/>
    <col min="3848" max="3848" width="11.21875" style="2386" bestFit="1" customWidth="1"/>
    <col min="3849" max="3849" width="10.21875" style="2386" bestFit="1" customWidth="1"/>
    <col min="3850" max="4096" width="10" style="2386"/>
    <col min="4097" max="4097" width="4.33203125" style="2386" customWidth="1"/>
    <col min="4098" max="4098" width="51.5546875" style="2386" customWidth="1"/>
    <col min="4099" max="4103" width="15.33203125" style="2386" customWidth="1"/>
    <col min="4104" max="4104" width="11.21875" style="2386" bestFit="1" customWidth="1"/>
    <col min="4105" max="4105" width="10.21875" style="2386" bestFit="1" customWidth="1"/>
    <col min="4106" max="4352" width="10" style="2386"/>
    <col min="4353" max="4353" width="4.33203125" style="2386" customWidth="1"/>
    <col min="4354" max="4354" width="51.5546875" style="2386" customWidth="1"/>
    <col min="4355" max="4359" width="15.33203125" style="2386" customWidth="1"/>
    <col min="4360" max="4360" width="11.21875" style="2386" bestFit="1" customWidth="1"/>
    <col min="4361" max="4361" width="10.21875" style="2386" bestFit="1" customWidth="1"/>
    <col min="4362" max="4608" width="10" style="2386"/>
    <col min="4609" max="4609" width="4.33203125" style="2386" customWidth="1"/>
    <col min="4610" max="4610" width="51.5546875" style="2386" customWidth="1"/>
    <col min="4611" max="4615" width="15.33203125" style="2386" customWidth="1"/>
    <col min="4616" max="4616" width="11.21875" style="2386" bestFit="1" customWidth="1"/>
    <col min="4617" max="4617" width="10.21875" style="2386" bestFit="1" customWidth="1"/>
    <col min="4618" max="4864" width="10" style="2386"/>
    <col min="4865" max="4865" width="4.33203125" style="2386" customWidth="1"/>
    <col min="4866" max="4866" width="51.5546875" style="2386" customWidth="1"/>
    <col min="4867" max="4871" width="15.33203125" style="2386" customWidth="1"/>
    <col min="4872" max="4872" width="11.21875" style="2386" bestFit="1" customWidth="1"/>
    <col min="4873" max="4873" width="10.21875" style="2386" bestFit="1" customWidth="1"/>
    <col min="4874" max="5120" width="10" style="2386"/>
    <col min="5121" max="5121" width="4.33203125" style="2386" customWidth="1"/>
    <col min="5122" max="5122" width="51.5546875" style="2386" customWidth="1"/>
    <col min="5123" max="5127" width="15.33203125" style="2386" customWidth="1"/>
    <col min="5128" max="5128" width="11.21875" style="2386" bestFit="1" customWidth="1"/>
    <col min="5129" max="5129" width="10.21875" style="2386" bestFit="1" customWidth="1"/>
    <col min="5130" max="5376" width="10" style="2386"/>
    <col min="5377" max="5377" width="4.33203125" style="2386" customWidth="1"/>
    <col min="5378" max="5378" width="51.5546875" style="2386" customWidth="1"/>
    <col min="5379" max="5383" width="15.33203125" style="2386" customWidth="1"/>
    <col min="5384" max="5384" width="11.21875" style="2386" bestFit="1" customWidth="1"/>
    <col min="5385" max="5385" width="10.21875" style="2386" bestFit="1" customWidth="1"/>
    <col min="5386" max="5632" width="10" style="2386"/>
    <col min="5633" max="5633" width="4.33203125" style="2386" customWidth="1"/>
    <col min="5634" max="5634" width="51.5546875" style="2386" customWidth="1"/>
    <col min="5635" max="5639" width="15.33203125" style="2386" customWidth="1"/>
    <col min="5640" max="5640" width="11.21875" style="2386" bestFit="1" customWidth="1"/>
    <col min="5641" max="5641" width="10.21875" style="2386" bestFit="1" customWidth="1"/>
    <col min="5642" max="5888" width="10" style="2386"/>
    <col min="5889" max="5889" width="4.33203125" style="2386" customWidth="1"/>
    <col min="5890" max="5890" width="51.5546875" style="2386" customWidth="1"/>
    <col min="5891" max="5895" width="15.33203125" style="2386" customWidth="1"/>
    <col min="5896" max="5896" width="11.21875" style="2386" bestFit="1" customWidth="1"/>
    <col min="5897" max="5897" width="10.21875" style="2386" bestFit="1" customWidth="1"/>
    <col min="5898" max="6144" width="10" style="2386"/>
    <col min="6145" max="6145" width="4.33203125" style="2386" customWidth="1"/>
    <col min="6146" max="6146" width="51.5546875" style="2386" customWidth="1"/>
    <col min="6147" max="6151" width="15.33203125" style="2386" customWidth="1"/>
    <col min="6152" max="6152" width="11.21875" style="2386" bestFit="1" customWidth="1"/>
    <col min="6153" max="6153" width="10.21875" style="2386" bestFit="1" customWidth="1"/>
    <col min="6154" max="6400" width="10" style="2386"/>
    <col min="6401" max="6401" width="4.33203125" style="2386" customWidth="1"/>
    <col min="6402" max="6402" width="51.5546875" style="2386" customWidth="1"/>
    <col min="6403" max="6407" width="15.33203125" style="2386" customWidth="1"/>
    <col min="6408" max="6408" width="11.21875" style="2386" bestFit="1" customWidth="1"/>
    <col min="6409" max="6409" width="10.21875" style="2386" bestFit="1" customWidth="1"/>
    <col min="6410" max="6656" width="10" style="2386"/>
    <col min="6657" max="6657" width="4.33203125" style="2386" customWidth="1"/>
    <col min="6658" max="6658" width="51.5546875" style="2386" customWidth="1"/>
    <col min="6659" max="6663" width="15.33203125" style="2386" customWidth="1"/>
    <col min="6664" max="6664" width="11.21875" style="2386" bestFit="1" customWidth="1"/>
    <col min="6665" max="6665" width="10.21875" style="2386" bestFit="1" customWidth="1"/>
    <col min="6666" max="6912" width="10" style="2386"/>
    <col min="6913" max="6913" width="4.33203125" style="2386" customWidth="1"/>
    <col min="6914" max="6914" width="51.5546875" style="2386" customWidth="1"/>
    <col min="6915" max="6919" width="15.33203125" style="2386" customWidth="1"/>
    <col min="6920" max="6920" width="11.21875" style="2386" bestFit="1" customWidth="1"/>
    <col min="6921" max="6921" width="10.21875" style="2386" bestFit="1" customWidth="1"/>
    <col min="6922" max="7168" width="10" style="2386"/>
    <col min="7169" max="7169" width="4.33203125" style="2386" customWidth="1"/>
    <col min="7170" max="7170" width="51.5546875" style="2386" customWidth="1"/>
    <col min="7171" max="7175" width="15.33203125" style="2386" customWidth="1"/>
    <col min="7176" max="7176" width="11.21875" style="2386" bestFit="1" customWidth="1"/>
    <col min="7177" max="7177" width="10.21875" style="2386" bestFit="1" customWidth="1"/>
    <col min="7178" max="7424" width="10" style="2386"/>
    <col min="7425" max="7425" width="4.33203125" style="2386" customWidth="1"/>
    <col min="7426" max="7426" width="51.5546875" style="2386" customWidth="1"/>
    <col min="7427" max="7431" width="15.33203125" style="2386" customWidth="1"/>
    <col min="7432" max="7432" width="11.21875" style="2386" bestFit="1" customWidth="1"/>
    <col min="7433" max="7433" width="10.21875" style="2386" bestFit="1" customWidth="1"/>
    <col min="7434" max="7680" width="10" style="2386"/>
    <col min="7681" max="7681" width="4.33203125" style="2386" customWidth="1"/>
    <col min="7682" max="7682" width="51.5546875" style="2386" customWidth="1"/>
    <col min="7683" max="7687" width="15.33203125" style="2386" customWidth="1"/>
    <col min="7688" max="7688" width="11.21875" style="2386" bestFit="1" customWidth="1"/>
    <col min="7689" max="7689" width="10.21875" style="2386" bestFit="1" customWidth="1"/>
    <col min="7690" max="7936" width="10" style="2386"/>
    <col min="7937" max="7937" width="4.33203125" style="2386" customWidth="1"/>
    <col min="7938" max="7938" width="51.5546875" style="2386" customWidth="1"/>
    <col min="7939" max="7943" width="15.33203125" style="2386" customWidth="1"/>
    <col min="7944" max="7944" width="11.21875" style="2386" bestFit="1" customWidth="1"/>
    <col min="7945" max="7945" width="10.21875" style="2386" bestFit="1" customWidth="1"/>
    <col min="7946" max="8192" width="10" style="2386"/>
    <col min="8193" max="8193" width="4.33203125" style="2386" customWidth="1"/>
    <col min="8194" max="8194" width="51.5546875" style="2386" customWidth="1"/>
    <col min="8195" max="8199" width="15.33203125" style="2386" customWidth="1"/>
    <col min="8200" max="8200" width="11.21875" style="2386" bestFit="1" customWidth="1"/>
    <col min="8201" max="8201" width="10.21875" style="2386" bestFit="1" customWidth="1"/>
    <col min="8202" max="8448" width="10" style="2386"/>
    <col min="8449" max="8449" width="4.33203125" style="2386" customWidth="1"/>
    <col min="8450" max="8450" width="51.5546875" style="2386" customWidth="1"/>
    <col min="8451" max="8455" width="15.33203125" style="2386" customWidth="1"/>
    <col min="8456" max="8456" width="11.21875" style="2386" bestFit="1" customWidth="1"/>
    <col min="8457" max="8457" width="10.21875" style="2386" bestFit="1" customWidth="1"/>
    <col min="8458" max="8704" width="10" style="2386"/>
    <col min="8705" max="8705" width="4.33203125" style="2386" customWidth="1"/>
    <col min="8706" max="8706" width="51.5546875" style="2386" customWidth="1"/>
    <col min="8707" max="8711" width="15.33203125" style="2386" customWidth="1"/>
    <col min="8712" max="8712" width="11.21875" style="2386" bestFit="1" customWidth="1"/>
    <col min="8713" max="8713" width="10.21875" style="2386" bestFit="1" customWidth="1"/>
    <col min="8714" max="8960" width="10" style="2386"/>
    <col min="8961" max="8961" width="4.33203125" style="2386" customWidth="1"/>
    <col min="8962" max="8962" width="51.5546875" style="2386" customWidth="1"/>
    <col min="8963" max="8967" width="15.33203125" style="2386" customWidth="1"/>
    <col min="8968" max="8968" width="11.21875" style="2386" bestFit="1" customWidth="1"/>
    <col min="8969" max="8969" width="10.21875" style="2386" bestFit="1" customWidth="1"/>
    <col min="8970" max="9216" width="10" style="2386"/>
    <col min="9217" max="9217" width="4.33203125" style="2386" customWidth="1"/>
    <col min="9218" max="9218" width="51.5546875" style="2386" customWidth="1"/>
    <col min="9219" max="9223" width="15.33203125" style="2386" customWidth="1"/>
    <col min="9224" max="9224" width="11.21875" style="2386" bestFit="1" customWidth="1"/>
    <col min="9225" max="9225" width="10.21875" style="2386" bestFit="1" customWidth="1"/>
    <col min="9226" max="9472" width="10" style="2386"/>
    <col min="9473" max="9473" width="4.33203125" style="2386" customWidth="1"/>
    <col min="9474" max="9474" width="51.5546875" style="2386" customWidth="1"/>
    <col min="9475" max="9479" width="15.33203125" style="2386" customWidth="1"/>
    <col min="9480" max="9480" width="11.21875" style="2386" bestFit="1" customWidth="1"/>
    <col min="9481" max="9481" width="10.21875" style="2386" bestFit="1" customWidth="1"/>
    <col min="9482" max="9728" width="10" style="2386"/>
    <col min="9729" max="9729" width="4.33203125" style="2386" customWidth="1"/>
    <col min="9730" max="9730" width="51.5546875" style="2386" customWidth="1"/>
    <col min="9731" max="9735" width="15.33203125" style="2386" customWidth="1"/>
    <col min="9736" max="9736" width="11.21875" style="2386" bestFit="1" customWidth="1"/>
    <col min="9737" max="9737" width="10.21875" style="2386" bestFit="1" customWidth="1"/>
    <col min="9738" max="9984" width="10" style="2386"/>
    <col min="9985" max="9985" width="4.33203125" style="2386" customWidth="1"/>
    <col min="9986" max="9986" width="51.5546875" style="2386" customWidth="1"/>
    <col min="9987" max="9991" width="15.33203125" style="2386" customWidth="1"/>
    <col min="9992" max="9992" width="11.21875" style="2386" bestFit="1" customWidth="1"/>
    <col min="9993" max="9993" width="10.21875" style="2386" bestFit="1" customWidth="1"/>
    <col min="9994" max="10240" width="10" style="2386"/>
    <col min="10241" max="10241" width="4.33203125" style="2386" customWidth="1"/>
    <col min="10242" max="10242" width="51.5546875" style="2386" customWidth="1"/>
    <col min="10243" max="10247" width="15.33203125" style="2386" customWidth="1"/>
    <col min="10248" max="10248" width="11.21875" style="2386" bestFit="1" customWidth="1"/>
    <col min="10249" max="10249" width="10.21875" style="2386" bestFit="1" customWidth="1"/>
    <col min="10250" max="10496" width="10" style="2386"/>
    <col min="10497" max="10497" width="4.33203125" style="2386" customWidth="1"/>
    <col min="10498" max="10498" width="51.5546875" style="2386" customWidth="1"/>
    <col min="10499" max="10503" width="15.33203125" style="2386" customWidth="1"/>
    <col min="10504" max="10504" width="11.21875" style="2386" bestFit="1" customWidth="1"/>
    <col min="10505" max="10505" width="10.21875" style="2386" bestFit="1" customWidth="1"/>
    <col min="10506" max="10752" width="10" style="2386"/>
    <col min="10753" max="10753" width="4.33203125" style="2386" customWidth="1"/>
    <col min="10754" max="10754" width="51.5546875" style="2386" customWidth="1"/>
    <col min="10755" max="10759" width="15.33203125" style="2386" customWidth="1"/>
    <col min="10760" max="10760" width="11.21875" style="2386" bestFit="1" customWidth="1"/>
    <col min="10761" max="10761" width="10.21875" style="2386" bestFit="1" customWidth="1"/>
    <col min="10762" max="11008" width="10" style="2386"/>
    <col min="11009" max="11009" width="4.33203125" style="2386" customWidth="1"/>
    <col min="11010" max="11010" width="51.5546875" style="2386" customWidth="1"/>
    <col min="11011" max="11015" width="15.33203125" style="2386" customWidth="1"/>
    <col min="11016" max="11016" width="11.21875" style="2386" bestFit="1" customWidth="1"/>
    <col min="11017" max="11017" width="10.21875" style="2386" bestFit="1" customWidth="1"/>
    <col min="11018" max="11264" width="10" style="2386"/>
    <col min="11265" max="11265" width="4.33203125" style="2386" customWidth="1"/>
    <col min="11266" max="11266" width="51.5546875" style="2386" customWidth="1"/>
    <col min="11267" max="11271" width="15.33203125" style="2386" customWidth="1"/>
    <col min="11272" max="11272" width="11.21875" style="2386" bestFit="1" customWidth="1"/>
    <col min="11273" max="11273" width="10.21875" style="2386" bestFit="1" customWidth="1"/>
    <col min="11274" max="11520" width="10" style="2386"/>
    <col min="11521" max="11521" width="4.33203125" style="2386" customWidth="1"/>
    <col min="11522" max="11522" width="51.5546875" style="2386" customWidth="1"/>
    <col min="11523" max="11527" width="15.33203125" style="2386" customWidth="1"/>
    <col min="11528" max="11528" width="11.21875" style="2386" bestFit="1" customWidth="1"/>
    <col min="11529" max="11529" width="10.21875" style="2386" bestFit="1" customWidth="1"/>
    <col min="11530" max="11776" width="10" style="2386"/>
    <col min="11777" max="11777" width="4.33203125" style="2386" customWidth="1"/>
    <col min="11778" max="11778" width="51.5546875" style="2386" customWidth="1"/>
    <col min="11779" max="11783" width="15.33203125" style="2386" customWidth="1"/>
    <col min="11784" max="11784" width="11.21875" style="2386" bestFit="1" customWidth="1"/>
    <col min="11785" max="11785" width="10.21875" style="2386" bestFit="1" customWidth="1"/>
    <col min="11786" max="12032" width="10" style="2386"/>
    <col min="12033" max="12033" width="4.33203125" style="2386" customWidth="1"/>
    <col min="12034" max="12034" width="51.5546875" style="2386" customWidth="1"/>
    <col min="12035" max="12039" width="15.33203125" style="2386" customWidth="1"/>
    <col min="12040" max="12040" width="11.21875" style="2386" bestFit="1" customWidth="1"/>
    <col min="12041" max="12041" width="10.21875" style="2386" bestFit="1" customWidth="1"/>
    <col min="12042" max="12288" width="10" style="2386"/>
    <col min="12289" max="12289" width="4.33203125" style="2386" customWidth="1"/>
    <col min="12290" max="12290" width="51.5546875" style="2386" customWidth="1"/>
    <col min="12291" max="12295" width="15.33203125" style="2386" customWidth="1"/>
    <col min="12296" max="12296" width="11.21875" style="2386" bestFit="1" customWidth="1"/>
    <col min="12297" max="12297" width="10.21875" style="2386" bestFit="1" customWidth="1"/>
    <col min="12298" max="12544" width="10" style="2386"/>
    <col min="12545" max="12545" width="4.33203125" style="2386" customWidth="1"/>
    <col min="12546" max="12546" width="51.5546875" style="2386" customWidth="1"/>
    <col min="12547" max="12551" width="15.33203125" style="2386" customWidth="1"/>
    <col min="12552" max="12552" width="11.21875" style="2386" bestFit="1" customWidth="1"/>
    <col min="12553" max="12553" width="10.21875" style="2386" bestFit="1" customWidth="1"/>
    <col min="12554" max="12800" width="10" style="2386"/>
    <col min="12801" max="12801" width="4.33203125" style="2386" customWidth="1"/>
    <col min="12802" max="12802" width="51.5546875" style="2386" customWidth="1"/>
    <col min="12803" max="12807" width="15.33203125" style="2386" customWidth="1"/>
    <col min="12808" max="12808" width="11.21875" style="2386" bestFit="1" customWidth="1"/>
    <col min="12809" max="12809" width="10.21875" style="2386" bestFit="1" customWidth="1"/>
    <col min="12810" max="13056" width="10" style="2386"/>
    <col min="13057" max="13057" width="4.33203125" style="2386" customWidth="1"/>
    <col min="13058" max="13058" width="51.5546875" style="2386" customWidth="1"/>
    <col min="13059" max="13063" width="15.33203125" style="2386" customWidth="1"/>
    <col min="13064" max="13064" width="11.21875" style="2386" bestFit="1" customWidth="1"/>
    <col min="13065" max="13065" width="10.21875" style="2386" bestFit="1" customWidth="1"/>
    <col min="13066" max="13312" width="10" style="2386"/>
    <col min="13313" max="13313" width="4.33203125" style="2386" customWidth="1"/>
    <col min="13314" max="13314" width="51.5546875" style="2386" customWidth="1"/>
    <col min="13315" max="13319" width="15.33203125" style="2386" customWidth="1"/>
    <col min="13320" max="13320" width="11.21875" style="2386" bestFit="1" customWidth="1"/>
    <col min="13321" max="13321" width="10.21875" style="2386" bestFit="1" customWidth="1"/>
    <col min="13322" max="13568" width="10" style="2386"/>
    <col min="13569" max="13569" width="4.33203125" style="2386" customWidth="1"/>
    <col min="13570" max="13570" width="51.5546875" style="2386" customWidth="1"/>
    <col min="13571" max="13575" width="15.33203125" style="2386" customWidth="1"/>
    <col min="13576" max="13576" width="11.21875" style="2386" bestFit="1" customWidth="1"/>
    <col min="13577" max="13577" width="10.21875" style="2386" bestFit="1" customWidth="1"/>
    <col min="13578" max="13824" width="10" style="2386"/>
    <col min="13825" max="13825" width="4.33203125" style="2386" customWidth="1"/>
    <col min="13826" max="13826" width="51.5546875" style="2386" customWidth="1"/>
    <col min="13827" max="13831" width="15.33203125" style="2386" customWidth="1"/>
    <col min="13832" max="13832" width="11.21875" style="2386" bestFit="1" customWidth="1"/>
    <col min="13833" max="13833" width="10.21875" style="2386" bestFit="1" customWidth="1"/>
    <col min="13834" max="14080" width="10" style="2386"/>
    <col min="14081" max="14081" width="4.33203125" style="2386" customWidth="1"/>
    <col min="14082" max="14082" width="51.5546875" style="2386" customWidth="1"/>
    <col min="14083" max="14087" width="15.33203125" style="2386" customWidth="1"/>
    <col min="14088" max="14088" width="11.21875" style="2386" bestFit="1" customWidth="1"/>
    <col min="14089" max="14089" width="10.21875" style="2386" bestFit="1" customWidth="1"/>
    <col min="14090" max="14336" width="10" style="2386"/>
    <col min="14337" max="14337" width="4.33203125" style="2386" customWidth="1"/>
    <col min="14338" max="14338" width="51.5546875" style="2386" customWidth="1"/>
    <col min="14339" max="14343" width="15.33203125" style="2386" customWidth="1"/>
    <col min="14344" max="14344" width="11.21875" style="2386" bestFit="1" customWidth="1"/>
    <col min="14345" max="14345" width="10.21875" style="2386" bestFit="1" customWidth="1"/>
    <col min="14346" max="14592" width="10" style="2386"/>
    <col min="14593" max="14593" width="4.33203125" style="2386" customWidth="1"/>
    <col min="14594" max="14594" width="51.5546875" style="2386" customWidth="1"/>
    <col min="14595" max="14599" width="15.33203125" style="2386" customWidth="1"/>
    <col min="14600" max="14600" width="11.21875" style="2386" bestFit="1" customWidth="1"/>
    <col min="14601" max="14601" width="10.21875" style="2386" bestFit="1" customWidth="1"/>
    <col min="14602" max="14848" width="10" style="2386"/>
    <col min="14849" max="14849" width="4.33203125" style="2386" customWidth="1"/>
    <col min="14850" max="14850" width="51.5546875" style="2386" customWidth="1"/>
    <col min="14851" max="14855" width="15.33203125" style="2386" customWidth="1"/>
    <col min="14856" max="14856" width="11.21875" style="2386" bestFit="1" customWidth="1"/>
    <col min="14857" max="14857" width="10.21875" style="2386" bestFit="1" customWidth="1"/>
    <col min="14858" max="15104" width="10" style="2386"/>
    <col min="15105" max="15105" width="4.33203125" style="2386" customWidth="1"/>
    <col min="15106" max="15106" width="51.5546875" style="2386" customWidth="1"/>
    <col min="15107" max="15111" width="15.33203125" style="2386" customWidth="1"/>
    <col min="15112" max="15112" width="11.21875" style="2386" bestFit="1" customWidth="1"/>
    <col min="15113" max="15113" width="10.21875" style="2386" bestFit="1" customWidth="1"/>
    <col min="15114" max="15360" width="10" style="2386"/>
    <col min="15361" max="15361" width="4.33203125" style="2386" customWidth="1"/>
    <col min="15362" max="15362" width="51.5546875" style="2386" customWidth="1"/>
    <col min="15363" max="15367" width="15.33203125" style="2386" customWidth="1"/>
    <col min="15368" max="15368" width="11.21875" style="2386" bestFit="1" customWidth="1"/>
    <col min="15369" max="15369" width="10.21875" style="2386" bestFit="1" customWidth="1"/>
    <col min="15370" max="15616" width="10" style="2386"/>
    <col min="15617" max="15617" width="4.33203125" style="2386" customWidth="1"/>
    <col min="15618" max="15618" width="51.5546875" style="2386" customWidth="1"/>
    <col min="15619" max="15623" width="15.33203125" style="2386" customWidth="1"/>
    <col min="15624" max="15624" width="11.21875" style="2386" bestFit="1" customWidth="1"/>
    <col min="15625" max="15625" width="10.21875" style="2386" bestFit="1" customWidth="1"/>
    <col min="15626" max="15872" width="10" style="2386"/>
    <col min="15873" max="15873" width="4.33203125" style="2386" customWidth="1"/>
    <col min="15874" max="15874" width="51.5546875" style="2386" customWidth="1"/>
    <col min="15875" max="15879" width="15.33203125" style="2386" customWidth="1"/>
    <col min="15880" max="15880" width="11.21875" style="2386" bestFit="1" customWidth="1"/>
    <col min="15881" max="15881" width="10.21875" style="2386" bestFit="1" customWidth="1"/>
    <col min="15882" max="16128" width="10" style="2386"/>
    <col min="16129" max="16129" width="4.33203125" style="2386" customWidth="1"/>
    <col min="16130" max="16130" width="51.5546875" style="2386" customWidth="1"/>
    <col min="16131" max="16135" width="15.33203125" style="2386" customWidth="1"/>
    <col min="16136" max="16136" width="11.21875" style="2386" bestFit="1" customWidth="1"/>
    <col min="16137" max="16137" width="10.21875" style="2386" bestFit="1" customWidth="1"/>
    <col min="16138" max="16384" width="10" style="2386"/>
  </cols>
  <sheetData>
    <row r="1" spans="1:9" s="2555" customFormat="1" ht="16.8">
      <c r="A1" s="2553"/>
      <c r="B1" s="2554" t="s">
        <v>69</v>
      </c>
      <c r="C1" s="2554"/>
      <c r="D1" s="2554"/>
      <c r="E1" s="2554"/>
      <c r="G1" s="2556" t="s">
        <v>1380</v>
      </c>
    </row>
    <row r="2" spans="1:9">
      <c r="A2" s="2557"/>
      <c r="B2" s="2558"/>
      <c r="C2" s="2558"/>
      <c r="D2" s="2558"/>
      <c r="E2" s="2558"/>
      <c r="G2" s="2559"/>
    </row>
    <row r="3" spans="1:9">
      <c r="A3" s="2560" t="s">
        <v>1381</v>
      </c>
      <c r="B3" s="2561"/>
      <c r="C3" s="2561"/>
      <c r="D3" s="2561"/>
      <c r="E3" s="2562"/>
      <c r="F3" s="2563"/>
      <c r="G3" s="2563"/>
    </row>
    <row r="4" spans="1:9">
      <c r="A4" s="2560"/>
      <c r="B4" s="2954" t="s">
        <v>1266</v>
      </c>
      <c r="C4" s="2955"/>
      <c r="D4" s="2955"/>
      <c r="E4" s="2955"/>
      <c r="F4" s="2955"/>
      <c r="G4" s="2955"/>
    </row>
    <row r="5" spans="1:9">
      <c r="A5" s="2557"/>
      <c r="B5" s="2564"/>
      <c r="C5" s="2564"/>
      <c r="D5" s="2564"/>
      <c r="E5" s="2564"/>
      <c r="F5" s="2565"/>
      <c r="G5" s="2566" t="s">
        <v>1056</v>
      </c>
    </row>
    <row r="6" spans="1:9" ht="78" customHeight="1">
      <c r="A6" s="2956" t="s">
        <v>1382</v>
      </c>
      <c r="B6" s="2958" t="s">
        <v>257</v>
      </c>
      <c r="C6" s="2567" t="s">
        <v>1383</v>
      </c>
      <c r="D6" s="2567"/>
      <c r="E6" s="2959" t="s">
        <v>1384</v>
      </c>
      <c r="F6" s="2960"/>
      <c r="G6" s="2961"/>
    </row>
    <row r="7" spans="1:9">
      <c r="A7" s="2956"/>
      <c r="B7" s="2958"/>
      <c r="C7" s="2962" t="s">
        <v>1385</v>
      </c>
      <c r="D7" s="2962" t="s">
        <v>1273</v>
      </c>
      <c r="E7" s="2963" t="s">
        <v>1386</v>
      </c>
      <c r="F7" s="2962" t="s">
        <v>1276</v>
      </c>
      <c r="G7" s="2962" t="s">
        <v>1278</v>
      </c>
    </row>
    <row r="8" spans="1:9">
      <c r="A8" s="2956"/>
      <c r="B8" s="2958"/>
      <c r="C8" s="2962"/>
      <c r="D8" s="2962"/>
      <c r="E8" s="2963"/>
      <c r="F8" s="2962"/>
      <c r="G8" s="2962"/>
    </row>
    <row r="9" spans="1:9">
      <c r="A9" s="2957"/>
      <c r="B9" s="2958"/>
      <c r="C9" s="2962"/>
      <c r="D9" s="2962"/>
      <c r="E9" s="2963"/>
      <c r="F9" s="2962"/>
      <c r="G9" s="2962"/>
    </row>
    <row r="10" spans="1:9" s="2393" customFormat="1">
      <c r="A10" s="2568" t="s">
        <v>80</v>
      </c>
      <c r="B10" s="2568" t="s">
        <v>81</v>
      </c>
      <c r="C10" s="2567">
        <v>1</v>
      </c>
      <c r="D10" s="2567">
        <v>2</v>
      </c>
      <c r="E10" s="2568">
        <v>3</v>
      </c>
      <c r="F10" s="2568">
        <v>4</v>
      </c>
      <c r="G10" s="2568">
        <v>5</v>
      </c>
    </row>
    <row r="11" spans="1:9" s="2572" customFormat="1">
      <c r="A11" s="2569"/>
      <c r="B11" s="2570" t="s">
        <v>1139</v>
      </c>
      <c r="C11" s="2571">
        <f>C13+C14</f>
        <v>3020353</v>
      </c>
      <c r="D11" s="2571">
        <f>D13+D14</f>
        <v>2095350.8954999999</v>
      </c>
      <c r="E11" s="2571">
        <f>E13+E14</f>
        <v>2939943</v>
      </c>
      <c r="F11" s="2571">
        <f>F13+F14</f>
        <v>3209512</v>
      </c>
      <c r="G11" s="2571">
        <f>G13+G14</f>
        <v>1693728</v>
      </c>
      <c r="I11" s="2573"/>
    </row>
    <row r="12" spans="1:9" s="2578" customFormat="1" ht="16.2">
      <c r="A12" s="2574"/>
      <c r="B12" s="2575" t="s">
        <v>290</v>
      </c>
      <c r="C12" s="2576"/>
      <c r="D12" s="2576"/>
      <c r="E12" s="2576"/>
      <c r="F12" s="2577"/>
      <c r="G12" s="2571">
        <f t="shared" ref="G12:G39" si="0">F12</f>
        <v>0</v>
      </c>
    </row>
    <row r="13" spans="1:9" s="2578" customFormat="1">
      <c r="A13" s="2579" t="s">
        <v>1089</v>
      </c>
      <c r="B13" s="2580" t="s">
        <v>1387</v>
      </c>
      <c r="C13" s="2581">
        <f>C17+C94</f>
        <v>2860675</v>
      </c>
      <c r="D13" s="2581">
        <f>D17+D94</f>
        <v>1972095.8954999999</v>
      </c>
      <c r="E13" s="2581">
        <f>E17+E94</f>
        <v>2669732</v>
      </c>
      <c r="F13" s="2581">
        <f>F17+F94</f>
        <v>2980971</v>
      </c>
      <c r="G13" s="2581">
        <f>G17+G94</f>
        <v>1693728</v>
      </c>
    </row>
    <row r="14" spans="1:9" s="2582" customFormat="1">
      <c r="A14" s="2579" t="s">
        <v>1089</v>
      </c>
      <c r="B14" s="2580" t="s">
        <v>1388</v>
      </c>
      <c r="C14" s="2581">
        <f>C18+C97</f>
        <v>159678</v>
      </c>
      <c r="D14" s="2581">
        <f>D18+D97</f>
        <v>123255</v>
      </c>
      <c r="E14" s="2581">
        <f>E18+E97</f>
        <v>270211</v>
      </c>
      <c r="F14" s="2581">
        <f>F18+F97</f>
        <v>228541</v>
      </c>
      <c r="G14" s="2581">
        <f>G18+G97</f>
        <v>0</v>
      </c>
    </row>
    <row r="15" spans="1:9" s="2578" customFormat="1">
      <c r="A15" s="2579" t="s">
        <v>80</v>
      </c>
      <c r="B15" s="2583" t="s">
        <v>1389</v>
      </c>
      <c r="C15" s="2584">
        <f>C17+C18</f>
        <v>3020353</v>
      </c>
      <c r="D15" s="2584">
        <f>D17+D18</f>
        <v>2095350.8954999999</v>
      </c>
      <c r="E15" s="2584">
        <f>E17+E18</f>
        <v>2939943</v>
      </c>
      <c r="F15" s="2584">
        <f>F17+F18</f>
        <v>3209512</v>
      </c>
      <c r="G15" s="2584">
        <f>G17+G18</f>
        <v>1693728</v>
      </c>
    </row>
    <row r="16" spans="1:9" s="2582" customFormat="1" ht="16.2">
      <c r="A16" s="2574"/>
      <c r="B16" s="2575" t="s">
        <v>290</v>
      </c>
      <c r="C16" s="2581"/>
      <c r="D16" s="2581"/>
      <c r="E16" s="2581"/>
      <c r="F16" s="2585"/>
      <c r="G16" s="2571">
        <f t="shared" si="0"/>
        <v>0</v>
      </c>
    </row>
    <row r="17" spans="1:8" s="2582" customFormat="1">
      <c r="A17" s="2579" t="s">
        <v>1089</v>
      </c>
      <c r="B17" s="2580" t="s">
        <v>1387</v>
      </c>
      <c r="C17" s="2581">
        <f>C20+C42</f>
        <v>2860675</v>
      </c>
      <c r="D17" s="2581">
        <f>D20+D42</f>
        <v>1972095.8954999999</v>
      </c>
      <c r="E17" s="2581">
        <f>E20+E42</f>
        <v>2669732</v>
      </c>
      <c r="F17" s="2581">
        <f>F20+F42</f>
        <v>2980971</v>
      </c>
      <c r="G17" s="2581">
        <f>G20+G42</f>
        <v>1693728</v>
      </c>
    </row>
    <row r="18" spans="1:8" s="2578" customFormat="1">
      <c r="A18" s="2579" t="s">
        <v>1089</v>
      </c>
      <c r="B18" s="2580" t="s">
        <v>1388</v>
      </c>
      <c r="C18" s="2581">
        <f>C24+C43</f>
        <v>159678</v>
      </c>
      <c r="D18" s="2581">
        <f>D24+D43</f>
        <v>123255</v>
      </c>
      <c r="E18" s="2581">
        <f>E24+E43</f>
        <v>270211</v>
      </c>
      <c r="F18" s="2581">
        <f>F24+F43</f>
        <v>228541</v>
      </c>
      <c r="G18" s="2581">
        <f>G24+G43</f>
        <v>0</v>
      </c>
    </row>
    <row r="19" spans="1:8" s="2589" customFormat="1" ht="31.2">
      <c r="A19" s="2586" t="s">
        <v>54</v>
      </c>
      <c r="B19" s="2587" t="s">
        <v>1390</v>
      </c>
      <c r="C19" s="2588">
        <f>C20+C24</f>
        <v>1538030</v>
      </c>
      <c r="D19" s="2588">
        <f>D20+D24</f>
        <v>1136196</v>
      </c>
      <c r="E19" s="2588">
        <f>E20+E24</f>
        <v>1713785</v>
      </c>
      <c r="F19" s="2588">
        <f>F20+F24</f>
        <v>1693728</v>
      </c>
      <c r="G19" s="2571">
        <f t="shared" si="0"/>
        <v>1693728</v>
      </c>
    </row>
    <row r="20" spans="1:8" s="2582" customFormat="1">
      <c r="A20" s="2590"/>
      <c r="B20" s="2591" t="s">
        <v>1387</v>
      </c>
      <c r="C20" s="2584">
        <f>C21+C22+C23</f>
        <v>1538030</v>
      </c>
      <c r="D20" s="2584">
        <f>D21+D22+D23</f>
        <v>1136196</v>
      </c>
      <c r="E20" s="2584">
        <f>E21+E22+E23</f>
        <v>1713785</v>
      </c>
      <c r="F20" s="2584">
        <f>F21+F22+F23</f>
        <v>1693728</v>
      </c>
      <c r="G20" s="2571">
        <f t="shared" si="0"/>
        <v>1693728</v>
      </c>
      <c r="H20" s="2592"/>
    </row>
    <row r="21" spans="1:8" s="2578" customFormat="1">
      <c r="A21" s="2579"/>
      <c r="B21" s="2593" t="s">
        <v>1391</v>
      </c>
      <c r="C21" s="2576">
        <f>115000-11500</f>
        <v>103500</v>
      </c>
      <c r="D21" s="2576">
        <v>66976</v>
      </c>
      <c r="E21" s="2576">
        <f t="shared" ref="E21:F23" si="1">E28+E36</f>
        <v>126000</v>
      </c>
      <c r="F21" s="2576">
        <f t="shared" si="1"/>
        <v>134000</v>
      </c>
      <c r="G21" s="2594">
        <f t="shared" si="0"/>
        <v>134000</v>
      </c>
    </row>
    <row r="22" spans="1:8" s="2578" customFormat="1">
      <c r="A22" s="2579"/>
      <c r="B22" s="2593" t="s">
        <v>1392</v>
      </c>
      <c r="C22" s="2576">
        <v>850000</v>
      </c>
      <c r="D22" s="2576">
        <v>728790</v>
      </c>
      <c r="E22" s="2576">
        <f t="shared" si="1"/>
        <v>960000</v>
      </c>
      <c r="F22" s="2576">
        <f t="shared" si="1"/>
        <v>960000</v>
      </c>
      <c r="G22" s="2594">
        <f t="shared" si="0"/>
        <v>960000</v>
      </c>
    </row>
    <row r="23" spans="1:8" s="2578" customFormat="1">
      <c r="A23" s="2579"/>
      <c r="B23" s="2593" t="s">
        <v>1393</v>
      </c>
      <c r="C23" s="2576">
        <v>584530</v>
      </c>
      <c r="D23" s="2576">
        <v>340430</v>
      </c>
      <c r="E23" s="2576">
        <f t="shared" si="1"/>
        <v>627785</v>
      </c>
      <c r="F23" s="2576">
        <f t="shared" si="1"/>
        <v>599728</v>
      </c>
      <c r="G23" s="2594">
        <f t="shared" si="0"/>
        <v>599728</v>
      </c>
    </row>
    <row r="24" spans="1:8" s="2582" customFormat="1" ht="16.2">
      <c r="A24" s="2590"/>
      <c r="B24" s="2595" t="s">
        <v>1388</v>
      </c>
      <c r="C24" s="2596"/>
      <c r="D24" s="2596"/>
      <c r="E24" s="2596"/>
      <c r="F24" s="2597"/>
      <c r="G24" s="2571">
        <f t="shared" si="0"/>
        <v>0</v>
      </c>
    </row>
    <row r="25" spans="1:8" s="2578" customFormat="1">
      <c r="A25" s="2579" t="s">
        <v>1394</v>
      </c>
      <c r="B25" s="2591" t="s">
        <v>261</v>
      </c>
      <c r="C25" s="2584">
        <f>C27+C31</f>
        <v>1186310</v>
      </c>
      <c r="D25" s="2584">
        <f>D27+D31</f>
        <v>868831.9439999999</v>
      </c>
      <c r="E25" s="2636">
        <f>E27+E31</f>
        <v>1298690</v>
      </c>
      <c r="F25" s="2584">
        <f>F27+F31</f>
        <v>1284871</v>
      </c>
      <c r="G25" s="2571">
        <f t="shared" si="0"/>
        <v>1284871</v>
      </c>
      <c r="H25" s="2598"/>
    </row>
    <row r="26" spans="1:8" s="2578" customFormat="1" ht="16.2">
      <c r="A26" s="2574"/>
      <c r="B26" s="2575" t="s">
        <v>290</v>
      </c>
      <c r="C26" s="2576"/>
      <c r="D26" s="2576"/>
      <c r="E26" s="2576"/>
      <c r="F26" s="2577"/>
      <c r="G26" s="2571">
        <f t="shared" si="0"/>
        <v>0</v>
      </c>
    </row>
    <row r="27" spans="1:8" s="2582" customFormat="1">
      <c r="A27" s="2579" t="s">
        <v>441</v>
      </c>
      <c r="B27" s="2591" t="s">
        <v>1387</v>
      </c>
      <c r="C27" s="2584">
        <f>C28+C29+C30</f>
        <v>1186310</v>
      </c>
      <c r="D27" s="2584">
        <f>D28+D29+D30</f>
        <v>868831.9439999999</v>
      </c>
      <c r="E27" s="2584">
        <f>E28+E29+E30</f>
        <v>1298690</v>
      </c>
      <c r="F27" s="2584">
        <f>F28+F29+F30</f>
        <v>1284871</v>
      </c>
      <c r="G27" s="2571">
        <f t="shared" si="0"/>
        <v>1284871</v>
      </c>
    </row>
    <row r="28" spans="1:8" s="2578" customFormat="1">
      <c r="A28" s="2579" t="s">
        <v>1089</v>
      </c>
      <c r="B28" s="2593" t="s">
        <v>1391</v>
      </c>
      <c r="C28" s="2576">
        <f>76000-7600</f>
        <v>68400</v>
      </c>
      <c r="D28" s="2576">
        <f>C28*58.24%</f>
        <v>39836.160000000003</v>
      </c>
      <c r="E28" s="2576">
        <v>78480</v>
      </c>
      <c r="F28" s="2577">
        <v>83463</v>
      </c>
      <c r="G28" s="2594">
        <f t="shared" si="0"/>
        <v>83463</v>
      </c>
    </row>
    <row r="29" spans="1:8" s="2578" customFormat="1">
      <c r="A29" s="2579" t="s">
        <v>1089</v>
      </c>
      <c r="B29" s="2593" t="s">
        <v>1392</v>
      </c>
      <c r="C29" s="2576">
        <v>647000</v>
      </c>
      <c r="D29" s="2576">
        <f>C29*85.74%</f>
        <v>554737.79999999993</v>
      </c>
      <c r="E29" s="2576">
        <v>799500</v>
      </c>
      <c r="F29" s="2577">
        <v>799500</v>
      </c>
      <c r="G29" s="2594">
        <f t="shared" si="0"/>
        <v>799500</v>
      </c>
    </row>
    <row r="30" spans="1:8" s="2578" customFormat="1">
      <c r="A30" s="2579" t="s">
        <v>1089</v>
      </c>
      <c r="B30" s="2593" t="s">
        <v>1393</v>
      </c>
      <c r="C30" s="2576">
        <v>470910</v>
      </c>
      <c r="D30" s="2576">
        <f>C30*58.24%</f>
        <v>274257.984</v>
      </c>
      <c r="E30" s="2576">
        <v>420710</v>
      </c>
      <c r="F30" s="2577">
        <v>401908</v>
      </c>
      <c r="G30" s="2594">
        <f t="shared" si="0"/>
        <v>401908</v>
      </c>
    </row>
    <row r="31" spans="1:8" s="2582" customFormat="1">
      <c r="A31" s="2579" t="s">
        <v>463</v>
      </c>
      <c r="B31" s="2591" t="s">
        <v>1388</v>
      </c>
      <c r="C31" s="2584"/>
      <c r="D31" s="2584"/>
      <c r="E31" s="2584"/>
      <c r="F31" s="2599"/>
      <c r="G31" s="2594">
        <f t="shared" si="0"/>
        <v>0</v>
      </c>
    </row>
    <row r="32" spans="1:8" s="2604" customFormat="1">
      <c r="A32" s="2600" t="s">
        <v>467</v>
      </c>
      <c r="B32" s="2601" t="s">
        <v>1395</v>
      </c>
      <c r="C32" s="2602"/>
      <c r="D32" s="2602"/>
      <c r="E32" s="2602"/>
      <c r="F32" s="2603"/>
      <c r="G32" s="2594">
        <f t="shared" si="0"/>
        <v>0</v>
      </c>
    </row>
    <row r="33" spans="1:7" s="2578" customFormat="1">
      <c r="A33" s="2579" t="s">
        <v>1396</v>
      </c>
      <c r="B33" s="2583" t="s">
        <v>262</v>
      </c>
      <c r="C33" s="2584">
        <f>C35+C39</f>
        <v>351720</v>
      </c>
      <c r="D33" s="2584">
        <f>D35+D39</f>
        <v>260666.72799999997</v>
      </c>
      <c r="E33" s="2584">
        <f>E35+E39</f>
        <v>415095</v>
      </c>
      <c r="F33" s="2584">
        <f>F35+F39</f>
        <v>408857</v>
      </c>
      <c r="G33" s="2571">
        <f t="shared" si="0"/>
        <v>408857</v>
      </c>
    </row>
    <row r="34" spans="1:7" s="2578" customFormat="1" ht="16.2">
      <c r="A34" s="2574"/>
      <c r="B34" s="2575" t="s">
        <v>290</v>
      </c>
      <c r="C34" s="2576"/>
      <c r="D34" s="2576"/>
      <c r="E34" s="2576"/>
      <c r="F34" s="2577"/>
      <c r="G34" s="2571">
        <f t="shared" si="0"/>
        <v>0</v>
      </c>
    </row>
    <row r="35" spans="1:7" s="2582" customFormat="1">
      <c r="A35" s="2579" t="s">
        <v>441</v>
      </c>
      <c r="B35" s="2591" t="s">
        <v>1387</v>
      </c>
      <c r="C35" s="2584">
        <f>C36+C37+C38</f>
        <v>351720</v>
      </c>
      <c r="D35" s="2584">
        <f>D36+D37+D38</f>
        <v>260666.72799999997</v>
      </c>
      <c r="E35" s="2584">
        <f>E36+E37+E38</f>
        <v>415095</v>
      </c>
      <c r="F35" s="2584">
        <f>F36+F37+F38</f>
        <v>408857</v>
      </c>
      <c r="G35" s="2571">
        <f t="shared" si="0"/>
        <v>408857</v>
      </c>
    </row>
    <row r="36" spans="1:7" s="2578" customFormat="1">
      <c r="A36" s="2579" t="s">
        <v>1089</v>
      </c>
      <c r="B36" s="2593" t="s">
        <v>1391</v>
      </c>
      <c r="C36" s="2576">
        <f>39000-3900</f>
        <v>35100</v>
      </c>
      <c r="D36" s="2576">
        <f>C36*58.24%</f>
        <v>20442.240000000002</v>
      </c>
      <c r="E36" s="2576">
        <v>47520</v>
      </c>
      <c r="F36" s="2577">
        <v>50537</v>
      </c>
      <c r="G36" s="2594">
        <f t="shared" si="0"/>
        <v>50537</v>
      </c>
    </row>
    <row r="37" spans="1:7" s="2578" customFormat="1">
      <c r="A37" s="2579" t="s">
        <v>1089</v>
      </c>
      <c r="B37" s="2593" t="s">
        <v>1397</v>
      </c>
      <c r="C37" s="2576">
        <v>203000</v>
      </c>
      <c r="D37" s="2576">
        <f>C37*85.74%</f>
        <v>174052.19999999998</v>
      </c>
      <c r="E37" s="2576">
        <v>160500</v>
      </c>
      <c r="F37" s="2577">
        <v>160500</v>
      </c>
      <c r="G37" s="2594">
        <f t="shared" si="0"/>
        <v>160500</v>
      </c>
    </row>
    <row r="38" spans="1:7" s="2578" customFormat="1">
      <c r="A38" s="2579" t="s">
        <v>1089</v>
      </c>
      <c r="B38" s="2593" t="s">
        <v>1393</v>
      </c>
      <c r="C38" s="2576">
        <v>113620</v>
      </c>
      <c r="D38" s="2576">
        <f>C38*58.24%</f>
        <v>66172.288</v>
      </c>
      <c r="E38" s="2576">
        <v>207075</v>
      </c>
      <c r="F38" s="2577">
        <v>197820</v>
      </c>
      <c r="G38" s="2594">
        <f t="shared" si="0"/>
        <v>197820</v>
      </c>
    </row>
    <row r="39" spans="1:7" s="2582" customFormat="1">
      <c r="A39" s="2579" t="s">
        <v>463</v>
      </c>
      <c r="B39" s="2591" t="s">
        <v>1388</v>
      </c>
      <c r="C39" s="2584"/>
      <c r="D39" s="2584"/>
      <c r="E39" s="2584"/>
      <c r="F39" s="2599"/>
      <c r="G39" s="2571">
        <f t="shared" si="0"/>
        <v>0</v>
      </c>
    </row>
    <row r="40" spans="1:7" s="2606" customFormat="1">
      <c r="A40" s="2586" t="s">
        <v>60</v>
      </c>
      <c r="B40" s="2587" t="s">
        <v>1398</v>
      </c>
      <c r="C40" s="2605">
        <f>C42+C43</f>
        <v>1482323</v>
      </c>
      <c r="D40" s="2605">
        <f>D42+D43</f>
        <v>959154.89549999987</v>
      </c>
      <c r="E40" s="2605">
        <f>E42+E43</f>
        <v>1226158</v>
      </c>
      <c r="F40" s="2605">
        <f>F42+F43</f>
        <v>1515784</v>
      </c>
      <c r="G40" s="2571"/>
    </row>
    <row r="41" spans="1:7" ht="16.2">
      <c r="A41" s="2574"/>
      <c r="B41" s="2575" t="s">
        <v>290</v>
      </c>
      <c r="C41" s="2607"/>
      <c r="D41" s="2607"/>
      <c r="E41" s="2607"/>
      <c r="F41" s="2607"/>
      <c r="G41" s="2571"/>
    </row>
    <row r="42" spans="1:7" ht="16.2">
      <c r="A42" s="2574"/>
      <c r="B42" s="2580" t="s">
        <v>1399</v>
      </c>
      <c r="C42" s="2607">
        <f>C46+C55+C59+C91</f>
        <v>1322645</v>
      </c>
      <c r="D42" s="2607">
        <f>D46+D55+D59+D91</f>
        <v>835899.89549999987</v>
      </c>
      <c r="E42" s="2607">
        <f>E46+E55+E59+E91</f>
        <v>955947</v>
      </c>
      <c r="F42" s="2607">
        <f>F46+F55+F59+F91</f>
        <v>1287243</v>
      </c>
      <c r="G42" s="2571"/>
    </row>
    <row r="43" spans="1:7" ht="16.2">
      <c r="A43" s="2574"/>
      <c r="B43" s="2575" t="s">
        <v>1400</v>
      </c>
      <c r="C43" s="2607">
        <f>C47+C56+C60</f>
        <v>159678</v>
      </c>
      <c r="D43" s="2607">
        <f>D47+D56+D60</f>
        <v>123255</v>
      </c>
      <c r="E43" s="2607">
        <f>E47+E56+E60</f>
        <v>270211</v>
      </c>
      <c r="F43" s="2607">
        <f>F47+F56+F60</f>
        <v>228541</v>
      </c>
      <c r="G43" s="2571"/>
    </row>
    <row r="44" spans="1:7">
      <c r="A44" s="2579" t="s">
        <v>1394</v>
      </c>
      <c r="B44" s="2583" t="s">
        <v>1401</v>
      </c>
      <c r="C44" s="2608">
        <f>C46+C47</f>
        <v>125505</v>
      </c>
      <c r="D44" s="2608">
        <f>D46+D47</f>
        <v>121626.89549999998</v>
      </c>
      <c r="E44" s="2608">
        <f>E46+E47</f>
        <v>250697</v>
      </c>
      <c r="F44" s="2608">
        <f>F46+F47</f>
        <v>218906</v>
      </c>
      <c r="G44" s="2571"/>
    </row>
    <row r="45" spans="1:7" ht="16.2">
      <c r="A45" s="2574"/>
      <c r="B45" s="2575" t="s">
        <v>290</v>
      </c>
      <c r="C45" s="2607"/>
      <c r="D45" s="2607"/>
      <c r="E45" s="2607"/>
      <c r="F45" s="2607"/>
      <c r="G45" s="2571"/>
    </row>
    <row r="46" spans="1:7" ht="16.2">
      <c r="A46" s="2574"/>
      <c r="B46" s="2580" t="s">
        <v>1399</v>
      </c>
      <c r="C46" s="2607">
        <f>C49+C52</f>
        <v>125505</v>
      </c>
      <c r="D46" s="2607">
        <f>D49+D52</f>
        <v>121626.89549999998</v>
      </c>
      <c r="E46" s="2607">
        <f>E49+E52</f>
        <v>250697</v>
      </c>
      <c r="F46" s="2607">
        <v>218906</v>
      </c>
      <c r="G46" s="2571"/>
    </row>
    <row r="47" spans="1:7" ht="16.2">
      <c r="A47" s="2574"/>
      <c r="B47" s="2575" t="s">
        <v>1400</v>
      </c>
      <c r="C47" s="2607"/>
      <c r="D47" s="2607"/>
      <c r="E47" s="2607"/>
      <c r="F47" s="2607"/>
      <c r="G47" s="2571"/>
    </row>
    <row r="48" spans="1:7">
      <c r="A48" s="2609" t="s">
        <v>441</v>
      </c>
      <c r="B48" s="2610" t="s">
        <v>1402</v>
      </c>
      <c r="C48" s="2607">
        <f>C49+C50</f>
        <v>44505</v>
      </c>
      <c r="D48" s="2607">
        <f>D49+D50</f>
        <v>43129.7955</v>
      </c>
      <c r="E48" s="2607">
        <f>E49+E50</f>
        <v>99697</v>
      </c>
      <c r="F48" s="2607"/>
      <c r="G48" s="2571"/>
    </row>
    <row r="49" spans="1:7">
      <c r="A49" s="2590"/>
      <c r="B49" s="2580" t="s">
        <v>1403</v>
      </c>
      <c r="C49" s="2607">
        <v>44505</v>
      </c>
      <c r="D49" s="2607">
        <f>C49*96.91%</f>
        <v>43129.7955</v>
      </c>
      <c r="E49" s="2607">
        <v>99697</v>
      </c>
      <c r="F49" s="2607"/>
      <c r="G49" s="2571"/>
    </row>
    <row r="50" spans="1:7">
      <c r="A50" s="2590"/>
      <c r="B50" s="2580" t="s">
        <v>1404</v>
      </c>
      <c r="C50" s="2607"/>
      <c r="D50" s="2607"/>
      <c r="E50" s="2607"/>
      <c r="F50" s="2607"/>
      <c r="G50" s="2571"/>
    </row>
    <row r="51" spans="1:7">
      <c r="A51" s="2609" t="s">
        <v>463</v>
      </c>
      <c r="B51" s="2610" t="s">
        <v>1405</v>
      </c>
      <c r="C51" s="2607">
        <f>C52+C53</f>
        <v>81000</v>
      </c>
      <c r="D51" s="2607">
        <f>D52+D53</f>
        <v>78497.099999999991</v>
      </c>
      <c r="E51" s="2607">
        <f>E52+E53</f>
        <v>151000</v>
      </c>
      <c r="F51" s="2607"/>
      <c r="G51" s="2571"/>
    </row>
    <row r="52" spans="1:7" ht="16.2">
      <c r="A52" s="2574"/>
      <c r="B52" s="2580" t="s">
        <v>1403</v>
      </c>
      <c r="C52" s="2607">
        <v>81000</v>
      </c>
      <c r="D52" s="2607">
        <f>C52*96.91%</f>
        <v>78497.099999999991</v>
      </c>
      <c r="E52" s="2607">
        <v>151000</v>
      </c>
      <c r="F52" s="2607"/>
      <c r="G52" s="2571"/>
    </row>
    <row r="53" spans="1:7" ht="16.2">
      <c r="A53" s="2574"/>
      <c r="B53" s="2580" t="s">
        <v>1404</v>
      </c>
      <c r="C53" s="2607"/>
      <c r="D53" s="2607"/>
      <c r="E53" s="2607"/>
      <c r="F53" s="2607"/>
      <c r="G53" s="2571"/>
    </row>
    <row r="54" spans="1:7" s="2393" customFormat="1">
      <c r="A54" s="2579" t="s">
        <v>1396</v>
      </c>
      <c r="B54" s="2583" t="s">
        <v>1406</v>
      </c>
      <c r="C54" s="2608">
        <f>C55+C56</f>
        <v>347140</v>
      </c>
      <c r="D54" s="2608">
        <f>D55+D56</f>
        <v>344363</v>
      </c>
      <c r="E54" s="2608">
        <f>E55+E56</f>
        <v>0</v>
      </c>
      <c r="F54" s="2608">
        <f>F55+F56</f>
        <v>0</v>
      </c>
      <c r="G54" s="2571"/>
    </row>
    <row r="55" spans="1:7" ht="16.2">
      <c r="A55" s="2574"/>
      <c r="B55" s="2580" t="s">
        <v>1403</v>
      </c>
      <c r="C55" s="2607">
        <v>347140</v>
      </c>
      <c r="D55" s="2607">
        <v>344363</v>
      </c>
      <c r="E55" s="2607">
        <v>0</v>
      </c>
      <c r="F55" s="2607">
        <v>0</v>
      </c>
      <c r="G55" s="2571"/>
    </row>
    <row r="56" spans="1:7" ht="16.2">
      <c r="A56" s="2574"/>
      <c r="B56" s="2580" t="s">
        <v>1404</v>
      </c>
      <c r="C56" s="2607"/>
      <c r="D56" s="2607"/>
      <c r="E56" s="2607"/>
      <c r="F56" s="2607"/>
      <c r="G56" s="2571"/>
    </row>
    <row r="57" spans="1:7">
      <c r="A57" s="2579" t="s">
        <v>1407</v>
      </c>
      <c r="B57" s="2591" t="s">
        <v>1408</v>
      </c>
      <c r="C57" s="2608">
        <f>C59+C60</f>
        <v>509678</v>
      </c>
      <c r="D57" s="2608">
        <f>D59+D60</f>
        <v>446514.99999999994</v>
      </c>
      <c r="E57" s="2608">
        <f>E59+E60+E91</f>
        <v>975461</v>
      </c>
      <c r="F57" s="2608">
        <f>F59+F60</f>
        <v>1068878</v>
      </c>
      <c r="G57" s="2571"/>
    </row>
    <row r="58" spans="1:7" s="2612" customFormat="1" ht="16.2">
      <c r="A58" s="2574"/>
      <c r="B58" s="2575" t="s">
        <v>290</v>
      </c>
      <c r="C58" s="2611"/>
      <c r="D58" s="2611"/>
      <c r="E58" s="2611"/>
      <c r="F58" s="2611"/>
      <c r="G58" s="2571"/>
    </row>
    <row r="59" spans="1:7" s="2612" customFormat="1" ht="16.2">
      <c r="A59" s="2574"/>
      <c r="B59" s="2580" t="s">
        <v>1399</v>
      </c>
      <c r="C59" s="2611">
        <f>C62+C65+C68+C71+C74+C77+C80+C89+C82+C86</f>
        <v>350000</v>
      </c>
      <c r="D59" s="2611">
        <f>D62+D65+D68+D71+D74+D77+D80+D89+D82+D86</f>
        <v>323259.99999999994</v>
      </c>
      <c r="E59" s="2611">
        <v>405250</v>
      </c>
      <c r="F59" s="2611">
        <v>840337</v>
      </c>
      <c r="G59" s="2571"/>
    </row>
    <row r="60" spans="1:7" s="2612" customFormat="1" ht="16.2">
      <c r="A60" s="2574"/>
      <c r="B60" s="2575" t="s">
        <v>1400</v>
      </c>
      <c r="C60" s="2611">
        <f>C90</f>
        <v>159678</v>
      </c>
      <c r="D60" s="2611">
        <f>D90</f>
        <v>123255</v>
      </c>
      <c r="E60" s="2611">
        <f>E90</f>
        <v>270211</v>
      </c>
      <c r="F60" s="2611">
        <v>228541</v>
      </c>
      <c r="G60" s="2571"/>
    </row>
    <row r="61" spans="1:7" s="2612" customFormat="1">
      <c r="A61" s="2609" t="s">
        <v>441</v>
      </c>
      <c r="B61" s="2610" t="s">
        <v>1409</v>
      </c>
      <c r="C61" s="2611">
        <f>C62+C63</f>
        <v>90000</v>
      </c>
      <c r="D61" s="2611">
        <f>D62+D63</f>
        <v>83124</v>
      </c>
      <c r="E61" s="2611">
        <f>E62+E63</f>
        <v>0</v>
      </c>
      <c r="F61" s="2611">
        <f>F62+F63</f>
        <v>0</v>
      </c>
      <c r="G61" s="2571"/>
    </row>
    <row r="62" spans="1:7" s="2612" customFormat="1">
      <c r="A62" s="2590"/>
      <c r="B62" s="2580" t="s">
        <v>1403</v>
      </c>
      <c r="C62" s="2611">
        <v>90000</v>
      </c>
      <c r="D62" s="2611">
        <f>C62*92.36%</f>
        <v>83124</v>
      </c>
      <c r="E62" s="2611"/>
      <c r="F62" s="2611"/>
      <c r="G62" s="2571"/>
    </row>
    <row r="63" spans="1:7" s="2612" customFormat="1">
      <c r="A63" s="2590"/>
      <c r="B63" s="2580" t="s">
        <v>1404</v>
      </c>
      <c r="C63" s="2611"/>
      <c r="D63" s="2611"/>
      <c r="E63" s="2611"/>
      <c r="F63" s="2611"/>
      <c r="G63" s="2571"/>
    </row>
    <row r="64" spans="1:7" s="2612" customFormat="1" ht="31.2">
      <c r="A64" s="2609" t="s">
        <v>463</v>
      </c>
      <c r="B64" s="2610" t="s">
        <v>1410</v>
      </c>
      <c r="C64" s="2611">
        <f>C65</f>
        <v>4500</v>
      </c>
      <c r="D64" s="2611">
        <f>D65</f>
        <v>4156.2</v>
      </c>
      <c r="E64" s="2611">
        <f>E65</f>
        <v>0</v>
      </c>
      <c r="F64" s="2611"/>
      <c r="G64" s="2571"/>
    </row>
    <row r="65" spans="1:7" s="2612" customFormat="1">
      <c r="A65" s="2590"/>
      <c r="B65" s="2580" t="s">
        <v>1403</v>
      </c>
      <c r="C65" s="2611">
        <v>4500</v>
      </c>
      <c r="D65" s="2611">
        <f>C65*92.36%</f>
        <v>4156.2</v>
      </c>
      <c r="E65" s="2611"/>
      <c r="F65" s="2611"/>
      <c r="G65" s="2571"/>
    </row>
    <row r="66" spans="1:7" s="2612" customFormat="1">
      <c r="A66" s="2590"/>
      <c r="B66" s="2580" t="s">
        <v>1404</v>
      </c>
      <c r="C66" s="2611"/>
      <c r="D66" s="2611"/>
      <c r="E66" s="2611"/>
      <c r="F66" s="2611"/>
      <c r="G66" s="2571"/>
    </row>
    <row r="67" spans="1:7" s="2612" customFormat="1" ht="31.2">
      <c r="A67" s="2609" t="s">
        <v>467</v>
      </c>
      <c r="B67" s="2610" t="s">
        <v>1411</v>
      </c>
      <c r="C67" s="2611">
        <f>C68</f>
        <v>0</v>
      </c>
      <c r="D67" s="2611">
        <f>D68</f>
        <v>0</v>
      </c>
      <c r="E67" s="2611">
        <f>E68</f>
        <v>0</v>
      </c>
      <c r="F67" s="2611"/>
      <c r="G67" s="2571"/>
    </row>
    <row r="68" spans="1:7" s="2612" customFormat="1">
      <c r="A68" s="2590"/>
      <c r="B68" s="2580" t="s">
        <v>1403</v>
      </c>
      <c r="C68" s="2611"/>
      <c r="D68" s="2611"/>
      <c r="E68" s="2611"/>
      <c r="F68" s="2611"/>
      <c r="G68" s="2571"/>
    </row>
    <row r="69" spans="1:7" s="2612" customFormat="1">
      <c r="A69" s="2590"/>
      <c r="B69" s="2580" t="s">
        <v>1404</v>
      </c>
      <c r="C69" s="2611"/>
      <c r="D69" s="2611"/>
      <c r="E69" s="2611"/>
      <c r="F69" s="2611"/>
      <c r="G69" s="2571"/>
    </row>
    <row r="70" spans="1:7" s="2612" customFormat="1" ht="31.2">
      <c r="A70" s="2609" t="s">
        <v>477</v>
      </c>
      <c r="B70" s="2610" t="s">
        <v>1412</v>
      </c>
      <c r="C70" s="2611">
        <f>C71</f>
        <v>119500</v>
      </c>
      <c r="D70" s="2611">
        <f>D71</f>
        <v>110370.2</v>
      </c>
      <c r="E70" s="2611">
        <f>E71</f>
        <v>0</v>
      </c>
      <c r="F70" s="2611"/>
      <c r="G70" s="2571"/>
    </row>
    <row r="71" spans="1:7" s="2612" customFormat="1">
      <c r="A71" s="2590"/>
      <c r="B71" s="2580" t="s">
        <v>1403</v>
      </c>
      <c r="C71" s="2611">
        <v>119500</v>
      </c>
      <c r="D71" s="2611">
        <f>C71*92.36%</f>
        <v>110370.2</v>
      </c>
      <c r="E71" s="2611"/>
      <c r="F71" s="2611"/>
      <c r="G71" s="2571"/>
    </row>
    <row r="72" spans="1:7" s="2612" customFormat="1">
      <c r="A72" s="2590"/>
      <c r="B72" s="2580" t="s">
        <v>1404</v>
      </c>
      <c r="C72" s="2611"/>
      <c r="D72" s="2611"/>
      <c r="E72" s="2611"/>
      <c r="F72" s="2611"/>
      <c r="G72" s="2571"/>
    </row>
    <row r="73" spans="1:7" s="2612" customFormat="1" ht="62.4">
      <c r="A73" s="2609" t="s">
        <v>1413</v>
      </c>
      <c r="B73" s="2610" t="s">
        <v>1414</v>
      </c>
      <c r="C73" s="2611">
        <f>C74</f>
        <v>94000</v>
      </c>
      <c r="D73" s="2611">
        <f>D74</f>
        <v>86818.4</v>
      </c>
      <c r="E73" s="2611">
        <f>E74</f>
        <v>0</v>
      </c>
      <c r="F73" s="2611"/>
      <c r="G73" s="2571"/>
    </row>
    <row r="74" spans="1:7" s="2612" customFormat="1">
      <c r="A74" s="2590"/>
      <c r="B74" s="2580" t="s">
        <v>1403</v>
      </c>
      <c r="C74" s="2611">
        <v>94000</v>
      </c>
      <c r="D74" s="2611">
        <f>C74*92.36%</f>
        <v>86818.4</v>
      </c>
      <c r="E74" s="2611"/>
      <c r="F74" s="2611"/>
      <c r="G74" s="2571"/>
    </row>
    <row r="75" spans="1:7" s="2612" customFormat="1">
      <c r="A75" s="2590"/>
      <c r="B75" s="2580" t="s">
        <v>1404</v>
      </c>
      <c r="C75" s="2611"/>
      <c r="D75" s="2611"/>
      <c r="E75" s="2611"/>
      <c r="F75" s="2611"/>
      <c r="G75" s="2571"/>
    </row>
    <row r="76" spans="1:7" s="2612" customFormat="1">
      <c r="A76" s="2609" t="s">
        <v>1415</v>
      </c>
      <c r="B76" s="2610" t="s">
        <v>1416</v>
      </c>
      <c r="C76" s="2611">
        <f>C77</f>
        <v>16000</v>
      </c>
      <c r="D76" s="2611">
        <f>D77</f>
        <v>14777.6</v>
      </c>
      <c r="E76" s="2611">
        <f>E77</f>
        <v>0</v>
      </c>
      <c r="F76" s="2611"/>
      <c r="G76" s="2571"/>
    </row>
    <row r="77" spans="1:7" s="2612" customFormat="1">
      <c r="A77" s="2590"/>
      <c r="B77" s="2580" t="s">
        <v>1403</v>
      </c>
      <c r="C77" s="2611">
        <v>16000</v>
      </c>
      <c r="D77" s="2611">
        <f>C77*92.36%</f>
        <v>14777.6</v>
      </c>
      <c r="E77" s="2611"/>
      <c r="F77" s="2611"/>
      <c r="G77" s="2571"/>
    </row>
    <row r="78" spans="1:7" s="2612" customFormat="1">
      <c r="A78" s="2590"/>
      <c r="B78" s="2580" t="s">
        <v>1404</v>
      </c>
      <c r="C78" s="2611"/>
      <c r="D78" s="2611"/>
      <c r="E78" s="2611"/>
      <c r="F78" s="2611"/>
      <c r="G78" s="2571"/>
    </row>
    <row r="79" spans="1:7" s="2612" customFormat="1" ht="31.2">
      <c r="A79" s="2609" t="s">
        <v>1417</v>
      </c>
      <c r="B79" s="2610" t="s">
        <v>1418</v>
      </c>
      <c r="C79" s="2611">
        <f>C80</f>
        <v>0</v>
      </c>
      <c r="D79" s="2611">
        <f>D80</f>
        <v>0</v>
      </c>
      <c r="E79" s="2611">
        <f>E80</f>
        <v>0</v>
      </c>
      <c r="F79" s="2611"/>
      <c r="G79" s="2571"/>
    </row>
    <row r="80" spans="1:7" s="2612" customFormat="1">
      <c r="A80" s="2590"/>
      <c r="B80" s="2580" t="s">
        <v>1403</v>
      </c>
      <c r="C80" s="2611"/>
      <c r="D80" s="2611"/>
      <c r="E80" s="2611"/>
      <c r="F80" s="2611"/>
      <c r="G80" s="2571"/>
    </row>
    <row r="81" spans="1:7" s="2612" customFormat="1">
      <c r="A81" s="2590"/>
      <c r="B81" s="2580" t="s">
        <v>1404</v>
      </c>
      <c r="C81" s="2611"/>
      <c r="D81" s="2611"/>
      <c r="E81" s="2611"/>
      <c r="F81" s="2611"/>
      <c r="G81" s="2571"/>
    </row>
    <row r="82" spans="1:7" s="2612" customFormat="1" ht="31.2">
      <c r="A82" s="2609" t="s">
        <v>1419</v>
      </c>
      <c r="B82" s="2610" t="s">
        <v>1420</v>
      </c>
      <c r="C82" s="2611">
        <f>C83</f>
        <v>16000</v>
      </c>
      <c r="D82" s="2611">
        <f>D83</f>
        <v>14777.6</v>
      </c>
      <c r="E82" s="2611">
        <f>E83</f>
        <v>0</v>
      </c>
      <c r="F82" s="2611"/>
      <c r="G82" s="2571"/>
    </row>
    <row r="83" spans="1:7" s="2612" customFormat="1">
      <c r="A83" s="2590"/>
      <c r="B83" s="2580" t="s">
        <v>1403</v>
      </c>
      <c r="C83" s="2611">
        <v>16000</v>
      </c>
      <c r="D83" s="2611">
        <f>C83*92.36%</f>
        <v>14777.6</v>
      </c>
      <c r="E83" s="2611"/>
      <c r="F83" s="2611"/>
      <c r="G83" s="2571"/>
    </row>
    <row r="84" spans="1:7" s="2612" customFormat="1">
      <c r="A84" s="2590"/>
      <c r="B84" s="2580" t="s">
        <v>1404</v>
      </c>
      <c r="C84" s="2611"/>
      <c r="D84" s="2611"/>
      <c r="E84" s="2611"/>
      <c r="F84" s="2611"/>
      <c r="G84" s="2571"/>
    </row>
    <row r="85" spans="1:7" s="2612" customFormat="1">
      <c r="A85" s="2609" t="s">
        <v>1421</v>
      </c>
      <c r="B85" s="2610" t="s">
        <v>1422</v>
      </c>
      <c r="C85" s="2611">
        <f>C86+C87</f>
        <v>0</v>
      </c>
      <c r="D85" s="2611">
        <f>D86+D87</f>
        <v>0</v>
      </c>
      <c r="E85" s="2611">
        <f>E86+E87</f>
        <v>0</v>
      </c>
      <c r="F85" s="2611"/>
      <c r="G85" s="2571"/>
    </row>
    <row r="86" spans="1:7" s="2612" customFormat="1">
      <c r="A86" s="2590"/>
      <c r="B86" s="2580" t="s">
        <v>1403</v>
      </c>
      <c r="C86" s="2611"/>
      <c r="D86" s="2611"/>
      <c r="E86" s="2611"/>
      <c r="F86" s="2611"/>
      <c r="G86" s="2571"/>
    </row>
    <row r="87" spans="1:7" s="2612" customFormat="1">
      <c r="A87" s="2590"/>
      <c r="B87" s="2580" t="s">
        <v>1404</v>
      </c>
      <c r="C87" s="2611"/>
      <c r="D87" s="2611"/>
      <c r="E87" s="2611"/>
      <c r="F87" s="2611"/>
      <c r="G87" s="2571"/>
    </row>
    <row r="88" spans="1:7" s="2612" customFormat="1" ht="31.2">
      <c r="A88" s="2609" t="s">
        <v>1423</v>
      </c>
      <c r="B88" s="2610" t="s">
        <v>1424</v>
      </c>
      <c r="C88" s="2611">
        <f>C89+C90</f>
        <v>169678</v>
      </c>
      <c r="D88" s="2611">
        <f>D89+D90</f>
        <v>132491</v>
      </c>
      <c r="E88" s="2611">
        <f>E89+E90</f>
        <v>270211</v>
      </c>
      <c r="F88" s="2611">
        <f>F89+F90</f>
        <v>228541</v>
      </c>
      <c r="G88" s="2571"/>
    </row>
    <row r="89" spans="1:7" s="2612" customFormat="1">
      <c r="A89" s="2590"/>
      <c r="B89" s="2580" t="s">
        <v>1403</v>
      </c>
      <c r="C89" s="2611">
        <v>10000</v>
      </c>
      <c r="D89" s="2611">
        <f>C89*92.36%</f>
        <v>9236</v>
      </c>
      <c r="E89" s="2611"/>
      <c r="F89" s="2611"/>
      <c r="G89" s="2571"/>
    </row>
    <row r="90" spans="1:7" s="2612" customFormat="1">
      <c r="A90" s="2590"/>
      <c r="B90" s="2580" t="s">
        <v>1404</v>
      </c>
      <c r="C90" s="2611">
        <v>159678</v>
      </c>
      <c r="D90" s="2611">
        <v>123255</v>
      </c>
      <c r="E90" s="2611">
        <v>270211</v>
      </c>
      <c r="F90" s="2611">
        <v>228541</v>
      </c>
      <c r="G90" s="2571"/>
    </row>
    <row r="91" spans="1:7" s="2557" customFormat="1">
      <c r="A91" s="2579" t="s">
        <v>1425</v>
      </c>
      <c r="B91" s="2583" t="s">
        <v>1426</v>
      </c>
      <c r="C91" s="2613">
        <v>500000</v>
      </c>
      <c r="D91" s="2613">
        <v>46650</v>
      </c>
      <c r="E91" s="2613">
        <v>300000</v>
      </c>
      <c r="F91" s="2613">
        <v>228000</v>
      </c>
      <c r="G91" s="2571"/>
    </row>
    <row r="92" spans="1:7" hidden="1">
      <c r="A92" s="2590"/>
      <c r="B92" s="2580"/>
      <c r="C92" s="2607"/>
      <c r="D92" s="2607"/>
      <c r="E92" s="2607"/>
      <c r="F92" s="2607"/>
      <c r="G92" s="2607"/>
    </row>
    <row r="93" spans="1:7" hidden="1">
      <c r="A93" s="2579" t="s">
        <v>81</v>
      </c>
      <c r="B93" s="2583" t="s">
        <v>1427</v>
      </c>
      <c r="C93" s="2608">
        <f>C94+C97</f>
        <v>0</v>
      </c>
      <c r="D93" s="2608">
        <f>D94+D97</f>
        <v>0</v>
      </c>
      <c r="E93" s="2608">
        <f>E94+E97</f>
        <v>0</v>
      </c>
      <c r="F93" s="2608">
        <f>F94+F97</f>
        <v>0</v>
      </c>
      <c r="G93" s="2608"/>
    </row>
    <row r="94" spans="1:7" hidden="1">
      <c r="A94" s="2579" t="s">
        <v>1089</v>
      </c>
      <c r="B94" s="2575" t="s">
        <v>330</v>
      </c>
      <c r="C94" s="2614"/>
      <c r="D94" s="2614"/>
      <c r="E94" s="2614"/>
      <c r="F94" s="2614"/>
      <c r="G94" s="2614"/>
    </row>
    <row r="95" spans="1:7" hidden="1">
      <c r="A95" s="2579"/>
      <c r="B95" s="2575"/>
      <c r="C95" s="2607"/>
      <c r="D95" s="2607"/>
      <c r="E95" s="2607"/>
      <c r="F95" s="2607"/>
      <c r="G95" s="2607"/>
    </row>
    <row r="96" spans="1:7" hidden="1">
      <c r="A96" s="2579"/>
      <c r="B96" s="2575"/>
      <c r="C96" s="2607"/>
      <c r="D96" s="2607"/>
      <c r="E96" s="2607"/>
      <c r="F96" s="2607"/>
      <c r="G96" s="2607"/>
    </row>
    <row r="97" spans="1:7" hidden="1">
      <c r="A97" s="2579" t="s">
        <v>1089</v>
      </c>
      <c r="B97" s="2575" t="s">
        <v>1428</v>
      </c>
      <c r="C97" s="2614"/>
      <c r="D97" s="2614"/>
      <c r="E97" s="2614"/>
      <c r="F97" s="2614"/>
      <c r="G97" s="2614"/>
    </row>
    <row r="98" spans="1:7" ht="16.2">
      <c r="A98" s="2615"/>
      <c r="B98" s="2616"/>
      <c r="C98" s="2617"/>
      <c r="D98" s="2617"/>
      <c r="E98" s="2617"/>
      <c r="F98" s="2617"/>
      <c r="G98" s="2617"/>
    </row>
    <row r="99" spans="1:7" ht="16.2">
      <c r="A99" s="2618" t="s">
        <v>1429</v>
      </c>
    </row>
    <row r="100" spans="1:7" s="2619" customFormat="1">
      <c r="A100" s="2950" t="s">
        <v>1430</v>
      </c>
      <c r="B100" s="2950"/>
      <c r="C100" s="2950"/>
      <c r="D100" s="2950"/>
      <c r="E100" s="2950"/>
      <c r="F100" s="2950"/>
      <c r="G100" s="2950"/>
    </row>
    <row r="101" spans="1:7">
      <c r="A101" s="2950" t="s">
        <v>1431</v>
      </c>
      <c r="B101" s="2950"/>
      <c r="C101" s="2950"/>
      <c r="D101" s="2950"/>
      <c r="E101" s="2950"/>
      <c r="F101" s="2950"/>
      <c r="G101" s="2950"/>
    </row>
    <row r="102" spans="1:7">
      <c r="B102" s="2951" t="s">
        <v>1432</v>
      </c>
      <c r="C102" s="2951"/>
      <c r="D102" s="2951"/>
      <c r="E102" s="2951"/>
      <c r="F102" s="2951"/>
      <c r="G102" s="2951"/>
    </row>
    <row r="103" spans="1:7">
      <c r="B103" s="2952"/>
      <c r="C103" s="2953"/>
      <c r="D103" s="2953"/>
      <c r="E103" s="2953"/>
      <c r="F103" s="2953"/>
      <c r="G103" s="2953"/>
    </row>
  </sheetData>
  <mergeCells count="13">
    <mergeCell ref="A100:G100"/>
    <mergeCell ref="A101:G101"/>
    <mergeCell ref="B102:G102"/>
    <mergeCell ref="B103:G103"/>
    <mergeCell ref="B4:G4"/>
    <mergeCell ref="A6:A9"/>
    <mergeCell ref="B6:B9"/>
    <mergeCell ref="E6:G6"/>
    <mergeCell ref="C7:C9"/>
    <mergeCell ref="D7:D9"/>
    <mergeCell ref="E7:E9"/>
    <mergeCell ref="F7:F9"/>
    <mergeCell ref="G7:G9"/>
  </mergeCells>
  <printOptions horizontalCentered="1"/>
  <pageMargins left="0" right="0" top="0.75" bottom="0.5" header="0.25" footer="0.25"/>
  <pageSetup paperSize="9" scale="70" orientation="portrait" r:id="rId1"/>
  <headerFoot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6"/>
  <sheetViews>
    <sheetView zoomScale="70" zoomScaleNormal="70" workbookViewId="0">
      <selection activeCell="A64" sqref="A64"/>
    </sheetView>
  </sheetViews>
  <sheetFormatPr defaultColWidth="9.109375" defaultRowHeight="18"/>
  <cols>
    <col min="1" max="1" width="4.88671875" style="2788" customWidth="1"/>
    <col min="2" max="2" width="33.88671875" style="2788" customWidth="1"/>
    <col min="3" max="3" width="12.109375" style="2788" customWidth="1"/>
    <col min="4" max="4" width="11.88671875" style="2788" customWidth="1"/>
    <col min="5" max="5" width="11.5546875" style="2788" customWidth="1"/>
    <col min="6" max="6" width="13.6640625" style="2788" customWidth="1"/>
    <col min="7" max="7" width="9.88671875" style="2788" customWidth="1"/>
    <col min="8" max="8" width="10.109375" style="2788" customWidth="1"/>
    <col min="9" max="9" width="12" style="2788" customWidth="1"/>
    <col min="10" max="10" width="13.109375" style="2788" customWidth="1"/>
    <col min="11" max="11" width="12.6640625" style="2788" customWidth="1"/>
    <col min="12" max="12" width="9.33203125" style="2788" bestFit="1" customWidth="1"/>
    <col min="13" max="16384" width="9.109375" style="2788"/>
  </cols>
  <sheetData>
    <row r="2" spans="1:14">
      <c r="A2" s="2966" t="s">
        <v>1455</v>
      </c>
      <c r="B2" s="2966"/>
      <c r="C2" s="2966"/>
      <c r="D2" s="2966"/>
      <c r="E2" s="2966"/>
      <c r="F2" s="2966"/>
      <c r="G2" s="2966"/>
      <c r="H2" s="2966"/>
      <c r="I2" s="2966"/>
      <c r="J2" s="2966"/>
      <c r="K2" s="2966"/>
    </row>
    <row r="3" spans="1:14">
      <c r="A3" s="2789"/>
      <c r="H3" s="2967" t="s">
        <v>27</v>
      </c>
      <c r="I3" s="2967"/>
      <c r="J3" s="2967"/>
      <c r="K3" s="2967"/>
    </row>
    <row r="4" spans="1:14" ht="30" customHeight="1">
      <c r="A4" s="2968" t="s">
        <v>49</v>
      </c>
      <c r="B4" s="2968" t="s">
        <v>1456</v>
      </c>
      <c r="C4" s="2969" t="s">
        <v>40</v>
      </c>
      <c r="D4" s="2970"/>
      <c r="E4" s="2971"/>
      <c r="F4" s="2969" t="s">
        <v>1495</v>
      </c>
      <c r="G4" s="2970"/>
      <c r="H4" s="2971"/>
      <c r="I4" s="2969" t="s">
        <v>1496</v>
      </c>
      <c r="J4" s="2970"/>
      <c r="K4" s="2971"/>
      <c r="L4" s="2790"/>
      <c r="M4" s="2790"/>
      <c r="N4" s="2790"/>
    </row>
    <row r="5" spans="1:14" ht="41.25" customHeight="1">
      <c r="A5" s="2968"/>
      <c r="B5" s="2968"/>
      <c r="C5" s="2791" t="s">
        <v>89</v>
      </c>
      <c r="D5" s="2791" t="s">
        <v>325</v>
      </c>
      <c r="E5" s="2791" t="s">
        <v>328</v>
      </c>
      <c r="F5" s="2791" t="s">
        <v>89</v>
      </c>
      <c r="G5" s="2791" t="s">
        <v>325</v>
      </c>
      <c r="H5" s="2791" t="s">
        <v>328</v>
      </c>
      <c r="I5" s="2791" t="s">
        <v>89</v>
      </c>
      <c r="J5" s="2791" t="s">
        <v>325</v>
      </c>
      <c r="K5" s="2791" t="s">
        <v>328</v>
      </c>
      <c r="L5" s="2790"/>
      <c r="M5" s="2790"/>
      <c r="N5" s="2790"/>
    </row>
    <row r="6" spans="1:14">
      <c r="A6" s="2964" t="s">
        <v>1497</v>
      </c>
      <c r="B6" s="2965"/>
      <c r="C6" s="2792">
        <f>D6+E6</f>
        <v>322200</v>
      </c>
      <c r="D6" s="2793">
        <f t="shared" ref="D6:E21" si="0">G6+J6</f>
        <v>250697</v>
      </c>
      <c r="E6" s="2794">
        <f t="shared" si="0"/>
        <v>71503</v>
      </c>
      <c r="F6" s="2794">
        <f t="shared" ref="F6:F17" si="1">G6+H6</f>
        <v>127400</v>
      </c>
      <c r="G6" s="2794">
        <f>G7+G17</f>
        <v>99697</v>
      </c>
      <c r="H6" s="2794">
        <f>H7+H17</f>
        <v>27703</v>
      </c>
      <c r="I6" s="2795">
        <f t="shared" ref="I6:I17" si="2">J6+K6</f>
        <v>194800</v>
      </c>
      <c r="J6" s="2794">
        <f>J7+J17</f>
        <v>151000</v>
      </c>
      <c r="K6" s="2794">
        <f>K7+K17</f>
        <v>43800</v>
      </c>
      <c r="L6" s="2790"/>
      <c r="M6" s="2790"/>
      <c r="N6" s="2790"/>
    </row>
    <row r="7" spans="1:14">
      <c r="A7" s="2796" t="s">
        <v>80</v>
      </c>
      <c r="B7" s="2796" t="s">
        <v>1498</v>
      </c>
      <c r="C7" s="2792">
        <f t="shared" ref="C7:C26" si="3">D7+E7</f>
        <v>13341</v>
      </c>
      <c r="D7" s="2797">
        <f t="shared" si="0"/>
        <v>0</v>
      </c>
      <c r="E7" s="2794">
        <f t="shared" si="0"/>
        <v>13341</v>
      </c>
      <c r="F7" s="2794">
        <f>G7+H7</f>
        <v>4788</v>
      </c>
      <c r="G7" s="2794"/>
      <c r="H7" s="2793">
        <f>SUM(H8:H16)</f>
        <v>4788</v>
      </c>
      <c r="I7" s="2795">
        <f t="shared" si="2"/>
        <v>8553</v>
      </c>
      <c r="J7" s="2793"/>
      <c r="K7" s="2793">
        <f>SUM(K8:K16)</f>
        <v>8553</v>
      </c>
      <c r="L7" s="2799"/>
    </row>
    <row r="8" spans="1:14">
      <c r="A8" s="2800" t="s">
        <v>1089</v>
      </c>
      <c r="B8" s="2801" t="s">
        <v>1458</v>
      </c>
      <c r="C8" s="2802">
        <f>D8+E8</f>
        <v>4815</v>
      </c>
      <c r="D8" s="2797">
        <f t="shared" si="0"/>
        <v>0</v>
      </c>
      <c r="E8" s="2798">
        <f t="shared" si="0"/>
        <v>4815</v>
      </c>
      <c r="F8" s="2798">
        <f t="shared" si="1"/>
        <v>412</v>
      </c>
      <c r="G8" s="2798"/>
      <c r="H8" s="2797">
        <v>412</v>
      </c>
      <c r="I8" s="2803">
        <f>J8+K8</f>
        <v>4403</v>
      </c>
      <c r="J8" s="2797"/>
      <c r="K8" s="2797">
        <v>4403</v>
      </c>
    </row>
    <row r="9" spans="1:14">
      <c r="A9" s="2800" t="s">
        <v>1089</v>
      </c>
      <c r="B9" s="2801" t="s">
        <v>1459</v>
      </c>
      <c r="C9" s="2802">
        <f t="shared" si="3"/>
        <v>3295</v>
      </c>
      <c r="D9" s="2797">
        <f t="shared" si="0"/>
        <v>0</v>
      </c>
      <c r="E9" s="2798">
        <f t="shared" si="0"/>
        <v>3295</v>
      </c>
      <c r="F9" s="2798">
        <f t="shared" si="1"/>
        <v>2795</v>
      </c>
      <c r="G9" s="2798"/>
      <c r="H9" s="2797">
        <v>2795</v>
      </c>
      <c r="I9" s="2803">
        <f t="shared" si="2"/>
        <v>500</v>
      </c>
      <c r="J9" s="2797"/>
      <c r="K9" s="2797">
        <v>500</v>
      </c>
    </row>
    <row r="10" spans="1:14">
      <c r="A10" s="2800" t="s">
        <v>1089</v>
      </c>
      <c r="B10" s="2801" t="s">
        <v>618</v>
      </c>
      <c r="C10" s="2802">
        <f t="shared" si="3"/>
        <v>1291</v>
      </c>
      <c r="D10" s="2797">
        <f t="shared" si="0"/>
        <v>0</v>
      </c>
      <c r="E10" s="2798">
        <f t="shared" si="0"/>
        <v>1291</v>
      </c>
      <c r="F10" s="2798">
        <f t="shared" si="1"/>
        <v>1291</v>
      </c>
      <c r="G10" s="2798"/>
      <c r="H10" s="2797">
        <v>1291</v>
      </c>
      <c r="I10" s="2803">
        <f t="shared" si="2"/>
        <v>0</v>
      </c>
      <c r="J10" s="2797"/>
      <c r="K10" s="2797"/>
    </row>
    <row r="11" spans="1:14">
      <c r="A11" s="2800" t="s">
        <v>1089</v>
      </c>
      <c r="B11" s="2801" t="s">
        <v>1460</v>
      </c>
      <c r="C11" s="2802">
        <f t="shared" si="3"/>
        <v>1040</v>
      </c>
      <c r="D11" s="2797">
        <f t="shared" si="0"/>
        <v>0</v>
      </c>
      <c r="E11" s="2798">
        <f t="shared" si="0"/>
        <v>1040</v>
      </c>
      <c r="F11" s="2798">
        <f t="shared" si="1"/>
        <v>290</v>
      </c>
      <c r="G11" s="2798"/>
      <c r="H11" s="2797">
        <v>290</v>
      </c>
      <c r="I11" s="2803">
        <f t="shared" si="2"/>
        <v>750</v>
      </c>
      <c r="J11" s="2797"/>
      <c r="K11" s="2797">
        <v>750</v>
      </c>
    </row>
    <row r="12" spans="1:14">
      <c r="A12" s="2800" t="s">
        <v>1089</v>
      </c>
      <c r="B12" s="2801" t="s">
        <v>1461</v>
      </c>
      <c r="C12" s="2802">
        <f t="shared" si="3"/>
        <v>1000</v>
      </c>
      <c r="D12" s="2797">
        <f t="shared" si="0"/>
        <v>0</v>
      </c>
      <c r="E12" s="2798">
        <f t="shared" si="0"/>
        <v>1000</v>
      </c>
      <c r="F12" s="2798">
        <f t="shared" si="1"/>
        <v>0</v>
      </c>
      <c r="G12" s="2798"/>
      <c r="H12" s="2797"/>
      <c r="I12" s="2803">
        <f t="shared" si="2"/>
        <v>1000</v>
      </c>
      <c r="J12" s="2797"/>
      <c r="K12" s="2797">
        <v>1000</v>
      </c>
    </row>
    <row r="13" spans="1:14">
      <c r="A13" s="2800" t="s">
        <v>1089</v>
      </c>
      <c r="B13" s="2801" t="s">
        <v>621</v>
      </c>
      <c r="C13" s="2802">
        <f t="shared" si="3"/>
        <v>600</v>
      </c>
      <c r="D13" s="2797">
        <f t="shared" si="0"/>
        <v>0</v>
      </c>
      <c r="E13" s="2798">
        <f t="shared" si="0"/>
        <v>600</v>
      </c>
      <c r="F13" s="2798">
        <f t="shared" si="1"/>
        <v>0</v>
      </c>
      <c r="G13" s="2798"/>
      <c r="H13" s="2797"/>
      <c r="I13" s="2803">
        <f t="shared" si="2"/>
        <v>600</v>
      </c>
      <c r="J13" s="2797"/>
      <c r="K13" s="2797">
        <v>600</v>
      </c>
    </row>
    <row r="14" spans="1:14">
      <c r="A14" s="2800" t="s">
        <v>1089</v>
      </c>
      <c r="B14" s="2801" t="s">
        <v>598</v>
      </c>
      <c r="C14" s="2802">
        <f t="shared" si="3"/>
        <v>400</v>
      </c>
      <c r="D14" s="2797">
        <f t="shared" si="0"/>
        <v>0</v>
      </c>
      <c r="E14" s="2798">
        <f t="shared" si="0"/>
        <v>400</v>
      </c>
      <c r="F14" s="2798">
        <f t="shared" si="1"/>
        <v>0</v>
      </c>
      <c r="G14" s="2798"/>
      <c r="H14" s="2797"/>
      <c r="I14" s="2803">
        <f t="shared" si="2"/>
        <v>400</v>
      </c>
      <c r="J14" s="2797"/>
      <c r="K14" s="2797">
        <v>400</v>
      </c>
    </row>
    <row r="15" spans="1:14">
      <c r="A15" s="2800" t="s">
        <v>1089</v>
      </c>
      <c r="B15" s="2801" t="s">
        <v>1462</v>
      </c>
      <c r="C15" s="2802">
        <f t="shared" si="3"/>
        <v>400</v>
      </c>
      <c r="D15" s="2797">
        <f t="shared" si="0"/>
        <v>0</v>
      </c>
      <c r="E15" s="2798">
        <f t="shared" si="0"/>
        <v>400</v>
      </c>
      <c r="F15" s="2798">
        <f t="shared" si="1"/>
        <v>0</v>
      </c>
      <c r="G15" s="2798"/>
      <c r="H15" s="2797"/>
      <c r="I15" s="2803">
        <f t="shared" si="2"/>
        <v>400</v>
      </c>
      <c r="J15" s="2797"/>
      <c r="K15" s="2797">
        <v>400</v>
      </c>
    </row>
    <row r="16" spans="1:14">
      <c r="A16" s="2800" t="s">
        <v>1089</v>
      </c>
      <c r="B16" s="2801" t="s">
        <v>1463</v>
      </c>
      <c r="C16" s="2802">
        <f t="shared" si="3"/>
        <v>500</v>
      </c>
      <c r="D16" s="2797">
        <f t="shared" si="0"/>
        <v>0</v>
      </c>
      <c r="E16" s="2798">
        <f t="shared" si="0"/>
        <v>500</v>
      </c>
      <c r="F16" s="2798">
        <f t="shared" si="1"/>
        <v>0</v>
      </c>
      <c r="G16" s="2798"/>
      <c r="H16" s="2797"/>
      <c r="I16" s="2803">
        <f t="shared" si="2"/>
        <v>500</v>
      </c>
      <c r="J16" s="2797"/>
      <c r="K16" s="2797">
        <v>500</v>
      </c>
    </row>
    <row r="17" spans="1:11">
      <c r="A17" s="2796" t="s">
        <v>81</v>
      </c>
      <c r="B17" s="2796" t="s">
        <v>1499</v>
      </c>
      <c r="C17" s="2792">
        <f t="shared" si="3"/>
        <v>308859</v>
      </c>
      <c r="D17" s="2793">
        <f t="shared" si="0"/>
        <v>250697</v>
      </c>
      <c r="E17" s="2794">
        <f t="shared" si="0"/>
        <v>58162</v>
      </c>
      <c r="F17" s="2794">
        <f t="shared" si="1"/>
        <v>122612</v>
      </c>
      <c r="G17" s="2795">
        <f>SUM(G18:G26)</f>
        <v>99697</v>
      </c>
      <c r="H17" s="2795">
        <f>SUM(H18:H26)</f>
        <v>22915</v>
      </c>
      <c r="I17" s="2795">
        <f t="shared" si="2"/>
        <v>186247</v>
      </c>
      <c r="J17" s="2795">
        <f>SUM(J18:J26)</f>
        <v>151000</v>
      </c>
      <c r="K17" s="2795">
        <f>SUM(K18:K26)</f>
        <v>35247</v>
      </c>
    </row>
    <row r="18" spans="1:11">
      <c r="A18" s="2800" t="s">
        <v>1089</v>
      </c>
      <c r="B18" s="2723" t="s">
        <v>1465</v>
      </c>
      <c r="C18" s="2802">
        <f t="shared" si="3"/>
        <v>40695</v>
      </c>
      <c r="D18" s="2797">
        <f t="shared" si="0"/>
        <v>33613</v>
      </c>
      <c r="E18" s="2798">
        <f t="shared" si="0"/>
        <v>7082</v>
      </c>
      <c r="F18" s="2798">
        <f>G18+H18</f>
        <v>9021</v>
      </c>
      <c r="G18" s="2804">
        <v>7046</v>
      </c>
      <c r="H18" s="2803">
        <v>1975</v>
      </c>
      <c r="I18" s="2803">
        <f>J18+K18</f>
        <v>31674</v>
      </c>
      <c r="J18" s="2803">
        <v>26567</v>
      </c>
      <c r="K18" s="2797">
        <v>5107</v>
      </c>
    </row>
    <row r="19" spans="1:11">
      <c r="A19" s="2800" t="s">
        <v>1089</v>
      </c>
      <c r="B19" s="2723" t="s">
        <v>1466</v>
      </c>
      <c r="C19" s="2802">
        <f t="shared" si="3"/>
        <v>20923</v>
      </c>
      <c r="D19" s="2797">
        <f t="shared" si="0"/>
        <v>14318</v>
      </c>
      <c r="E19" s="2798">
        <f t="shared" si="0"/>
        <v>6605</v>
      </c>
      <c r="F19" s="2798">
        <f t="shared" ref="F19:F26" si="4">G19+H19</f>
        <v>5106</v>
      </c>
      <c r="G19" s="2804">
        <v>3380</v>
      </c>
      <c r="H19" s="2803">
        <v>1726</v>
      </c>
      <c r="I19" s="2803">
        <f t="shared" ref="I19:I26" si="5">J19+K19</f>
        <v>15817</v>
      </c>
      <c r="J19" s="2803">
        <v>10938</v>
      </c>
      <c r="K19" s="2797">
        <v>4879</v>
      </c>
    </row>
    <row r="20" spans="1:11">
      <c r="A20" s="2800" t="s">
        <v>1089</v>
      </c>
      <c r="B20" s="2723" t="s">
        <v>1467</v>
      </c>
      <c r="C20" s="2802">
        <f t="shared" si="3"/>
        <v>23063</v>
      </c>
      <c r="D20" s="2797">
        <f t="shared" si="0"/>
        <v>18408</v>
      </c>
      <c r="E20" s="2798">
        <f t="shared" si="0"/>
        <v>4655</v>
      </c>
      <c r="F20" s="2798">
        <f t="shared" si="4"/>
        <v>2210</v>
      </c>
      <c r="G20" s="2804">
        <v>2000</v>
      </c>
      <c r="H20" s="2803">
        <v>210</v>
      </c>
      <c r="I20" s="2803">
        <f t="shared" si="5"/>
        <v>20853</v>
      </c>
      <c r="J20" s="2803">
        <v>16408</v>
      </c>
      <c r="K20" s="2797">
        <v>4445</v>
      </c>
    </row>
    <row r="21" spans="1:11">
      <c r="A21" s="2800" t="s">
        <v>1089</v>
      </c>
      <c r="B21" s="2723" t="s">
        <v>1468</v>
      </c>
      <c r="C21" s="2802">
        <f t="shared" si="3"/>
        <v>121928</v>
      </c>
      <c r="D21" s="2797">
        <f t="shared" si="0"/>
        <v>106330</v>
      </c>
      <c r="E21" s="2798">
        <f t="shared" si="0"/>
        <v>15598</v>
      </c>
      <c r="F21" s="2798">
        <f t="shared" si="4"/>
        <v>78874</v>
      </c>
      <c r="G21" s="2804">
        <v>68044</v>
      </c>
      <c r="H21" s="2803">
        <v>10830</v>
      </c>
      <c r="I21" s="2803">
        <f t="shared" si="5"/>
        <v>43054</v>
      </c>
      <c r="J21" s="2803">
        <v>38286</v>
      </c>
      <c r="K21" s="2797">
        <v>4768</v>
      </c>
    </row>
    <row r="22" spans="1:11">
      <c r="A22" s="2800" t="s">
        <v>1089</v>
      </c>
      <c r="B22" s="2723" t="s">
        <v>1469</v>
      </c>
      <c r="C22" s="2802">
        <f t="shared" si="3"/>
        <v>12712</v>
      </c>
      <c r="D22" s="2797">
        <f t="shared" ref="D22:E26" si="6">G22+J22</f>
        <v>8380</v>
      </c>
      <c r="E22" s="2798">
        <f t="shared" si="6"/>
        <v>4332</v>
      </c>
      <c r="F22" s="2798">
        <f t="shared" si="4"/>
        <v>2215</v>
      </c>
      <c r="G22" s="2804">
        <v>2000</v>
      </c>
      <c r="H22" s="2803">
        <v>215</v>
      </c>
      <c r="I22" s="2803">
        <f t="shared" si="5"/>
        <v>10497</v>
      </c>
      <c r="J22" s="2803">
        <v>6380</v>
      </c>
      <c r="K22" s="2797">
        <v>4117</v>
      </c>
    </row>
    <row r="23" spans="1:11">
      <c r="A23" s="2800" t="s">
        <v>1089</v>
      </c>
      <c r="B23" s="2723" t="s">
        <v>1470</v>
      </c>
      <c r="C23" s="2802">
        <f t="shared" si="3"/>
        <v>46769</v>
      </c>
      <c r="D23" s="2797">
        <f t="shared" si="6"/>
        <v>39069</v>
      </c>
      <c r="E23" s="2798">
        <f t="shared" si="6"/>
        <v>7700</v>
      </c>
      <c r="F23" s="2798">
        <f t="shared" si="4"/>
        <v>12570</v>
      </c>
      <c r="G23" s="2804">
        <v>9348</v>
      </c>
      <c r="H23" s="2803">
        <v>3222</v>
      </c>
      <c r="I23" s="2803">
        <f t="shared" si="5"/>
        <v>34199</v>
      </c>
      <c r="J23" s="2803">
        <v>29721</v>
      </c>
      <c r="K23" s="2797">
        <v>4478</v>
      </c>
    </row>
    <row r="24" spans="1:11">
      <c r="A24" s="2800" t="s">
        <v>1089</v>
      </c>
      <c r="B24" s="2723" t="s">
        <v>1471</v>
      </c>
      <c r="C24" s="2802">
        <f t="shared" si="3"/>
        <v>30892</v>
      </c>
      <c r="D24" s="2797">
        <f t="shared" si="6"/>
        <v>23215</v>
      </c>
      <c r="E24" s="2798">
        <f t="shared" si="6"/>
        <v>7677</v>
      </c>
      <c r="F24" s="2798">
        <f t="shared" si="4"/>
        <v>12616</v>
      </c>
      <c r="G24" s="2804">
        <v>7879</v>
      </c>
      <c r="H24" s="2803">
        <v>4737</v>
      </c>
      <c r="I24" s="2803">
        <f t="shared" si="5"/>
        <v>18276</v>
      </c>
      <c r="J24" s="2803">
        <v>15336</v>
      </c>
      <c r="K24" s="2797">
        <v>2940</v>
      </c>
    </row>
    <row r="25" spans="1:11">
      <c r="A25" s="2800" t="s">
        <v>1089</v>
      </c>
      <c r="B25" s="2723" t="s">
        <v>1472</v>
      </c>
      <c r="C25" s="2802">
        <f t="shared" si="3"/>
        <v>8415</v>
      </c>
      <c r="D25" s="2797">
        <f t="shared" si="6"/>
        <v>5508</v>
      </c>
      <c r="E25" s="2798">
        <f t="shared" si="6"/>
        <v>2907</v>
      </c>
      <c r="F25" s="2798">
        <f t="shared" si="4"/>
        <v>0</v>
      </c>
      <c r="G25" s="2798"/>
      <c r="H25" s="2803"/>
      <c r="I25" s="2803">
        <f t="shared" si="5"/>
        <v>8415</v>
      </c>
      <c r="J25" s="2803">
        <v>5508</v>
      </c>
      <c r="K25" s="2797">
        <v>2907</v>
      </c>
    </row>
    <row r="26" spans="1:11">
      <c r="A26" s="2805" t="s">
        <v>1089</v>
      </c>
      <c r="B26" s="2724" t="s">
        <v>28</v>
      </c>
      <c r="C26" s="2806">
        <f t="shared" si="3"/>
        <v>3462</v>
      </c>
      <c r="D26" s="2807">
        <f t="shared" si="6"/>
        <v>1856</v>
      </c>
      <c r="E26" s="2806">
        <f t="shared" si="6"/>
        <v>1606</v>
      </c>
      <c r="F26" s="2806">
        <f t="shared" si="4"/>
        <v>0</v>
      </c>
      <c r="G26" s="2806"/>
      <c r="H26" s="2807"/>
      <c r="I26" s="2808">
        <f t="shared" si="5"/>
        <v>3462</v>
      </c>
      <c r="J26" s="2807">
        <v>1856</v>
      </c>
      <c r="K26" s="2807">
        <v>1606</v>
      </c>
    </row>
  </sheetData>
  <mergeCells count="8">
    <mergeCell ref="A6:B6"/>
    <mergeCell ref="A2:K2"/>
    <mergeCell ref="H3:K3"/>
    <mergeCell ref="A4:A5"/>
    <mergeCell ref="B4:B5"/>
    <mergeCell ref="C4:E4"/>
    <mergeCell ref="F4:H4"/>
    <mergeCell ref="I4:K4"/>
  </mergeCells>
  <pageMargins left="0.24" right="0.19685039370078741" top="0.41" bottom="0.2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showZeros="0" topLeftCell="A16" zoomScale="85" zoomScaleNormal="85" workbookViewId="0">
      <selection activeCell="A64" sqref="A64"/>
    </sheetView>
  </sheetViews>
  <sheetFormatPr defaultRowHeight="14.4"/>
  <cols>
    <col min="1" max="1" width="6.6640625" style="1958" customWidth="1"/>
    <col min="2" max="2" width="44.88671875" style="1958" customWidth="1"/>
    <col min="3" max="3" width="15" style="1958" customWidth="1"/>
    <col min="4" max="4" width="17.109375" style="1958" customWidth="1"/>
    <col min="5" max="5" width="13" style="1958" customWidth="1"/>
    <col min="6" max="6" width="14.44140625" style="1958" customWidth="1"/>
    <col min="7" max="7" width="17.44140625" style="1958" customWidth="1"/>
    <col min="8" max="8" width="22" style="1958" customWidth="1"/>
    <col min="9" max="9" width="20.5546875" style="1958" customWidth="1"/>
    <col min="10" max="10" width="20.33203125" style="1958" customWidth="1"/>
    <col min="11" max="11" width="18.88671875" style="1958" customWidth="1"/>
    <col min="12" max="14" width="9.109375" style="1958" customWidth="1"/>
    <col min="15" max="15" width="32" style="1958" customWidth="1"/>
    <col min="16" max="255" width="8.88671875" style="1958"/>
    <col min="256" max="256" width="5.5546875" style="1958" customWidth="1"/>
    <col min="257" max="257" width="43.88671875" style="1958" customWidth="1"/>
    <col min="258" max="258" width="15" style="1958" customWidth="1"/>
    <col min="259" max="259" width="0" style="1958" hidden="1" customWidth="1"/>
    <col min="260" max="260" width="17.109375" style="1958" customWidth="1"/>
    <col min="261" max="261" width="12" style="1958" customWidth="1"/>
    <col min="262" max="262" width="11.5546875" style="1958" customWidth="1"/>
    <col min="263" max="263" width="17.44140625" style="1958" customWidth="1"/>
    <col min="264" max="264" width="22" style="1958" customWidth="1"/>
    <col min="265" max="265" width="20.5546875" style="1958" customWidth="1"/>
    <col min="266" max="266" width="20.33203125" style="1958" customWidth="1"/>
    <col min="267" max="267" width="18.88671875" style="1958" customWidth="1"/>
    <col min="268" max="270" width="9.109375" style="1958" customWidth="1"/>
    <col min="271" max="271" width="32" style="1958" customWidth="1"/>
    <col min="272" max="511" width="8.88671875" style="1958"/>
    <col min="512" max="512" width="5.5546875" style="1958" customWidth="1"/>
    <col min="513" max="513" width="43.88671875" style="1958" customWidth="1"/>
    <col min="514" max="514" width="15" style="1958" customWidth="1"/>
    <col min="515" max="515" width="0" style="1958" hidden="1" customWidth="1"/>
    <col min="516" max="516" width="17.109375" style="1958" customWidth="1"/>
    <col min="517" max="517" width="12" style="1958" customWidth="1"/>
    <col min="518" max="518" width="11.5546875" style="1958" customWidth="1"/>
    <col min="519" max="519" width="17.44140625" style="1958" customWidth="1"/>
    <col min="520" max="520" width="22" style="1958" customWidth="1"/>
    <col min="521" max="521" width="20.5546875" style="1958" customWidth="1"/>
    <col min="522" max="522" width="20.33203125" style="1958" customWidth="1"/>
    <col min="523" max="523" width="18.88671875" style="1958" customWidth="1"/>
    <col min="524" max="526" width="9.109375" style="1958" customWidth="1"/>
    <col min="527" max="527" width="32" style="1958" customWidth="1"/>
    <col min="528" max="767" width="8.88671875" style="1958"/>
    <col min="768" max="768" width="5.5546875" style="1958" customWidth="1"/>
    <col min="769" max="769" width="43.88671875" style="1958" customWidth="1"/>
    <col min="770" max="770" width="15" style="1958" customWidth="1"/>
    <col min="771" max="771" width="0" style="1958" hidden="1" customWidth="1"/>
    <col min="772" max="772" width="17.109375" style="1958" customWidth="1"/>
    <col min="773" max="773" width="12" style="1958" customWidth="1"/>
    <col min="774" max="774" width="11.5546875" style="1958" customWidth="1"/>
    <col min="775" max="775" width="17.44140625" style="1958" customWidth="1"/>
    <col min="776" max="776" width="22" style="1958" customWidth="1"/>
    <col min="777" max="777" width="20.5546875" style="1958" customWidth="1"/>
    <col min="778" max="778" width="20.33203125" style="1958" customWidth="1"/>
    <col min="779" max="779" width="18.88671875" style="1958" customWidth="1"/>
    <col min="780" max="782" width="9.109375" style="1958" customWidth="1"/>
    <col min="783" max="783" width="32" style="1958" customWidth="1"/>
    <col min="784" max="1023" width="8.88671875" style="1958"/>
    <col min="1024" max="1024" width="5.5546875" style="1958" customWidth="1"/>
    <col min="1025" max="1025" width="43.88671875" style="1958" customWidth="1"/>
    <col min="1026" max="1026" width="15" style="1958" customWidth="1"/>
    <col min="1027" max="1027" width="0" style="1958" hidden="1" customWidth="1"/>
    <col min="1028" max="1028" width="17.109375" style="1958" customWidth="1"/>
    <col min="1029" max="1029" width="12" style="1958" customWidth="1"/>
    <col min="1030" max="1030" width="11.5546875" style="1958" customWidth="1"/>
    <col min="1031" max="1031" width="17.44140625" style="1958" customWidth="1"/>
    <col min="1032" max="1032" width="22" style="1958" customWidth="1"/>
    <col min="1033" max="1033" width="20.5546875" style="1958" customWidth="1"/>
    <col min="1034" max="1034" width="20.33203125" style="1958" customWidth="1"/>
    <col min="1035" max="1035" width="18.88671875" style="1958" customWidth="1"/>
    <col min="1036" max="1038" width="9.109375" style="1958" customWidth="1"/>
    <col min="1039" max="1039" width="32" style="1958" customWidth="1"/>
    <col min="1040" max="1279" width="8.88671875" style="1958"/>
    <col min="1280" max="1280" width="5.5546875" style="1958" customWidth="1"/>
    <col min="1281" max="1281" width="43.88671875" style="1958" customWidth="1"/>
    <col min="1282" max="1282" width="15" style="1958" customWidth="1"/>
    <col min="1283" max="1283" width="0" style="1958" hidden="1" customWidth="1"/>
    <col min="1284" max="1284" width="17.109375" style="1958" customWidth="1"/>
    <col min="1285" max="1285" width="12" style="1958" customWidth="1"/>
    <col min="1286" max="1286" width="11.5546875" style="1958" customWidth="1"/>
    <col min="1287" max="1287" width="17.44140625" style="1958" customWidth="1"/>
    <col min="1288" max="1288" width="22" style="1958" customWidth="1"/>
    <col min="1289" max="1289" width="20.5546875" style="1958" customWidth="1"/>
    <col min="1290" max="1290" width="20.33203125" style="1958" customWidth="1"/>
    <col min="1291" max="1291" width="18.88671875" style="1958" customWidth="1"/>
    <col min="1292" max="1294" width="9.109375" style="1958" customWidth="1"/>
    <col min="1295" max="1295" width="32" style="1958" customWidth="1"/>
    <col min="1296" max="1535" width="8.88671875" style="1958"/>
    <col min="1536" max="1536" width="5.5546875" style="1958" customWidth="1"/>
    <col min="1537" max="1537" width="43.88671875" style="1958" customWidth="1"/>
    <col min="1538" max="1538" width="15" style="1958" customWidth="1"/>
    <col min="1539" max="1539" width="0" style="1958" hidden="1" customWidth="1"/>
    <col min="1540" max="1540" width="17.109375" style="1958" customWidth="1"/>
    <col min="1541" max="1541" width="12" style="1958" customWidth="1"/>
    <col min="1542" max="1542" width="11.5546875" style="1958" customWidth="1"/>
    <col min="1543" max="1543" width="17.44140625" style="1958" customWidth="1"/>
    <col min="1544" max="1544" width="22" style="1958" customWidth="1"/>
    <col min="1545" max="1545" width="20.5546875" style="1958" customWidth="1"/>
    <col min="1546" max="1546" width="20.33203125" style="1958" customWidth="1"/>
    <col min="1547" max="1547" width="18.88671875" style="1958" customWidth="1"/>
    <col min="1548" max="1550" width="9.109375" style="1958" customWidth="1"/>
    <col min="1551" max="1551" width="32" style="1958" customWidth="1"/>
    <col min="1552" max="1791" width="8.88671875" style="1958"/>
    <col min="1792" max="1792" width="5.5546875" style="1958" customWidth="1"/>
    <col min="1793" max="1793" width="43.88671875" style="1958" customWidth="1"/>
    <col min="1794" max="1794" width="15" style="1958" customWidth="1"/>
    <col min="1795" max="1795" width="0" style="1958" hidden="1" customWidth="1"/>
    <col min="1796" max="1796" width="17.109375" style="1958" customWidth="1"/>
    <col min="1797" max="1797" width="12" style="1958" customWidth="1"/>
    <col min="1798" max="1798" width="11.5546875" style="1958" customWidth="1"/>
    <col min="1799" max="1799" width="17.44140625" style="1958" customWidth="1"/>
    <col min="1800" max="1800" width="22" style="1958" customWidth="1"/>
    <col min="1801" max="1801" width="20.5546875" style="1958" customWidth="1"/>
    <col min="1802" max="1802" width="20.33203125" style="1958" customWidth="1"/>
    <col min="1803" max="1803" width="18.88671875" style="1958" customWidth="1"/>
    <col min="1804" max="1806" width="9.109375" style="1958" customWidth="1"/>
    <col min="1807" max="1807" width="32" style="1958" customWidth="1"/>
    <col min="1808" max="2047" width="8.88671875" style="1958"/>
    <col min="2048" max="2048" width="5.5546875" style="1958" customWidth="1"/>
    <col min="2049" max="2049" width="43.88671875" style="1958" customWidth="1"/>
    <col min="2050" max="2050" width="15" style="1958" customWidth="1"/>
    <col min="2051" max="2051" width="0" style="1958" hidden="1" customWidth="1"/>
    <col min="2052" max="2052" width="17.109375" style="1958" customWidth="1"/>
    <col min="2053" max="2053" width="12" style="1958" customWidth="1"/>
    <col min="2054" max="2054" width="11.5546875" style="1958" customWidth="1"/>
    <col min="2055" max="2055" width="17.44140625" style="1958" customWidth="1"/>
    <col min="2056" max="2056" width="22" style="1958" customWidth="1"/>
    <col min="2057" max="2057" width="20.5546875" style="1958" customWidth="1"/>
    <col min="2058" max="2058" width="20.33203125" style="1958" customWidth="1"/>
    <col min="2059" max="2059" width="18.88671875" style="1958" customWidth="1"/>
    <col min="2060" max="2062" width="9.109375" style="1958" customWidth="1"/>
    <col min="2063" max="2063" width="32" style="1958" customWidth="1"/>
    <col min="2064" max="2303" width="8.88671875" style="1958"/>
    <col min="2304" max="2304" width="5.5546875" style="1958" customWidth="1"/>
    <col min="2305" max="2305" width="43.88671875" style="1958" customWidth="1"/>
    <col min="2306" max="2306" width="15" style="1958" customWidth="1"/>
    <col min="2307" max="2307" width="0" style="1958" hidden="1" customWidth="1"/>
    <col min="2308" max="2308" width="17.109375" style="1958" customWidth="1"/>
    <col min="2309" max="2309" width="12" style="1958" customWidth="1"/>
    <col min="2310" max="2310" width="11.5546875" style="1958" customWidth="1"/>
    <col min="2311" max="2311" width="17.44140625" style="1958" customWidth="1"/>
    <col min="2312" max="2312" width="22" style="1958" customWidth="1"/>
    <col min="2313" max="2313" width="20.5546875" style="1958" customWidth="1"/>
    <col min="2314" max="2314" width="20.33203125" style="1958" customWidth="1"/>
    <col min="2315" max="2315" width="18.88671875" style="1958" customWidth="1"/>
    <col min="2316" max="2318" width="9.109375" style="1958" customWidth="1"/>
    <col min="2319" max="2319" width="32" style="1958" customWidth="1"/>
    <col min="2320" max="2559" width="8.88671875" style="1958"/>
    <col min="2560" max="2560" width="5.5546875" style="1958" customWidth="1"/>
    <col min="2561" max="2561" width="43.88671875" style="1958" customWidth="1"/>
    <col min="2562" max="2562" width="15" style="1958" customWidth="1"/>
    <col min="2563" max="2563" width="0" style="1958" hidden="1" customWidth="1"/>
    <col min="2564" max="2564" width="17.109375" style="1958" customWidth="1"/>
    <col min="2565" max="2565" width="12" style="1958" customWidth="1"/>
    <col min="2566" max="2566" width="11.5546875" style="1958" customWidth="1"/>
    <col min="2567" max="2567" width="17.44140625" style="1958" customWidth="1"/>
    <col min="2568" max="2568" width="22" style="1958" customWidth="1"/>
    <col min="2569" max="2569" width="20.5546875" style="1958" customWidth="1"/>
    <col min="2570" max="2570" width="20.33203125" style="1958" customWidth="1"/>
    <col min="2571" max="2571" width="18.88671875" style="1958" customWidth="1"/>
    <col min="2572" max="2574" width="9.109375" style="1958" customWidth="1"/>
    <col min="2575" max="2575" width="32" style="1958" customWidth="1"/>
    <col min="2576" max="2815" width="8.88671875" style="1958"/>
    <col min="2816" max="2816" width="5.5546875" style="1958" customWidth="1"/>
    <col min="2817" max="2817" width="43.88671875" style="1958" customWidth="1"/>
    <col min="2818" max="2818" width="15" style="1958" customWidth="1"/>
    <col min="2819" max="2819" width="0" style="1958" hidden="1" customWidth="1"/>
    <col min="2820" max="2820" width="17.109375" style="1958" customWidth="1"/>
    <col min="2821" max="2821" width="12" style="1958" customWidth="1"/>
    <col min="2822" max="2822" width="11.5546875" style="1958" customWidth="1"/>
    <col min="2823" max="2823" width="17.44140625" style="1958" customWidth="1"/>
    <col min="2824" max="2824" width="22" style="1958" customWidth="1"/>
    <col min="2825" max="2825" width="20.5546875" style="1958" customWidth="1"/>
    <col min="2826" max="2826" width="20.33203125" style="1958" customWidth="1"/>
    <col min="2827" max="2827" width="18.88671875" style="1958" customWidth="1"/>
    <col min="2828" max="2830" width="9.109375" style="1958" customWidth="1"/>
    <col min="2831" max="2831" width="32" style="1958" customWidth="1"/>
    <col min="2832" max="3071" width="8.88671875" style="1958"/>
    <col min="3072" max="3072" width="5.5546875" style="1958" customWidth="1"/>
    <col min="3073" max="3073" width="43.88671875" style="1958" customWidth="1"/>
    <col min="3074" max="3074" width="15" style="1958" customWidth="1"/>
    <col min="3075" max="3075" width="0" style="1958" hidden="1" customWidth="1"/>
    <col min="3076" max="3076" width="17.109375" style="1958" customWidth="1"/>
    <col min="3077" max="3077" width="12" style="1958" customWidth="1"/>
    <col min="3078" max="3078" width="11.5546875" style="1958" customWidth="1"/>
    <col min="3079" max="3079" width="17.44140625" style="1958" customWidth="1"/>
    <col min="3080" max="3080" width="22" style="1958" customWidth="1"/>
    <col min="3081" max="3081" width="20.5546875" style="1958" customWidth="1"/>
    <col min="3082" max="3082" width="20.33203125" style="1958" customWidth="1"/>
    <col min="3083" max="3083" width="18.88671875" style="1958" customWidth="1"/>
    <col min="3084" max="3086" width="9.109375" style="1958" customWidth="1"/>
    <col min="3087" max="3087" width="32" style="1958" customWidth="1"/>
    <col min="3088" max="3327" width="8.88671875" style="1958"/>
    <col min="3328" max="3328" width="5.5546875" style="1958" customWidth="1"/>
    <col min="3329" max="3329" width="43.88671875" style="1958" customWidth="1"/>
    <col min="3330" max="3330" width="15" style="1958" customWidth="1"/>
    <col min="3331" max="3331" width="0" style="1958" hidden="1" customWidth="1"/>
    <col min="3332" max="3332" width="17.109375" style="1958" customWidth="1"/>
    <col min="3333" max="3333" width="12" style="1958" customWidth="1"/>
    <col min="3334" max="3334" width="11.5546875" style="1958" customWidth="1"/>
    <col min="3335" max="3335" width="17.44140625" style="1958" customWidth="1"/>
    <col min="3336" max="3336" width="22" style="1958" customWidth="1"/>
    <col min="3337" max="3337" width="20.5546875" style="1958" customWidth="1"/>
    <col min="3338" max="3338" width="20.33203125" style="1958" customWidth="1"/>
    <col min="3339" max="3339" width="18.88671875" style="1958" customWidth="1"/>
    <col min="3340" max="3342" width="9.109375" style="1958" customWidth="1"/>
    <col min="3343" max="3343" width="32" style="1958" customWidth="1"/>
    <col min="3344" max="3583" width="8.88671875" style="1958"/>
    <col min="3584" max="3584" width="5.5546875" style="1958" customWidth="1"/>
    <col min="3585" max="3585" width="43.88671875" style="1958" customWidth="1"/>
    <col min="3586" max="3586" width="15" style="1958" customWidth="1"/>
    <col min="3587" max="3587" width="0" style="1958" hidden="1" customWidth="1"/>
    <col min="3588" max="3588" width="17.109375" style="1958" customWidth="1"/>
    <col min="3589" max="3589" width="12" style="1958" customWidth="1"/>
    <col min="3590" max="3590" width="11.5546875" style="1958" customWidth="1"/>
    <col min="3591" max="3591" width="17.44140625" style="1958" customWidth="1"/>
    <col min="3592" max="3592" width="22" style="1958" customWidth="1"/>
    <col min="3593" max="3593" width="20.5546875" style="1958" customWidth="1"/>
    <col min="3594" max="3594" width="20.33203125" style="1958" customWidth="1"/>
    <col min="3595" max="3595" width="18.88671875" style="1958" customWidth="1"/>
    <col min="3596" max="3598" width="9.109375" style="1958" customWidth="1"/>
    <col min="3599" max="3599" width="32" style="1958" customWidth="1"/>
    <col min="3600" max="3839" width="8.88671875" style="1958"/>
    <col min="3840" max="3840" width="5.5546875" style="1958" customWidth="1"/>
    <col min="3841" max="3841" width="43.88671875" style="1958" customWidth="1"/>
    <col min="3842" max="3842" width="15" style="1958" customWidth="1"/>
    <col min="3843" max="3843" width="0" style="1958" hidden="1" customWidth="1"/>
    <col min="3844" max="3844" width="17.109375" style="1958" customWidth="1"/>
    <col min="3845" max="3845" width="12" style="1958" customWidth="1"/>
    <col min="3846" max="3846" width="11.5546875" style="1958" customWidth="1"/>
    <col min="3847" max="3847" width="17.44140625" style="1958" customWidth="1"/>
    <col min="3848" max="3848" width="22" style="1958" customWidth="1"/>
    <col min="3849" max="3849" width="20.5546875" style="1958" customWidth="1"/>
    <col min="3850" max="3850" width="20.33203125" style="1958" customWidth="1"/>
    <col min="3851" max="3851" width="18.88671875" style="1958" customWidth="1"/>
    <col min="3852" max="3854" width="9.109375" style="1958" customWidth="1"/>
    <col min="3855" max="3855" width="32" style="1958" customWidth="1"/>
    <col min="3856" max="4095" width="8.88671875" style="1958"/>
    <col min="4096" max="4096" width="5.5546875" style="1958" customWidth="1"/>
    <col min="4097" max="4097" width="43.88671875" style="1958" customWidth="1"/>
    <col min="4098" max="4098" width="15" style="1958" customWidth="1"/>
    <col min="4099" max="4099" width="0" style="1958" hidden="1" customWidth="1"/>
    <col min="4100" max="4100" width="17.109375" style="1958" customWidth="1"/>
    <col min="4101" max="4101" width="12" style="1958" customWidth="1"/>
    <col min="4102" max="4102" width="11.5546875" style="1958" customWidth="1"/>
    <col min="4103" max="4103" width="17.44140625" style="1958" customWidth="1"/>
    <col min="4104" max="4104" width="22" style="1958" customWidth="1"/>
    <col min="4105" max="4105" width="20.5546875" style="1958" customWidth="1"/>
    <col min="4106" max="4106" width="20.33203125" style="1958" customWidth="1"/>
    <col min="4107" max="4107" width="18.88671875" style="1958" customWidth="1"/>
    <col min="4108" max="4110" width="9.109375" style="1958" customWidth="1"/>
    <col min="4111" max="4111" width="32" style="1958" customWidth="1"/>
    <col min="4112" max="4351" width="8.88671875" style="1958"/>
    <col min="4352" max="4352" width="5.5546875" style="1958" customWidth="1"/>
    <col min="4353" max="4353" width="43.88671875" style="1958" customWidth="1"/>
    <col min="4354" max="4354" width="15" style="1958" customWidth="1"/>
    <col min="4355" max="4355" width="0" style="1958" hidden="1" customWidth="1"/>
    <col min="4356" max="4356" width="17.109375" style="1958" customWidth="1"/>
    <col min="4357" max="4357" width="12" style="1958" customWidth="1"/>
    <col min="4358" max="4358" width="11.5546875" style="1958" customWidth="1"/>
    <col min="4359" max="4359" width="17.44140625" style="1958" customWidth="1"/>
    <col min="4360" max="4360" width="22" style="1958" customWidth="1"/>
    <col min="4361" max="4361" width="20.5546875" style="1958" customWidth="1"/>
    <col min="4362" max="4362" width="20.33203125" style="1958" customWidth="1"/>
    <col min="4363" max="4363" width="18.88671875" style="1958" customWidth="1"/>
    <col min="4364" max="4366" width="9.109375" style="1958" customWidth="1"/>
    <col min="4367" max="4367" width="32" style="1958" customWidth="1"/>
    <col min="4368" max="4607" width="8.88671875" style="1958"/>
    <col min="4608" max="4608" width="5.5546875" style="1958" customWidth="1"/>
    <col min="4609" max="4609" width="43.88671875" style="1958" customWidth="1"/>
    <col min="4610" max="4610" width="15" style="1958" customWidth="1"/>
    <col min="4611" max="4611" width="0" style="1958" hidden="1" customWidth="1"/>
    <col min="4612" max="4612" width="17.109375" style="1958" customWidth="1"/>
    <col min="4613" max="4613" width="12" style="1958" customWidth="1"/>
    <col min="4614" max="4614" width="11.5546875" style="1958" customWidth="1"/>
    <col min="4615" max="4615" width="17.44140625" style="1958" customWidth="1"/>
    <col min="4616" max="4616" width="22" style="1958" customWidth="1"/>
    <col min="4617" max="4617" width="20.5546875" style="1958" customWidth="1"/>
    <col min="4618" max="4618" width="20.33203125" style="1958" customWidth="1"/>
    <col min="4619" max="4619" width="18.88671875" style="1958" customWidth="1"/>
    <col min="4620" max="4622" width="9.109375" style="1958" customWidth="1"/>
    <col min="4623" max="4623" width="32" style="1958" customWidth="1"/>
    <col min="4624" max="4863" width="8.88671875" style="1958"/>
    <col min="4864" max="4864" width="5.5546875" style="1958" customWidth="1"/>
    <col min="4865" max="4865" width="43.88671875" style="1958" customWidth="1"/>
    <col min="4866" max="4866" width="15" style="1958" customWidth="1"/>
    <col min="4867" max="4867" width="0" style="1958" hidden="1" customWidth="1"/>
    <col min="4868" max="4868" width="17.109375" style="1958" customWidth="1"/>
    <col min="4869" max="4869" width="12" style="1958" customWidth="1"/>
    <col min="4870" max="4870" width="11.5546875" style="1958" customWidth="1"/>
    <col min="4871" max="4871" width="17.44140625" style="1958" customWidth="1"/>
    <col min="4872" max="4872" width="22" style="1958" customWidth="1"/>
    <col min="4873" max="4873" width="20.5546875" style="1958" customWidth="1"/>
    <col min="4874" max="4874" width="20.33203125" style="1958" customWidth="1"/>
    <col min="4875" max="4875" width="18.88671875" style="1958" customWidth="1"/>
    <col min="4876" max="4878" width="9.109375" style="1958" customWidth="1"/>
    <col min="4879" max="4879" width="32" style="1958" customWidth="1"/>
    <col min="4880" max="5119" width="8.88671875" style="1958"/>
    <col min="5120" max="5120" width="5.5546875" style="1958" customWidth="1"/>
    <col min="5121" max="5121" width="43.88671875" style="1958" customWidth="1"/>
    <col min="5122" max="5122" width="15" style="1958" customWidth="1"/>
    <col min="5123" max="5123" width="0" style="1958" hidden="1" customWidth="1"/>
    <col min="5124" max="5124" width="17.109375" style="1958" customWidth="1"/>
    <col min="5125" max="5125" width="12" style="1958" customWidth="1"/>
    <col min="5126" max="5126" width="11.5546875" style="1958" customWidth="1"/>
    <col min="5127" max="5127" width="17.44140625" style="1958" customWidth="1"/>
    <col min="5128" max="5128" width="22" style="1958" customWidth="1"/>
    <col min="5129" max="5129" width="20.5546875" style="1958" customWidth="1"/>
    <col min="5130" max="5130" width="20.33203125" style="1958" customWidth="1"/>
    <col min="5131" max="5131" width="18.88671875" style="1958" customWidth="1"/>
    <col min="5132" max="5134" width="9.109375" style="1958" customWidth="1"/>
    <col min="5135" max="5135" width="32" style="1958" customWidth="1"/>
    <col min="5136" max="5375" width="8.88671875" style="1958"/>
    <col min="5376" max="5376" width="5.5546875" style="1958" customWidth="1"/>
    <col min="5377" max="5377" width="43.88671875" style="1958" customWidth="1"/>
    <col min="5378" max="5378" width="15" style="1958" customWidth="1"/>
    <col min="5379" max="5379" width="0" style="1958" hidden="1" customWidth="1"/>
    <col min="5380" max="5380" width="17.109375" style="1958" customWidth="1"/>
    <col min="5381" max="5381" width="12" style="1958" customWidth="1"/>
    <col min="5382" max="5382" width="11.5546875" style="1958" customWidth="1"/>
    <col min="5383" max="5383" width="17.44140625" style="1958" customWidth="1"/>
    <col min="5384" max="5384" width="22" style="1958" customWidth="1"/>
    <col min="5385" max="5385" width="20.5546875" style="1958" customWidth="1"/>
    <col min="5386" max="5386" width="20.33203125" style="1958" customWidth="1"/>
    <col min="5387" max="5387" width="18.88671875" style="1958" customWidth="1"/>
    <col min="5388" max="5390" width="9.109375" style="1958" customWidth="1"/>
    <col min="5391" max="5391" width="32" style="1958" customWidth="1"/>
    <col min="5392" max="5631" width="8.88671875" style="1958"/>
    <col min="5632" max="5632" width="5.5546875" style="1958" customWidth="1"/>
    <col min="5633" max="5633" width="43.88671875" style="1958" customWidth="1"/>
    <col min="5634" max="5634" width="15" style="1958" customWidth="1"/>
    <col min="5635" max="5635" width="0" style="1958" hidden="1" customWidth="1"/>
    <col min="5636" max="5636" width="17.109375" style="1958" customWidth="1"/>
    <col min="5637" max="5637" width="12" style="1958" customWidth="1"/>
    <col min="5638" max="5638" width="11.5546875" style="1958" customWidth="1"/>
    <col min="5639" max="5639" width="17.44140625" style="1958" customWidth="1"/>
    <col min="5640" max="5640" width="22" style="1958" customWidth="1"/>
    <col min="5641" max="5641" width="20.5546875" style="1958" customWidth="1"/>
    <col min="5642" max="5642" width="20.33203125" style="1958" customWidth="1"/>
    <col min="5643" max="5643" width="18.88671875" style="1958" customWidth="1"/>
    <col min="5644" max="5646" width="9.109375" style="1958" customWidth="1"/>
    <col min="5647" max="5647" width="32" style="1958" customWidth="1"/>
    <col min="5648" max="5887" width="8.88671875" style="1958"/>
    <col min="5888" max="5888" width="5.5546875" style="1958" customWidth="1"/>
    <col min="5889" max="5889" width="43.88671875" style="1958" customWidth="1"/>
    <col min="5890" max="5890" width="15" style="1958" customWidth="1"/>
    <col min="5891" max="5891" width="0" style="1958" hidden="1" customWidth="1"/>
    <col min="5892" max="5892" width="17.109375" style="1958" customWidth="1"/>
    <col min="5893" max="5893" width="12" style="1958" customWidth="1"/>
    <col min="5894" max="5894" width="11.5546875" style="1958" customWidth="1"/>
    <col min="5895" max="5895" width="17.44140625" style="1958" customWidth="1"/>
    <col min="5896" max="5896" width="22" style="1958" customWidth="1"/>
    <col min="5897" max="5897" width="20.5546875" style="1958" customWidth="1"/>
    <col min="5898" max="5898" width="20.33203125" style="1958" customWidth="1"/>
    <col min="5899" max="5899" width="18.88671875" style="1958" customWidth="1"/>
    <col min="5900" max="5902" width="9.109375" style="1958" customWidth="1"/>
    <col min="5903" max="5903" width="32" style="1958" customWidth="1"/>
    <col min="5904" max="6143" width="8.88671875" style="1958"/>
    <col min="6144" max="6144" width="5.5546875" style="1958" customWidth="1"/>
    <col min="6145" max="6145" width="43.88671875" style="1958" customWidth="1"/>
    <col min="6146" max="6146" width="15" style="1958" customWidth="1"/>
    <col min="6147" max="6147" width="0" style="1958" hidden="1" customWidth="1"/>
    <col min="6148" max="6148" width="17.109375" style="1958" customWidth="1"/>
    <col min="6149" max="6149" width="12" style="1958" customWidth="1"/>
    <col min="6150" max="6150" width="11.5546875" style="1958" customWidth="1"/>
    <col min="6151" max="6151" width="17.44140625" style="1958" customWidth="1"/>
    <col min="6152" max="6152" width="22" style="1958" customWidth="1"/>
    <col min="6153" max="6153" width="20.5546875" style="1958" customWidth="1"/>
    <col min="6154" max="6154" width="20.33203125" style="1958" customWidth="1"/>
    <col min="6155" max="6155" width="18.88671875" style="1958" customWidth="1"/>
    <col min="6156" max="6158" width="9.109375" style="1958" customWidth="1"/>
    <col min="6159" max="6159" width="32" style="1958" customWidth="1"/>
    <col min="6160" max="6399" width="8.88671875" style="1958"/>
    <col min="6400" max="6400" width="5.5546875" style="1958" customWidth="1"/>
    <col min="6401" max="6401" width="43.88671875" style="1958" customWidth="1"/>
    <col min="6402" max="6402" width="15" style="1958" customWidth="1"/>
    <col min="6403" max="6403" width="0" style="1958" hidden="1" customWidth="1"/>
    <col min="6404" max="6404" width="17.109375" style="1958" customWidth="1"/>
    <col min="6405" max="6405" width="12" style="1958" customWidth="1"/>
    <col min="6406" max="6406" width="11.5546875" style="1958" customWidth="1"/>
    <col min="6407" max="6407" width="17.44140625" style="1958" customWidth="1"/>
    <col min="6408" max="6408" width="22" style="1958" customWidth="1"/>
    <col min="6409" max="6409" width="20.5546875" style="1958" customWidth="1"/>
    <col min="6410" max="6410" width="20.33203125" style="1958" customWidth="1"/>
    <col min="6411" max="6411" width="18.88671875" style="1958" customWidth="1"/>
    <col min="6412" max="6414" width="9.109375" style="1958" customWidth="1"/>
    <col min="6415" max="6415" width="32" style="1958" customWidth="1"/>
    <col min="6416" max="6655" width="8.88671875" style="1958"/>
    <col min="6656" max="6656" width="5.5546875" style="1958" customWidth="1"/>
    <col min="6657" max="6657" width="43.88671875" style="1958" customWidth="1"/>
    <col min="6658" max="6658" width="15" style="1958" customWidth="1"/>
    <col min="6659" max="6659" width="0" style="1958" hidden="1" customWidth="1"/>
    <col min="6660" max="6660" width="17.109375" style="1958" customWidth="1"/>
    <col min="6661" max="6661" width="12" style="1958" customWidth="1"/>
    <col min="6662" max="6662" width="11.5546875" style="1958" customWidth="1"/>
    <col min="6663" max="6663" width="17.44140625" style="1958" customWidth="1"/>
    <col min="6664" max="6664" width="22" style="1958" customWidth="1"/>
    <col min="6665" max="6665" width="20.5546875" style="1958" customWidth="1"/>
    <col min="6666" max="6666" width="20.33203125" style="1958" customWidth="1"/>
    <col min="6667" max="6667" width="18.88671875" style="1958" customWidth="1"/>
    <col min="6668" max="6670" width="9.109375" style="1958" customWidth="1"/>
    <col min="6671" max="6671" width="32" style="1958" customWidth="1"/>
    <col min="6672" max="6911" width="8.88671875" style="1958"/>
    <col min="6912" max="6912" width="5.5546875" style="1958" customWidth="1"/>
    <col min="6913" max="6913" width="43.88671875" style="1958" customWidth="1"/>
    <col min="6914" max="6914" width="15" style="1958" customWidth="1"/>
    <col min="6915" max="6915" width="0" style="1958" hidden="1" customWidth="1"/>
    <col min="6916" max="6916" width="17.109375" style="1958" customWidth="1"/>
    <col min="6917" max="6917" width="12" style="1958" customWidth="1"/>
    <col min="6918" max="6918" width="11.5546875" style="1958" customWidth="1"/>
    <col min="6919" max="6919" width="17.44140625" style="1958" customWidth="1"/>
    <col min="6920" max="6920" width="22" style="1958" customWidth="1"/>
    <col min="6921" max="6921" width="20.5546875" style="1958" customWidth="1"/>
    <col min="6922" max="6922" width="20.33203125" style="1958" customWidth="1"/>
    <col min="6923" max="6923" width="18.88671875" style="1958" customWidth="1"/>
    <col min="6924" max="6926" width="9.109375" style="1958" customWidth="1"/>
    <col min="6927" max="6927" width="32" style="1958" customWidth="1"/>
    <col min="6928" max="7167" width="8.88671875" style="1958"/>
    <col min="7168" max="7168" width="5.5546875" style="1958" customWidth="1"/>
    <col min="7169" max="7169" width="43.88671875" style="1958" customWidth="1"/>
    <col min="7170" max="7170" width="15" style="1958" customWidth="1"/>
    <col min="7171" max="7171" width="0" style="1958" hidden="1" customWidth="1"/>
    <col min="7172" max="7172" width="17.109375" style="1958" customWidth="1"/>
    <col min="7173" max="7173" width="12" style="1958" customWidth="1"/>
    <col min="7174" max="7174" width="11.5546875" style="1958" customWidth="1"/>
    <col min="7175" max="7175" width="17.44140625" style="1958" customWidth="1"/>
    <col min="7176" max="7176" width="22" style="1958" customWidth="1"/>
    <col min="7177" max="7177" width="20.5546875" style="1958" customWidth="1"/>
    <col min="7178" max="7178" width="20.33203125" style="1958" customWidth="1"/>
    <col min="7179" max="7179" width="18.88671875" style="1958" customWidth="1"/>
    <col min="7180" max="7182" width="9.109375" style="1958" customWidth="1"/>
    <col min="7183" max="7183" width="32" style="1958" customWidth="1"/>
    <col min="7184" max="7423" width="8.88671875" style="1958"/>
    <col min="7424" max="7424" width="5.5546875" style="1958" customWidth="1"/>
    <col min="7425" max="7425" width="43.88671875" style="1958" customWidth="1"/>
    <col min="7426" max="7426" width="15" style="1958" customWidth="1"/>
    <col min="7427" max="7427" width="0" style="1958" hidden="1" customWidth="1"/>
    <col min="7428" max="7428" width="17.109375" style="1958" customWidth="1"/>
    <col min="7429" max="7429" width="12" style="1958" customWidth="1"/>
    <col min="7430" max="7430" width="11.5546875" style="1958" customWidth="1"/>
    <col min="7431" max="7431" width="17.44140625" style="1958" customWidth="1"/>
    <col min="7432" max="7432" width="22" style="1958" customWidth="1"/>
    <col min="7433" max="7433" width="20.5546875" style="1958" customWidth="1"/>
    <col min="7434" max="7434" width="20.33203125" style="1958" customWidth="1"/>
    <col min="7435" max="7435" width="18.88671875" style="1958" customWidth="1"/>
    <col min="7436" max="7438" width="9.109375" style="1958" customWidth="1"/>
    <col min="7439" max="7439" width="32" style="1958" customWidth="1"/>
    <col min="7440" max="7679" width="8.88671875" style="1958"/>
    <col min="7680" max="7680" width="5.5546875" style="1958" customWidth="1"/>
    <col min="7681" max="7681" width="43.88671875" style="1958" customWidth="1"/>
    <col min="7682" max="7682" width="15" style="1958" customWidth="1"/>
    <col min="7683" max="7683" width="0" style="1958" hidden="1" customWidth="1"/>
    <col min="7684" max="7684" width="17.109375" style="1958" customWidth="1"/>
    <col min="7685" max="7685" width="12" style="1958" customWidth="1"/>
    <col min="7686" max="7686" width="11.5546875" style="1958" customWidth="1"/>
    <col min="7687" max="7687" width="17.44140625" style="1958" customWidth="1"/>
    <col min="7688" max="7688" width="22" style="1958" customWidth="1"/>
    <col min="7689" max="7689" width="20.5546875" style="1958" customWidth="1"/>
    <col min="7690" max="7690" width="20.33203125" style="1958" customWidth="1"/>
    <col min="7691" max="7691" width="18.88671875" style="1958" customWidth="1"/>
    <col min="7692" max="7694" width="9.109375" style="1958" customWidth="1"/>
    <col min="7695" max="7695" width="32" style="1958" customWidth="1"/>
    <col min="7696" max="7935" width="8.88671875" style="1958"/>
    <col min="7936" max="7936" width="5.5546875" style="1958" customWidth="1"/>
    <col min="7937" max="7937" width="43.88671875" style="1958" customWidth="1"/>
    <col min="7938" max="7938" width="15" style="1958" customWidth="1"/>
    <col min="7939" max="7939" width="0" style="1958" hidden="1" customWidth="1"/>
    <col min="7940" max="7940" width="17.109375" style="1958" customWidth="1"/>
    <col min="7941" max="7941" width="12" style="1958" customWidth="1"/>
    <col min="7942" max="7942" width="11.5546875" style="1958" customWidth="1"/>
    <col min="7943" max="7943" width="17.44140625" style="1958" customWidth="1"/>
    <col min="7944" max="7944" width="22" style="1958" customWidth="1"/>
    <col min="7945" max="7945" width="20.5546875" style="1958" customWidth="1"/>
    <col min="7946" max="7946" width="20.33203125" style="1958" customWidth="1"/>
    <col min="7947" max="7947" width="18.88671875" style="1958" customWidth="1"/>
    <col min="7948" max="7950" width="9.109375" style="1958" customWidth="1"/>
    <col min="7951" max="7951" width="32" style="1958" customWidth="1"/>
    <col min="7952" max="8191" width="8.88671875" style="1958"/>
    <col min="8192" max="8192" width="5.5546875" style="1958" customWidth="1"/>
    <col min="8193" max="8193" width="43.88671875" style="1958" customWidth="1"/>
    <col min="8194" max="8194" width="15" style="1958" customWidth="1"/>
    <col min="8195" max="8195" width="0" style="1958" hidden="1" customWidth="1"/>
    <col min="8196" max="8196" width="17.109375" style="1958" customWidth="1"/>
    <col min="8197" max="8197" width="12" style="1958" customWidth="1"/>
    <col min="8198" max="8198" width="11.5546875" style="1958" customWidth="1"/>
    <col min="8199" max="8199" width="17.44140625" style="1958" customWidth="1"/>
    <col min="8200" max="8200" width="22" style="1958" customWidth="1"/>
    <col min="8201" max="8201" width="20.5546875" style="1958" customWidth="1"/>
    <col min="8202" max="8202" width="20.33203125" style="1958" customWidth="1"/>
    <col min="8203" max="8203" width="18.88671875" style="1958" customWidth="1"/>
    <col min="8204" max="8206" width="9.109375" style="1958" customWidth="1"/>
    <col min="8207" max="8207" width="32" style="1958" customWidth="1"/>
    <col min="8208" max="8447" width="8.88671875" style="1958"/>
    <col min="8448" max="8448" width="5.5546875" style="1958" customWidth="1"/>
    <col min="8449" max="8449" width="43.88671875" style="1958" customWidth="1"/>
    <col min="8450" max="8450" width="15" style="1958" customWidth="1"/>
    <col min="8451" max="8451" width="0" style="1958" hidden="1" customWidth="1"/>
    <col min="8452" max="8452" width="17.109375" style="1958" customWidth="1"/>
    <col min="8453" max="8453" width="12" style="1958" customWidth="1"/>
    <col min="8454" max="8454" width="11.5546875" style="1958" customWidth="1"/>
    <col min="8455" max="8455" width="17.44140625" style="1958" customWidth="1"/>
    <col min="8456" max="8456" width="22" style="1958" customWidth="1"/>
    <col min="8457" max="8457" width="20.5546875" style="1958" customWidth="1"/>
    <col min="8458" max="8458" width="20.33203125" style="1958" customWidth="1"/>
    <col min="8459" max="8459" width="18.88671875" style="1958" customWidth="1"/>
    <col min="8460" max="8462" width="9.109375" style="1958" customWidth="1"/>
    <col min="8463" max="8463" width="32" style="1958" customWidth="1"/>
    <col min="8464" max="8703" width="8.88671875" style="1958"/>
    <col min="8704" max="8704" width="5.5546875" style="1958" customWidth="1"/>
    <col min="8705" max="8705" width="43.88671875" style="1958" customWidth="1"/>
    <col min="8706" max="8706" width="15" style="1958" customWidth="1"/>
    <col min="8707" max="8707" width="0" style="1958" hidden="1" customWidth="1"/>
    <col min="8708" max="8708" width="17.109375" style="1958" customWidth="1"/>
    <col min="8709" max="8709" width="12" style="1958" customWidth="1"/>
    <col min="8710" max="8710" width="11.5546875" style="1958" customWidth="1"/>
    <col min="8711" max="8711" width="17.44140625" style="1958" customWidth="1"/>
    <col min="8712" max="8712" width="22" style="1958" customWidth="1"/>
    <col min="8713" max="8713" width="20.5546875" style="1958" customWidth="1"/>
    <col min="8714" max="8714" width="20.33203125" style="1958" customWidth="1"/>
    <col min="8715" max="8715" width="18.88671875" style="1958" customWidth="1"/>
    <col min="8716" max="8718" width="9.109375" style="1958" customWidth="1"/>
    <col min="8719" max="8719" width="32" style="1958" customWidth="1"/>
    <col min="8720" max="8959" width="8.88671875" style="1958"/>
    <col min="8960" max="8960" width="5.5546875" style="1958" customWidth="1"/>
    <col min="8961" max="8961" width="43.88671875" style="1958" customWidth="1"/>
    <col min="8962" max="8962" width="15" style="1958" customWidth="1"/>
    <col min="8963" max="8963" width="0" style="1958" hidden="1" customWidth="1"/>
    <col min="8964" max="8964" width="17.109375" style="1958" customWidth="1"/>
    <col min="8965" max="8965" width="12" style="1958" customWidth="1"/>
    <col min="8966" max="8966" width="11.5546875" style="1958" customWidth="1"/>
    <col min="8967" max="8967" width="17.44140625" style="1958" customWidth="1"/>
    <col min="8968" max="8968" width="22" style="1958" customWidth="1"/>
    <col min="8969" max="8969" width="20.5546875" style="1958" customWidth="1"/>
    <col min="8970" max="8970" width="20.33203125" style="1958" customWidth="1"/>
    <col min="8971" max="8971" width="18.88671875" style="1958" customWidth="1"/>
    <col min="8972" max="8974" width="9.109375" style="1958" customWidth="1"/>
    <col min="8975" max="8975" width="32" style="1958" customWidth="1"/>
    <col min="8976" max="9215" width="8.88671875" style="1958"/>
    <col min="9216" max="9216" width="5.5546875" style="1958" customWidth="1"/>
    <col min="9217" max="9217" width="43.88671875" style="1958" customWidth="1"/>
    <col min="9218" max="9218" width="15" style="1958" customWidth="1"/>
    <col min="9219" max="9219" width="0" style="1958" hidden="1" customWidth="1"/>
    <col min="9220" max="9220" width="17.109375" style="1958" customWidth="1"/>
    <col min="9221" max="9221" width="12" style="1958" customWidth="1"/>
    <col min="9222" max="9222" width="11.5546875" style="1958" customWidth="1"/>
    <col min="9223" max="9223" width="17.44140625" style="1958" customWidth="1"/>
    <col min="9224" max="9224" width="22" style="1958" customWidth="1"/>
    <col min="9225" max="9225" width="20.5546875" style="1958" customWidth="1"/>
    <col min="9226" max="9226" width="20.33203125" style="1958" customWidth="1"/>
    <col min="9227" max="9227" width="18.88671875" style="1958" customWidth="1"/>
    <col min="9228" max="9230" width="9.109375" style="1958" customWidth="1"/>
    <col min="9231" max="9231" width="32" style="1958" customWidth="1"/>
    <col min="9232" max="9471" width="8.88671875" style="1958"/>
    <col min="9472" max="9472" width="5.5546875" style="1958" customWidth="1"/>
    <col min="9473" max="9473" width="43.88671875" style="1958" customWidth="1"/>
    <col min="9474" max="9474" width="15" style="1958" customWidth="1"/>
    <col min="9475" max="9475" width="0" style="1958" hidden="1" customWidth="1"/>
    <col min="9476" max="9476" width="17.109375" style="1958" customWidth="1"/>
    <col min="9477" max="9477" width="12" style="1958" customWidth="1"/>
    <col min="9478" max="9478" width="11.5546875" style="1958" customWidth="1"/>
    <col min="9479" max="9479" width="17.44140625" style="1958" customWidth="1"/>
    <col min="9480" max="9480" width="22" style="1958" customWidth="1"/>
    <col min="9481" max="9481" width="20.5546875" style="1958" customWidth="1"/>
    <col min="9482" max="9482" width="20.33203125" style="1958" customWidth="1"/>
    <col min="9483" max="9483" width="18.88671875" style="1958" customWidth="1"/>
    <col min="9484" max="9486" width="9.109375" style="1958" customWidth="1"/>
    <col min="9487" max="9487" width="32" style="1958" customWidth="1"/>
    <col min="9488" max="9727" width="8.88671875" style="1958"/>
    <col min="9728" max="9728" width="5.5546875" style="1958" customWidth="1"/>
    <col min="9729" max="9729" width="43.88671875" style="1958" customWidth="1"/>
    <col min="9730" max="9730" width="15" style="1958" customWidth="1"/>
    <col min="9731" max="9731" width="0" style="1958" hidden="1" customWidth="1"/>
    <col min="9732" max="9732" width="17.109375" style="1958" customWidth="1"/>
    <col min="9733" max="9733" width="12" style="1958" customWidth="1"/>
    <col min="9734" max="9734" width="11.5546875" style="1958" customWidth="1"/>
    <col min="9735" max="9735" width="17.44140625" style="1958" customWidth="1"/>
    <col min="9736" max="9736" width="22" style="1958" customWidth="1"/>
    <col min="9737" max="9737" width="20.5546875" style="1958" customWidth="1"/>
    <col min="9738" max="9738" width="20.33203125" style="1958" customWidth="1"/>
    <col min="9739" max="9739" width="18.88671875" style="1958" customWidth="1"/>
    <col min="9740" max="9742" width="9.109375" style="1958" customWidth="1"/>
    <col min="9743" max="9743" width="32" style="1958" customWidth="1"/>
    <col min="9744" max="9983" width="8.88671875" style="1958"/>
    <col min="9984" max="9984" width="5.5546875" style="1958" customWidth="1"/>
    <col min="9985" max="9985" width="43.88671875" style="1958" customWidth="1"/>
    <col min="9986" max="9986" width="15" style="1958" customWidth="1"/>
    <col min="9987" max="9987" width="0" style="1958" hidden="1" customWidth="1"/>
    <col min="9988" max="9988" width="17.109375" style="1958" customWidth="1"/>
    <col min="9989" max="9989" width="12" style="1958" customWidth="1"/>
    <col min="9990" max="9990" width="11.5546875" style="1958" customWidth="1"/>
    <col min="9991" max="9991" width="17.44140625" style="1958" customWidth="1"/>
    <col min="9992" max="9992" width="22" style="1958" customWidth="1"/>
    <col min="9993" max="9993" width="20.5546875" style="1958" customWidth="1"/>
    <col min="9994" max="9994" width="20.33203125" style="1958" customWidth="1"/>
    <col min="9995" max="9995" width="18.88671875" style="1958" customWidth="1"/>
    <col min="9996" max="9998" width="9.109375" style="1958" customWidth="1"/>
    <col min="9999" max="9999" width="32" style="1958" customWidth="1"/>
    <col min="10000" max="10239" width="8.88671875" style="1958"/>
    <col min="10240" max="10240" width="5.5546875" style="1958" customWidth="1"/>
    <col min="10241" max="10241" width="43.88671875" style="1958" customWidth="1"/>
    <col min="10242" max="10242" width="15" style="1958" customWidth="1"/>
    <col min="10243" max="10243" width="0" style="1958" hidden="1" customWidth="1"/>
    <col min="10244" max="10244" width="17.109375" style="1958" customWidth="1"/>
    <col min="10245" max="10245" width="12" style="1958" customWidth="1"/>
    <col min="10246" max="10246" width="11.5546875" style="1958" customWidth="1"/>
    <col min="10247" max="10247" width="17.44140625" style="1958" customWidth="1"/>
    <col min="10248" max="10248" width="22" style="1958" customWidth="1"/>
    <col min="10249" max="10249" width="20.5546875" style="1958" customWidth="1"/>
    <col min="10250" max="10250" width="20.33203125" style="1958" customWidth="1"/>
    <col min="10251" max="10251" width="18.88671875" style="1958" customWidth="1"/>
    <col min="10252" max="10254" width="9.109375" style="1958" customWidth="1"/>
    <col min="10255" max="10255" width="32" style="1958" customWidth="1"/>
    <col min="10256" max="10495" width="8.88671875" style="1958"/>
    <col min="10496" max="10496" width="5.5546875" style="1958" customWidth="1"/>
    <col min="10497" max="10497" width="43.88671875" style="1958" customWidth="1"/>
    <col min="10498" max="10498" width="15" style="1958" customWidth="1"/>
    <col min="10499" max="10499" width="0" style="1958" hidden="1" customWidth="1"/>
    <col min="10500" max="10500" width="17.109375" style="1958" customWidth="1"/>
    <col min="10501" max="10501" width="12" style="1958" customWidth="1"/>
    <col min="10502" max="10502" width="11.5546875" style="1958" customWidth="1"/>
    <col min="10503" max="10503" width="17.44140625" style="1958" customWidth="1"/>
    <col min="10504" max="10504" width="22" style="1958" customWidth="1"/>
    <col min="10505" max="10505" width="20.5546875" style="1958" customWidth="1"/>
    <col min="10506" max="10506" width="20.33203125" style="1958" customWidth="1"/>
    <col min="10507" max="10507" width="18.88671875" style="1958" customWidth="1"/>
    <col min="10508" max="10510" width="9.109375" style="1958" customWidth="1"/>
    <col min="10511" max="10511" width="32" style="1958" customWidth="1"/>
    <col min="10512" max="10751" width="8.88671875" style="1958"/>
    <col min="10752" max="10752" width="5.5546875" style="1958" customWidth="1"/>
    <col min="10753" max="10753" width="43.88671875" style="1958" customWidth="1"/>
    <col min="10754" max="10754" width="15" style="1958" customWidth="1"/>
    <col min="10755" max="10755" width="0" style="1958" hidden="1" customWidth="1"/>
    <col min="10756" max="10756" width="17.109375" style="1958" customWidth="1"/>
    <col min="10757" max="10757" width="12" style="1958" customWidth="1"/>
    <col min="10758" max="10758" width="11.5546875" style="1958" customWidth="1"/>
    <col min="10759" max="10759" width="17.44140625" style="1958" customWidth="1"/>
    <col min="10760" max="10760" width="22" style="1958" customWidth="1"/>
    <col min="10761" max="10761" width="20.5546875" style="1958" customWidth="1"/>
    <col min="10762" max="10762" width="20.33203125" style="1958" customWidth="1"/>
    <col min="10763" max="10763" width="18.88671875" style="1958" customWidth="1"/>
    <col min="10764" max="10766" width="9.109375" style="1958" customWidth="1"/>
    <col min="10767" max="10767" width="32" style="1958" customWidth="1"/>
    <col min="10768" max="11007" width="8.88671875" style="1958"/>
    <col min="11008" max="11008" width="5.5546875" style="1958" customWidth="1"/>
    <col min="11009" max="11009" width="43.88671875" style="1958" customWidth="1"/>
    <col min="11010" max="11010" width="15" style="1958" customWidth="1"/>
    <col min="11011" max="11011" width="0" style="1958" hidden="1" customWidth="1"/>
    <col min="11012" max="11012" width="17.109375" style="1958" customWidth="1"/>
    <col min="11013" max="11013" width="12" style="1958" customWidth="1"/>
    <col min="11014" max="11014" width="11.5546875" style="1958" customWidth="1"/>
    <col min="11015" max="11015" width="17.44140625" style="1958" customWidth="1"/>
    <col min="11016" max="11016" width="22" style="1958" customWidth="1"/>
    <col min="11017" max="11017" width="20.5546875" style="1958" customWidth="1"/>
    <col min="11018" max="11018" width="20.33203125" style="1958" customWidth="1"/>
    <col min="11019" max="11019" width="18.88671875" style="1958" customWidth="1"/>
    <col min="11020" max="11022" width="9.109375" style="1958" customWidth="1"/>
    <col min="11023" max="11023" width="32" style="1958" customWidth="1"/>
    <col min="11024" max="11263" width="8.88671875" style="1958"/>
    <col min="11264" max="11264" width="5.5546875" style="1958" customWidth="1"/>
    <col min="11265" max="11265" width="43.88671875" style="1958" customWidth="1"/>
    <col min="11266" max="11266" width="15" style="1958" customWidth="1"/>
    <col min="11267" max="11267" width="0" style="1958" hidden="1" customWidth="1"/>
    <col min="11268" max="11268" width="17.109375" style="1958" customWidth="1"/>
    <col min="11269" max="11269" width="12" style="1958" customWidth="1"/>
    <col min="11270" max="11270" width="11.5546875" style="1958" customWidth="1"/>
    <col min="11271" max="11271" width="17.44140625" style="1958" customWidth="1"/>
    <col min="11272" max="11272" width="22" style="1958" customWidth="1"/>
    <col min="11273" max="11273" width="20.5546875" style="1958" customWidth="1"/>
    <col min="11274" max="11274" width="20.33203125" style="1958" customWidth="1"/>
    <col min="11275" max="11275" width="18.88671875" style="1958" customWidth="1"/>
    <col min="11276" max="11278" width="9.109375" style="1958" customWidth="1"/>
    <col min="11279" max="11279" width="32" style="1958" customWidth="1"/>
    <col min="11280" max="11519" width="8.88671875" style="1958"/>
    <col min="11520" max="11520" width="5.5546875" style="1958" customWidth="1"/>
    <col min="11521" max="11521" width="43.88671875" style="1958" customWidth="1"/>
    <col min="11522" max="11522" width="15" style="1958" customWidth="1"/>
    <col min="11523" max="11523" width="0" style="1958" hidden="1" customWidth="1"/>
    <col min="11524" max="11524" width="17.109375" style="1958" customWidth="1"/>
    <col min="11525" max="11525" width="12" style="1958" customWidth="1"/>
    <col min="11526" max="11526" width="11.5546875" style="1958" customWidth="1"/>
    <col min="11527" max="11527" width="17.44140625" style="1958" customWidth="1"/>
    <col min="11528" max="11528" width="22" style="1958" customWidth="1"/>
    <col min="11529" max="11529" width="20.5546875" style="1958" customWidth="1"/>
    <col min="11530" max="11530" width="20.33203125" style="1958" customWidth="1"/>
    <col min="11531" max="11531" width="18.88671875" style="1958" customWidth="1"/>
    <col min="11532" max="11534" width="9.109375" style="1958" customWidth="1"/>
    <col min="11535" max="11535" width="32" style="1958" customWidth="1"/>
    <col min="11536" max="11775" width="8.88671875" style="1958"/>
    <col min="11776" max="11776" width="5.5546875" style="1958" customWidth="1"/>
    <col min="11777" max="11777" width="43.88671875" style="1958" customWidth="1"/>
    <col min="11778" max="11778" width="15" style="1958" customWidth="1"/>
    <col min="11779" max="11779" width="0" style="1958" hidden="1" customWidth="1"/>
    <col min="11780" max="11780" width="17.109375" style="1958" customWidth="1"/>
    <col min="11781" max="11781" width="12" style="1958" customWidth="1"/>
    <col min="11782" max="11782" width="11.5546875" style="1958" customWidth="1"/>
    <col min="11783" max="11783" width="17.44140625" style="1958" customWidth="1"/>
    <col min="11784" max="11784" width="22" style="1958" customWidth="1"/>
    <col min="11785" max="11785" width="20.5546875" style="1958" customWidth="1"/>
    <col min="11786" max="11786" width="20.33203125" style="1958" customWidth="1"/>
    <col min="11787" max="11787" width="18.88671875" style="1958" customWidth="1"/>
    <col min="11788" max="11790" width="9.109375" style="1958" customWidth="1"/>
    <col min="11791" max="11791" width="32" style="1958" customWidth="1"/>
    <col min="11792" max="12031" width="8.88671875" style="1958"/>
    <col min="12032" max="12032" width="5.5546875" style="1958" customWidth="1"/>
    <col min="12033" max="12033" width="43.88671875" style="1958" customWidth="1"/>
    <col min="12034" max="12034" width="15" style="1958" customWidth="1"/>
    <col min="12035" max="12035" width="0" style="1958" hidden="1" customWidth="1"/>
    <col min="12036" max="12036" width="17.109375" style="1958" customWidth="1"/>
    <col min="12037" max="12037" width="12" style="1958" customWidth="1"/>
    <col min="12038" max="12038" width="11.5546875" style="1958" customWidth="1"/>
    <col min="12039" max="12039" width="17.44140625" style="1958" customWidth="1"/>
    <col min="12040" max="12040" width="22" style="1958" customWidth="1"/>
    <col min="12041" max="12041" width="20.5546875" style="1958" customWidth="1"/>
    <col min="12042" max="12042" width="20.33203125" style="1958" customWidth="1"/>
    <col min="12043" max="12043" width="18.88671875" style="1958" customWidth="1"/>
    <col min="12044" max="12046" width="9.109375" style="1958" customWidth="1"/>
    <col min="12047" max="12047" width="32" style="1958" customWidth="1"/>
    <col min="12048" max="12287" width="8.88671875" style="1958"/>
    <col min="12288" max="12288" width="5.5546875" style="1958" customWidth="1"/>
    <col min="12289" max="12289" width="43.88671875" style="1958" customWidth="1"/>
    <col min="12290" max="12290" width="15" style="1958" customWidth="1"/>
    <col min="12291" max="12291" width="0" style="1958" hidden="1" customWidth="1"/>
    <col min="12292" max="12292" width="17.109375" style="1958" customWidth="1"/>
    <col min="12293" max="12293" width="12" style="1958" customWidth="1"/>
    <col min="12294" max="12294" width="11.5546875" style="1958" customWidth="1"/>
    <col min="12295" max="12295" width="17.44140625" style="1958" customWidth="1"/>
    <col min="12296" max="12296" width="22" style="1958" customWidth="1"/>
    <col min="12297" max="12297" width="20.5546875" style="1958" customWidth="1"/>
    <col min="12298" max="12298" width="20.33203125" style="1958" customWidth="1"/>
    <col min="12299" max="12299" width="18.88671875" style="1958" customWidth="1"/>
    <col min="12300" max="12302" width="9.109375" style="1958" customWidth="1"/>
    <col min="12303" max="12303" width="32" style="1958" customWidth="1"/>
    <col min="12304" max="12543" width="8.88671875" style="1958"/>
    <col min="12544" max="12544" width="5.5546875" style="1958" customWidth="1"/>
    <col min="12545" max="12545" width="43.88671875" style="1958" customWidth="1"/>
    <col min="12546" max="12546" width="15" style="1958" customWidth="1"/>
    <col min="12547" max="12547" width="0" style="1958" hidden="1" customWidth="1"/>
    <col min="12548" max="12548" width="17.109375" style="1958" customWidth="1"/>
    <col min="12549" max="12549" width="12" style="1958" customWidth="1"/>
    <col min="12550" max="12550" width="11.5546875" style="1958" customWidth="1"/>
    <col min="12551" max="12551" width="17.44140625" style="1958" customWidth="1"/>
    <col min="12552" max="12552" width="22" style="1958" customWidth="1"/>
    <col min="12553" max="12553" width="20.5546875" style="1958" customWidth="1"/>
    <col min="12554" max="12554" width="20.33203125" style="1958" customWidth="1"/>
    <col min="12555" max="12555" width="18.88671875" style="1958" customWidth="1"/>
    <col min="12556" max="12558" width="9.109375" style="1958" customWidth="1"/>
    <col min="12559" max="12559" width="32" style="1958" customWidth="1"/>
    <col min="12560" max="12799" width="8.88671875" style="1958"/>
    <col min="12800" max="12800" width="5.5546875" style="1958" customWidth="1"/>
    <col min="12801" max="12801" width="43.88671875" style="1958" customWidth="1"/>
    <col min="12802" max="12802" width="15" style="1958" customWidth="1"/>
    <col min="12803" max="12803" width="0" style="1958" hidden="1" customWidth="1"/>
    <col min="12804" max="12804" width="17.109375" style="1958" customWidth="1"/>
    <col min="12805" max="12805" width="12" style="1958" customWidth="1"/>
    <col min="12806" max="12806" width="11.5546875" style="1958" customWidth="1"/>
    <col min="12807" max="12807" width="17.44140625" style="1958" customWidth="1"/>
    <col min="12808" max="12808" width="22" style="1958" customWidth="1"/>
    <col min="12809" max="12809" width="20.5546875" style="1958" customWidth="1"/>
    <col min="12810" max="12810" width="20.33203125" style="1958" customWidth="1"/>
    <col min="12811" max="12811" width="18.88671875" style="1958" customWidth="1"/>
    <col min="12812" max="12814" width="9.109375" style="1958" customWidth="1"/>
    <col min="12815" max="12815" width="32" style="1958" customWidth="1"/>
    <col min="12816" max="13055" width="8.88671875" style="1958"/>
    <col min="13056" max="13056" width="5.5546875" style="1958" customWidth="1"/>
    <col min="13057" max="13057" width="43.88671875" style="1958" customWidth="1"/>
    <col min="13058" max="13058" width="15" style="1958" customWidth="1"/>
    <col min="13059" max="13059" width="0" style="1958" hidden="1" customWidth="1"/>
    <col min="13060" max="13060" width="17.109375" style="1958" customWidth="1"/>
    <col min="13061" max="13061" width="12" style="1958" customWidth="1"/>
    <col min="13062" max="13062" width="11.5546875" style="1958" customWidth="1"/>
    <col min="13063" max="13063" width="17.44140625" style="1958" customWidth="1"/>
    <col min="13064" max="13064" width="22" style="1958" customWidth="1"/>
    <col min="13065" max="13065" width="20.5546875" style="1958" customWidth="1"/>
    <col min="13066" max="13066" width="20.33203125" style="1958" customWidth="1"/>
    <col min="13067" max="13067" width="18.88671875" style="1958" customWidth="1"/>
    <col min="13068" max="13070" width="9.109375" style="1958" customWidth="1"/>
    <col min="13071" max="13071" width="32" style="1958" customWidth="1"/>
    <col min="13072" max="13311" width="8.88671875" style="1958"/>
    <col min="13312" max="13312" width="5.5546875" style="1958" customWidth="1"/>
    <col min="13313" max="13313" width="43.88671875" style="1958" customWidth="1"/>
    <col min="13314" max="13314" width="15" style="1958" customWidth="1"/>
    <col min="13315" max="13315" width="0" style="1958" hidden="1" customWidth="1"/>
    <col min="13316" max="13316" width="17.109375" style="1958" customWidth="1"/>
    <col min="13317" max="13317" width="12" style="1958" customWidth="1"/>
    <col min="13318" max="13318" width="11.5546875" style="1958" customWidth="1"/>
    <col min="13319" max="13319" width="17.44140625" style="1958" customWidth="1"/>
    <col min="13320" max="13320" width="22" style="1958" customWidth="1"/>
    <col min="13321" max="13321" width="20.5546875" style="1958" customWidth="1"/>
    <col min="13322" max="13322" width="20.33203125" style="1958" customWidth="1"/>
    <col min="13323" max="13323" width="18.88671875" style="1958" customWidth="1"/>
    <col min="13324" max="13326" width="9.109375" style="1958" customWidth="1"/>
    <col min="13327" max="13327" width="32" style="1958" customWidth="1"/>
    <col min="13328" max="13567" width="8.88671875" style="1958"/>
    <col min="13568" max="13568" width="5.5546875" style="1958" customWidth="1"/>
    <col min="13569" max="13569" width="43.88671875" style="1958" customWidth="1"/>
    <col min="13570" max="13570" width="15" style="1958" customWidth="1"/>
    <col min="13571" max="13571" width="0" style="1958" hidden="1" customWidth="1"/>
    <col min="13572" max="13572" width="17.109375" style="1958" customWidth="1"/>
    <col min="13573" max="13573" width="12" style="1958" customWidth="1"/>
    <col min="13574" max="13574" width="11.5546875" style="1958" customWidth="1"/>
    <col min="13575" max="13575" width="17.44140625" style="1958" customWidth="1"/>
    <col min="13576" max="13576" width="22" style="1958" customWidth="1"/>
    <col min="13577" max="13577" width="20.5546875" style="1958" customWidth="1"/>
    <col min="13578" max="13578" width="20.33203125" style="1958" customWidth="1"/>
    <col min="13579" max="13579" width="18.88671875" style="1958" customWidth="1"/>
    <col min="13580" max="13582" width="9.109375" style="1958" customWidth="1"/>
    <col min="13583" max="13583" width="32" style="1958" customWidth="1"/>
    <col min="13584" max="13823" width="8.88671875" style="1958"/>
    <col min="13824" max="13824" width="5.5546875" style="1958" customWidth="1"/>
    <col min="13825" max="13825" width="43.88671875" style="1958" customWidth="1"/>
    <col min="13826" max="13826" width="15" style="1958" customWidth="1"/>
    <col min="13827" max="13827" width="0" style="1958" hidden="1" customWidth="1"/>
    <col min="13828" max="13828" width="17.109375" style="1958" customWidth="1"/>
    <col min="13829" max="13829" width="12" style="1958" customWidth="1"/>
    <col min="13830" max="13830" width="11.5546875" style="1958" customWidth="1"/>
    <col min="13831" max="13831" width="17.44140625" style="1958" customWidth="1"/>
    <col min="13832" max="13832" width="22" style="1958" customWidth="1"/>
    <col min="13833" max="13833" width="20.5546875" style="1958" customWidth="1"/>
    <col min="13834" max="13834" width="20.33203125" style="1958" customWidth="1"/>
    <col min="13835" max="13835" width="18.88671875" style="1958" customWidth="1"/>
    <col min="13836" max="13838" width="9.109375" style="1958" customWidth="1"/>
    <col min="13839" max="13839" width="32" style="1958" customWidth="1"/>
    <col min="13840" max="14079" width="8.88671875" style="1958"/>
    <col min="14080" max="14080" width="5.5546875" style="1958" customWidth="1"/>
    <col min="14081" max="14081" width="43.88671875" style="1958" customWidth="1"/>
    <col min="14082" max="14082" width="15" style="1958" customWidth="1"/>
    <col min="14083" max="14083" width="0" style="1958" hidden="1" customWidth="1"/>
    <col min="14084" max="14084" width="17.109375" style="1958" customWidth="1"/>
    <col min="14085" max="14085" width="12" style="1958" customWidth="1"/>
    <col min="14086" max="14086" width="11.5546875" style="1958" customWidth="1"/>
    <col min="14087" max="14087" width="17.44140625" style="1958" customWidth="1"/>
    <col min="14088" max="14088" width="22" style="1958" customWidth="1"/>
    <col min="14089" max="14089" width="20.5546875" style="1958" customWidth="1"/>
    <col min="14090" max="14090" width="20.33203125" style="1958" customWidth="1"/>
    <col min="14091" max="14091" width="18.88671875" style="1958" customWidth="1"/>
    <col min="14092" max="14094" width="9.109375" style="1958" customWidth="1"/>
    <col min="14095" max="14095" width="32" style="1958" customWidth="1"/>
    <col min="14096" max="14335" width="8.88671875" style="1958"/>
    <col min="14336" max="14336" width="5.5546875" style="1958" customWidth="1"/>
    <col min="14337" max="14337" width="43.88671875" style="1958" customWidth="1"/>
    <col min="14338" max="14338" width="15" style="1958" customWidth="1"/>
    <col min="14339" max="14339" width="0" style="1958" hidden="1" customWidth="1"/>
    <col min="14340" max="14340" width="17.109375" style="1958" customWidth="1"/>
    <col min="14341" max="14341" width="12" style="1958" customWidth="1"/>
    <col min="14342" max="14342" width="11.5546875" style="1958" customWidth="1"/>
    <col min="14343" max="14343" width="17.44140625" style="1958" customWidth="1"/>
    <col min="14344" max="14344" width="22" style="1958" customWidth="1"/>
    <col min="14345" max="14345" width="20.5546875" style="1958" customWidth="1"/>
    <col min="14346" max="14346" width="20.33203125" style="1958" customWidth="1"/>
    <col min="14347" max="14347" width="18.88671875" style="1958" customWidth="1"/>
    <col min="14348" max="14350" width="9.109375" style="1958" customWidth="1"/>
    <col min="14351" max="14351" width="32" style="1958" customWidth="1"/>
    <col min="14352" max="14591" width="8.88671875" style="1958"/>
    <col min="14592" max="14592" width="5.5546875" style="1958" customWidth="1"/>
    <col min="14593" max="14593" width="43.88671875" style="1958" customWidth="1"/>
    <col min="14594" max="14594" width="15" style="1958" customWidth="1"/>
    <col min="14595" max="14595" width="0" style="1958" hidden="1" customWidth="1"/>
    <col min="14596" max="14596" width="17.109375" style="1958" customWidth="1"/>
    <col min="14597" max="14597" width="12" style="1958" customWidth="1"/>
    <col min="14598" max="14598" width="11.5546875" style="1958" customWidth="1"/>
    <col min="14599" max="14599" width="17.44140625" style="1958" customWidth="1"/>
    <col min="14600" max="14600" width="22" style="1958" customWidth="1"/>
    <col min="14601" max="14601" width="20.5546875" style="1958" customWidth="1"/>
    <col min="14602" max="14602" width="20.33203125" style="1958" customWidth="1"/>
    <col min="14603" max="14603" width="18.88671875" style="1958" customWidth="1"/>
    <col min="14604" max="14606" width="9.109375" style="1958" customWidth="1"/>
    <col min="14607" max="14607" width="32" style="1958" customWidth="1"/>
    <col min="14608" max="14847" width="8.88671875" style="1958"/>
    <col min="14848" max="14848" width="5.5546875" style="1958" customWidth="1"/>
    <col min="14849" max="14849" width="43.88671875" style="1958" customWidth="1"/>
    <col min="14850" max="14850" width="15" style="1958" customWidth="1"/>
    <col min="14851" max="14851" width="0" style="1958" hidden="1" customWidth="1"/>
    <col min="14852" max="14852" width="17.109375" style="1958" customWidth="1"/>
    <col min="14853" max="14853" width="12" style="1958" customWidth="1"/>
    <col min="14854" max="14854" width="11.5546875" style="1958" customWidth="1"/>
    <col min="14855" max="14855" width="17.44140625" style="1958" customWidth="1"/>
    <col min="14856" max="14856" width="22" style="1958" customWidth="1"/>
    <col min="14857" max="14857" width="20.5546875" style="1958" customWidth="1"/>
    <col min="14858" max="14858" width="20.33203125" style="1958" customWidth="1"/>
    <col min="14859" max="14859" width="18.88671875" style="1958" customWidth="1"/>
    <col min="14860" max="14862" width="9.109375" style="1958" customWidth="1"/>
    <col min="14863" max="14863" width="32" style="1958" customWidth="1"/>
    <col min="14864" max="15103" width="8.88671875" style="1958"/>
    <col min="15104" max="15104" width="5.5546875" style="1958" customWidth="1"/>
    <col min="15105" max="15105" width="43.88671875" style="1958" customWidth="1"/>
    <col min="15106" max="15106" width="15" style="1958" customWidth="1"/>
    <col min="15107" max="15107" width="0" style="1958" hidden="1" customWidth="1"/>
    <col min="15108" max="15108" width="17.109375" style="1958" customWidth="1"/>
    <col min="15109" max="15109" width="12" style="1958" customWidth="1"/>
    <col min="15110" max="15110" width="11.5546875" style="1958" customWidth="1"/>
    <col min="15111" max="15111" width="17.44140625" style="1958" customWidth="1"/>
    <col min="15112" max="15112" width="22" style="1958" customWidth="1"/>
    <col min="15113" max="15113" width="20.5546875" style="1958" customWidth="1"/>
    <col min="15114" max="15114" width="20.33203125" style="1958" customWidth="1"/>
    <col min="15115" max="15115" width="18.88671875" style="1958" customWidth="1"/>
    <col min="15116" max="15118" width="9.109375" style="1958" customWidth="1"/>
    <col min="15119" max="15119" width="32" style="1958" customWidth="1"/>
    <col min="15120" max="15359" width="8.88671875" style="1958"/>
    <col min="15360" max="15360" width="5.5546875" style="1958" customWidth="1"/>
    <col min="15361" max="15361" width="43.88671875" style="1958" customWidth="1"/>
    <col min="15362" max="15362" width="15" style="1958" customWidth="1"/>
    <col min="15363" max="15363" width="0" style="1958" hidden="1" customWidth="1"/>
    <col min="15364" max="15364" width="17.109375" style="1958" customWidth="1"/>
    <col min="15365" max="15365" width="12" style="1958" customWidth="1"/>
    <col min="15366" max="15366" width="11.5546875" style="1958" customWidth="1"/>
    <col min="15367" max="15367" width="17.44140625" style="1958" customWidth="1"/>
    <col min="15368" max="15368" width="22" style="1958" customWidth="1"/>
    <col min="15369" max="15369" width="20.5546875" style="1958" customWidth="1"/>
    <col min="15370" max="15370" width="20.33203125" style="1958" customWidth="1"/>
    <col min="15371" max="15371" width="18.88671875" style="1958" customWidth="1"/>
    <col min="15372" max="15374" width="9.109375" style="1958" customWidth="1"/>
    <col min="15375" max="15375" width="32" style="1958" customWidth="1"/>
    <col min="15376" max="15615" width="8.88671875" style="1958"/>
    <col min="15616" max="15616" width="5.5546875" style="1958" customWidth="1"/>
    <col min="15617" max="15617" width="43.88671875" style="1958" customWidth="1"/>
    <col min="15618" max="15618" width="15" style="1958" customWidth="1"/>
    <col min="15619" max="15619" width="0" style="1958" hidden="1" customWidth="1"/>
    <col min="15620" max="15620" width="17.109375" style="1958" customWidth="1"/>
    <col min="15621" max="15621" width="12" style="1958" customWidth="1"/>
    <col min="15622" max="15622" width="11.5546875" style="1958" customWidth="1"/>
    <col min="15623" max="15623" width="17.44140625" style="1958" customWidth="1"/>
    <col min="15624" max="15624" width="22" style="1958" customWidth="1"/>
    <col min="15625" max="15625" width="20.5546875" style="1958" customWidth="1"/>
    <col min="15626" max="15626" width="20.33203125" style="1958" customWidth="1"/>
    <col min="15627" max="15627" width="18.88671875" style="1958" customWidth="1"/>
    <col min="15628" max="15630" width="9.109375" style="1958" customWidth="1"/>
    <col min="15631" max="15631" width="32" style="1958" customWidth="1"/>
    <col min="15632" max="15871" width="8.88671875" style="1958"/>
    <col min="15872" max="15872" width="5.5546875" style="1958" customWidth="1"/>
    <col min="15873" max="15873" width="43.88671875" style="1958" customWidth="1"/>
    <col min="15874" max="15874" width="15" style="1958" customWidth="1"/>
    <col min="15875" max="15875" width="0" style="1958" hidden="1" customWidth="1"/>
    <col min="15876" max="15876" width="17.109375" style="1958" customWidth="1"/>
    <col min="15877" max="15877" width="12" style="1958" customWidth="1"/>
    <col min="15878" max="15878" width="11.5546875" style="1958" customWidth="1"/>
    <col min="15879" max="15879" width="17.44140625" style="1958" customWidth="1"/>
    <col min="15880" max="15880" width="22" style="1958" customWidth="1"/>
    <col min="15881" max="15881" width="20.5546875" style="1958" customWidth="1"/>
    <col min="15882" max="15882" width="20.33203125" style="1958" customWidth="1"/>
    <col min="15883" max="15883" width="18.88671875" style="1958" customWidth="1"/>
    <col min="15884" max="15886" width="9.109375" style="1958" customWidth="1"/>
    <col min="15887" max="15887" width="32" style="1958" customWidth="1"/>
    <col min="15888" max="16127" width="8.88671875" style="1958"/>
    <col min="16128" max="16128" width="5.5546875" style="1958" customWidth="1"/>
    <col min="16129" max="16129" width="43.88671875" style="1958" customWidth="1"/>
    <col min="16130" max="16130" width="15" style="1958" customWidth="1"/>
    <col min="16131" max="16131" width="0" style="1958" hidden="1" customWidth="1"/>
    <col min="16132" max="16132" width="17.109375" style="1958" customWidth="1"/>
    <col min="16133" max="16133" width="12" style="1958" customWidth="1"/>
    <col min="16134" max="16134" width="11.5546875" style="1958" customWidth="1"/>
    <col min="16135" max="16135" width="17.44140625" style="1958" customWidth="1"/>
    <col min="16136" max="16136" width="22" style="1958" customWidth="1"/>
    <col min="16137" max="16137" width="20.5546875" style="1958" customWidth="1"/>
    <col min="16138" max="16138" width="20.33203125" style="1958" customWidth="1"/>
    <col min="16139" max="16139" width="18.88671875" style="1958" customWidth="1"/>
    <col min="16140" max="16142" width="9.109375" style="1958" customWidth="1"/>
    <col min="16143" max="16143" width="32" style="1958" customWidth="1"/>
    <col min="16144" max="16384" width="8.88671875" style="1958"/>
  </cols>
  <sheetData>
    <row r="1" spans="1:14" ht="15.6">
      <c r="E1" s="2973" t="s">
        <v>1225</v>
      </c>
      <c r="F1" s="2973"/>
    </row>
    <row r="2" spans="1:14" ht="18" customHeight="1">
      <c r="A2" s="2974" t="s">
        <v>1226</v>
      </c>
      <c r="B2" s="2974"/>
      <c r="C2" s="2974"/>
      <c r="D2" s="2974"/>
      <c r="E2" s="2974"/>
      <c r="F2" s="2974"/>
      <c r="G2" s="1959"/>
      <c r="H2" s="1959"/>
      <c r="I2" s="1959"/>
      <c r="J2" s="1960"/>
      <c r="K2" s="1960"/>
      <c r="L2" s="1960"/>
      <c r="M2" s="1960"/>
      <c r="N2" s="1960"/>
    </row>
    <row r="3" spans="1:14" ht="16.5" customHeight="1">
      <c r="A3" s="2975"/>
      <c r="B3" s="2975"/>
      <c r="C3" s="2975"/>
      <c r="D3" s="2975"/>
      <c r="E3" s="2975"/>
      <c r="F3" s="2975"/>
      <c r="G3" s="1961"/>
      <c r="H3" s="1961"/>
      <c r="I3" s="1961"/>
      <c r="J3" s="1960"/>
      <c r="K3" s="1960"/>
      <c r="L3" s="1960"/>
      <c r="M3" s="1960"/>
      <c r="N3" s="1962"/>
    </row>
    <row r="4" spans="1:14" ht="15.6">
      <c r="A4" s="1963"/>
      <c r="B4" s="1960"/>
      <c r="C4" s="1960"/>
      <c r="D4" s="1964">
        <v>12655012.774943</v>
      </c>
      <c r="E4" s="1965" t="s">
        <v>1227</v>
      </c>
      <c r="F4" s="1965"/>
      <c r="G4" s="1966">
        <f>D4-D8</f>
        <v>1130248</v>
      </c>
      <c r="H4" s="1965"/>
      <c r="I4" s="1967"/>
      <c r="J4" s="1967"/>
      <c r="K4" s="1967"/>
      <c r="L4" s="1967"/>
      <c r="M4" s="1960"/>
      <c r="N4" s="1960"/>
    </row>
    <row r="5" spans="1:14" s="1969" customFormat="1" ht="21" customHeight="1">
      <c r="A5" s="2976" t="s">
        <v>49</v>
      </c>
      <c r="B5" s="2976" t="s">
        <v>39</v>
      </c>
      <c r="C5" s="2978" t="s">
        <v>1228</v>
      </c>
      <c r="D5" s="2978" t="s">
        <v>1229</v>
      </c>
      <c r="E5" s="2976"/>
      <c r="F5" s="2976"/>
      <c r="G5" s="1968"/>
      <c r="H5" s="1968"/>
      <c r="I5" s="1968"/>
      <c r="J5" s="1968"/>
      <c r="K5" s="2972"/>
      <c r="L5" s="1967"/>
      <c r="M5" s="1960"/>
      <c r="N5" s="1960"/>
    </row>
    <row r="6" spans="1:14" s="1969" customFormat="1" ht="59.25" customHeight="1">
      <c r="A6" s="2977"/>
      <c r="B6" s="2977"/>
      <c r="C6" s="2979"/>
      <c r="D6" s="2979"/>
      <c r="E6" s="1970" t="s">
        <v>1230</v>
      </c>
      <c r="F6" s="1970" t="s">
        <v>1231</v>
      </c>
      <c r="G6" s="1960"/>
      <c r="H6" s="1967"/>
      <c r="I6" s="1967"/>
      <c r="J6" s="1971"/>
      <c r="K6" s="2972"/>
      <c r="L6" s="1967"/>
      <c r="M6" s="1960"/>
      <c r="N6" s="1960"/>
    </row>
    <row r="7" spans="1:14" ht="15.6">
      <c r="A7" s="1972">
        <v>1</v>
      </c>
      <c r="B7" s="1972">
        <v>2</v>
      </c>
      <c r="C7" s="1972">
        <v>3</v>
      </c>
      <c r="D7" s="1972">
        <v>4</v>
      </c>
      <c r="E7" s="1972" t="s">
        <v>1232</v>
      </c>
      <c r="F7" s="1972" t="s">
        <v>1233</v>
      </c>
      <c r="G7" s="1960"/>
      <c r="H7" s="1967"/>
      <c r="I7" s="1967"/>
      <c r="J7" s="1971"/>
      <c r="K7" s="1973"/>
      <c r="L7" s="1967"/>
      <c r="M7" s="1960"/>
      <c r="N7" s="1960"/>
    </row>
    <row r="8" spans="1:14" ht="21.75" customHeight="1">
      <c r="A8" s="1970"/>
      <c r="B8" s="1970" t="s">
        <v>1234</v>
      </c>
      <c r="C8" s="1974">
        <f>C33+C34+C37</f>
        <v>9100223</v>
      </c>
      <c r="D8" s="1974">
        <f>D34+D33+D37</f>
        <v>11524764.774943</v>
      </c>
      <c r="E8" s="1975">
        <f t="shared" ref="E8:E24" si="0">D8/C8*100</f>
        <v>126.64266331652532</v>
      </c>
      <c r="F8" s="1975">
        <f>D8/G8*100</f>
        <v>131.74790690586158</v>
      </c>
      <c r="G8" s="1976">
        <f>G34+G33</f>
        <v>8747588.5162850004</v>
      </c>
      <c r="H8" s="1977"/>
      <c r="I8" s="1978"/>
      <c r="J8" s="1978"/>
      <c r="K8" s="1979"/>
      <c r="L8" s="1980"/>
      <c r="M8" s="1981"/>
      <c r="N8" s="1982"/>
    </row>
    <row r="9" spans="1:14" ht="21.75" customHeight="1">
      <c r="A9" s="1983" t="s">
        <v>54</v>
      </c>
      <c r="B9" s="1984" t="s">
        <v>1235</v>
      </c>
      <c r="C9" s="1985">
        <f>SUM(C10:C24)</f>
        <v>3447000</v>
      </c>
      <c r="D9" s="1985">
        <f>SUM(D10:D26)</f>
        <v>3720000</v>
      </c>
      <c r="E9" s="1975">
        <f t="shared" si="0"/>
        <v>107.91993037423846</v>
      </c>
      <c r="F9" s="1975">
        <f>D9/G9*100</f>
        <v>119.34786019232331</v>
      </c>
      <c r="G9" s="1986">
        <f>SUM(G10:G24)</f>
        <v>3116939</v>
      </c>
      <c r="H9" s="1977">
        <f>D9-D13-D16</f>
        <v>2486000</v>
      </c>
      <c r="I9" s="1987">
        <f>C9-C13-C16</f>
        <v>2482000</v>
      </c>
      <c r="J9" s="1988"/>
      <c r="K9" s="1979"/>
      <c r="L9" s="1989"/>
      <c r="M9" s="1990"/>
      <c r="N9" s="1990"/>
    </row>
    <row r="10" spans="1:14" ht="21.75" customHeight="1">
      <c r="A10" s="1991">
        <v>1</v>
      </c>
      <c r="B10" s="1992" t="s">
        <v>201</v>
      </c>
      <c r="C10" s="1993">
        <v>900000</v>
      </c>
      <c r="D10" s="1994">
        <v>850400</v>
      </c>
      <c r="E10" s="1995">
        <f t="shared" si="0"/>
        <v>94.488888888888894</v>
      </c>
      <c r="F10" s="1995">
        <f>D10/G10*100</f>
        <v>128.71041367744905</v>
      </c>
      <c r="G10" s="1996">
        <v>660708</v>
      </c>
      <c r="H10" s="1977"/>
      <c r="I10" s="1997">
        <f>H9/I9</f>
        <v>1.0016116035455278</v>
      </c>
      <c r="J10" s="1971"/>
      <c r="K10" s="1979"/>
      <c r="L10" s="1967"/>
      <c r="M10" s="1960"/>
      <c r="N10" s="1960"/>
    </row>
    <row r="11" spans="1:14" ht="21.75" customHeight="1">
      <c r="A11" s="1991">
        <v>2</v>
      </c>
      <c r="B11" s="1992" t="s">
        <v>209</v>
      </c>
      <c r="C11" s="1993">
        <v>58000</v>
      </c>
      <c r="D11" s="1994">
        <v>58200</v>
      </c>
      <c r="E11" s="1995">
        <f t="shared" si="0"/>
        <v>100.34482758620689</v>
      </c>
      <c r="F11" s="1995">
        <f t="shared" ref="F11:F24" si="1">D11/G11*100</f>
        <v>105.79317615836257</v>
      </c>
      <c r="G11" s="1996">
        <v>55013</v>
      </c>
      <c r="H11" s="1977"/>
      <c r="I11" s="1977">
        <f>H9-I9</f>
        <v>4000</v>
      </c>
      <c r="J11" s="1971"/>
      <c r="K11" s="1979"/>
      <c r="L11" s="1967"/>
      <c r="M11" s="1960"/>
      <c r="N11" s="1960"/>
    </row>
    <row r="12" spans="1:14" ht="21.75" customHeight="1">
      <c r="A12" s="1991">
        <v>3</v>
      </c>
      <c r="B12" s="1992" t="s">
        <v>210</v>
      </c>
      <c r="C12" s="1993">
        <v>155000</v>
      </c>
      <c r="D12" s="1994">
        <v>350000</v>
      </c>
      <c r="E12" s="1995">
        <f t="shared" si="0"/>
        <v>225.80645161290326</v>
      </c>
      <c r="F12" s="1995">
        <f t="shared" si="1"/>
        <v>199.30073912102679</v>
      </c>
      <c r="G12" s="1996">
        <v>175614</v>
      </c>
      <c r="H12" s="1977"/>
      <c r="I12" s="1977">
        <f>D9-C9</f>
        <v>273000</v>
      </c>
      <c r="J12" s="1971"/>
      <c r="K12" s="1979"/>
      <c r="L12" s="1967"/>
      <c r="M12" s="1960"/>
      <c r="N12" s="1960"/>
    </row>
    <row r="13" spans="1:14" ht="21.75" customHeight="1">
      <c r="A13" s="1991">
        <v>4</v>
      </c>
      <c r="B13" s="1992" t="s">
        <v>226</v>
      </c>
      <c r="C13" s="1993">
        <v>850000</v>
      </c>
      <c r="D13" s="1994">
        <v>1000000</v>
      </c>
      <c r="E13" s="1995">
        <f t="shared" si="0"/>
        <v>117.64705882352942</v>
      </c>
      <c r="F13" s="1995">
        <f t="shared" si="1"/>
        <v>117.57084525207777</v>
      </c>
      <c r="G13" s="1998">
        <v>850551</v>
      </c>
      <c r="H13" s="1977"/>
      <c r="I13" s="1967"/>
      <c r="J13" s="1971"/>
      <c r="K13" s="1979"/>
      <c r="L13" s="1967"/>
      <c r="M13" s="1960"/>
      <c r="N13" s="1960"/>
    </row>
    <row r="14" spans="1:14" ht="21.75" customHeight="1">
      <c r="A14" s="1991">
        <v>5</v>
      </c>
      <c r="B14" s="1992" t="s">
        <v>211</v>
      </c>
      <c r="C14" s="1993">
        <v>395000</v>
      </c>
      <c r="D14" s="1994">
        <v>320000</v>
      </c>
      <c r="E14" s="1995">
        <f t="shared" si="0"/>
        <v>81.012658227848107</v>
      </c>
      <c r="F14" s="1995">
        <f t="shared" si="1"/>
        <v>102.86941370863525</v>
      </c>
      <c r="G14" s="1998">
        <v>311074</v>
      </c>
      <c r="H14" s="1977">
        <v>101973.50971500001</v>
      </c>
      <c r="I14" s="1967"/>
      <c r="J14" s="1971"/>
      <c r="K14" s="1979"/>
      <c r="L14" s="1967"/>
      <c r="M14" s="1960"/>
      <c r="N14" s="1960"/>
    </row>
    <row r="15" spans="1:14" ht="21.75" customHeight="1">
      <c r="A15" s="1991">
        <v>6</v>
      </c>
      <c r="B15" s="1992" t="s">
        <v>216</v>
      </c>
      <c r="C15" s="1999">
        <v>270000</v>
      </c>
      <c r="D15" s="1994">
        <v>300000</v>
      </c>
      <c r="E15" s="1995">
        <f t="shared" si="0"/>
        <v>111.11111111111111</v>
      </c>
      <c r="F15" s="1995">
        <f t="shared" si="1"/>
        <v>120.96237666877678</v>
      </c>
      <c r="G15" s="1998">
        <v>248011</v>
      </c>
      <c r="H15" s="1977">
        <v>44452.019394999996</v>
      </c>
      <c r="I15" s="1967"/>
      <c r="J15" s="1971"/>
      <c r="K15" s="1979"/>
      <c r="L15" s="1967"/>
      <c r="M15" s="1960"/>
      <c r="N15" s="1960"/>
    </row>
    <row r="16" spans="1:14" ht="21.75" customHeight="1">
      <c r="A16" s="1991">
        <v>7</v>
      </c>
      <c r="B16" s="1992" t="s">
        <v>224</v>
      </c>
      <c r="C16" s="1999">
        <v>115000</v>
      </c>
      <c r="D16" s="1994">
        <v>234000</v>
      </c>
      <c r="E16" s="1995">
        <f t="shared" si="0"/>
        <v>203.47826086956519</v>
      </c>
      <c r="F16" s="1995">
        <f t="shared" si="1"/>
        <v>156.33977845183534</v>
      </c>
      <c r="G16" s="2000">
        <v>149674</v>
      </c>
      <c r="H16" s="1977"/>
      <c r="I16" s="1967"/>
      <c r="J16" s="1971"/>
      <c r="K16" s="1979"/>
      <c r="L16" s="1967"/>
      <c r="M16" s="1960"/>
      <c r="N16" s="1960"/>
    </row>
    <row r="17" spans="1:14" ht="21.75" customHeight="1">
      <c r="A17" s="1991">
        <v>8</v>
      </c>
      <c r="B17" s="1992" t="s">
        <v>222</v>
      </c>
      <c r="C17" s="1999">
        <v>6000</v>
      </c>
      <c r="D17" s="2001">
        <v>5500</v>
      </c>
      <c r="E17" s="1995">
        <f t="shared" si="0"/>
        <v>91.666666666666657</v>
      </c>
      <c r="F17" s="1995">
        <f t="shared" si="1"/>
        <v>88.31085420680796</v>
      </c>
      <c r="G17" s="2002">
        <v>6228</v>
      </c>
      <c r="H17" s="1977"/>
      <c r="I17" s="2003"/>
      <c r="J17" s="2004"/>
      <c r="K17" s="1979"/>
      <c r="L17" s="2003"/>
      <c r="M17" s="2005"/>
      <c r="N17" s="2005"/>
    </row>
    <row r="18" spans="1:14" ht="21.75" customHeight="1">
      <c r="A18" s="1991">
        <v>9</v>
      </c>
      <c r="B18" s="1992" t="s">
        <v>1236</v>
      </c>
      <c r="C18" s="1999">
        <v>23000</v>
      </c>
      <c r="D18" s="1994">
        <v>24000</v>
      </c>
      <c r="E18" s="1995">
        <f t="shared" si="0"/>
        <v>104.34782608695652</v>
      </c>
      <c r="F18" s="1995">
        <f t="shared" si="1"/>
        <v>81.956016937576834</v>
      </c>
      <c r="G18" s="2000">
        <v>29284</v>
      </c>
      <c r="H18" s="1977"/>
      <c r="I18" s="1967"/>
      <c r="J18" s="1971"/>
      <c r="K18" s="1979"/>
      <c r="L18" s="2006"/>
      <c r="M18" s="2007"/>
      <c r="N18" s="2007"/>
    </row>
    <row r="19" spans="1:14" ht="21.75" customHeight="1">
      <c r="A19" s="1991">
        <v>10</v>
      </c>
      <c r="B19" s="1992" t="s">
        <v>225</v>
      </c>
      <c r="C19" s="1999">
        <v>1000</v>
      </c>
      <c r="D19" s="1994">
        <v>500</v>
      </c>
      <c r="E19" s="1995">
        <f t="shared" si="0"/>
        <v>50</v>
      </c>
      <c r="F19" s="1995">
        <f t="shared" si="1"/>
        <v>36.683785766691123</v>
      </c>
      <c r="G19" s="2000">
        <v>1363</v>
      </c>
      <c r="H19" s="1977"/>
      <c r="I19" s="1967"/>
      <c r="J19" s="1971"/>
      <c r="K19" s="1979"/>
      <c r="L19" s="2006"/>
      <c r="M19" s="2007"/>
      <c r="N19" s="2007"/>
    </row>
    <row r="20" spans="1:14" ht="21.75" customHeight="1">
      <c r="A20" s="1991">
        <v>11</v>
      </c>
      <c r="B20" s="1992" t="s">
        <v>217</v>
      </c>
      <c r="C20" s="1999">
        <v>270000</v>
      </c>
      <c r="D20" s="1994">
        <v>240000</v>
      </c>
      <c r="E20" s="1995">
        <f t="shared" si="0"/>
        <v>88.888888888888886</v>
      </c>
      <c r="F20" s="1995">
        <f t="shared" si="1"/>
        <v>97.162451570590548</v>
      </c>
      <c r="G20" s="2002">
        <v>247009</v>
      </c>
      <c r="H20" s="1977">
        <v>33865.608854000006</v>
      </c>
      <c r="I20" s="2003"/>
      <c r="J20" s="2004"/>
      <c r="K20" s="1979"/>
      <c r="L20" s="2006"/>
      <c r="M20" s="2007"/>
      <c r="N20" s="2007"/>
    </row>
    <row r="21" spans="1:14" ht="21.75" customHeight="1">
      <c r="A21" s="1991">
        <v>12</v>
      </c>
      <c r="B21" s="1992" t="s">
        <v>218</v>
      </c>
      <c r="C21" s="1999">
        <v>125000</v>
      </c>
      <c r="D21" s="1994">
        <v>110000</v>
      </c>
      <c r="E21" s="1995">
        <f t="shared" si="0"/>
        <v>88</v>
      </c>
      <c r="F21" s="1995">
        <f t="shared" si="1"/>
        <v>103.82647763955222</v>
      </c>
      <c r="G21" s="2000">
        <v>105946</v>
      </c>
      <c r="H21" s="1977">
        <v>1962.5719999999999</v>
      </c>
      <c r="I21" s="1967"/>
      <c r="J21" s="1971"/>
      <c r="K21" s="1979"/>
      <c r="L21" s="2006"/>
      <c r="M21" s="2007"/>
      <c r="N21" s="2007"/>
    </row>
    <row r="22" spans="1:14" ht="21.75" customHeight="1">
      <c r="A22" s="1991">
        <v>13</v>
      </c>
      <c r="B22" s="1992" t="s">
        <v>219</v>
      </c>
      <c r="C22" s="1999">
        <v>90000</v>
      </c>
      <c r="D22" s="1994">
        <v>81000</v>
      </c>
      <c r="E22" s="1995">
        <f t="shared" si="0"/>
        <v>90</v>
      </c>
      <c r="F22" s="1995">
        <f t="shared" si="1"/>
        <v>107.43560495530149</v>
      </c>
      <c r="G22" s="1998">
        <v>75394</v>
      </c>
      <c r="H22" s="1977">
        <v>242050.045339</v>
      </c>
      <c r="I22" s="1967"/>
      <c r="J22" s="1971"/>
      <c r="K22" s="1979"/>
      <c r="L22" s="2006"/>
      <c r="M22" s="2007"/>
      <c r="N22" s="2007"/>
    </row>
    <row r="23" spans="1:14" ht="21.75" customHeight="1">
      <c r="A23" s="1991">
        <v>14</v>
      </c>
      <c r="B23" s="1992" t="s">
        <v>229</v>
      </c>
      <c r="C23" s="1999">
        <v>185000</v>
      </c>
      <c r="D23" s="2001">
        <v>138315</v>
      </c>
      <c r="E23" s="1995">
        <f t="shared" si="0"/>
        <v>74.764864864864862</v>
      </c>
      <c r="F23" s="1995">
        <f t="shared" si="1"/>
        <v>70.560957443552255</v>
      </c>
      <c r="G23" s="1998">
        <v>196022</v>
      </c>
      <c r="H23" s="1977">
        <v>3382.0470260000002</v>
      </c>
      <c r="I23" s="1967"/>
      <c r="J23" s="1971"/>
      <c r="K23" s="1979"/>
      <c r="L23" s="2006"/>
      <c r="M23" s="2007"/>
      <c r="N23" s="2007"/>
    </row>
    <row r="24" spans="1:14" ht="21.75" customHeight="1">
      <c r="A24" s="1991">
        <v>15</v>
      </c>
      <c r="B24" s="1992" t="s">
        <v>1237</v>
      </c>
      <c r="C24" s="1999">
        <v>4000</v>
      </c>
      <c r="D24" s="2001">
        <v>5500</v>
      </c>
      <c r="E24" s="1995">
        <f t="shared" si="0"/>
        <v>137.5</v>
      </c>
      <c r="F24" s="1995">
        <f t="shared" si="1"/>
        <v>108.95404120443739</v>
      </c>
      <c r="G24" s="1998">
        <v>5048</v>
      </c>
      <c r="H24" s="1977"/>
      <c r="I24" s="1967"/>
      <c r="J24" s="1971"/>
      <c r="K24" s="1979"/>
      <c r="L24" s="2006"/>
      <c r="M24" s="2007"/>
      <c r="N24" s="2007"/>
    </row>
    <row r="25" spans="1:14" ht="21.75" customHeight="1">
      <c r="A25" s="1991">
        <v>16</v>
      </c>
      <c r="B25" s="2008" t="s">
        <v>1238</v>
      </c>
      <c r="C25" s="2009"/>
      <c r="D25" s="1994">
        <v>1000</v>
      </c>
      <c r="E25" s="1975"/>
      <c r="F25" s="1975"/>
      <c r="G25" s="2010">
        <v>2796</v>
      </c>
      <c r="H25" s="1977"/>
      <c r="I25" s="1980"/>
      <c r="J25" s="2011"/>
      <c r="K25" s="1979"/>
      <c r="L25" s="2006"/>
      <c r="M25" s="2007"/>
      <c r="N25" s="2007"/>
    </row>
    <row r="26" spans="1:14" ht="41.25" customHeight="1">
      <c r="A26" s="1991">
        <v>17</v>
      </c>
      <c r="B26" s="2008" t="s">
        <v>1239</v>
      </c>
      <c r="C26" s="2009"/>
      <c r="D26" s="1994">
        <v>1585</v>
      </c>
      <c r="E26" s="1975"/>
      <c r="F26" s="1975"/>
      <c r="G26" s="2010"/>
      <c r="H26" s="1977"/>
      <c r="I26" s="1980"/>
      <c r="J26" s="2011"/>
      <c r="K26" s="1979"/>
      <c r="L26" s="2006"/>
      <c r="M26" s="2007"/>
      <c r="N26" s="2007"/>
    </row>
    <row r="27" spans="1:14" s="1969" customFormat="1" ht="21.75" customHeight="1">
      <c r="A27" s="1970" t="s">
        <v>60</v>
      </c>
      <c r="B27" s="1984" t="s">
        <v>1240</v>
      </c>
      <c r="C27" s="2012">
        <f>SUM(C28:C31)</f>
        <v>0</v>
      </c>
      <c r="D27" s="1974">
        <f>SUM(D28:D31)</f>
        <v>1776487.7749429999</v>
      </c>
      <c r="E27" s="1975"/>
      <c r="F27" s="1975"/>
      <c r="G27" s="1981"/>
      <c r="H27" s="1977"/>
      <c r="I27" s="1980"/>
      <c r="J27" s="2011"/>
      <c r="K27" s="1979"/>
      <c r="L27" s="2013"/>
      <c r="M27" s="2014"/>
      <c r="N27" s="2014"/>
    </row>
    <row r="28" spans="1:14" ht="21.75" customHeight="1">
      <c r="A28" s="1972">
        <v>1</v>
      </c>
      <c r="B28" s="2008" t="s">
        <v>1241</v>
      </c>
      <c r="C28" s="2009"/>
      <c r="D28" s="1994">
        <v>5000</v>
      </c>
      <c r="E28" s="1975"/>
      <c r="F28" s="1975"/>
      <c r="G28" s="2015"/>
      <c r="H28" s="1977"/>
      <c r="I28" s="2016" t="e">
        <f>#REF!-1267004</f>
        <v>#REF!</v>
      </c>
      <c r="J28" s="1971"/>
      <c r="K28" s="1979"/>
      <c r="L28" s="2006"/>
      <c r="M28" s="2007"/>
      <c r="N28" s="2007"/>
    </row>
    <row r="29" spans="1:14" ht="21.75" customHeight="1">
      <c r="A29" s="1972">
        <v>2</v>
      </c>
      <c r="B29" s="2008" t="s">
        <v>1242</v>
      </c>
      <c r="C29" s="2009"/>
      <c r="D29" s="2017">
        <v>1755853.142943</v>
      </c>
      <c r="E29" s="1975"/>
      <c r="F29" s="1975"/>
      <c r="G29" s="1960"/>
      <c r="H29" s="1977"/>
      <c r="I29" s="1967"/>
      <c r="J29" s="1967"/>
      <c r="K29" s="1979"/>
      <c r="L29" s="2006"/>
      <c r="M29" s="2007"/>
      <c r="N29" s="2007"/>
    </row>
    <row r="30" spans="1:14" ht="21.75" customHeight="1">
      <c r="A30" s="1972">
        <v>3</v>
      </c>
      <c r="B30" s="2008" t="s">
        <v>1114</v>
      </c>
      <c r="C30" s="2009"/>
      <c r="D30" s="2001">
        <f>4466+2283</f>
        <v>6749</v>
      </c>
      <c r="E30" s="1975"/>
      <c r="F30" s="1975"/>
      <c r="G30" s="2010"/>
      <c r="H30" s="1977"/>
      <c r="I30" s="1980"/>
      <c r="J30" s="2018"/>
      <c r="K30" s="1979"/>
      <c r="L30" s="2006"/>
      <c r="M30" s="2007"/>
      <c r="N30" s="2007"/>
    </row>
    <row r="31" spans="1:14" ht="21.75" customHeight="1">
      <c r="A31" s="1972">
        <v>4</v>
      </c>
      <c r="B31" s="2019" t="s">
        <v>1243</v>
      </c>
      <c r="C31" s="2009"/>
      <c r="D31" s="1994">
        <v>8885.6319999999996</v>
      </c>
      <c r="E31" s="1975"/>
      <c r="F31" s="1975"/>
      <c r="G31" s="2010"/>
      <c r="H31" s="1977"/>
      <c r="I31" s="1980"/>
      <c r="J31" s="2011"/>
      <c r="K31" s="1979"/>
      <c r="L31" s="2006"/>
      <c r="M31" s="2007"/>
      <c r="N31" s="2007"/>
    </row>
    <row r="32" spans="1:14" s="2021" customFormat="1" ht="21.75" customHeight="1">
      <c r="A32" s="1970" t="s">
        <v>315</v>
      </c>
      <c r="B32" s="1984" t="s">
        <v>1244</v>
      </c>
      <c r="C32" s="2012">
        <v>75799</v>
      </c>
      <c r="D32" s="1974">
        <f>ROUND(309710/2,0)</f>
        <v>154855</v>
      </c>
      <c r="E32" s="1975"/>
      <c r="F32" s="1975"/>
      <c r="G32" s="1981"/>
      <c r="H32" s="2020"/>
      <c r="I32" s="1980"/>
      <c r="J32" s="1980"/>
      <c r="K32" s="1979"/>
      <c r="L32" s="1980"/>
      <c r="M32" s="1982"/>
      <c r="N32" s="1982"/>
    </row>
    <row r="33" spans="1:14" ht="21.75" customHeight="1">
      <c r="A33" s="1970"/>
      <c r="B33" s="2022" t="s">
        <v>1245</v>
      </c>
      <c r="C33" s="2012">
        <f>C27+C9+C32</f>
        <v>3522799</v>
      </c>
      <c r="D33" s="2012">
        <f>D27+D9+D32</f>
        <v>5651342.7749429997</v>
      </c>
      <c r="E33" s="1975">
        <f>D33/C33*100</f>
        <v>160.42194785859198</v>
      </c>
      <c r="F33" s="1975">
        <f t="shared" ref="F33:F34" si="2">D33/G33*100</f>
        <v>181.31066328032085</v>
      </c>
      <c r="G33" s="1981">
        <f>G32+G9</f>
        <v>3116939</v>
      </c>
      <c r="H33" s="1977"/>
      <c r="I33" s="1967"/>
      <c r="J33" s="1967"/>
      <c r="K33" s="1979"/>
      <c r="L33" s="1967"/>
      <c r="M33" s="1960"/>
      <c r="N33" s="2023"/>
    </row>
    <row r="34" spans="1:14" ht="21.75" customHeight="1">
      <c r="A34" s="1970" t="s">
        <v>317</v>
      </c>
      <c r="B34" s="2022" t="s">
        <v>1246</v>
      </c>
      <c r="C34" s="2012">
        <f>SUM(C35:C36)</f>
        <v>5577424</v>
      </c>
      <c r="D34" s="2012">
        <f>SUM(D35:D36)</f>
        <v>5848422</v>
      </c>
      <c r="E34" s="1975">
        <f>D34/C34*100</f>
        <v>104.85883805857328</v>
      </c>
      <c r="F34" s="1975">
        <f t="shared" si="2"/>
        <v>103.86762633840301</v>
      </c>
      <c r="G34" s="2024">
        <f>G35+G36</f>
        <v>5630649.5162850004</v>
      </c>
      <c r="H34" s="1977"/>
      <c r="I34" s="1977"/>
      <c r="J34" s="1971"/>
      <c r="K34" s="1979"/>
      <c r="L34" s="1967"/>
      <c r="M34" s="1960"/>
      <c r="N34" s="1960"/>
    </row>
    <row r="35" spans="1:14" s="2028" customFormat="1" ht="21.75" customHeight="1">
      <c r="A35" s="1972"/>
      <c r="B35" s="2025" t="s">
        <v>1247</v>
      </c>
      <c r="C35" s="2009">
        <v>3682602</v>
      </c>
      <c r="D35" s="1994">
        <f>C35</f>
        <v>3682602</v>
      </c>
      <c r="E35" s="1995">
        <f>D35/C35*100</f>
        <v>100</v>
      </c>
      <c r="F35" s="1995">
        <f>D35/G35*100</f>
        <v>100</v>
      </c>
      <c r="G35" s="2026">
        <v>3682602</v>
      </c>
      <c r="H35" s="1977"/>
      <c r="I35" s="1967"/>
      <c r="J35" s="2016"/>
      <c r="K35" s="2027"/>
      <c r="L35" s="1967"/>
      <c r="M35" s="1960"/>
      <c r="N35" s="1960"/>
    </row>
    <row r="36" spans="1:14" s="2028" customFormat="1" ht="21.75" customHeight="1">
      <c r="A36" s="1972"/>
      <c r="B36" s="2025" t="s">
        <v>1248</v>
      </c>
      <c r="C36" s="1994">
        <v>1894822</v>
      </c>
      <c r="D36" s="1994">
        <f>1894822+270998</f>
        <v>2165820</v>
      </c>
      <c r="E36" s="1995">
        <f>D36/C36*100</f>
        <v>114.30202942545526</v>
      </c>
      <c r="F36" s="1995">
        <f>D36/G36*100</f>
        <v>111.17901292933041</v>
      </c>
      <c r="G36" s="2029">
        <v>1948047.5162849999</v>
      </c>
      <c r="H36" s="1977"/>
      <c r="I36" s="2030"/>
      <c r="J36" s="2031"/>
      <c r="K36" s="2027"/>
      <c r="L36" s="2030"/>
      <c r="M36" s="2032"/>
      <c r="N36" s="2032"/>
    </row>
    <row r="37" spans="1:14" s="2043" customFormat="1" ht="21.75" customHeight="1">
      <c r="A37" s="2033" t="s">
        <v>319</v>
      </c>
      <c r="B37" s="2034" t="s">
        <v>1249</v>
      </c>
      <c r="C37" s="2035"/>
      <c r="D37" s="2036">
        <f>25000</f>
        <v>25000</v>
      </c>
      <c r="E37" s="2037"/>
      <c r="F37" s="2037"/>
      <c r="G37" s="2038"/>
      <c r="H37" s="2020"/>
      <c r="I37" s="2039"/>
      <c r="J37" s="2040"/>
      <c r="K37" s="1979"/>
      <c r="L37" s="2041"/>
      <c r="M37" s="2042"/>
      <c r="N37" s="2042"/>
    </row>
    <row r="38" spans="1:14" ht="15" hidden="1" customHeight="1">
      <c r="A38" s="2044" t="s">
        <v>81</v>
      </c>
      <c r="B38" s="2045" t="s">
        <v>1250</v>
      </c>
      <c r="C38" s="2046" t="s">
        <v>716</v>
      </c>
      <c r="D38" s="2046"/>
      <c r="E38" s="2047"/>
      <c r="F38" s="2047"/>
      <c r="G38" s="2048"/>
      <c r="H38" s="1980"/>
      <c r="I38" s="1980"/>
      <c r="J38" s="1980"/>
      <c r="K38" s="1979"/>
      <c r="L38" s="1980"/>
      <c r="M38" s="1982"/>
      <c r="N38" s="1982"/>
    </row>
    <row r="39" spans="1:14" ht="15" hidden="1" customHeight="1">
      <c r="A39" s="2049"/>
      <c r="B39" s="2050" t="s">
        <v>1251</v>
      </c>
      <c r="C39" s="2051" t="e">
        <f>#REF!+#REF!</f>
        <v>#REF!</v>
      </c>
      <c r="D39" s="2052"/>
      <c r="E39" s="2053"/>
      <c r="F39" s="2053"/>
      <c r="G39" s="1962"/>
      <c r="H39" s="2020"/>
      <c r="I39" s="2020"/>
      <c r="J39" s="1967"/>
      <c r="K39" s="1979"/>
      <c r="L39" s="1967"/>
      <c r="M39" s="1960"/>
      <c r="N39" s="1960"/>
    </row>
    <row r="40" spans="1:14" ht="15" hidden="1" customHeight="1">
      <c r="A40" s="2054"/>
      <c r="B40" s="2055" t="s">
        <v>1252</v>
      </c>
      <c r="C40" s="2051" t="e">
        <f>#REF!+#REF!</f>
        <v>#REF!</v>
      </c>
      <c r="D40" s="2056"/>
      <c r="E40" s="2053"/>
      <c r="F40" s="2053"/>
      <c r="G40" s="1981"/>
      <c r="H40" s="2057"/>
      <c r="I40" s="2020"/>
      <c r="J40" s="1980"/>
      <c r="K40" s="1979"/>
      <c r="L40" s="1980"/>
      <c r="M40" s="1982"/>
      <c r="N40" s="1982"/>
    </row>
    <row r="41" spans="1:14" ht="15" hidden="1" customHeight="1">
      <c r="A41" s="2058" t="s">
        <v>362</v>
      </c>
      <c r="B41" s="2059" t="s">
        <v>1253</v>
      </c>
      <c r="C41" s="2060" t="s">
        <v>716</v>
      </c>
      <c r="D41" s="2060"/>
      <c r="E41" s="1965"/>
      <c r="F41" s="1965"/>
      <c r="G41" s="2061"/>
      <c r="H41" s="2062"/>
      <c r="I41" s="2063"/>
      <c r="J41" s="2064"/>
      <c r="K41" s="1979"/>
      <c r="L41" s="2063"/>
      <c r="M41" s="2065"/>
      <c r="N41" s="2065"/>
    </row>
    <row r="42" spans="1:14" ht="15" hidden="1" customHeight="1">
      <c r="A42" s="2054"/>
      <c r="B42" s="2066" t="s">
        <v>1254</v>
      </c>
      <c r="C42" s="2067" t="e">
        <f>#REF!+#REF!</f>
        <v>#REF!</v>
      </c>
      <c r="D42" s="2067"/>
      <c r="E42" s="2068"/>
      <c r="F42" s="2068"/>
      <c r="G42" s="2069"/>
      <c r="H42" s="2062"/>
      <c r="I42" s="1982"/>
      <c r="J42" s="1981"/>
      <c r="K42" s="1979"/>
      <c r="L42" s="2007"/>
      <c r="M42" s="2007"/>
      <c r="N42" s="2007"/>
    </row>
    <row r="43" spans="1:14" ht="15" hidden="1" customHeight="1">
      <c r="A43" s="2049"/>
      <c r="B43" s="2070" t="s">
        <v>1255</v>
      </c>
      <c r="C43" s="2051" t="e">
        <f>#REF!-#REF!/1000000</f>
        <v>#REF!</v>
      </c>
      <c r="D43" s="2051"/>
      <c r="E43" s="2068"/>
      <c r="F43" s="2068"/>
      <c r="G43" s="1960"/>
      <c r="H43" s="2015"/>
      <c r="I43" s="2071"/>
      <c r="J43" s="2023"/>
      <c r="K43" s="1979"/>
      <c r="L43" s="2007"/>
      <c r="M43" s="2007"/>
      <c r="N43" s="2007"/>
    </row>
    <row r="44" spans="1:14" ht="15" hidden="1" customHeight="1">
      <c r="A44" s="2049"/>
      <c r="B44" s="2070" t="s">
        <v>1251</v>
      </c>
      <c r="C44" s="2052" t="e">
        <f>#REF!+#REF!</f>
        <v>#REF!</v>
      </c>
      <c r="D44" s="2052"/>
      <c r="E44" s="2053"/>
      <c r="F44" s="2053"/>
      <c r="G44" s="1960"/>
      <c r="H44" s="2023"/>
      <c r="I44" s="2072"/>
      <c r="J44" s="2015"/>
      <c r="K44" s="1979"/>
      <c r="L44" s="2007"/>
      <c r="M44" s="2007"/>
      <c r="N44" s="2007"/>
    </row>
    <row r="45" spans="1:14" ht="15" hidden="1" customHeight="1">
      <c r="A45" s="2049"/>
      <c r="B45" s="2070" t="s">
        <v>122</v>
      </c>
      <c r="C45" s="2073" t="e">
        <f>C44/H46*100</f>
        <v>#REF!</v>
      </c>
      <c r="D45" s="2073"/>
      <c r="E45" s="2047"/>
      <c r="F45" s="2047"/>
      <c r="G45" s="1960"/>
      <c r="H45" s="2032"/>
      <c r="I45" s="2032"/>
      <c r="J45" s="2074" t="s">
        <v>1256</v>
      </c>
      <c r="K45" s="1979"/>
      <c r="L45" s="2007"/>
      <c r="M45" s="2007"/>
      <c r="N45" s="2007"/>
    </row>
    <row r="46" spans="1:14" ht="15" hidden="1" customHeight="1">
      <c r="A46" s="2075"/>
      <c r="B46" s="2076" t="s">
        <v>1257</v>
      </c>
      <c r="C46" s="2077" t="e">
        <f>C42+C43-C44</f>
        <v>#REF!</v>
      </c>
      <c r="D46" s="2077"/>
      <c r="E46" s="2068"/>
      <c r="F46" s="2068"/>
      <c r="G46" s="1960"/>
      <c r="H46" s="2078"/>
      <c r="I46" s="2078"/>
      <c r="J46" s="2078">
        <f>H46-I46</f>
        <v>0</v>
      </c>
      <c r="K46" s="1979"/>
      <c r="L46" s="2007"/>
      <c r="M46" s="2007"/>
      <c r="N46" s="2007"/>
    </row>
    <row r="47" spans="1:14" ht="15.6">
      <c r="I47" s="2015" t="e">
        <f>#REF!-#REF!+#REF!/1000000</f>
        <v>#REF!</v>
      </c>
      <c r="J47" s="1960"/>
      <c r="K47" s="1960"/>
      <c r="L47" s="2007"/>
      <c r="M47" s="2007"/>
      <c r="N47" s="2007"/>
    </row>
    <row r="48" spans="1:14" ht="13.5" customHeight="1">
      <c r="I48" s="1960"/>
      <c r="J48" s="1960"/>
      <c r="K48" s="1960"/>
      <c r="L48" s="2007"/>
      <c r="M48" s="2007"/>
      <c r="N48" s="2007"/>
    </row>
    <row r="49" spans="9:15" ht="26.25" customHeight="1">
      <c r="I49" s="2023">
        <f>H47/1000000</f>
        <v>0</v>
      </c>
      <c r="J49" s="1960"/>
      <c r="K49" s="1960"/>
      <c r="L49" s="2007"/>
      <c r="M49" s="2007"/>
      <c r="N49" s="2007"/>
      <c r="O49" s="2079"/>
    </row>
    <row r="50" spans="9:15" ht="15.6">
      <c r="I50" s="2078"/>
      <c r="J50" s="2078"/>
      <c r="K50" s="1960"/>
      <c r="L50" s="2007"/>
      <c r="M50" s="2007"/>
      <c r="N50" s="2007"/>
    </row>
    <row r="51" spans="9:15" ht="15.6">
      <c r="I51" s="2023"/>
      <c r="J51" s="2023"/>
      <c r="K51" s="1960"/>
      <c r="L51" s="2007"/>
      <c r="M51" s="2007"/>
      <c r="N51" s="2007"/>
    </row>
    <row r="53" spans="9:15">
      <c r="I53" s="2080">
        <v>7363395530789</v>
      </c>
      <c r="J53" s="2080">
        <v>3627090890413</v>
      </c>
      <c r="K53" s="2080">
        <v>866606492055</v>
      </c>
    </row>
    <row r="54" spans="9:15">
      <c r="I54" s="2081">
        <v>6474479092011</v>
      </c>
      <c r="J54" s="2081">
        <v>3463964460912</v>
      </c>
      <c r="K54" s="2081">
        <v>780662935678</v>
      </c>
    </row>
    <row r="55" spans="9:15">
      <c r="I55" s="2082">
        <v>888916438778</v>
      </c>
      <c r="J55" s="2082">
        <v>163126429501</v>
      </c>
      <c r="K55" s="2082">
        <v>85943556377</v>
      </c>
    </row>
  </sheetData>
  <mergeCells count="9">
    <mergeCell ref="K5:K6"/>
    <mergeCell ref="E1:F1"/>
    <mergeCell ref="A2:F2"/>
    <mergeCell ref="A3:F3"/>
    <mergeCell ref="A5:A6"/>
    <mergeCell ref="B5:B6"/>
    <mergeCell ref="C5:C6"/>
    <mergeCell ref="D5:D6"/>
    <mergeCell ref="E5:F5"/>
  </mergeCells>
  <pageMargins left="0.39" right="0.15748031496063" top="0.39" bottom="0.196850393700787" header="0.19" footer="0.196850393700787"/>
  <pageSetup paperSize="9" scale="85"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L89"/>
  <sheetViews>
    <sheetView showZeros="0" workbookViewId="0">
      <selection activeCell="A64" sqref="A64"/>
    </sheetView>
  </sheetViews>
  <sheetFormatPr defaultRowHeight="15.6"/>
  <cols>
    <col min="1" max="1" width="5" style="430" customWidth="1"/>
    <col min="2" max="2" width="43.88671875" style="521" customWidth="1"/>
    <col min="3" max="3" width="14.33203125" style="430" customWidth="1"/>
    <col min="4" max="4" width="16" style="430" customWidth="1"/>
    <col min="5" max="5" width="13.88671875" style="430" customWidth="1"/>
    <col min="6" max="7" width="13.5546875" style="1956" customWidth="1"/>
    <col min="8" max="8" width="14.6640625" style="1927" customWidth="1"/>
    <col min="9" max="9" width="11.33203125" style="430" customWidth="1"/>
    <col min="10" max="10" width="12.33203125" style="430" customWidth="1"/>
    <col min="11" max="11" width="14.33203125" style="1882" customWidth="1"/>
    <col min="12" max="12" width="12" style="430" customWidth="1"/>
    <col min="13" max="14" width="8.88671875" style="430"/>
    <col min="15" max="15" width="12.88671875" style="430" bestFit="1" customWidth="1"/>
    <col min="16" max="257" width="8.88671875" style="430"/>
    <col min="258" max="258" width="4.5546875" style="430" customWidth="1"/>
    <col min="259" max="259" width="47" style="430" customWidth="1"/>
    <col min="260" max="260" width="13.6640625" style="430" customWidth="1"/>
    <col min="261" max="261" width="12.109375" style="430" customWidth="1"/>
    <col min="262" max="262" width="11.109375" style="430" customWidth="1"/>
    <col min="263" max="264" width="9" style="430" customWidth="1"/>
    <col min="265" max="265" width="11.33203125" style="430" customWidth="1"/>
    <col min="266" max="266" width="12.33203125" style="430" customWidth="1"/>
    <col min="267" max="267" width="14.33203125" style="430" customWidth="1"/>
    <col min="268" max="268" width="12" style="430" customWidth="1"/>
    <col min="269" max="270" width="8.88671875" style="430"/>
    <col min="271" max="271" width="12.88671875" style="430" bestFit="1" customWidth="1"/>
    <col min="272" max="513" width="8.88671875" style="430"/>
    <col min="514" max="514" width="4.5546875" style="430" customWidth="1"/>
    <col min="515" max="515" width="47" style="430" customWidth="1"/>
    <col min="516" max="516" width="13.6640625" style="430" customWidth="1"/>
    <col min="517" max="517" width="12.109375" style="430" customWidth="1"/>
    <col min="518" max="518" width="11.109375" style="430" customWidth="1"/>
    <col min="519" max="520" width="9" style="430" customWidth="1"/>
    <col min="521" max="521" width="11.33203125" style="430" customWidth="1"/>
    <col min="522" max="522" width="12.33203125" style="430" customWidth="1"/>
    <col min="523" max="523" width="14.33203125" style="430" customWidth="1"/>
    <col min="524" max="524" width="12" style="430" customWidth="1"/>
    <col min="525" max="526" width="8.88671875" style="430"/>
    <col min="527" max="527" width="12.88671875" style="430" bestFit="1" customWidth="1"/>
    <col min="528" max="769" width="8.88671875" style="430"/>
    <col min="770" max="770" width="4.5546875" style="430" customWidth="1"/>
    <col min="771" max="771" width="47" style="430" customWidth="1"/>
    <col min="772" max="772" width="13.6640625" style="430" customWidth="1"/>
    <col min="773" max="773" width="12.109375" style="430" customWidth="1"/>
    <col min="774" max="774" width="11.109375" style="430" customWidth="1"/>
    <col min="775" max="776" width="9" style="430" customWidth="1"/>
    <col min="777" max="777" width="11.33203125" style="430" customWidth="1"/>
    <col min="778" max="778" width="12.33203125" style="430" customWidth="1"/>
    <col min="779" max="779" width="14.33203125" style="430" customWidth="1"/>
    <col min="780" max="780" width="12" style="430" customWidth="1"/>
    <col min="781" max="782" width="8.88671875" style="430"/>
    <col min="783" max="783" width="12.88671875" style="430" bestFit="1" customWidth="1"/>
    <col min="784" max="1025" width="8.88671875" style="430"/>
    <col min="1026" max="1026" width="4.5546875" style="430" customWidth="1"/>
    <col min="1027" max="1027" width="47" style="430" customWidth="1"/>
    <col min="1028" max="1028" width="13.6640625" style="430" customWidth="1"/>
    <col min="1029" max="1029" width="12.109375" style="430" customWidth="1"/>
    <col min="1030" max="1030" width="11.109375" style="430" customWidth="1"/>
    <col min="1031" max="1032" width="9" style="430" customWidth="1"/>
    <col min="1033" max="1033" width="11.33203125" style="430" customWidth="1"/>
    <col min="1034" max="1034" width="12.33203125" style="430" customWidth="1"/>
    <col min="1035" max="1035" width="14.33203125" style="430" customWidth="1"/>
    <col min="1036" max="1036" width="12" style="430" customWidth="1"/>
    <col min="1037" max="1038" width="8.88671875" style="430"/>
    <col min="1039" max="1039" width="12.88671875" style="430" bestFit="1" customWidth="1"/>
    <col min="1040" max="1281" width="8.88671875" style="430"/>
    <col min="1282" max="1282" width="4.5546875" style="430" customWidth="1"/>
    <col min="1283" max="1283" width="47" style="430" customWidth="1"/>
    <col min="1284" max="1284" width="13.6640625" style="430" customWidth="1"/>
    <col min="1285" max="1285" width="12.109375" style="430" customWidth="1"/>
    <col min="1286" max="1286" width="11.109375" style="430" customWidth="1"/>
    <col min="1287" max="1288" width="9" style="430" customWidth="1"/>
    <col min="1289" max="1289" width="11.33203125" style="430" customWidth="1"/>
    <col min="1290" max="1290" width="12.33203125" style="430" customWidth="1"/>
    <col min="1291" max="1291" width="14.33203125" style="430" customWidth="1"/>
    <col min="1292" max="1292" width="12" style="430" customWidth="1"/>
    <col min="1293" max="1294" width="8.88671875" style="430"/>
    <col min="1295" max="1295" width="12.88671875" style="430" bestFit="1" customWidth="1"/>
    <col min="1296" max="1537" width="8.88671875" style="430"/>
    <col min="1538" max="1538" width="4.5546875" style="430" customWidth="1"/>
    <col min="1539" max="1539" width="47" style="430" customWidth="1"/>
    <col min="1540" max="1540" width="13.6640625" style="430" customWidth="1"/>
    <col min="1541" max="1541" width="12.109375" style="430" customWidth="1"/>
    <col min="1542" max="1542" width="11.109375" style="430" customWidth="1"/>
    <col min="1543" max="1544" width="9" style="430" customWidth="1"/>
    <col min="1545" max="1545" width="11.33203125" style="430" customWidth="1"/>
    <col min="1546" max="1546" width="12.33203125" style="430" customWidth="1"/>
    <col min="1547" max="1547" width="14.33203125" style="430" customWidth="1"/>
    <col min="1548" max="1548" width="12" style="430" customWidth="1"/>
    <col min="1549" max="1550" width="8.88671875" style="430"/>
    <col min="1551" max="1551" width="12.88671875" style="430" bestFit="1" customWidth="1"/>
    <col min="1552" max="1793" width="8.88671875" style="430"/>
    <col min="1794" max="1794" width="4.5546875" style="430" customWidth="1"/>
    <col min="1795" max="1795" width="47" style="430" customWidth="1"/>
    <col min="1796" max="1796" width="13.6640625" style="430" customWidth="1"/>
    <col min="1797" max="1797" width="12.109375" style="430" customWidth="1"/>
    <col min="1798" max="1798" width="11.109375" style="430" customWidth="1"/>
    <col min="1799" max="1800" width="9" style="430" customWidth="1"/>
    <col min="1801" max="1801" width="11.33203125" style="430" customWidth="1"/>
    <col min="1802" max="1802" width="12.33203125" style="430" customWidth="1"/>
    <col min="1803" max="1803" width="14.33203125" style="430" customWidth="1"/>
    <col min="1804" max="1804" width="12" style="430" customWidth="1"/>
    <col min="1805" max="1806" width="8.88671875" style="430"/>
    <col min="1807" max="1807" width="12.88671875" style="430" bestFit="1" customWidth="1"/>
    <col min="1808" max="2049" width="8.88671875" style="430"/>
    <col min="2050" max="2050" width="4.5546875" style="430" customWidth="1"/>
    <col min="2051" max="2051" width="47" style="430" customWidth="1"/>
    <col min="2052" max="2052" width="13.6640625" style="430" customWidth="1"/>
    <col min="2053" max="2053" width="12.109375" style="430" customWidth="1"/>
    <col min="2054" max="2054" width="11.109375" style="430" customWidth="1"/>
    <col min="2055" max="2056" width="9" style="430" customWidth="1"/>
    <col min="2057" max="2057" width="11.33203125" style="430" customWidth="1"/>
    <col min="2058" max="2058" width="12.33203125" style="430" customWidth="1"/>
    <col min="2059" max="2059" width="14.33203125" style="430" customWidth="1"/>
    <col min="2060" max="2060" width="12" style="430" customWidth="1"/>
    <col min="2061" max="2062" width="8.88671875" style="430"/>
    <col min="2063" max="2063" width="12.88671875" style="430" bestFit="1" customWidth="1"/>
    <col min="2064" max="2305" width="8.88671875" style="430"/>
    <col min="2306" max="2306" width="4.5546875" style="430" customWidth="1"/>
    <col min="2307" max="2307" width="47" style="430" customWidth="1"/>
    <col min="2308" max="2308" width="13.6640625" style="430" customWidth="1"/>
    <col min="2309" max="2309" width="12.109375" style="430" customWidth="1"/>
    <col min="2310" max="2310" width="11.109375" style="430" customWidth="1"/>
    <col min="2311" max="2312" width="9" style="430" customWidth="1"/>
    <col min="2313" max="2313" width="11.33203125" style="430" customWidth="1"/>
    <col min="2314" max="2314" width="12.33203125" style="430" customWidth="1"/>
    <col min="2315" max="2315" width="14.33203125" style="430" customWidth="1"/>
    <col min="2316" max="2316" width="12" style="430" customWidth="1"/>
    <col min="2317" max="2318" width="8.88671875" style="430"/>
    <col min="2319" max="2319" width="12.88671875" style="430" bestFit="1" customWidth="1"/>
    <col min="2320" max="2561" width="8.88671875" style="430"/>
    <col min="2562" max="2562" width="4.5546875" style="430" customWidth="1"/>
    <col min="2563" max="2563" width="47" style="430" customWidth="1"/>
    <col min="2564" max="2564" width="13.6640625" style="430" customWidth="1"/>
    <col min="2565" max="2565" width="12.109375" style="430" customWidth="1"/>
    <col min="2566" max="2566" width="11.109375" style="430" customWidth="1"/>
    <col min="2567" max="2568" width="9" style="430" customWidth="1"/>
    <col min="2569" max="2569" width="11.33203125" style="430" customWidth="1"/>
    <col min="2570" max="2570" width="12.33203125" style="430" customWidth="1"/>
    <col min="2571" max="2571" width="14.33203125" style="430" customWidth="1"/>
    <col min="2572" max="2572" width="12" style="430" customWidth="1"/>
    <col min="2573" max="2574" width="8.88671875" style="430"/>
    <col min="2575" max="2575" width="12.88671875" style="430" bestFit="1" customWidth="1"/>
    <col min="2576" max="2817" width="8.88671875" style="430"/>
    <col min="2818" max="2818" width="4.5546875" style="430" customWidth="1"/>
    <col min="2819" max="2819" width="47" style="430" customWidth="1"/>
    <col min="2820" max="2820" width="13.6640625" style="430" customWidth="1"/>
    <col min="2821" max="2821" width="12.109375" style="430" customWidth="1"/>
    <col min="2822" max="2822" width="11.109375" style="430" customWidth="1"/>
    <col min="2823" max="2824" width="9" style="430" customWidth="1"/>
    <col min="2825" max="2825" width="11.33203125" style="430" customWidth="1"/>
    <col min="2826" max="2826" width="12.33203125" style="430" customWidth="1"/>
    <col min="2827" max="2827" width="14.33203125" style="430" customWidth="1"/>
    <col min="2828" max="2828" width="12" style="430" customWidth="1"/>
    <col min="2829" max="2830" width="8.88671875" style="430"/>
    <col min="2831" max="2831" width="12.88671875" style="430" bestFit="1" customWidth="1"/>
    <col min="2832" max="3073" width="8.88671875" style="430"/>
    <col min="3074" max="3074" width="4.5546875" style="430" customWidth="1"/>
    <col min="3075" max="3075" width="47" style="430" customWidth="1"/>
    <col min="3076" max="3076" width="13.6640625" style="430" customWidth="1"/>
    <col min="3077" max="3077" width="12.109375" style="430" customWidth="1"/>
    <col min="3078" max="3078" width="11.109375" style="430" customWidth="1"/>
    <col min="3079" max="3080" width="9" style="430" customWidth="1"/>
    <col min="3081" max="3081" width="11.33203125" style="430" customWidth="1"/>
    <col min="3082" max="3082" width="12.33203125" style="430" customWidth="1"/>
    <col min="3083" max="3083" width="14.33203125" style="430" customWidth="1"/>
    <col min="3084" max="3084" width="12" style="430" customWidth="1"/>
    <col min="3085" max="3086" width="8.88671875" style="430"/>
    <col min="3087" max="3087" width="12.88671875" style="430" bestFit="1" customWidth="1"/>
    <col min="3088" max="3329" width="8.88671875" style="430"/>
    <col min="3330" max="3330" width="4.5546875" style="430" customWidth="1"/>
    <col min="3331" max="3331" width="47" style="430" customWidth="1"/>
    <col min="3332" max="3332" width="13.6640625" style="430" customWidth="1"/>
    <col min="3333" max="3333" width="12.109375" style="430" customWidth="1"/>
    <col min="3334" max="3334" width="11.109375" style="430" customWidth="1"/>
    <col min="3335" max="3336" width="9" style="430" customWidth="1"/>
    <col min="3337" max="3337" width="11.33203125" style="430" customWidth="1"/>
    <col min="3338" max="3338" width="12.33203125" style="430" customWidth="1"/>
    <col min="3339" max="3339" width="14.33203125" style="430" customWidth="1"/>
    <col min="3340" max="3340" width="12" style="430" customWidth="1"/>
    <col min="3341" max="3342" width="8.88671875" style="430"/>
    <col min="3343" max="3343" width="12.88671875" style="430" bestFit="1" customWidth="1"/>
    <col min="3344" max="3585" width="8.88671875" style="430"/>
    <col min="3586" max="3586" width="4.5546875" style="430" customWidth="1"/>
    <col min="3587" max="3587" width="47" style="430" customWidth="1"/>
    <col min="3588" max="3588" width="13.6640625" style="430" customWidth="1"/>
    <col min="3589" max="3589" width="12.109375" style="430" customWidth="1"/>
    <col min="3590" max="3590" width="11.109375" style="430" customWidth="1"/>
    <col min="3591" max="3592" width="9" style="430" customWidth="1"/>
    <col min="3593" max="3593" width="11.33203125" style="430" customWidth="1"/>
    <col min="3594" max="3594" width="12.33203125" style="430" customWidth="1"/>
    <col min="3595" max="3595" width="14.33203125" style="430" customWidth="1"/>
    <col min="3596" max="3596" width="12" style="430" customWidth="1"/>
    <col min="3597" max="3598" width="8.88671875" style="430"/>
    <col min="3599" max="3599" width="12.88671875" style="430" bestFit="1" customWidth="1"/>
    <col min="3600" max="3841" width="8.88671875" style="430"/>
    <col min="3842" max="3842" width="4.5546875" style="430" customWidth="1"/>
    <col min="3843" max="3843" width="47" style="430" customWidth="1"/>
    <col min="3844" max="3844" width="13.6640625" style="430" customWidth="1"/>
    <col min="3845" max="3845" width="12.109375" style="430" customWidth="1"/>
    <col min="3846" max="3846" width="11.109375" style="430" customWidth="1"/>
    <col min="3847" max="3848" width="9" style="430" customWidth="1"/>
    <col min="3849" max="3849" width="11.33203125" style="430" customWidth="1"/>
    <col min="3850" max="3850" width="12.33203125" style="430" customWidth="1"/>
    <col min="3851" max="3851" width="14.33203125" style="430" customWidth="1"/>
    <col min="3852" max="3852" width="12" style="430" customWidth="1"/>
    <col min="3853" max="3854" width="8.88671875" style="430"/>
    <col min="3855" max="3855" width="12.88671875" style="430" bestFit="1" customWidth="1"/>
    <col min="3856" max="4097" width="8.88671875" style="430"/>
    <col min="4098" max="4098" width="4.5546875" style="430" customWidth="1"/>
    <col min="4099" max="4099" width="47" style="430" customWidth="1"/>
    <col min="4100" max="4100" width="13.6640625" style="430" customWidth="1"/>
    <col min="4101" max="4101" width="12.109375" style="430" customWidth="1"/>
    <col min="4102" max="4102" width="11.109375" style="430" customWidth="1"/>
    <col min="4103" max="4104" width="9" style="430" customWidth="1"/>
    <col min="4105" max="4105" width="11.33203125" style="430" customWidth="1"/>
    <col min="4106" max="4106" width="12.33203125" style="430" customWidth="1"/>
    <col min="4107" max="4107" width="14.33203125" style="430" customWidth="1"/>
    <col min="4108" max="4108" width="12" style="430" customWidth="1"/>
    <col min="4109" max="4110" width="8.88671875" style="430"/>
    <col min="4111" max="4111" width="12.88671875" style="430" bestFit="1" customWidth="1"/>
    <col min="4112" max="4353" width="8.88671875" style="430"/>
    <col min="4354" max="4354" width="4.5546875" style="430" customWidth="1"/>
    <col min="4355" max="4355" width="47" style="430" customWidth="1"/>
    <col min="4356" max="4356" width="13.6640625" style="430" customWidth="1"/>
    <col min="4357" max="4357" width="12.109375" style="430" customWidth="1"/>
    <col min="4358" max="4358" width="11.109375" style="430" customWidth="1"/>
    <col min="4359" max="4360" width="9" style="430" customWidth="1"/>
    <col min="4361" max="4361" width="11.33203125" style="430" customWidth="1"/>
    <col min="4362" max="4362" width="12.33203125" style="430" customWidth="1"/>
    <col min="4363" max="4363" width="14.33203125" style="430" customWidth="1"/>
    <col min="4364" max="4364" width="12" style="430" customWidth="1"/>
    <col min="4365" max="4366" width="8.88671875" style="430"/>
    <col min="4367" max="4367" width="12.88671875" style="430" bestFit="1" customWidth="1"/>
    <col min="4368" max="4609" width="8.88671875" style="430"/>
    <col min="4610" max="4610" width="4.5546875" style="430" customWidth="1"/>
    <col min="4611" max="4611" width="47" style="430" customWidth="1"/>
    <col min="4612" max="4612" width="13.6640625" style="430" customWidth="1"/>
    <col min="4613" max="4613" width="12.109375" style="430" customWidth="1"/>
    <col min="4614" max="4614" width="11.109375" style="430" customWidth="1"/>
    <col min="4615" max="4616" width="9" style="430" customWidth="1"/>
    <col min="4617" max="4617" width="11.33203125" style="430" customWidth="1"/>
    <col min="4618" max="4618" width="12.33203125" style="430" customWidth="1"/>
    <col min="4619" max="4619" width="14.33203125" style="430" customWidth="1"/>
    <col min="4620" max="4620" width="12" style="430" customWidth="1"/>
    <col min="4621" max="4622" width="8.88671875" style="430"/>
    <col min="4623" max="4623" width="12.88671875" style="430" bestFit="1" customWidth="1"/>
    <col min="4624" max="4865" width="8.88671875" style="430"/>
    <col min="4866" max="4866" width="4.5546875" style="430" customWidth="1"/>
    <col min="4867" max="4867" width="47" style="430" customWidth="1"/>
    <col min="4868" max="4868" width="13.6640625" style="430" customWidth="1"/>
    <col min="4869" max="4869" width="12.109375" style="430" customWidth="1"/>
    <col min="4870" max="4870" width="11.109375" style="430" customWidth="1"/>
    <col min="4871" max="4872" width="9" style="430" customWidth="1"/>
    <col min="4873" max="4873" width="11.33203125" style="430" customWidth="1"/>
    <col min="4874" max="4874" width="12.33203125" style="430" customWidth="1"/>
    <col min="4875" max="4875" width="14.33203125" style="430" customWidth="1"/>
    <col min="4876" max="4876" width="12" style="430" customWidth="1"/>
    <col min="4877" max="4878" width="8.88671875" style="430"/>
    <col min="4879" max="4879" width="12.88671875" style="430" bestFit="1" customWidth="1"/>
    <col min="4880" max="5121" width="8.88671875" style="430"/>
    <col min="5122" max="5122" width="4.5546875" style="430" customWidth="1"/>
    <col min="5123" max="5123" width="47" style="430" customWidth="1"/>
    <col min="5124" max="5124" width="13.6640625" style="430" customWidth="1"/>
    <col min="5125" max="5125" width="12.109375" style="430" customWidth="1"/>
    <col min="5126" max="5126" width="11.109375" style="430" customWidth="1"/>
    <col min="5127" max="5128" width="9" style="430" customWidth="1"/>
    <col min="5129" max="5129" width="11.33203125" style="430" customWidth="1"/>
    <col min="5130" max="5130" width="12.33203125" style="430" customWidth="1"/>
    <col min="5131" max="5131" width="14.33203125" style="430" customWidth="1"/>
    <col min="5132" max="5132" width="12" style="430" customWidth="1"/>
    <col min="5133" max="5134" width="8.88671875" style="430"/>
    <col min="5135" max="5135" width="12.88671875" style="430" bestFit="1" customWidth="1"/>
    <col min="5136" max="5377" width="8.88671875" style="430"/>
    <col min="5378" max="5378" width="4.5546875" style="430" customWidth="1"/>
    <col min="5379" max="5379" width="47" style="430" customWidth="1"/>
    <col min="5380" max="5380" width="13.6640625" style="430" customWidth="1"/>
    <col min="5381" max="5381" width="12.109375" style="430" customWidth="1"/>
    <col min="5382" max="5382" width="11.109375" style="430" customWidth="1"/>
    <col min="5383" max="5384" width="9" style="430" customWidth="1"/>
    <col min="5385" max="5385" width="11.33203125" style="430" customWidth="1"/>
    <col min="5386" max="5386" width="12.33203125" style="430" customWidth="1"/>
    <col min="5387" max="5387" width="14.33203125" style="430" customWidth="1"/>
    <col min="5388" max="5388" width="12" style="430" customWidth="1"/>
    <col min="5389" max="5390" width="8.88671875" style="430"/>
    <col min="5391" max="5391" width="12.88671875" style="430" bestFit="1" customWidth="1"/>
    <col min="5392" max="5633" width="8.88671875" style="430"/>
    <col min="5634" max="5634" width="4.5546875" style="430" customWidth="1"/>
    <col min="5635" max="5635" width="47" style="430" customWidth="1"/>
    <col min="5636" max="5636" width="13.6640625" style="430" customWidth="1"/>
    <col min="5637" max="5637" width="12.109375" style="430" customWidth="1"/>
    <col min="5638" max="5638" width="11.109375" style="430" customWidth="1"/>
    <col min="5639" max="5640" width="9" style="430" customWidth="1"/>
    <col min="5641" max="5641" width="11.33203125" style="430" customWidth="1"/>
    <col min="5642" max="5642" width="12.33203125" style="430" customWidth="1"/>
    <col min="5643" max="5643" width="14.33203125" style="430" customWidth="1"/>
    <col min="5644" max="5644" width="12" style="430" customWidth="1"/>
    <col min="5645" max="5646" width="8.88671875" style="430"/>
    <col min="5647" max="5647" width="12.88671875" style="430" bestFit="1" customWidth="1"/>
    <col min="5648" max="5889" width="8.88671875" style="430"/>
    <col min="5890" max="5890" width="4.5546875" style="430" customWidth="1"/>
    <col min="5891" max="5891" width="47" style="430" customWidth="1"/>
    <col min="5892" max="5892" width="13.6640625" style="430" customWidth="1"/>
    <col min="5893" max="5893" width="12.109375" style="430" customWidth="1"/>
    <col min="5894" max="5894" width="11.109375" style="430" customWidth="1"/>
    <col min="5895" max="5896" width="9" style="430" customWidth="1"/>
    <col min="5897" max="5897" width="11.33203125" style="430" customWidth="1"/>
    <col min="5898" max="5898" width="12.33203125" style="430" customWidth="1"/>
    <col min="5899" max="5899" width="14.33203125" style="430" customWidth="1"/>
    <col min="5900" max="5900" width="12" style="430" customWidth="1"/>
    <col min="5901" max="5902" width="8.88671875" style="430"/>
    <col min="5903" max="5903" width="12.88671875" style="430" bestFit="1" customWidth="1"/>
    <col min="5904" max="6145" width="8.88671875" style="430"/>
    <col min="6146" max="6146" width="4.5546875" style="430" customWidth="1"/>
    <col min="6147" max="6147" width="47" style="430" customWidth="1"/>
    <col min="6148" max="6148" width="13.6640625" style="430" customWidth="1"/>
    <col min="6149" max="6149" width="12.109375" style="430" customWidth="1"/>
    <col min="6150" max="6150" width="11.109375" style="430" customWidth="1"/>
    <col min="6151" max="6152" width="9" style="430" customWidth="1"/>
    <col min="6153" max="6153" width="11.33203125" style="430" customWidth="1"/>
    <col min="6154" max="6154" width="12.33203125" style="430" customWidth="1"/>
    <col min="6155" max="6155" width="14.33203125" style="430" customWidth="1"/>
    <col min="6156" max="6156" width="12" style="430" customWidth="1"/>
    <col min="6157" max="6158" width="8.88671875" style="430"/>
    <col min="6159" max="6159" width="12.88671875" style="430" bestFit="1" customWidth="1"/>
    <col min="6160" max="6401" width="8.88671875" style="430"/>
    <col min="6402" max="6402" width="4.5546875" style="430" customWidth="1"/>
    <col min="6403" max="6403" width="47" style="430" customWidth="1"/>
    <col min="6404" max="6404" width="13.6640625" style="430" customWidth="1"/>
    <col min="6405" max="6405" width="12.109375" style="430" customWidth="1"/>
    <col min="6406" max="6406" width="11.109375" style="430" customWidth="1"/>
    <col min="6407" max="6408" width="9" style="430" customWidth="1"/>
    <col min="6409" max="6409" width="11.33203125" style="430" customWidth="1"/>
    <col min="6410" max="6410" width="12.33203125" style="430" customWidth="1"/>
    <col min="6411" max="6411" width="14.33203125" style="430" customWidth="1"/>
    <col min="6412" max="6412" width="12" style="430" customWidth="1"/>
    <col min="6413" max="6414" width="8.88671875" style="430"/>
    <col min="6415" max="6415" width="12.88671875" style="430" bestFit="1" customWidth="1"/>
    <col min="6416" max="6657" width="8.88671875" style="430"/>
    <col min="6658" max="6658" width="4.5546875" style="430" customWidth="1"/>
    <col min="6659" max="6659" width="47" style="430" customWidth="1"/>
    <col min="6660" max="6660" width="13.6640625" style="430" customWidth="1"/>
    <col min="6661" max="6661" width="12.109375" style="430" customWidth="1"/>
    <col min="6662" max="6662" width="11.109375" style="430" customWidth="1"/>
    <col min="6663" max="6664" width="9" style="430" customWidth="1"/>
    <col min="6665" max="6665" width="11.33203125" style="430" customWidth="1"/>
    <col min="6666" max="6666" width="12.33203125" style="430" customWidth="1"/>
    <col min="6667" max="6667" width="14.33203125" style="430" customWidth="1"/>
    <col min="6668" max="6668" width="12" style="430" customWidth="1"/>
    <col min="6669" max="6670" width="8.88671875" style="430"/>
    <col min="6671" max="6671" width="12.88671875" style="430" bestFit="1" customWidth="1"/>
    <col min="6672" max="6913" width="8.88671875" style="430"/>
    <col min="6914" max="6914" width="4.5546875" style="430" customWidth="1"/>
    <col min="6915" max="6915" width="47" style="430" customWidth="1"/>
    <col min="6916" max="6916" width="13.6640625" style="430" customWidth="1"/>
    <col min="6917" max="6917" width="12.109375" style="430" customWidth="1"/>
    <col min="6918" max="6918" width="11.109375" style="430" customWidth="1"/>
    <col min="6919" max="6920" width="9" style="430" customWidth="1"/>
    <col min="6921" max="6921" width="11.33203125" style="430" customWidth="1"/>
    <col min="6922" max="6922" width="12.33203125" style="430" customWidth="1"/>
    <col min="6923" max="6923" width="14.33203125" style="430" customWidth="1"/>
    <col min="6924" max="6924" width="12" style="430" customWidth="1"/>
    <col min="6925" max="6926" width="8.88671875" style="430"/>
    <col min="6927" max="6927" width="12.88671875" style="430" bestFit="1" customWidth="1"/>
    <col min="6928" max="7169" width="8.88671875" style="430"/>
    <col min="7170" max="7170" width="4.5546875" style="430" customWidth="1"/>
    <col min="7171" max="7171" width="47" style="430" customWidth="1"/>
    <col min="7172" max="7172" width="13.6640625" style="430" customWidth="1"/>
    <col min="7173" max="7173" width="12.109375" style="430" customWidth="1"/>
    <col min="7174" max="7174" width="11.109375" style="430" customWidth="1"/>
    <col min="7175" max="7176" width="9" style="430" customWidth="1"/>
    <col min="7177" max="7177" width="11.33203125" style="430" customWidth="1"/>
    <col min="7178" max="7178" width="12.33203125" style="430" customWidth="1"/>
    <col min="7179" max="7179" width="14.33203125" style="430" customWidth="1"/>
    <col min="7180" max="7180" width="12" style="430" customWidth="1"/>
    <col min="7181" max="7182" width="8.88671875" style="430"/>
    <col min="7183" max="7183" width="12.88671875" style="430" bestFit="1" customWidth="1"/>
    <col min="7184" max="7425" width="8.88671875" style="430"/>
    <col min="7426" max="7426" width="4.5546875" style="430" customWidth="1"/>
    <col min="7427" max="7427" width="47" style="430" customWidth="1"/>
    <col min="7428" max="7428" width="13.6640625" style="430" customWidth="1"/>
    <col min="7429" max="7429" width="12.109375" style="430" customWidth="1"/>
    <col min="7430" max="7430" width="11.109375" style="430" customWidth="1"/>
    <col min="7431" max="7432" width="9" style="430" customWidth="1"/>
    <col min="7433" max="7433" width="11.33203125" style="430" customWidth="1"/>
    <col min="7434" max="7434" width="12.33203125" style="430" customWidth="1"/>
    <col min="7435" max="7435" width="14.33203125" style="430" customWidth="1"/>
    <col min="7436" max="7436" width="12" style="430" customWidth="1"/>
    <col min="7437" max="7438" width="8.88671875" style="430"/>
    <col min="7439" max="7439" width="12.88671875" style="430" bestFit="1" customWidth="1"/>
    <col min="7440" max="7681" width="8.88671875" style="430"/>
    <col min="7682" max="7682" width="4.5546875" style="430" customWidth="1"/>
    <col min="7683" max="7683" width="47" style="430" customWidth="1"/>
    <col min="7684" max="7684" width="13.6640625" style="430" customWidth="1"/>
    <col min="7685" max="7685" width="12.109375" style="430" customWidth="1"/>
    <col min="7686" max="7686" width="11.109375" style="430" customWidth="1"/>
    <col min="7687" max="7688" width="9" style="430" customWidth="1"/>
    <col min="7689" max="7689" width="11.33203125" style="430" customWidth="1"/>
    <col min="7690" max="7690" width="12.33203125" style="430" customWidth="1"/>
    <col min="7691" max="7691" width="14.33203125" style="430" customWidth="1"/>
    <col min="7692" max="7692" width="12" style="430" customWidth="1"/>
    <col min="7693" max="7694" width="8.88671875" style="430"/>
    <col min="7695" max="7695" width="12.88671875" style="430" bestFit="1" customWidth="1"/>
    <col min="7696" max="7937" width="8.88671875" style="430"/>
    <col min="7938" max="7938" width="4.5546875" style="430" customWidth="1"/>
    <col min="7939" max="7939" width="47" style="430" customWidth="1"/>
    <col min="7940" max="7940" width="13.6640625" style="430" customWidth="1"/>
    <col min="7941" max="7941" width="12.109375" style="430" customWidth="1"/>
    <col min="7942" max="7942" width="11.109375" style="430" customWidth="1"/>
    <col min="7943" max="7944" width="9" style="430" customWidth="1"/>
    <col min="7945" max="7945" width="11.33203125" style="430" customWidth="1"/>
    <col min="7946" max="7946" width="12.33203125" style="430" customWidth="1"/>
    <col min="7947" max="7947" width="14.33203125" style="430" customWidth="1"/>
    <col min="7948" max="7948" width="12" style="430" customWidth="1"/>
    <col min="7949" max="7950" width="8.88671875" style="430"/>
    <col min="7951" max="7951" width="12.88671875" style="430" bestFit="1" customWidth="1"/>
    <col min="7952" max="8193" width="8.88671875" style="430"/>
    <col min="8194" max="8194" width="4.5546875" style="430" customWidth="1"/>
    <col min="8195" max="8195" width="47" style="430" customWidth="1"/>
    <col min="8196" max="8196" width="13.6640625" style="430" customWidth="1"/>
    <col min="8197" max="8197" width="12.109375" style="430" customWidth="1"/>
    <col min="8198" max="8198" width="11.109375" style="430" customWidth="1"/>
    <col min="8199" max="8200" width="9" style="430" customWidth="1"/>
    <col min="8201" max="8201" width="11.33203125" style="430" customWidth="1"/>
    <col min="8202" max="8202" width="12.33203125" style="430" customWidth="1"/>
    <col min="8203" max="8203" width="14.33203125" style="430" customWidth="1"/>
    <col min="8204" max="8204" width="12" style="430" customWidth="1"/>
    <col min="8205" max="8206" width="8.88671875" style="430"/>
    <col min="8207" max="8207" width="12.88671875" style="430" bestFit="1" customWidth="1"/>
    <col min="8208" max="8449" width="8.88671875" style="430"/>
    <col min="8450" max="8450" width="4.5546875" style="430" customWidth="1"/>
    <col min="8451" max="8451" width="47" style="430" customWidth="1"/>
    <col min="8452" max="8452" width="13.6640625" style="430" customWidth="1"/>
    <col min="8453" max="8453" width="12.109375" style="430" customWidth="1"/>
    <col min="8454" max="8454" width="11.109375" style="430" customWidth="1"/>
    <col min="8455" max="8456" width="9" style="430" customWidth="1"/>
    <col min="8457" max="8457" width="11.33203125" style="430" customWidth="1"/>
    <col min="8458" max="8458" width="12.33203125" style="430" customWidth="1"/>
    <col min="8459" max="8459" width="14.33203125" style="430" customWidth="1"/>
    <col min="8460" max="8460" width="12" style="430" customWidth="1"/>
    <col min="8461" max="8462" width="8.88671875" style="430"/>
    <col min="8463" max="8463" width="12.88671875" style="430" bestFit="1" customWidth="1"/>
    <col min="8464" max="8705" width="8.88671875" style="430"/>
    <col min="8706" max="8706" width="4.5546875" style="430" customWidth="1"/>
    <col min="8707" max="8707" width="47" style="430" customWidth="1"/>
    <col min="8708" max="8708" width="13.6640625" style="430" customWidth="1"/>
    <col min="8709" max="8709" width="12.109375" style="430" customWidth="1"/>
    <col min="8710" max="8710" width="11.109375" style="430" customWidth="1"/>
    <col min="8711" max="8712" width="9" style="430" customWidth="1"/>
    <col min="8713" max="8713" width="11.33203125" style="430" customWidth="1"/>
    <col min="8714" max="8714" width="12.33203125" style="430" customWidth="1"/>
    <col min="8715" max="8715" width="14.33203125" style="430" customWidth="1"/>
    <col min="8716" max="8716" width="12" style="430" customWidth="1"/>
    <col min="8717" max="8718" width="8.88671875" style="430"/>
    <col min="8719" max="8719" width="12.88671875" style="430" bestFit="1" customWidth="1"/>
    <col min="8720" max="8961" width="8.88671875" style="430"/>
    <col min="8962" max="8962" width="4.5546875" style="430" customWidth="1"/>
    <col min="8963" max="8963" width="47" style="430" customWidth="1"/>
    <col min="8964" max="8964" width="13.6640625" style="430" customWidth="1"/>
    <col min="8965" max="8965" width="12.109375" style="430" customWidth="1"/>
    <col min="8966" max="8966" width="11.109375" style="430" customWidth="1"/>
    <col min="8967" max="8968" width="9" style="430" customWidth="1"/>
    <col min="8969" max="8969" width="11.33203125" style="430" customWidth="1"/>
    <col min="8970" max="8970" width="12.33203125" style="430" customWidth="1"/>
    <col min="8971" max="8971" width="14.33203125" style="430" customWidth="1"/>
    <col min="8972" max="8972" width="12" style="430" customWidth="1"/>
    <col min="8973" max="8974" width="8.88671875" style="430"/>
    <col min="8975" max="8975" width="12.88671875" style="430" bestFit="1" customWidth="1"/>
    <col min="8976" max="9217" width="8.88671875" style="430"/>
    <col min="9218" max="9218" width="4.5546875" style="430" customWidth="1"/>
    <col min="9219" max="9219" width="47" style="430" customWidth="1"/>
    <col min="9220" max="9220" width="13.6640625" style="430" customWidth="1"/>
    <col min="9221" max="9221" width="12.109375" style="430" customWidth="1"/>
    <col min="9222" max="9222" width="11.109375" style="430" customWidth="1"/>
    <col min="9223" max="9224" width="9" style="430" customWidth="1"/>
    <col min="9225" max="9225" width="11.33203125" style="430" customWidth="1"/>
    <col min="9226" max="9226" width="12.33203125" style="430" customWidth="1"/>
    <col min="9227" max="9227" width="14.33203125" style="430" customWidth="1"/>
    <col min="9228" max="9228" width="12" style="430" customWidth="1"/>
    <col min="9229" max="9230" width="8.88671875" style="430"/>
    <col min="9231" max="9231" width="12.88671875" style="430" bestFit="1" customWidth="1"/>
    <col min="9232" max="9473" width="8.88671875" style="430"/>
    <col min="9474" max="9474" width="4.5546875" style="430" customWidth="1"/>
    <col min="9475" max="9475" width="47" style="430" customWidth="1"/>
    <col min="9476" max="9476" width="13.6640625" style="430" customWidth="1"/>
    <col min="9477" max="9477" width="12.109375" style="430" customWidth="1"/>
    <col min="9478" max="9478" width="11.109375" style="430" customWidth="1"/>
    <col min="9479" max="9480" width="9" style="430" customWidth="1"/>
    <col min="9481" max="9481" width="11.33203125" style="430" customWidth="1"/>
    <col min="9482" max="9482" width="12.33203125" style="430" customWidth="1"/>
    <col min="9483" max="9483" width="14.33203125" style="430" customWidth="1"/>
    <col min="9484" max="9484" width="12" style="430" customWidth="1"/>
    <col min="9485" max="9486" width="8.88671875" style="430"/>
    <col min="9487" max="9487" width="12.88671875" style="430" bestFit="1" customWidth="1"/>
    <col min="9488" max="9729" width="8.88671875" style="430"/>
    <col min="9730" max="9730" width="4.5546875" style="430" customWidth="1"/>
    <col min="9731" max="9731" width="47" style="430" customWidth="1"/>
    <col min="9732" max="9732" width="13.6640625" style="430" customWidth="1"/>
    <col min="9733" max="9733" width="12.109375" style="430" customWidth="1"/>
    <col min="9734" max="9734" width="11.109375" style="430" customWidth="1"/>
    <col min="9735" max="9736" width="9" style="430" customWidth="1"/>
    <col min="9737" max="9737" width="11.33203125" style="430" customWidth="1"/>
    <col min="9738" max="9738" width="12.33203125" style="430" customWidth="1"/>
    <col min="9739" max="9739" width="14.33203125" style="430" customWidth="1"/>
    <col min="9740" max="9740" width="12" style="430" customWidth="1"/>
    <col min="9741" max="9742" width="8.88671875" style="430"/>
    <col min="9743" max="9743" width="12.88671875" style="430" bestFit="1" customWidth="1"/>
    <col min="9744" max="9985" width="8.88671875" style="430"/>
    <col min="9986" max="9986" width="4.5546875" style="430" customWidth="1"/>
    <col min="9987" max="9987" width="47" style="430" customWidth="1"/>
    <col min="9988" max="9988" width="13.6640625" style="430" customWidth="1"/>
    <col min="9989" max="9989" width="12.109375" style="430" customWidth="1"/>
    <col min="9990" max="9990" width="11.109375" style="430" customWidth="1"/>
    <col min="9991" max="9992" width="9" style="430" customWidth="1"/>
    <col min="9993" max="9993" width="11.33203125" style="430" customWidth="1"/>
    <col min="9994" max="9994" width="12.33203125" style="430" customWidth="1"/>
    <col min="9995" max="9995" width="14.33203125" style="430" customWidth="1"/>
    <col min="9996" max="9996" width="12" style="430" customWidth="1"/>
    <col min="9997" max="9998" width="8.88671875" style="430"/>
    <col min="9999" max="9999" width="12.88671875" style="430" bestFit="1" customWidth="1"/>
    <col min="10000" max="10241" width="8.88671875" style="430"/>
    <col min="10242" max="10242" width="4.5546875" style="430" customWidth="1"/>
    <col min="10243" max="10243" width="47" style="430" customWidth="1"/>
    <col min="10244" max="10244" width="13.6640625" style="430" customWidth="1"/>
    <col min="10245" max="10245" width="12.109375" style="430" customWidth="1"/>
    <col min="10246" max="10246" width="11.109375" style="430" customWidth="1"/>
    <col min="10247" max="10248" width="9" style="430" customWidth="1"/>
    <col min="10249" max="10249" width="11.33203125" style="430" customWidth="1"/>
    <col min="10250" max="10250" width="12.33203125" style="430" customWidth="1"/>
    <col min="10251" max="10251" width="14.33203125" style="430" customWidth="1"/>
    <col min="10252" max="10252" width="12" style="430" customWidth="1"/>
    <col min="10253" max="10254" width="8.88671875" style="430"/>
    <col min="10255" max="10255" width="12.88671875" style="430" bestFit="1" customWidth="1"/>
    <col min="10256" max="10497" width="8.88671875" style="430"/>
    <col min="10498" max="10498" width="4.5546875" style="430" customWidth="1"/>
    <col min="10499" max="10499" width="47" style="430" customWidth="1"/>
    <col min="10500" max="10500" width="13.6640625" style="430" customWidth="1"/>
    <col min="10501" max="10501" width="12.109375" style="430" customWidth="1"/>
    <col min="10502" max="10502" width="11.109375" style="430" customWidth="1"/>
    <col min="10503" max="10504" width="9" style="430" customWidth="1"/>
    <col min="10505" max="10505" width="11.33203125" style="430" customWidth="1"/>
    <col min="10506" max="10506" width="12.33203125" style="430" customWidth="1"/>
    <col min="10507" max="10507" width="14.33203125" style="430" customWidth="1"/>
    <col min="10508" max="10508" width="12" style="430" customWidth="1"/>
    <col min="10509" max="10510" width="8.88671875" style="430"/>
    <col min="10511" max="10511" width="12.88671875" style="430" bestFit="1" customWidth="1"/>
    <col min="10512" max="10753" width="8.88671875" style="430"/>
    <col min="10754" max="10754" width="4.5546875" style="430" customWidth="1"/>
    <col min="10755" max="10755" width="47" style="430" customWidth="1"/>
    <col min="10756" max="10756" width="13.6640625" style="430" customWidth="1"/>
    <col min="10757" max="10757" width="12.109375" style="430" customWidth="1"/>
    <col min="10758" max="10758" width="11.109375" style="430" customWidth="1"/>
    <col min="10759" max="10760" width="9" style="430" customWidth="1"/>
    <col min="10761" max="10761" width="11.33203125" style="430" customWidth="1"/>
    <col min="10762" max="10762" width="12.33203125" style="430" customWidth="1"/>
    <col min="10763" max="10763" width="14.33203125" style="430" customWidth="1"/>
    <col min="10764" max="10764" width="12" style="430" customWidth="1"/>
    <col min="10765" max="10766" width="8.88671875" style="430"/>
    <col min="10767" max="10767" width="12.88671875" style="430" bestFit="1" customWidth="1"/>
    <col min="10768" max="11009" width="8.88671875" style="430"/>
    <col min="11010" max="11010" width="4.5546875" style="430" customWidth="1"/>
    <col min="11011" max="11011" width="47" style="430" customWidth="1"/>
    <col min="11012" max="11012" width="13.6640625" style="430" customWidth="1"/>
    <col min="11013" max="11013" width="12.109375" style="430" customWidth="1"/>
    <col min="11014" max="11014" width="11.109375" style="430" customWidth="1"/>
    <col min="11015" max="11016" width="9" style="430" customWidth="1"/>
    <col min="11017" max="11017" width="11.33203125" style="430" customWidth="1"/>
    <col min="11018" max="11018" width="12.33203125" style="430" customWidth="1"/>
    <col min="11019" max="11019" width="14.33203125" style="430" customWidth="1"/>
    <col min="11020" max="11020" width="12" style="430" customWidth="1"/>
    <col min="11021" max="11022" width="8.88671875" style="430"/>
    <col min="11023" max="11023" width="12.88671875" style="430" bestFit="1" customWidth="1"/>
    <col min="11024" max="11265" width="8.88671875" style="430"/>
    <col min="11266" max="11266" width="4.5546875" style="430" customWidth="1"/>
    <col min="11267" max="11267" width="47" style="430" customWidth="1"/>
    <col min="11268" max="11268" width="13.6640625" style="430" customWidth="1"/>
    <col min="11269" max="11269" width="12.109375" style="430" customWidth="1"/>
    <col min="11270" max="11270" width="11.109375" style="430" customWidth="1"/>
    <col min="11271" max="11272" width="9" style="430" customWidth="1"/>
    <col min="11273" max="11273" width="11.33203125" style="430" customWidth="1"/>
    <col min="11274" max="11274" width="12.33203125" style="430" customWidth="1"/>
    <col min="11275" max="11275" width="14.33203125" style="430" customWidth="1"/>
    <col min="11276" max="11276" width="12" style="430" customWidth="1"/>
    <col min="11277" max="11278" width="8.88671875" style="430"/>
    <col min="11279" max="11279" width="12.88671875" style="430" bestFit="1" customWidth="1"/>
    <col min="11280" max="11521" width="8.88671875" style="430"/>
    <col min="11522" max="11522" width="4.5546875" style="430" customWidth="1"/>
    <col min="11523" max="11523" width="47" style="430" customWidth="1"/>
    <col min="11524" max="11524" width="13.6640625" style="430" customWidth="1"/>
    <col min="11525" max="11525" width="12.109375" style="430" customWidth="1"/>
    <col min="11526" max="11526" width="11.109375" style="430" customWidth="1"/>
    <col min="11527" max="11528" width="9" style="430" customWidth="1"/>
    <col min="11529" max="11529" width="11.33203125" style="430" customWidth="1"/>
    <col min="11530" max="11530" width="12.33203125" style="430" customWidth="1"/>
    <col min="11531" max="11531" width="14.33203125" style="430" customWidth="1"/>
    <col min="11532" max="11532" width="12" style="430" customWidth="1"/>
    <col min="11533" max="11534" width="8.88671875" style="430"/>
    <col min="11535" max="11535" width="12.88671875" style="430" bestFit="1" customWidth="1"/>
    <col min="11536" max="11777" width="8.88671875" style="430"/>
    <col min="11778" max="11778" width="4.5546875" style="430" customWidth="1"/>
    <col min="11779" max="11779" width="47" style="430" customWidth="1"/>
    <col min="11780" max="11780" width="13.6640625" style="430" customWidth="1"/>
    <col min="11781" max="11781" width="12.109375" style="430" customWidth="1"/>
    <col min="11782" max="11782" width="11.109375" style="430" customWidth="1"/>
    <col min="11783" max="11784" width="9" style="430" customWidth="1"/>
    <col min="11785" max="11785" width="11.33203125" style="430" customWidth="1"/>
    <col min="11786" max="11786" width="12.33203125" style="430" customWidth="1"/>
    <col min="11787" max="11787" width="14.33203125" style="430" customWidth="1"/>
    <col min="11788" max="11788" width="12" style="430" customWidth="1"/>
    <col min="11789" max="11790" width="8.88671875" style="430"/>
    <col min="11791" max="11791" width="12.88671875" style="430" bestFit="1" customWidth="1"/>
    <col min="11792" max="12033" width="8.88671875" style="430"/>
    <col min="12034" max="12034" width="4.5546875" style="430" customWidth="1"/>
    <col min="12035" max="12035" width="47" style="430" customWidth="1"/>
    <col min="12036" max="12036" width="13.6640625" style="430" customWidth="1"/>
    <col min="12037" max="12037" width="12.109375" style="430" customWidth="1"/>
    <col min="12038" max="12038" width="11.109375" style="430" customWidth="1"/>
    <col min="12039" max="12040" width="9" style="430" customWidth="1"/>
    <col min="12041" max="12041" width="11.33203125" style="430" customWidth="1"/>
    <col min="12042" max="12042" width="12.33203125" style="430" customWidth="1"/>
    <col min="12043" max="12043" width="14.33203125" style="430" customWidth="1"/>
    <col min="12044" max="12044" width="12" style="430" customWidth="1"/>
    <col min="12045" max="12046" width="8.88671875" style="430"/>
    <col min="12047" max="12047" width="12.88671875" style="430" bestFit="1" customWidth="1"/>
    <col min="12048" max="12289" width="8.88671875" style="430"/>
    <col min="12290" max="12290" width="4.5546875" style="430" customWidth="1"/>
    <col min="12291" max="12291" width="47" style="430" customWidth="1"/>
    <col min="12292" max="12292" width="13.6640625" style="430" customWidth="1"/>
    <col min="12293" max="12293" width="12.109375" style="430" customWidth="1"/>
    <col min="12294" max="12294" width="11.109375" style="430" customWidth="1"/>
    <col min="12295" max="12296" width="9" style="430" customWidth="1"/>
    <col min="12297" max="12297" width="11.33203125" style="430" customWidth="1"/>
    <col min="12298" max="12298" width="12.33203125" style="430" customWidth="1"/>
    <col min="12299" max="12299" width="14.33203125" style="430" customWidth="1"/>
    <col min="12300" max="12300" width="12" style="430" customWidth="1"/>
    <col min="12301" max="12302" width="8.88671875" style="430"/>
    <col min="12303" max="12303" width="12.88671875" style="430" bestFit="1" customWidth="1"/>
    <col min="12304" max="12545" width="8.88671875" style="430"/>
    <col min="12546" max="12546" width="4.5546875" style="430" customWidth="1"/>
    <col min="12547" max="12547" width="47" style="430" customWidth="1"/>
    <col min="12548" max="12548" width="13.6640625" style="430" customWidth="1"/>
    <col min="12549" max="12549" width="12.109375" style="430" customWidth="1"/>
    <col min="12550" max="12550" width="11.109375" style="430" customWidth="1"/>
    <col min="12551" max="12552" width="9" style="430" customWidth="1"/>
    <col min="12553" max="12553" width="11.33203125" style="430" customWidth="1"/>
    <col min="12554" max="12554" width="12.33203125" style="430" customWidth="1"/>
    <col min="12555" max="12555" width="14.33203125" style="430" customWidth="1"/>
    <col min="12556" max="12556" width="12" style="430" customWidth="1"/>
    <col min="12557" max="12558" width="8.88671875" style="430"/>
    <col min="12559" max="12559" width="12.88671875" style="430" bestFit="1" customWidth="1"/>
    <col min="12560" max="12801" width="8.88671875" style="430"/>
    <col min="12802" max="12802" width="4.5546875" style="430" customWidth="1"/>
    <col min="12803" max="12803" width="47" style="430" customWidth="1"/>
    <col min="12804" max="12804" width="13.6640625" style="430" customWidth="1"/>
    <col min="12805" max="12805" width="12.109375" style="430" customWidth="1"/>
    <col min="12806" max="12806" width="11.109375" style="430" customWidth="1"/>
    <col min="12807" max="12808" width="9" style="430" customWidth="1"/>
    <col min="12809" max="12809" width="11.33203125" style="430" customWidth="1"/>
    <col min="12810" max="12810" width="12.33203125" style="430" customWidth="1"/>
    <col min="12811" max="12811" width="14.33203125" style="430" customWidth="1"/>
    <col min="12812" max="12812" width="12" style="430" customWidth="1"/>
    <col min="12813" max="12814" width="8.88671875" style="430"/>
    <col min="12815" max="12815" width="12.88671875" style="430" bestFit="1" customWidth="1"/>
    <col min="12816" max="13057" width="8.88671875" style="430"/>
    <col min="13058" max="13058" width="4.5546875" style="430" customWidth="1"/>
    <col min="13059" max="13059" width="47" style="430" customWidth="1"/>
    <col min="13060" max="13060" width="13.6640625" style="430" customWidth="1"/>
    <col min="13061" max="13061" width="12.109375" style="430" customWidth="1"/>
    <col min="13062" max="13062" width="11.109375" style="430" customWidth="1"/>
    <col min="13063" max="13064" width="9" style="430" customWidth="1"/>
    <col min="13065" max="13065" width="11.33203125" style="430" customWidth="1"/>
    <col min="13066" max="13066" width="12.33203125" style="430" customWidth="1"/>
    <col min="13067" max="13067" width="14.33203125" style="430" customWidth="1"/>
    <col min="13068" max="13068" width="12" style="430" customWidth="1"/>
    <col min="13069" max="13070" width="8.88671875" style="430"/>
    <col min="13071" max="13071" width="12.88671875" style="430" bestFit="1" customWidth="1"/>
    <col min="13072" max="13313" width="8.88671875" style="430"/>
    <col min="13314" max="13314" width="4.5546875" style="430" customWidth="1"/>
    <col min="13315" max="13315" width="47" style="430" customWidth="1"/>
    <col min="13316" max="13316" width="13.6640625" style="430" customWidth="1"/>
    <col min="13317" max="13317" width="12.109375" style="430" customWidth="1"/>
    <col min="13318" max="13318" width="11.109375" style="430" customWidth="1"/>
    <col min="13319" max="13320" width="9" style="430" customWidth="1"/>
    <col min="13321" max="13321" width="11.33203125" style="430" customWidth="1"/>
    <col min="13322" max="13322" width="12.33203125" style="430" customWidth="1"/>
    <col min="13323" max="13323" width="14.33203125" style="430" customWidth="1"/>
    <col min="13324" max="13324" width="12" style="430" customWidth="1"/>
    <col min="13325" max="13326" width="8.88671875" style="430"/>
    <col min="13327" max="13327" width="12.88671875" style="430" bestFit="1" customWidth="1"/>
    <col min="13328" max="13569" width="8.88671875" style="430"/>
    <col min="13570" max="13570" width="4.5546875" style="430" customWidth="1"/>
    <col min="13571" max="13571" width="47" style="430" customWidth="1"/>
    <col min="13572" max="13572" width="13.6640625" style="430" customWidth="1"/>
    <col min="13573" max="13573" width="12.109375" style="430" customWidth="1"/>
    <col min="13574" max="13574" width="11.109375" style="430" customWidth="1"/>
    <col min="13575" max="13576" width="9" style="430" customWidth="1"/>
    <col min="13577" max="13577" width="11.33203125" style="430" customWidth="1"/>
    <col min="13578" max="13578" width="12.33203125" style="430" customWidth="1"/>
    <col min="13579" max="13579" width="14.33203125" style="430" customWidth="1"/>
    <col min="13580" max="13580" width="12" style="430" customWidth="1"/>
    <col min="13581" max="13582" width="8.88671875" style="430"/>
    <col min="13583" max="13583" width="12.88671875" style="430" bestFit="1" customWidth="1"/>
    <col min="13584" max="13825" width="8.88671875" style="430"/>
    <col min="13826" max="13826" width="4.5546875" style="430" customWidth="1"/>
    <col min="13827" max="13827" width="47" style="430" customWidth="1"/>
    <col min="13828" max="13828" width="13.6640625" style="430" customWidth="1"/>
    <col min="13829" max="13829" width="12.109375" style="430" customWidth="1"/>
    <col min="13830" max="13830" width="11.109375" style="430" customWidth="1"/>
    <col min="13831" max="13832" width="9" style="430" customWidth="1"/>
    <col min="13833" max="13833" width="11.33203125" style="430" customWidth="1"/>
    <col min="13834" max="13834" width="12.33203125" style="430" customWidth="1"/>
    <col min="13835" max="13835" width="14.33203125" style="430" customWidth="1"/>
    <col min="13836" max="13836" width="12" style="430" customWidth="1"/>
    <col min="13837" max="13838" width="8.88671875" style="430"/>
    <col min="13839" max="13839" width="12.88671875" style="430" bestFit="1" customWidth="1"/>
    <col min="13840" max="14081" width="8.88671875" style="430"/>
    <col min="14082" max="14082" width="4.5546875" style="430" customWidth="1"/>
    <col min="14083" max="14083" width="47" style="430" customWidth="1"/>
    <col min="14084" max="14084" width="13.6640625" style="430" customWidth="1"/>
    <col min="14085" max="14085" width="12.109375" style="430" customWidth="1"/>
    <col min="14086" max="14086" width="11.109375" style="430" customWidth="1"/>
    <col min="14087" max="14088" width="9" style="430" customWidth="1"/>
    <col min="14089" max="14089" width="11.33203125" style="430" customWidth="1"/>
    <col min="14090" max="14090" width="12.33203125" style="430" customWidth="1"/>
    <col min="14091" max="14091" width="14.33203125" style="430" customWidth="1"/>
    <col min="14092" max="14092" width="12" style="430" customWidth="1"/>
    <col min="14093" max="14094" width="8.88671875" style="430"/>
    <col min="14095" max="14095" width="12.88671875" style="430" bestFit="1" customWidth="1"/>
    <col min="14096" max="14337" width="8.88671875" style="430"/>
    <col min="14338" max="14338" width="4.5546875" style="430" customWidth="1"/>
    <col min="14339" max="14339" width="47" style="430" customWidth="1"/>
    <col min="14340" max="14340" width="13.6640625" style="430" customWidth="1"/>
    <col min="14341" max="14341" width="12.109375" style="430" customWidth="1"/>
    <col min="14342" max="14342" width="11.109375" style="430" customWidth="1"/>
    <col min="14343" max="14344" width="9" style="430" customWidth="1"/>
    <col min="14345" max="14345" width="11.33203125" style="430" customWidth="1"/>
    <col min="14346" max="14346" width="12.33203125" style="430" customWidth="1"/>
    <col min="14347" max="14347" width="14.33203125" style="430" customWidth="1"/>
    <col min="14348" max="14348" width="12" style="430" customWidth="1"/>
    <col min="14349" max="14350" width="8.88671875" style="430"/>
    <col min="14351" max="14351" width="12.88671875" style="430" bestFit="1" customWidth="1"/>
    <col min="14352" max="14593" width="8.88671875" style="430"/>
    <col min="14594" max="14594" width="4.5546875" style="430" customWidth="1"/>
    <col min="14595" max="14595" width="47" style="430" customWidth="1"/>
    <col min="14596" max="14596" width="13.6640625" style="430" customWidth="1"/>
    <col min="14597" max="14597" width="12.109375" style="430" customWidth="1"/>
    <col min="14598" max="14598" width="11.109375" style="430" customWidth="1"/>
    <col min="14599" max="14600" width="9" style="430" customWidth="1"/>
    <col min="14601" max="14601" width="11.33203125" style="430" customWidth="1"/>
    <col min="14602" max="14602" width="12.33203125" style="430" customWidth="1"/>
    <col min="14603" max="14603" width="14.33203125" style="430" customWidth="1"/>
    <col min="14604" max="14604" width="12" style="430" customWidth="1"/>
    <col min="14605" max="14606" width="8.88671875" style="430"/>
    <col min="14607" max="14607" width="12.88671875" style="430" bestFit="1" customWidth="1"/>
    <col min="14608" max="14849" width="8.88671875" style="430"/>
    <col min="14850" max="14850" width="4.5546875" style="430" customWidth="1"/>
    <col min="14851" max="14851" width="47" style="430" customWidth="1"/>
    <col min="14852" max="14852" width="13.6640625" style="430" customWidth="1"/>
    <col min="14853" max="14853" width="12.109375" style="430" customWidth="1"/>
    <col min="14854" max="14854" width="11.109375" style="430" customWidth="1"/>
    <col min="14855" max="14856" width="9" style="430" customWidth="1"/>
    <col min="14857" max="14857" width="11.33203125" style="430" customWidth="1"/>
    <col min="14858" max="14858" width="12.33203125" style="430" customWidth="1"/>
    <col min="14859" max="14859" width="14.33203125" style="430" customWidth="1"/>
    <col min="14860" max="14860" width="12" style="430" customWidth="1"/>
    <col min="14861" max="14862" width="8.88671875" style="430"/>
    <col min="14863" max="14863" width="12.88671875" style="430" bestFit="1" customWidth="1"/>
    <col min="14864" max="15105" width="8.88671875" style="430"/>
    <col min="15106" max="15106" width="4.5546875" style="430" customWidth="1"/>
    <col min="15107" max="15107" width="47" style="430" customWidth="1"/>
    <col min="15108" max="15108" width="13.6640625" style="430" customWidth="1"/>
    <col min="15109" max="15109" width="12.109375" style="430" customWidth="1"/>
    <col min="15110" max="15110" width="11.109375" style="430" customWidth="1"/>
    <col min="15111" max="15112" width="9" style="430" customWidth="1"/>
    <col min="15113" max="15113" width="11.33203125" style="430" customWidth="1"/>
    <col min="15114" max="15114" width="12.33203125" style="430" customWidth="1"/>
    <col min="15115" max="15115" width="14.33203125" style="430" customWidth="1"/>
    <col min="15116" max="15116" width="12" style="430" customWidth="1"/>
    <col min="15117" max="15118" width="8.88671875" style="430"/>
    <col min="15119" max="15119" width="12.88671875" style="430" bestFit="1" customWidth="1"/>
    <col min="15120" max="15361" width="8.88671875" style="430"/>
    <col min="15362" max="15362" width="4.5546875" style="430" customWidth="1"/>
    <col min="15363" max="15363" width="47" style="430" customWidth="1"/>
    <col min="15364" max="15364" width="13.6640625" style="430" customWidth="1"/>
    <col min="15365" max="15365" width="12.109375" style="430" customWidth="1"/>
    <col min="15366" max="15366" width="11.109375" style="430" customWidth="1"/>
    <col min="15367" max="15368" width="9" style="430" customWidth="1"/>
    <col min="15369" max="15369" width="11.33203125" style="430" customWidth="1"/>
    <col min="15370" max="15370" width="12.33203125" style="430" customWidth="1"/>
    <col min="15371" max="15371" width="14.33203125" style="430" customWidth="1"/>
    <col min="15372" max="15372" width="12" style="430" customWidth="1"/>
    <col min="15373" max="15374" width="8.88671875" style="430"/>
    <col min="15375" max="15375" width="12.88671875" style="430" bestFit="1" customWidth="1"/>
    <col min="15376" max="15617" width="8.88671875" style="430"/>
    <col min="15618" max="15618" width="4.5546875" style="430" customWidth="1"/>
    <col min="15619" max="15619" width="47" style="430" customWidth="1"/>
    <col min="15620" max="15620" width="13.6640625" style="430" customWidth="1"/>
    <col min="15621" max="15621" width="12.109375" style="430" customWidth="1"/>
    <col min="15622" max="15622" width="11.109375" style="430" customWidth="1"/>
    <col min="15623" max="15624" width="9" style="430" customWidth="1"/>
    <col min="15625" max="15625" width="11.33203125" style="430" customWidth="1"/>
    <col min="15626" max="15626" width="12.33203125" style="430" customWidth="1"/>
    <col min="15627" max="15627" width="14.33203125" style="430" customWidth="1"/>
    <col min="15628" max="15628" width="12" style="430" customWidth="1"/>
    <col min="15629" max="15630" width="8.88671875" style="430"/>
    <col min="15631" max="15631" width="12.88671875" style="430" bestFit="1" customWidth="1"/>
    <col min="15632" max="15873" width="8.88671875" style="430"/>
    <col min="15874" max="15874" width="4.5546875" style="430" customWidth="1"/>
    <col min="15875" max="15875" width="47" style="430" customWidth="1"/>
    <col min="15876" max="15876" width="13.6640625" style="430" customWidth="1"/>
    <col min="15877" max="15877" width="12.109375" style="430" customWidth="1"/>
    <col min="15878" max="15878" width="11.109375" style="430" customWidth="1"/>
    <col min="15879" max="15880" width="9" style="430" customWidth="1"/>
    <col min="15881" max="15881" width="11.33203125" style="430" customWidth="1"/>
    <col min="15882" max="15882" width="12.33203125" style="430" customWidth="1"/>
    <col min="15883" max="15883" width="14.33203125" style="430" customWidth="1"/>
    <col min="15884" max="15884" width="12" style="430" customWidth="1"/>
    <col min="15885" max="15886" width="8.88671875" style="430"/>
    <col min="15887" max="15887" width="12.88671875" style="430" bestFit="1" customWidth="1"/>
    <col min="15888" max="16129" width="8.88671875" style="430"/>
    <col min="16130" max="16130" width="4.5546875" style="430" customWidth="1"/>
    <col min="16131" max="16131" width="47" style="430" customWidth="1"/>
    <col min="16132" max="16132" width="13.6640625" style="430" customWidth="1"/>
    <col min="16133" max="16133" width="12.109375" style="430" customWidth="1"/>
    <col min="16134" max="16134" width="11.109375" style="430" customWidth="1"/>
    <col min="16135" max="16136" width="9" style="430" customWidth="1"/>
    <col min="16137" max="16137" width="11.33203125" style="430" customWidth="1"/>
    <col min="16138" max="16138" width="12.33203125" style="430" customWidth="1"/>
    <col min="16139" max="16139" width="14.33203125" style="430" customWidth="1"/>
    <col min="16140" max="16140" width="12" style="430" customWidth="1"/>
    <col min="16141" max="16142" width="8.88671875" style="430"/>
    <col min="16143" max="16143" width="12.88671875" style="430" bestFit="1" customWidth="1"/>
    <col min="16144" max="16381" width="8.88671875" style="430"/>
    <col min="16382" max="16384" width="8.88671875" style="430" customWidth="1"/>
  </cols>
  <sheetData>
    <row r="1" spans="1:12">
      <c r="A1" s="427"/>
      <c r="B1" s="428"/>
      <c r="C1" s="429"/>
      <c r="D1" s="1839"/>
      <c r="E1" s="2980" t="s">
        <v>1199</v>
      </c>
      <c r="F1" s="2980"/>
      <c r="G1" s="1839"/>
      <c r="H1" s="1872"/>
      <c r="I1" s="432"/>
      <c r="J1" s="2981" t="s">
        <v>1200</v>
      </c>
      <c r="K1" s="2982"/>
      <c r="L1" s="2983"/>
    </row>
    <row r="2" spans="1:12" ht="17.399999999999999">
      <c r="A2" s="2974" t="s">
        <v>1201</v>
      </c>
      <c r="B2" s="2974"/>
      <c r="C2" s="2974"/>
      <c r="D2" s="2974"/>
      <c r="E2" s="2974"/>
      <c r="F2" s="2974"/>
      <c r="G2" s="1873"/>
      <c r="H2" s="1872"/>
      <c r="I2" s="432"/>
      <c r="J2" s="438">
        <f>K2+L2</f>
        <v>8865023</v>
      </c>
      <c r="K2" s="438">
        <v>5182707</v>
      </c>
      <c r="L2" s="438">
        <v>3682316</v>
      </c>
    </row>
    <row r="3" spans="1:12" ht="18">
      <c r="A3" s="2975" t="s">
        <v>1202</v>
      </c>
      <c r="B3" s="2975"/>
      <c r="C3" s="2975"/>
      <c r="D3" s="2975"/>
      <c r="E3" s="2975"/>
      <c r="F3" s="2975"/>
      <c r="G3" s="1874"/>
      <c r="H3" s="1872"/>
      <c r="I3" s="1875" t="s">
        <v>256</v>
      </c>
      <c r="J3" s="438" t="e">
        <f>K3+L3</f>
        <v>#REF!</v>
      </c>
      <c r="K3" s="1876" t="e">
        <f>K2-#REF!</f>
        <v>#REF!</v>
      </c>
      <c r="L3" s="1877" t="e">
        <f>L2-#REF!</f>
        <v>#REF!</v>
      </c>
    </row>
    <row r="4" spans="1:12">
      <c r="A4" s="442"/>
      <c r="B4" s="1878"/>
      <c r="D4" s="1879"/>
      <c r="E4" s="2984" t="s">
        <v>27</v>
      </c>
      <c r="F4" s="2984"/>
      <c r="G4" s="1880"/>
      <c r="H4" s="1881"/>
      <c r="I4" s="443"/>
      <c r="J4" s="443"/>
    </row>
    <row r="5" spans="1:12" ht="63" customHeight="1">
      <c r="A5" s="1883" t="s">
        <v>49</v>
      </c>
      <c r="B5" s="1884" t="s">
        <v>257</v>
      </c>
      <c r="C5" s="1884" t="s">
        <v>1203</v>
      </c>
      <c r="D5" s="1884" t="s">
        <v>1204</v>
      </c>
      <c r="E5" s="1884" t="s">
        <v>1205</v>
      </c>
      <c r="F5" s="1885" t="s">
        <v>1206</v>
      </c>
      <c r="G5" s="1886"/>
      <c r="H5" s="1887" t="s">
        <v>1207</v>
      </c>
      <c r="K5" s="1888" t="s">
        <v>1208</v>
      </c>
    </row>
    <row r="6" spans="1:12" s="446" customFormat="1">
      <c r="A6" s="1883" t="s">
        <v>80</v>
      </c>
      <c r="B6" s="1884" t="s">
        <v>81</v>
      </c>
      <c r="C6" s="1883">
        <v>1</v>
      </c>
      <c r="D6" s="1883">
        <v>2</v>
      </c>
      <c r="E6" s="1883" t="s">
        <v>1209</v>
      </c>
      <c r="F6" s="1889">
        <v>4</v>
      </c>
      <c r="G6" s="1890"/>
      <c r="H6" s="1891"/>
      <c r="K6" s="447">
        <v>5</v>
      </c>
    </row>
    <row r="7" spans="1:12" ht="18" customHeight="1">
      <c r="A7" s="1892"/>
      <c r="B7" s="1893" t="s">
        <v>263</v>
      </c>
      <c r="C7" s="1894">
        <f>C8+C58</f>
        <v>8774023</v>
      </c>
      <c r="D7" s="1894">
        <f>D8+D58+H59</f>
        <v>11034599</v>
      </c>
      <c r="E7" s="1895">
        <f t="shared" ref="E7:E32" si="0">D7/C7</f>
        <v>1.2576441844294231</v>
      </c>
      <c r="F7" s="1896">
        <f>D7/H7</f>
        <v>1.1588566064735968</v>
      </c>
      <c r="G7" s="1897"/>
      <c r="H7" s="1898">
        <f>H8+H58+H59</f>
        <v>9521971</v>
      </c>
      <c r="I7" s="439">
        <v>351720</v>
      </c>
      <c r="J7" s="439" t="e">
        <f>#REF!-I7</f>
        <v>#REF!</v>
      </c>
      <c r="K7" s="1899">
        <v>7627387</v>
      </c>
    </row>
    <row r="8" spans="1:12" ht="31.2">
      <c r="A8" s="505" t="s">
        <v>80</v>
      </c>
      <c r="B8" s="1900" t="s">
        <v>1210</v>
      </c>
      <c r="C8" s="1901">
        <f>SUM(C9,C37,C52,C53,C54,C55,C56,C57)</f>
        <v>8698224</v>
      </c>
      <c r="D8" s="1901">
        <f>SUM(D9,D37,D52,D53,D54,D55,D56,D57)</f>
        <v>9202947</v>
      </c>
      <c r="E8" s="1896">
        <f t="shared" si="0"/>
        <v>1.0580259832351984</v>
      </c>
      <c r="F8" s="1896">
        <f>D8/H8</f>
        <v>1.1850125120426962</v>
      </c>
      <c r="G8" s="1897"/>
      <c r="H8" s="1902">
        <f>SUM(H9,H37,H52,H53,H54,H55,H56,H57)</f>
        <v>7766118</v>
      </c>
      <c r="I8" s="439"/>
      <c r="K8" s="1903">
        <v>6275452</v>
      </c>
    </row>
    <row r="9" spans="1:12" ht="16.5" customHeight="1">
      <c r="A9" s="505" t="s">
        <v>54</v>
      </c>
      <c r="B9" s="1900" t="s">
        <v>265</v>
      </c>
      <c r="C9" s="1901">
        <f>SUM(C10:C34)</f>
        <v>3020353</v>
      </c>
      <c r="D9" s="1901">
        <f>SUM(D10:D36)</f>
        <v>3660544</v>
      </c>
      <c r="E9" s="1896">
        <f t="shared" si="0"/>
        <v>1.21195899949443</v>
      </c>
      <c r="F9" s="1896">
        <f>D9/H9</f>
        <v>1.5257339732127599</v>
      </c>
      <c r="G9" s="1897"/>
      <c r="H9" s="1902">
        <f>SUM(H10:H36)</f>
        <v>2399202</v>
      </c>
      <c r="I9" s="439" t="e">
        <f>#REF!+#REF!+#REF!</f>
        <v>#REF!</v>
      </c>
      <c r="J9" s="434">
        <v>8284923</v>
      </c>
      <c r="K9" s="1903">
        <v>1364350</v>
      </c>
    </row>
    <row r="10" spans="1:12" s="457" customFormat="1" ht="31.2">
      <c r="A10" s="1525">
        <v>1</v>
      </c>
      <c r="B10" s="1904" t="s">
        <v>266</v>
      </c>
      <c r="C10" s="1114">
        <v>688030</v>
      </c>
      <c r="D10" s="456">
        <v>583596</v>
      </c>
      <c r="E10" s="1905">
        <f t="shared" si="0"/>
        <v>0.84821301396741422</v>
      </c>
      <c r="F10" s="1905">
        <f>D10/H10</f>
        <v>1.1011245283018869</v>
      </c>
      <c r="G10" s="1906"/>
      <c r="H10" s="1907">
        <f>431000+99000</f>
        <v>530000</v>
      </c>
      <c r="I10" s="457">
        <v>174530</v>
      </c>
      <c r="J10" s="458">
        <f>C7-J9</f>
        <v>489100</v>
      </c>
      <c r="K10" s="1908"/>
    </row>
    <row r="11" spans="1:12" s="457" customFormat="1" hidden="1">
      <c r="A11" s="1909">
        <v>1</v>
      </c>
      <c r="B11" s="1910" t="s">
        <v>267</v>
      </c>
      <c r="C11" s="1911">
        <v>0</v>
      </c>
      <c r="D11" s="1114"/>
      <c r="E11" s="1905" t="e">
        <f t="shared" si="0"/>
        <v>#DIV/0!</v>
      </c>
      <c r="F11" s="1905" t="e">
        <f t="shared" ref="F11:F52" si="1">D11/H11</f>
        <v>#DIV/0!</v>
      </c>
      <c r="G11" s="1906"/>
      <c r="H11" s="1912"/>
      <c r="K11" s="1913"/>
    </row>
    <row r="12" spans="1:12" s="457" customFormat="1" hidden="1">
      <c r="A12" s="1909">
        <v>2</v>
      </c>
      <c r="B12" s="1910" t="s">
        <v>268</v>
      </c>
      <c r="C12" s="1911">
        <v>0</v>
      </c>
      <c r="D12" s="1114"/>
      <c r="E12" s="1905" t="e">
        <f t="shared" si="0"/>
        <v>#DIV/0!</v>
      </c>
      <c r="F12" s="1905" t="e">
        <f t="shared" si="1"/>
        <v>#DIV/0!</v>
      </c>
      <c r="G12" s="1906"/>
      <c r="H12" s="1912"/>
      <c r="K12" s="1913"/>
    </row>
    <row r="13" spans="1:12" s="457" customFormat="1" hidden="1">
      <c r="A13" s="1909">
        <v>3</v>
      </c>
      <c r="B13" s="464" t="s">
        <v>269</v>
      </c>
      <c r="C13" s="1911">
        <v>0</v>
      </c>
      <c r="D13" s="1114"/>
      <c r="E13" s="1905" t="e">
        <f t="shared" si="0"/>
        <v>#DIV/0!</v>
      </c>
      <c r="F13" s="1905" t="e">
        <f t="shared" si="1"/>
        <v>#DIV/0!</v>
      </c>
      <c r="G13" s="1906"/>
      <c r="H13" s="1912"/>
      <c r="K13" s="1913"/>
    </row>
    <row r="14" spans="1:12" s="457" customFormat="1" hidden="1">
      <c r="A14" s="1909">
        <v>4</v>
      </c>
      <c r="B14" s="464" t="s">
        <v>270</v>
      </c>
      <c r="C14" s="1911">
        <v>0</v>
      </c>
      <c r="D14" s="1114"/>
      <c r="E14" s="1905" t="e">
        <f t="shared" si="0"/>
        <v>#DIV/0!</v>
      </c>
      <c r="F14" s="1905" t="e">
        <f t="shared" si="1"/>
        <v>#DIV/0!</v>
      </c>
      <c r="G14" s="1906"/>
      <c r="H14" s="1912"/>
      <c r="K14" s="1913"/>
    </row>
    <row r="15" spans="1:12" s="457" customFormat="1" hidden="1">
      <c r="A15" s="1909">
        <v>5</v>
      </c>
      <c r="B15" s="464" t="s">
        <v>271</v>
      </c>
      <c r="C15" s="1911">
        <v>0</v>
      </c>
      <c r="D15" s="1114"/>
      <c r="E15" s="1905" t="e">
        <f t="shared" si="0"/>
        <v>#DIV/0!</v>
      </c>
      <c r="F15" s="1905" t="e">
        <f t="shared" si="1"/>
        <v>#DIV/0!</v>
      </c>
      <c r="G15" s="1906"/>
      <c r="H15" s="1912"/>
      <c r="K15" s="1913"/>
    </row>
    <row r="16" spans="1:12" s="457" customFormat="1" hidden="1">
      <c r="A16" s="1909">
        <v>6</v>
      </c>
      <c r="B16" s="464" t="s">
        <v>272</v>
      </c>
      <c r="C16" s="1911">
        <v>0</v>
      </c>
      <c r="D16" s="1114"/>
      <c r="E16" s="1905" t="e">
        <f t="shared" si="0"/>
        <v>#DIV/0!</v>
      </c>
      <c r="F16" s="1905" t="e">
        <f t="shared" si="1"/>
        <v>#DIV/0!</v>
      </c>
      <c r="G16" s="1906"/>
      <c r="H16" s="1912"/>
      <c r="K16" s="1913"/>
    </row>
    <row r="17" spans="1:11" s="457" customFormat="1" hidden="1">
      <c r="A17" s="1909">
        <v>7</v>
      </c>
      <c r="B17" s="464" t="s">
        <v>273</v>
      </c>
      <c r="C17" s="1911">
        <v>0</v>
      </c>
      <c r="D17" s="1114"/>
      <c r="E17" s="1905" t="e">
        <f t="shared" si="0"/>
        <v>#DIV/0!</v>
      </c>
      <c r="F17" s="1905" t="e">
        <f t="shared" si="1"/>
        <v>#DIV/0!</v>
      </c>
      <c r="G17" s="1906"/>
      <c r="H17" s="1912"/>
      <c r="K17" s="1913"/>
    </row>
    <row r="18" spans="1:11" s="457" customFormat="1" hidden="1">
      <c r="A18" s="1909">
        <v>8</v>
      </c>
      <c r="B18" s="464" t="s">
        <v>274</v>
      </c>
      <c r="C18" s="1911">
        <v>0</v>
      </c>
      <c r="D18" s="1114"/>
      <c r="E18" s="1905" t="e">
        <f t="shared" si="0"/>
        <v>#DIV/0!</v>
      </c>
      <c r="F18" s="1905" t="e">
        <f t="shared" si="1"/>
        <v>#DIV/0!</v>
      </c>
      <c r="G18" s="1906"/>
      <c r="H18" s="1912"/>
      <c r="K18" s="1913"/>
    </row>
    <row r="19" spans="1:11" s="457" customFormat="1" hidden="1">
      <c r="A19" s="1909">
        <v>9</v>
      </c>
      <c r="B19" s="464" t="s">
        <v>275</v>
      </c>
      <c r="C19" s="1911">
        <v>0</v>
      </c>
      <c r="D19" s="1114"/>
      <c r="E19" s="1905" t="e">
        <f t="shared" si="0"/>
        <v>#DIV/0!</v>
      </c>
      <c r="F19" s="1905" t="e">
        <f t="shared" si="1"/>
        <v>#DIV/0!</v>
      </c>
      <c r="G19" s="1906"/>
      <c r="H19" s="1912"/>
      <c r="K19" s="1913"/>
    </row>
    <row r="20" spans="1:11" s="457" customFormat="1" hidden="1">
      <c r="A20" s="1909">
        <v>10</v>
      </c>
      <c r="B20" s="464" t="s">
        <v>276</v>
      </c>
      <c r="C20" s="1911">
        <v>0</v>
      </c>
      <c r="D20" s="1114"/>
      <c r="E20" s="1905" t="e">
        <f t="shared" si="0"/>
        <v>#DIV/0!</v>
      </c>
      <c r="F20" s="1905" t="e">
        <f t="shared" si="1"/>
        <v>#DIV/0!</v>
      </c>
      <c r="G20" s="1906"/>
      <c r="H20" s="1912"/>
      <c r="K20" s="1913"/>
    </row>
    <row r="21" spans="1:11" s="457" customFormat="1" ht="27" hidden="1" customHeight="1">
      <c r="A21" s="1909">
        <v>11</v>
      </c>
      <c r="B21" s="464" t="s">
        <v>277</v>
      </c>
      <c r="C21" s="1911">
        <v>0</v>
      </c>
      <c r="D21" s="1114"/>
      <c r="E21" s="1905" t="e">
        <f t="shared" si="0"/>
        <v>#DIV/0!</v>
      </c>
      <c r="F21" s="1905" t="e">
        <f t="shared" si="1"/>
        <v>#DIV/0!</v>
      </c>
      <c r="G21" s="1906"/>
      <c r="H21" s="1912"/>
      <c r="K21" s="1913"/>
    </row>
    <row r="22" spans="1:11" s="457" customFormat="1" hidden="1">
      <c r="A22" s="1909">
        <v>12</v>
      </c>
      <c r="B22" s="464" t="s">
        <v>278</v>
      </c>
      <c r="C22" s="1911">
        <v>0</v>
      </c>
      <c r="D22" s="1114"/>
      <c r="E22" s="1905" t="e">
        <f t="shared" si="0"/>
        <v>#DIV/0!</v>
      </c>
      <c r="F22" s="1905" t="e">
        <f t="shared" si="1"/>
        <v>#DIV/0!</v>
      </c>
      <c r="G22" s="1906"/>
      <c r="H22" s="1912"/>
      <c r="K22" s="1913"/>
    </row>
    <row r="23" spans="1:11" s="457" customFormat="1" hidden="1">
      <c r="A23" s="1909">
        <v>13</v>
      </c>
      <c r="B23" s="464" t="s">
        <v>279</v>
      </c>
      <c r="C23" s="1911">
        <v>0</v>
      </c>
      <c r="D23" s="1114"/>
      <c r="E23" s="1905" t="e">
        <f t="shared" si="0"/>
        <v>#DIV/0!</v>
      </c>
      <c r="F23" s="1905" t="e">
        <f t="shared" si="1"/>
        <v>#DIV/0!</v>
      </c>
      <c r="G23" s="1906"/>
      <c r="H23" s="1912"/>
      <c r="K23" s="1913"/>
    </row>
    <row r="24" spans="1:11" s="1920" customFormat="1" ht="16.2" hidden="1">
      <c r="A24" s="1914" t="s">
        <v>280</v>
      </c>
      <c r="B24" s="1915" t="s">
        <v>281</v>
      </c>
      <c r="C24" s="1114"/>
      <c r="D24" s="1417"/>
      <c r="E24" s="1905" t="e">
        <f t="shared" si="0"/>
        <v>#DIV/0!</v>
      </c>
      <c r="F24" s="1905" t="e">
        <f t="shared" si="1"/>
        <v>#DIV/0!</v>
      </c>
      <c r="G24" s="1906"/>
      <c r="H24" s="1916"/>
      <c r="I24" s="1917" t="e">
        <f>#REF!-I10</f>
        <v>#REF!</v>
      </c>
      <c r="J24" s="1918">
        <f>J9+J10</f>
        <v>8774023</v>
      </c>
      <c r="K24" s="1919">
        <f>SUM(K25:K27)</f>
        <v>68400</v>
      </c>
    </row>
    <row r="25" spans="1:11" s="457" customFormat="1" ht="31.2" hidden="1">
      <c r="A25" s="1921"/>
      <c r="B25" s="1922" t="s">
        <v>4</v>
      </c>
      <c r="C25" s="1911"/>
      <c r="D25" s="468"/>
      <c r="E25" s="1905" t="e">
        <f t="shared" si="0"/>
        <v>#DIV/0!</v>
      </c>
      <c r="F25" s="1905" t="e">
        <f t="shared" si="1"/>
        <v>#DIV/0!</v>
      </c>
      <c r="G25" s="1906"/>
      <c r="H25" s="1912"/>
      <c r="K25" s="1923">
        <f>76000*40/100</f>
        <v>30400</v>
      </c>
    </row>
    <row r="26" spans="1:11" s="457" customFormat="1" hidden="1">
      <c r="A26" s="1921"/>
      <c r="B26" s="1922" t="s">
        <v>282</v>
      </c>
      <c r="C26" s="1911"/>
      <c r="D26" s="468"/>
      <c r="E26" s="1905" t="e">
        <f t="shared" si="0"/>
        <v>#DIV/0!</v>
      </c>
      <c r="F26" s="1905" t="e">
        <f t="shared" si="1"/>
        <v>#DIV/0!</v>
      </c>
      <c r="G26" s="1906"/>
      <c r="H26" s="1912"/>
      <c r="K26" s="1923">
        <f>76000*30/100</f>
        <v>22800</v>
      </c>
    </row>
    <row r="27" spans="1:11" s="457" customFormat="1" hidden="1">
      <c r="A27" s="1921"/>
      <c r="B27" s="1922" t="s">
        <v>283</v>
      </c>
      <c r="C27" s="1911"/>
      <c r="D27" s="468"/>
      <c r="E27" s="1905" t="e">
        <f t="shared" si="0"/>
        <v>#DIV/0!</v>
      </c>
      <c r="F27" s="1905" t="e">
        <f t="shared" si="1"/>
        <v>#DIV/0!</v>
      </c>
      <c r="G27" s="1906"/>
      <c r="H27" s="1912"/>
      <c r="K27" s="1923">
        <f>76000*20/100</f>
        <v>15200</v>
      </c>
    </row>
    <row r="28" spans="1:11" s="457" customFormat="1">
      <c r="A28" s="1909">
        <v>2</v>
      </c>
      <c r="B28" s="1904" t="s">
        <v>285</v>
      </c>
      <c r="C28" s="1924">
        <f>850000</f>
        <v>850000</v>
      </c>
      <c r="D28" s="456">
        <v>753228</v>
      </c>
      <c r="E28" s="1905">
        <f t="shared" si="0"/>
        <v>0.88615058823529413</v>
      </c>
      <c r="F28" s="1905">
        <f t="shared" si="1"/>
        <v>1.3450500000000001</v>
      </c>
      <c r="G28" s="1906"/>
      <c r="H28" s="1925">
        <v>560000</v>
      </c>
      <c r="I28" s="457">
        <v>94000</v>
      </c>
      <c r="K28" s="1908">
        <v>756000</v>
      </c>
    </row>
    <row r="29" spans="1:11">
      <c r="A29" s="1525">
        <v>3</v>
      </c>
      <c r="B29" s="1926" t="s">
        <v>1211</v>
      </c>
      <c r="C29" s="1114">
        <v>159678</v>
      </c>
      <c r="D29" s="1114">
        <v>158858</v>
      </c>
      <c r="E29" s="1905">
        <f>D29/C29</f>
        <v>0.9948646651385914</v>
      </c>
      <c r="F29" s="1905"/>
      <c r="G29" s="1906"/>
      <c r="I29" s="439"/>
      <c r="K29" s="1928"/>
    </row>
    <row r="30" spans="1:11">
      <c r="A30" s="1525">
        <v>13.8571428571429</v>
      </c>
      <c r="B30" s="1926" t="s">
        <v>1212</v>
      </c>
      <c r="C30" s="1114">
        <v>500000</v>
      </c>
      <c r="D30" s="1114">
        <v>313448</v>
      </c>
      <c r="E30" s="1905">
        <f t="shared" si="0"/>
        <v>0.62689600000000001</v>
      </c>
      <c r="F30" s="1905"/>
      <c r="G30" s="1906"/>
      <c r="H30" s="1912"/>
      <c r="I30" s="439"/>
      <c r="K30" s="1928"/>
    </row>
    <row r="31" spans="1:11" s="457" customFormat="1">
      <c r="A31" s="1909">
        <v>15.8</v>
      </c>
      <c r="B31" s="1904" t="s">
        <v>1213</v>
      </c>
      <c r="C31" s="1114">
        <v>125505</v>
      </c>
      <c r="D31" s="1114">
        <v>125505</v>
      </c>
      <c r="E31" s="1905">
        <f t="shared" si="0"/>
        <v>1</v>
      </c>
      <c r="F31" s="1905">
        <f t="shared" si="1"/>
        <v>1.2030770705521472</v>
      </c>
      <c r="G31" s="1906"/>
      <c r="H31" s="1929">
        <v>104320</v>
      </c>
      <c r="K31" s="1913"/>
    </row>
    <row r="32" spans="1:11" s="457" customFormat="1">
      <c r="A32" s="1909">
        <v>16.771428571428601</v>
      </c>
      <c r="B32" s="1904" t="s">
        <v>1214</v>
      </c>
      <c r="C32" s="1114">
        <v>697140</v>
      </c>
      <c r="D32" s="1114">
        <v>690122</v>
      </c>
      <c r="E32" s="1905">
        <f t="shared" si="0"/>
        <v>0.98993315546375193</v>
      </c>
      <c r="F32" s="1905">
        <f t="shared" si="1"/>
        <v>0.81865005931198098</v>
      </c>
      <c r="G32" s="1906"/>
      <c r="H32" s="1929">
        <v>843000</v>
      </c>
      <c r="K32" s="1913"/>
    </row>
    <row r="33" spans="1:11" s="457" customFormat="1">
      <c r="A33" s="1909">
        <v>17.742857142857201</v>
      </c>
      <c r="B33" s="1904" t="s">
        <v>1215</v>
      </c>
      <c r="C33" s="1114"/>
      <c r="D33" s="1114">
        <v>204425</v>
      </c>
      <c r="E33" s="1905"/>
      <c r="F33" s="1905"/>
      <c r="G33" s="1906"/>
      <c r="H33" s="1929"/>
      <c r="K33" s="1913"/>
    </row>
    <row r="34" spans="1:11" s="457" customFormat="1">
      <c r="A34" s="1909">
        <v>18.714285714285801</v>
      </c>
      <c r="B34" s="1904" t="s">
        <v>1216</v>
      </c>
      <c r="C34" s="1114"/>
      <c r="D34" s="1114">
        <v>23333</v>
      </c>
      <c r="E34" s="1905"/>
      <c r="F34" s="1905"/>
      <c r="G34" s="1906"/>
      <c r="H34" s="1929">
        <v>293183</v>
      </c>
      <c r="K34" s="1913"/>
    </row>
    <row r="35" spans="1:11" s="457" customFormat="1">
      <c r="A35" s="1909"/>
      <c r="B35" s="1904" t="s">
        <v>1217</v>
      </c>
      <c r="C35" s="1114"/>
      <c r="D35" s="1114">
        <v>218044</v>
      </c>
      <c r="E35" s="1905"/>
      <c r="F35" s="1905"/>
      <c r="G35" s="1906"/>
      <c r="H35" s="1929"/>
      <c r="K35" s="1913"/>
    </row>
    <row r="36" spans="1:11" s="457" customFormat="1">
      <c r="A36" s="1909"/>
      <c r="B36" s="1904" t="s">
        <v>1218</v>
      </c>
      <c r="C36" s="1114"/>
      <c r="D36" s="1114">
        <v>589985</v>
      </c>
      <c r="E36" s="1905"/>
      <c r="F36" s="1905"/>
      <c r="G36" s="1906"/>
      <c r="H36" s="1929">
        <v>68699</v>
      </c>
      <c r="K36" s="1913"/>
    </row>
    <row r="37" spans="1:11">
      <c r="A37" s="505" t="s">
        <v>60</v>
      </c>
      <c r="B37" s="1900" t="s">
        <v>286</v>
      </c>
      <c r="C37" s="1901">
        <f>SUM(C38,C39,C40,C41,C42,C43,C44,C45,C46,C47,C48,C49,C50,C51)</f>
        <v>5033370</v>
      </c>
      <c r="D37" s="1901">
        <f>SUM(D38:D51)</f>
        <v>4966847</v>
      </c>
      <c r="E37" s="1896">
        <f t="shared" ref="E37:E58" si="2">D37/C37</f>
        <v>0.98678360621214023</v>
      </c>
      <c r="F37" s="1896">
        <f t="shared" si="1"/>
        <v>0.93107769517523054</v>
      </c>
      <c r="G37" s="1897"/>
      <c r="H37" s="1902">
        <f>SUM(H38:H51)</f>
        <v>5334514</v>
      </c>
      <c r="I37" s="434" t="e">
        <f>#REF!+#REF!+#REF!</f>
        <v>#REF!</v>
      </c>
      <c r="J37" s="1930" t="e">
        <f>I37-#REF!</f>
        <v>#REF!</v>
      </c>
      <c r="K37" s="1931">
        <v>4780721</v>
      </c>
    </row>
    <row r="38" spans="1:11">
      <c r="A38" s="1525">
        <v>1</v>
      </c>
      <c r="B38" s="1910" t="s">
        <v>267</v>
      </c>
      <c r="C38" s="1114">
        <v>2244790</v>
      </c>
      <c r="D38" s="1114">
        <f>1715825+(173594*2)+49000</f>
        <v>2112013</v>
      </c>
      <c r="E38" s="1905">
        <f t="shared" si="2"/>
        <v>0.94085103729079334</v>
      </c>
      <c r="F38" s="1905">
        <f t="shared" si="1"/>
        <v>0.94626951668865056</v>
      </c>
      <c r="G38" s="1906"/>
      <c r="H38" s="1929">
        <f>2067667+164269</f>
        <v>2231936</v>
      </c>
      <c r="I38" s="439" t="e">
        <f>#REF!-I37</f>
        <v>#REF!</v>
      </c>
      <c r="K38" s="1908">
        <v>2124695</v>
      </c>
    </row>
    <row r="39" spans="1:11">
      <c r="A39" s="1525">
        <v>2</v>
      </c>
      <c r="B39" s="1910" t="s">
        <v>268</v>
      </c>
      <c r="C39" s="1114">
        <v>34697</v>
      </c>
      <c r="D39" s="456">
        <f>20322+664*2</f>
        <v>21650</v>
      </c>
      <c r="E39" s="1905">
        <f t="shared" si="2"/>
        <v>0.62397325417183047</v>
      </c>
      <c r="F39" s="1905">
        <f t="shared" si="1"/>
        <v>0.7256821076623986</v>
      </c>
      <c r="G39" s="1906"/>
      <c r="H39" s="1929">
        <v>29834</v>
      </c>
      <c r="I39" s="439"/>
      <c r="K39" s="1932">
        <v>29208</v>
      </c>
    </row>
    <row r="40" spans="1:11">
      <c r="A40" s="1525">
        <v>3</v>
      </c>
      <c r="B40" s="464" t="s">
        <v>269</v>
      </c>
      <c r="C40" s="1114">
        <v>57139</v>
      </c>
      <c r="D40" s="456">
        <f>57139+4167+17500</f>
        <v>78806</v>
      </c>
      <c r="E40" s="1905">
        <f t="shared" si="2"/>
        <v>1.3791980958714714</v>
      </c>
      <c r="F40" s="1933">
        <f t="shared" si="1"/>
        <v>1.2688951148037226</v>
      </c>
      <c r="G40" s="1934"/>
      <c r="H40" s="1935">
        <v>62106</v>
      </c>
      <c r="K40" s="1932">
        <v>56160</v>
      </c>
    </row>
    <row r="41" spans="1:11">
      <c r="A41" s="1525">
        <v>4</v>
      </c>
      <c r="B41" s="464" t="s">
        <v>270</v>
      </c>
      <c r="C41" s="1114">
        <v>31882</v>
      </c>
      <c r="D41" s="456">
        <f>31882+1518+791</f>
        <v>34191</v>
      </c>
      <c r="E41" s="1933">
        <f t="shared" si="2"/>
        <v>1.0724233109591619</v>
      </c>
      <c r="F41" s="1905">
        <f t="shared" si="1"/>
        <v>0.79922861150070124</v>
      </c>
      <c r="G41" s="1906"/>
      <c r="H41" s="1929">
        <v>42780</v>
      </c>
      <c r="K41" s="1931">
        <v>25040</v>
      </c>
    </row>
    <row r="42" spans="1:11">
      <c r="A42" s="1525">
        <v>5</v>
      </c>
      <c r="B42" s="464" t="s">
        <v>271</v>
      </c>
      <c r="C42" s="1114">
        <v>577364</v>
      </c>
      <c r="D42" s="1114">
        <f>598331+15893*2</f>
        <v>630117</v>
      </c>
      <c r="E42" s="1905">
        <f t="shared" si="2"/>
        <v>1.0913687032790407</v>
      </c>
      <c r="F42" s="1905">
        <f t="shared" si="1"/>
        <v>1.0137539255560131</v>
      </c>
      <c r="G42" s="1906"/>
      <c r="H42" s="1927">
        <f>621568</f>
        <v>621568</v>
      </c>
      <c r="K42" s="1936">
        <v>602873</v>
      </c>
    </row>
    <row r="43" spans="1:11">
      <c r="A43" s="1525">
        <v>6</v>
      </c>
      <c r="B43" s="464" t="s">
        <v>272</v>
      </c>
      <c r="C43" s="1114">
        <v>40377</v>
      </c>
      <c r="D43" s="456">
        <f>28836+3065*2</f>
        <v>34966</v>
      </c>
      <c r="E43" s="1905">
        <f t="shared" si="2"/>
        <v>0.86598806251083538</v>
      </c>
      <c r="F43" s="1905">
        <f>D43/H43</f>
        <v>0.86863848878863614</v>
      </c>
      <c r="G43" s="1906"/>
      <c r="H43" s="1927">
        <f>49090*82%</f>
        <v>40253.799999999996</v>
      </c>
      <c r="K43" s="1931">
        <v>50510</v>
      </c>
    </row>
    <row r="44" spans="1:11">
      <c r="A44" s="1525">
        <v>7</v>
      </c>
      <c r="B44" s="464" t="s">
        <v>274</v>
      </c>
      <c r="C44" s="1114">
        <v>9321</v>
      </c>
      <c r="D44" s="1114">
        <f>8631+571*2</f>
        <v>9773</v>
      </c>
      <c r="E44" s="1905">
        <f t="shared" si="2"/>
        <v>1.0484926510031112</v>
      </c>
      <c r="F44" s="1905">
        <f>D44/H44</f>
        <v>1.1060184242095019</v>
      </c>
      <c r="G44" s="1906"/>
      <c r="H44" s="1927">
        <f>49090*18%</f>
        <v>8836.1999999999989</v>
      </c>
      <c r="I44" s="439">
        <f>C43+C44</f>
        <v>49698</v>
      </c>
      <c r="K44" s="1931"/>
    </row>
    <row r="45" spans="1:11">
      <c r="A45" s="1525">
        <v>8</v>
      </c>
      <c r="B45" s="464" t="s">
        <v>273</v>
      </c>
      <c r="C45" s="1114">
        <v>17899</v>
      </c>
      <c r="D45" s="456">
        <f>14500+1292*2</f>
        <v>17084</v>
      </c>
      <c r="E45" s="1905">
        <f t="shared" si="2"/>
        <v>0.95446672998491533</v>
      </c>
      <c r="F45" s="1905">
        <f>D45/H45</f>
        <v>0.9187910078519953</v>
      </c>
      <c r="G45" s="1906"/>
      <c r="H45" s="1935">
        <v>18594</v>
      </c>
      <c r="I45" s="430">
        <f>C43/I44</f>
        <v>0.81244718097307733</v>
      </c>
      <c r="K45" s="1931">
        <v>18594</v>
      </c>
    </row>
    <row r="46" spans="1:11">
      <c r="A46" s="1525">
        <v>9</v>
      </c>
      <c r="B46" s="464" t="s">
        <v>275</v>
      </c>
      <c r="C46" s="1114">
        <v>61447</v>
      </c>
      <c r="D46" s="482">
        <f>63032+2931*2</f>
        <v>68894</v>
      </c>
      <c r="E46" s="1905">
        <f t="shared" si="2"/>
        <v>1.1211938743958207</v>
      </c>
      <c r="F46" s="1905">
        <f t="shared" si="1"/>
        <v>0.94332698916927959</v>
      </c>
      <c r="G46" s="1906"/>
      <c r="H46" s="1929">
        <v>73033</v>
      </c>
      <c r="K46" s="1932">
        <v>61584</v>
      </c>
    </row>
    <row r="47" spans="1:11">
      <c r="A47" s="1525">
        <v>10</v>
      </c>
      <c r="B47" s="464" t="s">
        <v>276</v>
      </c>
      <c r="C47" s="1114">
        <v>617543</v>
      </c>
      <c r="D47" s="456">
        <f>292962+42585*2+100000</f>
        <v>478132</v>
      </c>
      <c r="E47" s="1905">
        <f t="shared" si="2"/>
        <v>0.77424891869877888</v>
      </c>
      <c r="F47" s="1905">
        <f t="shared" si="1"/>
        <v>0.69621207929384565</v>
      </c>
      <c r="G47" s="1906"/>
      <c r="H47" s="1929">
        <v>686762</v>
      </c>
      <c r="K47" s="1932">
        <v>521353</v>
      </c>
    </row>
    <row r="48" spans="1:11">
      <c r="A48" s="1525">
        <v>11</v>
      </c>
      <c r="B48" s="464" t="s">
        <v>278</v>
      </c>
      <c r="C48" s="1114">
        <v>199833</v>
      </c>
      <c r="D48" s="456">
        <f>224085+15615*2-40000</f>
        <v>215315</v>
      </c>
      <c r="E48" s="1933">
        <f t="shared" si="2"/>
        <v>1.0774746913672917</v>
      </c>
      <c r="F48" s="1905">
        <f t="shared" si="1"/>
        <v>0.96018176629029095</v>
      </c>
      <c r="G48" s="1906"/>
      <c r="H48" s="1929">
        <v>224244</v>
      </c>
      <c r="K48" s="1932">
        <v>199289</v>
      </c>
    </row>
    <row r="49" spans="1:11" ht="31.2">
      <c r="A49" s="1525">
        <v>12</v>
      </c>
      <c r="B49" s="1937" t="s">
        <v>277</v>
      </c>
      <c r="C49" s="1114">
        <v>897544</v>
      </c>
      <c r="D49" s="456">
        <f>C49+46000+11539+5807+816+4086+2832+14280+3341+6638</f>
        <v>992883</v>
      </c>
      <c r="E49" s="1933">
        <f t="shared" si="2"/>
        <v>1.1062220905047553</v>
      </c>
      <c r="F49" s="1905">
        <f t="shared" si="1"/>
        <v>0.94674887411333142</v>
      </c>
      <c r="G49" s="1906"/>
      <c r="H49" s="1929">
        <v>1048729</v>
      </c>
      <c r="I49" s="439">
        <f>C49+33000</f>
        <v>930544</v>
      </c>
      <c r="K49" s="1932">
        <v>867336</v>
      </c>
    </row>
    <row r="50" spans="1:11">
      <c r="A50" s="1525">
        <v>13</v>
      </c>
      <c r="B50" s="1937" t="s">
        <v>720</v>
      </c>
      <c r="C50" s="1537">
        <v>33378</v>
      </c>
      <c r="D50" s="1537">
        <f>60095+1386*2</f>
        <v>62867</v>
      </c>
      <c r="E50" s="1905">
        <f t="shared" si="2"/>
        <v>1.8834861285876925</v>
      </c>
      <c r="F50" s="1905">
        <f t="shared" si="1"/>
        <v>1.6772584173736726</v>
      </c>
      <c r="G50" s="1906"/>
      <c r="H50" s="1929">
        <v>37482</v>
      </c>
      <c r="K50" s="1932">
        <v>37882</v>
      </c>
    </row>
    <row r="51" spans="1:11">
      <c r="A51" s="1525">
        <v>14</v>
      </c>
      <c r="B51" s="475" t="s">
        <v>1219</v>
      </c>
      <c r="C51" s="1114">
        <v>210156</v>
      </c>
      <c r="D51" s="482">
        <f t="shared" ref="D51:D58" si="3">C51</f>
        <v>210156</v>
      </c>
      <c r="E51" s="1905">
        <f t="shared" si="2"/>
        <v>1</v>
      </c>
      <c r="F51" s="1905">
        <f t="shared" si="1"/>
        <v>1.0086390600702644</v>
      </c>
      <c r="G51" s="1906"/>
      <c r="H51" s="1929">
        <v>208356</v>
      </c>
      <c r="K51" s="1932">
        <v>158356</v>
      </c>
    </row>
    <row r="52" spans="1:11" s="1424" customFormat="1">
      <c r="A52" s="505" t="s">
        <v>315</v>
      </c>
      <c r="B52" s="504" t="s">
        <v>1220</v>
      </c>
      <c r="C52" s="1901">
        <v>53248</v>
      </c>
      <c r="D52" s="1901">
        <v>53248</v>
      </c>
      <c r="E52" s="1896">
        <f t="shared" si="2"/>
        <v>1</v>
      </c>
      <c r="F52" s="1896">
        <f t="shared" si="1"/>
        <v>1.6956881727278517</v>
      </c>
      <c r="G52" s="1906"/>
      <c r="H52" s="1912">
        <v>31402</v>
      </c>
      <c r="K52" s="1938"/>
    </row>
    <row r="53" spans="1:11" s="1424" customFormat="1">
      <c r="A53" s="505" t="s">
        <v>317</v>
      </c>
      <c r="B53" s="504" t="s">
        <v>1221</v>
      </c>
      <c r="C53" s="1901">
        <v>359251</v>
      </c>
      <c r="D53" s="1901">
        <v>359251</v>
      </c>
      <c r="E53" s="1896">
        <f t="shared" si="2"/>
        <v>1</v>
      </c>
      <c r="F53" s="1896"/>
      <c r="G53" s="1897"/>
      <c r="H53" s="1912"/>
      <c r="K53" s="1938"/>
    </row>
    <row r="54" spans="1:11">
      <c r="A54" s="505" t="s">
        <v>319</v>
      </c>
      <c r="B54" s="1900" t="s">
        <v>318</v>
      </c>
      <c r="C54" s="1901">
        <v>1000</v>
      </c>
      <c r="D54" s="1901">
        <v>1000</v>
      </c>
      <c r="E54" s="1896">
        <f t="shared" si="2"/>
        <v>1</v>
      </c>
      <c r="F54" s="1896"/>
      <c r="G54" s="1897"/>
      <c r="H54" s="1912">
        <v>1000</v>
      </c>
      <c r="K54" s="1939">
        <v>1000</v>
      </c>
    </row>
    <row r="55" spans="1:11">
      <c r="A55" s="505" t="s">
        <v>321</v>
      </c>
      <c r="B55" s="1900" t="s">
        <v>320</v>
      </c>
      <c r="C55" s="1901">
        <v>137890</v>
      </c>
      <c r="D55" s="1901">
        <f>137890*50%</f>
        <v>68945</v>
      </c>
      <c r="E55" s="1896">
        <f t="shared" si="2"/>
        <v>0.5</v>
      </c>
      <c r="F55" s="1896"/>
      <c r="G55" s="1897"/>
      <c r="H55" s="1912"/>
      <c r="J55" s="489" t="e">
        <f>#REF!-I55</f>
        <v>#REF!</v>
      </c>
      <c r="K55" s="1939">
        <v>129381</v>
      </c>
    </row>
    <row r="56" spans="1:11">
      <c r="A56" s="505" t="s">
        <v>579</v>
      </c>
      <c r="B56" s="1900" t="s">
        <v>322</v>
      </c>
      <c r="C56" s="1901">
        <v>93012</v>
      </c>
      <c r="D56" s="1901">
        <v>93012</v>
      </c>
      <c r="E56" s="1896">
        <f t="shared" si="2"/>
        <v>1</v>
      </c>
      <c r="F56" s="1896"/>
      <c r="G56" s="1897"/>
      <c r="H56" s="1912"/>
      <c r="K56" s="1928"/>
    </row>
    <row r="57" spans="1:11" ht="31.2">
      <c r="A57" s="505" t="s">
        <v>1222</v>
      </c>
      <c r="B57" s="1900" t="s">
        <v>1071</v>
      </c>
      <c r="C57" s="1901">
        <v>100</v>
      </c>
      <c r="D57" s="1901">
        <v>100</v>
      </c>
      <c r="E57" s="1896">
        <f t="shared" si="2"/>
        <v>1</v>
      </c>
      <c r="F57" s="1940"/>
      <c r="G57" s="1941"/>
      <c r="H57" s="1912"/>
      <c r="K57" s="1928"/>
    </row>
    <row r="58" spans="1:11" ht="16.2">
      <c r="A58" s="505" t="s">
        <v>81</v>
      </c>
      <c r="B58" s="1900" t="s">
        <v>1223</v>
      </c>
      <c r="C58" s="1901">
        <v>75799</v>
      </c>
      <c r="D58" s="1901">
        <f t="shared" si="3"/>
        <v>75799</v>
      </c>
      <c r="E58" s="1896">
        <f t="shared" si="2"/>
        <v>1</v>
      </c>
      <c r="F58" s="1940"/>
      <c r="G58" s="1941"/>
      <c r="H58" s="1912"/>
      <c r="I58" s="491"/>
      <c r="J58" s="1942"/>
      <c r="K58" s="1943">
        <v>87000</v>
      </c>
    </row>
    <row r="59" spans="1:11" ht="16.5" customHeight="1">
      <c r="A59" s="505" t="s">
        <v>362</v>
      </c>
      <c r="B59" s="1900" t="s">
        <v>372</v>
      </c>
      <c r="C59" s="1944"/>
      <c r="D59" s="1901">
        <v>1400000</v>
      </c>
      <c r="E59" s="1905"/>
      <c r="F59" s="1940"/>
      <c r="G59" s="1941"/>
      <c r="H59" s="1902">
        <v>1755853</v>
      </c>
      <c r="I59" s="491"/>
      <c r="J59" s="1942"/>
      <c r="K59" s="1928"/>
    </row>
    <row r="60" spans="1:11" ht="16.2">
      <c r="A60" s="1945" t="s">
        <v>1224</v>
      </c>
      <c r="B60" s="1946" t="s">
        <v>373</v>
      </c>
      <c r="C60" s="1947">
        <v>91000</v>
      </c>
      <c r="D60" s="1947"/>
      <c r="E60" s="1948">
        <f>D60/C60</f>
        <v>0</v>
      </c>
      <c r="F60" s="1949"/>
      <c r="G60" s="1941"/>
      <c r="H60" s="1950"/>
      <c r="I60" s="511"/>
      <c r="J60" s="511"/>
      <c r="K60" s="1928"/>
    </row>
    <row r="61" spans="1:11">
      <c r="A61" s="511"/>
      <c r="B61" s="512"/>
      <c r="C61" s="511"/>
      <c r="D61" s="511"/>
      <c r="E61" s="511"/>
      <c r="F61" s="1951"/>
      <c r="G61" s="1951"/>
      <c r="H61" s="1952"/>
      <c r="I61" s="511"/>
      <c r="J61" s="511"/>
      <c r="K61" s="1953"/>
    </row>
    <row r="62" spans="1:11">
      <c r="A62" s="519"/>
      <c r="B62" s="520"/>
      <c r="C62" s="517"/>
      <c r="D62" s="517"/>
      <c r="E62" s="517"/>
      <c r="F62" s="1954"/>
      <c r="G62" s="1954"/>
      <c r="H62" s="1955"/>
      <c r="I62" s="517"/>
    </row>
    <row r="63" spans="1:11">
      <c r="C63" s="489"/>
      <c r="D63" s="489"/>
    </row>
    <row r="64" spans="1:11">
      <c r="C64" s="489"/>
      <c r="D64" s="489"/>
    </row>
    <row r="65" spans="3:10">
      <c r="C65" s="489"/>
      <c r="D65" s="489"/>
    </row>
    <row r="66" spans="3:10">
      <c r="C66" s="489"/>
      <c r="D66" s="489"/>
    </row>
    <row r="67" spans="3:10">
      <c r="C67" s="489"/>
      <c r="D67" s="489"/>
    </row>
    <row r="68" spans="3:10">
      <c r="C68" s="489"/>
      <c r="D68" s="489"/>
    </row>
    <row r="69" spans="3:10">
      <c r="C69" s="489"/>
      <c r="D69" s="489"/>
    </row>
    <row r="70" spans="3:10">
      <c r="C70" s="489"/>
      <c r="D70" s="489"/>
    </row>
    <row r="71" spans="3:10">
      <c r="C71" s="489"/>
      <c r="D71" s="489"/>
    </row>
    <row r="72" spans="3:10">
      <c r="C72" s="489"/>
      <c r="D72" s="489"/>
      <c r="E72" s="439"/>
      <c r="F72" s="439"/>
      <c r="G72" s="439"/>
      <c r="H72" s="1957"/>
      <c r="I72" s="439"/>
      <c r="J72" s="439"/>
    </row>
    <row r="73" spans="3:10">
      <c r="C73" s="489"/>
      <c r="D73" s="489"/>
      <c r="E73" s="439"/>
      <c r="F73" s="439"/>
      <c r="G73" s="439"/>
      <c r="H73" s="1957"/>
      <c r="I73" s="439"/>
      <c r="J73" s="439"/>
    </row>
    <row r="74" spans="3:10">
      <c r="C74" s="489"/>
      <c r="D74" s="489"/>
      <c r="E74" s="439"/>
      <c r="F74" s="439"/>
      <c r="G74" s="439"/>
      <c r="H74" s="1957"/>
      <c r="I74" s="439"/>
      <c r="J74" s="439"/>
    </row>
    <row r="75" spans="3:10">
      <c r="C75" s="489"/>
      <c r="D75" s="489"/>
      <c r="E75" s="439"/>
      <c r="F75" s="439"/>
      <c r="G75" s="439"/>
      <c r="H75" s="1957"/>
      <c r="I75" s="439"/>
      <c r="J75" s="439"/>
    </row>
    <row r="76" spans="3:10">
      <c r="C76" s="489"/>
      <c r="D76" s="489"/>
      <c r="E76" s="439"/>
      <c r="F76" s="439"/>
      <c r="G76" s="439"/>
      <c r="H76" s="1957"/>
      <c r="I76" s="439"/>
      <c r="J76" s="439"/>
    </row>
    <row r="77" spans="3:10">
      <c r="D77" s="439"/>
      <c r="E77" s="439"/>
      <c r="F77" s="439"/>
      <c r="G77" s="439"/>
      <c r="H77" s="1957"/>
      <c r="I77" s="439"/>
      <c r="J77" s="439"/>
    </row>
    <row r="78" spans="3:10">
      <c r="D78" s="439"/>
      <c r="E78" s="439"/>
      <c r="F78" s="439"/>
      <c r="G78" s="439"/>
      <c r="H78" s="1957"/>
      <c r="I78" s="439"/>
      <c r="J78" s="439"/>
    </row>
    <row r="79" spans="3:10">
      <c r="D79" s="439"/>
      <c r="E79" s="439"/>
      <c r="F79" s="439"/>
      <c r="G79" s="439"/>
      <c r="H79" s="1957"/>
      <c r="I79" s="439"/>
      <c r="J79" s="439"/>
    </row>
    <row r="80" spans="3:10">
      <c r="D80" s="439"/>
      <c r="E80" s="439"/>
      <c r="H80" s="1957"/>
      <c r="I80" s="439"/>
      <c r="J80" s="439"/>
    </row>
    <row r="81" spans="4:10">
      <c r="D81" s="439"/>
      <c r="E81" s="439"/>
      <c r="F81" s="439"/>
      <c r="G81" s="439"/>
      <c r="H81" s="1957"/>
      <c r="I81" s="439"/>
      <c r="J81" s="439"/>
    </row>
    <row r="82" spans="4:10">
      <c r="D82" s="439"/>
      <c r="E82" s="439"/>
      <c r="F82" s="439"/>
      <c r="G82" s="439"/>
      <c r="H82" s="1957"/>
      <c r="I82" s="439"/>
      <c r="J82" s="439"/>
    </row>
    <row r="83" spans="4:10">
      <c r="D83" s="439"/>
      <c r="E83" s="439"/>
      <c r="F83" s="439"/>
      <c r="G83" s="439"/>
      <c r="H83" s="1957"/>
      <c r="I83" s="439"/>
      <c r="J83" s="439"/>
    </row>
    <row r="84" spans="4:10">
      <c r="D84" s="439"/>
      <c r="E84" s="439"/>
      <c r="F84" s="439"/>
      <c r="G84" s="439"/>
      <c r="H84" s="1957"/>
      <c r="I84" s="439"/>
      <c r="J84" s="439"/>
    </row>
    <row r="85" spans="4:10">
      <c r="D85" s="439"/>
      <c r="E85" s="439"/>
      <c r="F85" s="439"/>
      <c r="G85" s="439"/>
      <c r="H85" s="1957"/>
      <c r="I85" s="439"/>
      <c r="J85" s="439"/>
    </row>
    <row r="86" spans="4:10">
      <c r="D86" s="439"/>
      <c r="E86" s="439"/>
      <c r="F86" s="439"/>
      <c r="G86" s="439"/>
      <c r="H86" s="1957"/>
      <c r="I86" s="439"/>
      <c r="J86" s="439"/>
    </row>
    <row r="87" spans="4:10">
      <c r="D87" s="439"/>
      <c r="E87" s="439"/>
      <c r="F87" s="439"/>
      <c r="G87" s="439"/>
      <c r="H87" s="1957"/>
      <c r="I87" s="439"/>
      <c r="J87" s="439"/>
    </row>
    <row r="88" spans="4:10">
      <c r="D88" s="439"/>
      <c r="E88" s="439"/>
      <c r="F88" s="439"/>
      <c r="G88" s="439"/>
      <c r="H88" s="1957"/>
      <c r="I88" s="439"/>
      <c r="J88" s="439"/>
    </row>
    <row r="89" spans="4:10">
      <c r="D89" s="439"/>
      <c r="E89" s="439"/>
      <c r="F89" s="439"/>
      <c r="G89" s="439"/>
      <c r="H89" s="1957"/>
      <c r="I89" s="439"/>
      <c r="J89" s="439"/>
    </row>
  </sheetData>
  <dataConsolidate/>
  <mergeCells count="5">
    <mergeCell ref="E1:F1"/>
    <mergeCell ref="J1:L1"/>
    <mergeCell ref="A2:F2"/>
    <mergeCell ref="A3:F3"/>
    <mergeCell ref="E4:F4"/>
  </mergeCells>
  <pageMargins left="0.47" right="0.23622047244094499" top="0.35433070866141703" bottom="0.43307086614173201" header="0.23622047244094499" footer="0.23622047244094499"/>
  <pageSetup scale="90" orientation="portrait" r:id="rId1"/>
  <headerFooter scaleWithDoc="0" alignWithMargins="0">
    <oddFooter>&amp;C&amp;".VnTime,Italic"&amp;8</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35</vt:i4>
      </vt:variant>
    </vt:vector>
  </HeadingPairs>
  <TitlesOfParts>
    <vt:vector size="79" baseType="lpstr">
      <vt:lpstr>Mau 37 ND 31</vt:lpstr>
      <vt:lpstr>07</vt:lpstr>
      <vt:lpstr>08 </vt:lpstr>
      <vt:lpstr>09 </vt:lpstr>
      <vt:lpstr>10</vt:lpstr>
      <vt:lpstr>11</vt:lpstr>
      <vt:lpstr>TH-CTMT2019</vt:lpstr>
      <vt:lpstr>UTH-THU2018</vt:lpstr>
      <vt:lpstr>UTH-chi2018</vt:lpstr>
      <vt:lpstr>33</vt:lpstr>
      <vt:lpstr>34</vt:lpstr>
      <vt:lpstr>35</vt:lpstr>
      <vt:lpstr>36</vt:lpstr>
      <vt:lpstr>37</vt:lpstr>
      <vt:lpstr>38</vt:lpstr>
      <vt:lpstr>39</vt:lpstr>
      <vt:lpstr>40</vt:lpstr>
      <vt:lpstr>41</vt:lpstr>
      <vt:lpstr>42</vt:lpstr>
      <vt:lpstr>43</vt:lpstr>
      <vt:lpstr>44</vt:lpstr>
      <vt:lpstr>45</vt:lpstr>
      <vt:lpstr>Bieu 33-CHI TOAN TINH</vt:lpstr>
      <vt:lpstr>2019 (co TK)</vt:lpstr>
      <vt:lpstr>THUE 2019</vt:lpstr>
      <vt:lpstr>Bieu so 01</vt:lpstr>
      <vt:lpstr>Bieu so 02</vt:lpstr>
      <vt:lpstr>Bieu so 03</vt:lpstr>
      <vt:lpstr>Bieu so 04</vt:lpstr>
      <vt:lpstr>Bieu so 05</vt:lpstr>
      <vt:lpstr>ATGT-2017-04</vt:lpstr>
      <vt:lpstr>BSCD CDCS 2019 (hoan chinh)-05 </vt:lpstr>
      <vt:lpstr>tang dau tu</vt:lpstr>
      <vt:lpstr>so thu huyen-R-03</vt:lpstr>
      <vt:lpstr>TPTV</vt:lpstr>
      <vt:lpstr>Tra Cu</vt:lpstr>
      <vt:lpstr>Cau Ngang</vt:lpstr>
      <vt:lpstr>Chau Thanh</vt:lpstr>
      <vt:lpstr>Duyen Hai</vt:lpstr>
      <vt:lpstr>Tieu Can</vt:lpstr>
      <vt:lpstr>Cang Long</vt:lpstr>
      <vt:lpstr>Cau Ke</vt:lpstr>
      <vt:lpstr>TX Duyen Hai</vt:lpstr>
      <vt:lpstr>Sheet1</vt:lpstr>
      <vt:lpstr>'07'!Print_Area</vt:lpstr>
      <vt:lpstr>'08 '!Print_Area</vt:lpstr>
      <vt:lpstr>'09 '!Print_Area</vt:lpstr>
      <vt:lpstr>'10'!Print_Area</vt:lpstr>
      <vt:lpstr>'11'!Print_Area</vt:lpstr>
      <vt:lpstr>'38'!Print_Area</vt:lpstr>
      <vt:lpstr>'39'!Print_Area</vt:lpstr>
      <vt:lpstr>'40'!Print_Area</vt:lpstr>
      <vt:lpstr>'44'!Print_Area</vt:lpstr>
      <vt:lpstr>'45'!Print_Area</vt:lpstr>
      <vt:lpstr>'Bieu 33-CHI TOAN TINH'!Print_Area</vt:lpstr>
      <vt:lpstr>'Bieu so 04'!Print_Area</vt:lpstr>
      <vt:lpstr>'BSCD CDCS 2019 (hoan chinh)-05 '!Print_Area</vt:lpstr>
      <vt:lpstr>'tang dau tu'!Print_Area</vt:lpstr>
      <vt:lpstr>'07'!Print_Titles</vt:lpstr>
      <vt:lpstr>'08 '!Print_Titles</vt:lpstr>
      <vt:lpstr>'09 '!Print_Titles</vt:lpstr>
      <vt:lpstr>'2019 (co TK)'!Print_Titles</vt:lpstr>
      <vt:lpstr>'39'!Print_Titles</vt:lpstr>
      <vt:lpstr>'45'!Print_Titles</vt:lpstr>
      <vt:lpstr>'Bieu 33-CHI TOAN TINH'!Print_Titles</vt:lpstr>
      <vt:lpstr>'Bieu so 01'!Print_Titles</vt:lpstr>
      <vt:lpstr>'Bieu so 02'!Print_Titles</vt:lpstr>
      <vt:lpstr>'Bieu so 03'!Print_Titles</vt:lpstr>
      <vt:lpstr>'Bieu so 04'!Print_Titles</vt:lpstr>
      <vt:lpstr>'Bieu so 05'!Print_Titles</vt:lpstr>
      <vt:lpstr>'BSCD CDCS 2019 (hoan chinh)-05 '!Print_Titles</vt:lpstr>
      <vt:lpstr>'Cang Long'!Print_Titles</vt:lpstr>
      <vt:lpstr>'Cau Ke'!Print_Titles</vt:lpstr>
      <vt:lpstr>'Mau 37 ND 31'!Print_Titles</vt:lpstr>
      <vt:lpstr>'tang dau tu'!Print_Titles</vt:lpstr>
      <vt:lpstr>'THUE 2019'!Print_Titles</vt:lpstr>
      <vt:lpstr>'Tieu Can'!Print_Titles</vt:lpstr>
      <vt:lpstr>'Tra Cu'!Print_Titles</vt:lpstr>
      <vt:lpstr>'UTH-chi2018'!Print_Titles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duongthibehai</dc:creator>
  <cp:lastModifiedBy>trangminhtruc</cp:lastModifiedBy>
  <cp:lastPrinted>2018-12-06T09:38:41Z</cp:lastPrinted>
  <dcterms:created xsi:type="dcterms:W3CDTF">2017-09-27T08:37:35Z</dcterms:created>
  <dcterms:modified xsi:type="dcterms:W3CDTF">2018-12-06T09:49:20Z</dcterms:modified>
</cp:coreProperties>
</file>